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33600" windowHeight="198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externalReferences>
    <externalReference r:id="rId6"/>
  </externalReference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c3.4xlarge">[1]Lookups!$A$2:$A$12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" i="2" l="1"/>
  <c r="N40" i="2"/>
  <c r="N46" i="2"/>
  <c r="N44" i="2"/>
  <c r="E7" i="7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B25" i="7"/>
  <c r="B26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</calcChain>
</file>

<file path=xl/sharedStrings.xml><?xml version="1.0" encoding="utf-8"?>
<sst xmlns="http://schemas.openxmlformats.org/spreadsheetml/2006/main" count="2362" uniqueCount="743">
  <si>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</si>
  <si>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</si>
  <si>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</si>
  <si>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</si>
  <si>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</si>
  <si>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</si>
  <si>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</si>
  <si>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</si>
  <si>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</si>
  <si>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</si>
  <si>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</si>
  <si>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</si>
  <si>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</si>
  <si>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</si>
  <si>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</si>
  <si>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</si>
  <si>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</si>
  <si>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</si>
  <si>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</si>
  <si>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</si>
  <si>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</si>
  <si>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</si>
  <si>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</si>
  <si>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</si>
  <si>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</si>
  <si>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</si>
  <si>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</si>
  <si>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</si>
  <si>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</si>
  <si>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</si>
  <si>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</si>
  <si>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</si>
  <si>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</si>
  <si>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</si>
  <si>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</si>
  <si>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</si>
  <si>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</si>
  <si>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</si>
  <si>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</si>
  <si>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</si>
  <si>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</si>
  <si>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</si>
  <si>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</si>
  <si>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</si>
  <si>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</si>
  <si>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</si>
  <si>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</si>
  <si>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</si>
  <si>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</si>
  <si>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</si>
  <si>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</si>
  <si>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</si>
  <si>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</si>
  <si>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</si>
  <si>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</si>
  <si>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</si>
  <si>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</si>
  <si>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</si>
  <si>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</si>
  <si>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</si>
  <si>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</si>
  <si>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</si>
  <si>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</si>
  <si>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</si>
  <si>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</si>
  <si>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</si>
  <si>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</si>
  <si>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</si>
  <si>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</si>
  <si>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</si>
  <si>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</si>
  <si>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</si>
  <si>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</si>
  <si>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</si>
  <si>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</si>
  <si>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</si>
  <si>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</si>
  <si>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</si>
  <si>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</si>
  <si>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</si>
  <si>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</si>
  <si>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</si>
  <si>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</si>
  <si>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</si>
  <si>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</si>
  <si>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</si>
  <si>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</si>
  <si>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</si>
  <si>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</si>
  <si>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</si>
  <si>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</si>
  <si>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</si>
  <si>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</si>
  <si>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</si>
  <si>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</si>
  <si>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</si>
  <si>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</si>
  <si>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</si>
  <si>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</si>
  <si>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</si>
  <si>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</si>
  <si>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</si>
  <si>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</si>
  <si>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</si>
  <si>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</si>
  <si>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</si>
  <si>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</si>
  <si>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</si>
  <si>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</si>
  <si>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</si>
  <si>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</si>
  <si>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</si>
  <si>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</si>
  <si>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</si>
  <si>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</si>
  <si>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</si>
  <si>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</si>
  <si>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</si>
  <si>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</si>
  <si>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</si>
  <si>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</si>
  <si>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</si>
  <si>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</si>
  <si>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</si>
  <si>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</si>
  <si>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</si>
  <si>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</si>
  <si>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</si>
  <si>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</si>
  <si>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</si>
  <si>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</si>
  <si>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</si>
  <si>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</si>
  <si>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</si>
  <si>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</si>
  <si>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</si>
  <si>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</si>
  <si>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</si>
  <si>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</si>
  <si>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</si>
  <si>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</si>
  <si>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</si>
  <si>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</si>
  <si>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</si>
  <si>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</si>
  <si>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</si>
  <si>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</si>
  <si>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</si>
  <si>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</si>
  <si>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</si>
  <si>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</si>
  <si>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</si>
  <si>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</si>
  <si>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</si>
  <si>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</si>
  <si>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</si>
  <si>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</si>
  <si>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</si>
  <si>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</si>
  <si>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</si>
  <si>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</si>
  <si>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</si>
  <si>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</si>
  <si>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</si>
  <si>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</si>
  <si>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</si>
  <si>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</si>
  <si>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</si>
  <si>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</si>
  <si>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</si>
  <si>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</si>
  <si>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</si>
  <si>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</si>
  <si>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</si>
  <si>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</si>
  <si>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</si>
  <si>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</si>
  <si>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</si>
  <si>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</si>
  <si>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</si>
  <si>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</si>
  <si>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</si>
  <si>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</si>
  <si>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</si>
  <si>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</si>
  <si>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</si>
  <si>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</si>
  <si>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</si>
  <si>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</si>
  <si>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</si>
  <si>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</si>
  <si>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</si>
  <si>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</si>
  <si>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</si>
  <si>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</si>
  <si>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</si>
  <si>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</si>
  <si>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</si>
  <si>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</si>
  <si>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</si>
  <si>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</si>
  <si>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</si>
  <si>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</si>
  <si>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</si>
  <si>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</si>
  <si>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</si>
  <si>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</si>
  <si>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</si>
  <si>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</si>
  <si>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</si>
  <si>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</si>
  <si>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</si>
  <si>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</si>
  <si>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</si>
  <si>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</si>
  <si>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</si>
  <si>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</si>
  <si>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</si>
  <si>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</si>
  <si>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</si>
  <si>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</si>
  <si>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</si>
  <si>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</si>
  <si>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</si>
  <si>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</si>
  <si>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</si>
  <si>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</si>
  <si>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</si>
  <si>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</si>
  <si>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</si>
  <si>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</si>
  <si>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</si>
  <si>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</si>
  <si>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</si>
  <si>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</si>
  <si>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</si>
  <si>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</si>
  <si>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</si>
  <si>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</si>
  <si>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</si>
  <si>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</si>
  <si>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</si>
  <si>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</si>
  <si>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</si>
  <si>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</si>
  <si>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</si>
  <si>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</si>
  <si>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</si>
  <si>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</si>
  <si>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</si>
  <si>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</si>
  <si>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</si>
  <si>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</si>
  <si>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</si>
  <si>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</si>
  <si>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</si>
  <si>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</si>
  <si>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</si>
  <si>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</si>
  <si>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</si>
  <si>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</si>
  <si>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</si>
  <si>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</si>
  <si>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</si>
  <si>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</si>
  <si>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</si>
  <si>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</si>
  <si>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</si>
  <si>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</si>
  <si>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</si>
  <si>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</si>
  <si>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</si>
  <si>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</si>
  <si>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</si>
  <si>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</si>
  <si>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</si>
  <si>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</si>
  <si>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</si>
  <si>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</si>
  <si>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</si>
  <si>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</si>
  <si>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</si>
  <si>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</si>
  <si>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</si>
  <si>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</si>
  <si>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</si>
  <si>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</si>
  <si>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</si>
  <si>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</si>
  <si>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</si>
  <si>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</si>
  <si>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</si>
  <si>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</si>
  <si>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</si>
  <si>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</si>
  <si>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</si>
  <si>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</si>
  <si>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</si>
  <si>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</si>
  <si>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</si>
  <si>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</si>
  <si>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</si>
  <si>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</si>
  <si>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</si>
  <si>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</si>
  <si>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</si>
  <si>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</si>
  <si>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</si>
  <si>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</si>
  <si>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</si>
  <si>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</si>
  <si>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</si>
  <si>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</si>
  <si>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</si>
  <si>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</si>
  <si>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</si>
  <si>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</si>
  <si>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</si>
  <si>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</si>
  <si>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</si>
  <si>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</si>
  <si>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</si>
  <si>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</si>
  <si>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</si>
  <si>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</si>
  <si>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</si>
  <si>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</si>
  <si>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</si>
  <si>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</si>
  <si>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</si>
  <si>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</si>
  <si>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</si>
  <si>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</si>
  <si>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</si>
  <si>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</si>
  <si>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</si>
  <si>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</si>
  <si>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</si>
  <si>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</si>
  <si>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</si>
  <si>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</si>
  <si>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</si>
  <si>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</si>
  <si>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</si>
  <si>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</si>
  <si>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</si>
  <si>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</si>
  <si>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</si>
  <si>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</si>
  <si>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</si>
  <si>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</si>
  <si>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</si>
  <si>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</si>
  <si>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</si>
  <si>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</si>
  <si>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</si>
  <si>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</si>
  <si>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</si>
  <si>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</si>
  <si>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</si>
  <si>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</si>
  <si>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</si>
  <si>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</si>
  <si>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</si>
  <si>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</si>
  <si>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</si>
  <si>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</si>
  <si>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</si>
  <si>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</si>
  <si>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</si>
  <si>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</si>
  <si>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</si>
  <si>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</si>
  <si>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</si>
  <si>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</si>
  <si>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</si>
  <si>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</si>
  <si>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</si>
  <si>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</si>
  <si>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</si>
  <si>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</si>
  <si>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</si>
  <si>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</si>
  <si>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</si>
  <si>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</si>
  <si>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</si>
  <si>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</si>
  <si>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</si>
  <si>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</si>
  <si>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</si>
  <si>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</si>
  <si>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</si>
  <si>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</si>
  <si>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</si>
  <si>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</si>
  <si>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</si>
  <si>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</si>
  <si>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</si>
  <si>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</si>
  <si>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</si>
  <si>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</si>
  <si>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</si>
  <si>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</si>
  <si>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</si>
  <si>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</si>
  <si>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</si>
  <si>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</si>
  <si>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</si>
  <si>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</si>
  <si>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</si>
  <si>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</si>
  <si>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</si>
  <si>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</si>
  <si>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</si>
  <si>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</si>
  <si>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</si>
  <si>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</si>
  <si>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</si>
  <si>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</si>
  <si>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</si>
  <si>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</si>
  <si>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</si>
  <si>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</si>
  <si>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</si>
  <si>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</si>
  <si>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</si>
  <si>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</si>
  <si>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</si>
  <si>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</si>
  <si>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</si>
  <si>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</si>
  <si>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</si>
  <si>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</si>
  <si>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</si>
  <si>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</si>
  <si>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</si>
  <si>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</si>
  <si>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</si>
  <si>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</si>
  <si>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</si>
  <si>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</si>
  <si>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</si>
  <si>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</si>
  <si>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</si>
  <si>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</si>
  <si>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</si>
  <si>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</si>
  <si>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</si>
  <si>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</si>
  <si>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</si>
  <si>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</si>
  <si>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</si>
  <si>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</si>
  <si>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</si>
  <si>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</si>
  <si>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</si>
  <si>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</si>
  <si>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</si>
  <si>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</si>
  <si>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</si>
  <si>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</si>
  <si>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</si>
  <si>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</si>
  <si>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</si>
  <si>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</si>
  <si>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</si>
  <si>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</si>
  <si>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</si>
  <si>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</si>
  <si>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</si>
  <si>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</si>
  <si>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</si>
  <si>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</si>
  <si>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</si>
  <si>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</si>
  <si>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</si>
  <si>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</si>
  <si>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</si>
  <si>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</si>
  <si>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</si>
  <si>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</si>
  <si>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</si>
  <si>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</si>
  <si>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</si>
  <si>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</si>
  <si>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</si>
  <si>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</si>
  <si>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</si>
  <si>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</si>
  <si>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</si>
  <si>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</si>
  <si>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</si>
  <si>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</si>
  <si>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</si>
  <si>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</si>
  <si>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</si>
  <si>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</si>
  <si>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</si>
  <si>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</si>
  <si>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</si>
  <si>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</si>
  <si>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</si>
  <si>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</si>
  <si>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</si>
  <si>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</si>
  <si>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</si>
  <si>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</si>
  <si>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</si>
  <si>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</si>
  <si>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</si>
  <si>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</si>
  <si>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</si>
  <si>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</si>
  <si>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</si>
  <si>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</si>
  <si>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</si>
  <si>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</si>
  <si>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</si>
  <si>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</si>
  <si>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</si>
  <si>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</si>
  <si>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</si>
  <si>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</si>
  <si>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</si>
  <si>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</si>
  <si>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</si>
  <si>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</si>
  <si>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</si>
  <si>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</si>
  <si>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</si>
  <si>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</si>
  <si>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</si>
  <si>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</si>
  <si>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</si>
  <si>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</si>
  <si>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</si>
  <si>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</si>
  <si>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</si>
  <si>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</si>
  <si>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</si>
  <si>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</si>
  <si>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</si>
  <si>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</si>
  <si>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</si>
  <si>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</si>
  <si>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</si>
  <si>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</si>
  <si>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</si>
  <si>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</si>
  <si>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</si>
  <si>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</si>
  <si>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</si>
  <si>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</si>
  <si>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</si>
  <si>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</si>
  <si>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</si>
  <si>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</si>
  <si>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</si>
  <si>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</si>
  <si>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</si>
  <si>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</si>
  <si>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</si>
  <si>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</si>
  <si>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</si>
  <si>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</si>
  <si>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</si>
  <si>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</si>
  <si>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</si>
  <si>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</si>
  <si>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</si>
  <si>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</si>
  <si>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</si>
  <si>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</si>
  <si>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</si>
  <si>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</si>
  <si>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</si>
  <si>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</si>
  <si>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</si>
  <si>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</si>
  <si>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</si>
  <si>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</si>
  <si>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</si>
  <si>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</si>
  <si>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</si>
  <si>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</si>
  <si>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</si>
  <si>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</si>
  <si>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</si>
  <si>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</si>
  <si>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</si>
  <si>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</si>
  <si>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</si>
  <si>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</si>
  <si>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</si>
  <si>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</si>
  <si>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</si>
  <si>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</si>
  <si>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</si>
  <si>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</si>
  <si>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</si>
  <si>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</si>
  <si>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</si>
  <si>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</si>
  <si>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</si>
  <si>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</si>
  <si>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</si>
  <si>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</si>
  <si>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</si>
  <si>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</si>
  <si>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</si>
  <si>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</si>
  <si>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</si>
  <si>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</si>
  <si>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</si>
  <si>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</si>
  <si>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</si>
  <si>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</si>
  <si>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</si>
  <si>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</si>
  <si>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</si>
  <si>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</si>
  <si>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</si>
  <si>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</si>
  <si>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</si>
  <si>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</si>
  <si>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</si>
  <si>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</si>
  <si>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</si>
  <si>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</si>
  <si>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</si>
  <si>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</si>
  <si>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</si>
  <si>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</si>
  <si>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</si>
  <si>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</si>
  <si>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</si>
  <si>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</si>
  <si>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</si>
  <si>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</si>
  <si>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</si>
  <si>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</si>
  <si>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</si>
  <si>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</si>
  <si>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</si>
  <si>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</si>
  <si>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</si>
  <si>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</si>
  <si>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</si>
  <si>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</si>
  <si>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</si>
  <si>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</si>
  <si>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</si>
  <si>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</si>
  <si>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</si>
  <si>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</si>
  <si>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</si>
  <si>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</si>
  <si>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</si>
  <si>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</si>
  <si>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</si>
  <si>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</si>
  <si>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</si>
  <si>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</si>
  <si>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</si>
  <si>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</si>
  <si>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</si>
  <si>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</si>
  <si>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</si>
  <si>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</si>
  <si>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</si>
  <si>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</si>
  <si>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</si>
  <si>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</si>
  <si>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</si>
  <si>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</si>
  <si>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</si>
  <si>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</si>
  <si>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</si>
  <si>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</si>
  <si>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</si>
  <si>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</si>
  <si>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</si>
  <si>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</si>
  <si>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</si>
  <si>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</si>
  <si>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</si>
  <si>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</si>
  <si>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</si>
  <si>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</si>
  <si>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</si>
  <si>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</si>
  <si>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</si>
  <si>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</si>
  <si>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</si>
  <si>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</si>
  <si>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</si>
  <si>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</si>
  <si>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</si>
  <si>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</si>
  <si>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</si>
  <si>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</si>
  <si>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</si>
  <si>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</si>
  <si>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</si>
  <si>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</si>
  <si>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</si>
  <si>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</si>
  <si>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</si>
  <si>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</si>
  <si>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</si>
  <si>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</si>
  <si>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</si>
  <si>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</si>
  <si>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</si>
  <si>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</si>
  <si>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</si>
  <si>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large office</t>
  </si>
  <si>
    <t>rgenoud template</t>
  </si>
  <si>
    <t>../seeds/large_office_air_cooled_chiller.osm</t>
  </si>
  <si>
    <t>AWS Tag</t>
  </si>
  <si>
    <t>org=5500</t>
  </si>
  <si>
    <t>Add extra tags to your instances (key=value). Add another line if you need another tag.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</si>
  <si>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</si>
  <si>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</si>
  <si>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</si>
  <si>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</si>
  <si>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</si>
  <si>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</si>
  <si>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</si>
  <si>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</si>
  <si>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</si>
  <si>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</si>
  <si>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</si>
  <si>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</si>
  <si>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</si>
  <si>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</si>
  <si>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</si>
  <si>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</si>
  <si>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1.9.3</t>
  </si>
  <si>
    <t>Choose which OpenStudio Server Version to use.  Do NOT change this unless advised. Note that this is not the OpenStudio version.  See mappings here: http://developer.nrel.gov/downloads/buildings/openstudio/api/amis_v2.json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</si>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</sst>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4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0" fillId="15" borderId="0" xfId="0" applyFill="1"/>
    <xf numFmtId="0" fontId="0" fillId="15" borderId="0" xfId="0" applyFill="1" applyAlignment="1">
      <alignment horizontal="right"/>
    </xf>
    <xf numFmtId="0" fontId="5" fillId="7" borderId="0" xfId="0" applyFont="1" applyFill="1"/>
    <xf numFmtId="0" fontId="5" fillId="15" borderId="0" xfId="0" applyFont="1" applyFill="1"/>
    <xf numFmtId="0" fontId="7" fillId="11" borderId="0" xfId="0" applyFont="1" applyFill="1" applyAlignment="1">
      <alignment horizontal="center"/>
    </xf>
  </cellXfs>
  <cellStyles count="14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lhs_discrete_continuou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tup"/>
      <sheetName val="Variables"/>
      <sheetName val="Outputs"/>
      <sheetName val="BCL Measure Data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m3.medium</v>
          </cell>
        </row>
        <row r="3">
          <cell r="A3" t="str">
            <v>m3.large</v>
          </cell>
        </row>
        <row r="4">
          <cell r="A4" t="str">
            <v>m3.xlarge</v>
          </cell>
        </row>
        <row r="5">
          <cell r="A5" t="str">
            <v>m3.2xlarge</v>
          </cell>
        </row>
        <row r="6">
          <cell r="A6" t="str">
            <v>c3.large</v>
          </cell>
        </row>
        <row r="7">
          <cell r="A7" t="str">
            <v>c3.xlarge</v>
          </cell>
        </row>
        <row r="8">
          <cell r="A8" t="str">
            <v>c3.2xlarge</v>
          </cell>
        </row>
        <row r="9">
          <cell r="A9" t="str">
            <v>c3.4xlarge</v>
          </cell>
        </row>
        <row r="10">
          <cell r="A10" t="str">
            <v>c3.8xlarge</v>
          </cell>
        </row>
        <row r="11">
          <cell r="A11" t="str">
            <v>i2.xlarge</v>
          </cell>
        </row>
        <row r="12">
          <cell r="A12" t="str">
            <v>i2.2xlarge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120" zoomScaleNormal="120" zoomScalePageLayoutView="120" workbookViewId="0"/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44" t="s">
        <v>742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738</v>
      </c>
      <c r="F5" s="2" t="s">
        <v>739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>
      <c r="A7" s="1" t="s">
        <v>442</v>
      </c>
      <c r="B7" s="17" t="s">
        <v>595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609</v>
      </c>
    </row>
    <row r="8" spans="1:6" ht="28">
      <c r="A8" s="1" t="s">
        <v>443</v>
      </c>
      <c r="B8" s="17" t="s">
        <v>440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8 Cores with 80 GB</v>
      </c>
      <c r="E8" s="24" t="str">
        <f>VLOOKUP($B8,instance_defs,3,FALSE)</f>
        <v>$0.42/hour</v>
      </c>
      <c r="F8" s="2" t="s">
        <v>444</v>
      </c>
    </row>
    <row r="9" spans="1:6" ht="28">
      <c r="A9" s="1" t="s">
        <v>460</v>
      </c>
      <c r="B9" s="17">
        <v>1</v>
      </c>
      <c r="C9" s="3"/>
      <c r="D9" s="24" t="s">
        <v>657</v>
      </c>
      <c r="E9" s="24" t="str">
        <f>"$"&amp;VALUE(LEFT(E7,5))+B9*VALUE(LEFT(E8,5))&amp;"/hour"</f>
        <v>$0.7/hour</v>
      </c>
      <c r="F9" s="2" t="s">
        <v>740</v>
      </c>
    </row>
    <row r="10" spans="1:6" s="23" customFormat="1" ht="28">
      <c r="A10" s="23" t="s">
        <v>719</v>
      </c>
      <c r="B10" s="17" t="s">
        <v>720</v>
      </c>
      <c r="C10" s="3"/>
      <c r="D10" s="24"/>
      <c r="E10" s="24"/>
      <c r="F10" s="2" t="s">
        <v>721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717</v>
      </c>
      <c r="F13" s="1" t="s">
        <v>473</v>
      </c>
    </row>
    <row r="14" spans="1:6">
      <c r="A14" s="1" t="s">
        <v>25</v>
      </c>
      <c r="B14" s="17" t="s">
        <v>706</v>
      </c>
      <c r="F14" s="23" t="s">
        <v>616</v>
      </c>
    </row>
    <row r="15" spans="1:6">
      <c r="A15" s="1" t="s">
        <v>26</v>
      </c>
      <c r="B15" s="17" t="s">
        <v>452</v>
      </c>
      <c r="F15" s="23" t="s">
        <v>616</v>
      </c>
    </row>
    <row r="16" spans="1:6">
      <c r="A16" s="1" t="s">
        <v>464</v>
      </c>
      <c r="B16" s="18" t="b">
        <v>1</v>
      </c>
      <c r="F16" s="1" t="s">
        <v>437</v>
      </c>
    </row>
    <row r="17" spans="1:6">
      <c r="A17" s="1" t="s">
        <v>465</v>
      </c>
      <c r="B17" s="16" t="b">
        <v>1</v>
      </c>
      <c r="F17" s="2" t="s">
        <v>741</v>
      </c>
    </row>
    <row r="18" spans="1:6">
      <c r="A18" s="1" t="s">
        <v>466</v>
      </c>
      <c r="B18" s="18" t="s">
        <v>467</v>
      </c>
      <c r="F18" s="1" t="s">
        <v>437</v>
      </c>
    </row>
    <row r="19" spans="1:6">
      <c r="A19" s="1" t="s">
        <v>468</v>
      </c>
      <c r="B19" s="18" t="s">
        <v>547</v>
      </c>
      <c r="F19" s="1" t="s">
        <v>437</v>
      </c>
    </row>
    <row r="21" spans="1:6" s="2" customFormat="1" ht="42">
      <c r="A21" s="6" t="s">
        <v>27</v>
      </c>
      <c r="B21" s="19" t="s">
        <v>610</v>
      </c>
      <c r="C21" s="6"/>
      <c r="D21" s="6"/>
      <c r="E21" s="6"/>
      <c r="F21" s="8" t="s">
        <v>457</v>
      </c>
    </row>
    <row r="22" spans="1:6">
      <c r="A22" s="1" t="s">
        <v>453</v>
      </c>
      <c r="B22" s="17" t="s">
        <v>554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613</v>
      </c>
      <c r="C24" s="6" t="s">
        <v>611</v>
      </c>
      <c r="D24" s="6" t="s">
        <v>612</v>
      </c>
      <c r="E24" s="6"/>
      <c r="F24" s="8" t="s">
        <v>457</v>
      </c>
    </row>
    <row r="25" spans="1:6">
      <c r="A25" s="23" t="str">
        <f>IF(LEN(INDEX(Lookups!$C$21:$Z$30,1,3*MATCH(Setup!$B22,Lookups!$A$21:$A$27,0)-2))=0,"",INDEX(Lookups!$C$21:$Z$30,1,3*MATCH(Setup!$B22,Lookups!$A$21:$A$27,0)-2))</f>
        <v>popSize</v>
      </c>
      <c r="B25" s="18">
        <f>IF(D25&lt;&gt;"",D25,IF(LEN(INDEX(Lookups!$C$21:$Z$30,1,3*MATCH(Setup!$B22,Lookups!$A$21:$A$27,0)-1))=0,"",INDEX(Lookups!$C$21:$Z$30,1,3*MATCH(Setup!$B22,Lookups!$A$21:$A$27,0)-1)))</f>
        <v>30</v>
      </c>
      <c r="C25" s="25" t="str">
        <f>IF(LEN(INDEX(Lookups!$C$21:$Z$30,1,3*MATCH(Setup!$B22,Lookups!$A$21:$A$27,0)))=0,"",INDEX(Lookups!$C$21:$Z$30,1,3*MATCH(Setup!$B22,Lookups!$A$21:$A$27,0)))</f>
        <v>Size of initial population</v>
      </c>
      <c r="D25" s="27"/>
      <c r="E25" s="23"/>
    </row>
    <row r="26" spans="1:6">
      <c r="A26" s="23" t="str">
        <f>IF(LEN(INDEX(Lookups!$C$21:$Z$30,2,3*MATCH(Setup!$B22,Lookups!$A$21:$A$27,0)-2))=0,"",INDEX(Lookups!$C$21:$Z$30,2,3*MATCH(Setup!$B22,Lookups!$A$21:$A$27,0)-2))</f>
        <v>Generations</v>
      </c>
      <c r="B26" s="18">
        <f>IF(D26&lt;&gt;"",D26,IF(LEN(INDEX(Lookups!$C$21:$Z$30,2,3*MATCH(Setup!$B22,Lookups!$A$21:$A$27,0)-1))=0,"",INDEX(Lookups!$C$21:$Z$30,2,3*MATCH(Setup!$B22,Lookups!$A$21:$A$27,0)-1)))</f>
        <v>5</v>
      </c>
      <c r="C26" s="25" t="str">
        <f>IF(LEN(INDEX(Lookups!$C$21:$Z$30,2,3*MATCH(Setup!$B22,Lookups!$A$21:$A$27,0)))=0,"",INDEX(Lookups!$C$21:$Z$30,2,3*MATCH(Setup!$B22,Lookups!$A$21:$A$27,0)))</f>
        <v>Number of generations</v>
      </c>
      <c r="D26" s="27"/>
      <c r="E26" s="23"/>
    </row>
    <row r="27" spans="1:6" ht="28">
      <c r="A27" s="23" t="str">
        <f>IF(LEN(INDEX(Lookups!$C$21:$Z$30,3,3*MATCH(Setup!$B22,Lookups!$A$21:$A$27,0)-2))=0,"",INDEX(Lookups!$C$21:$Z$30,3,3*MATCH(Setup!$B22,Lookups!$A$21:$A$27,0)-2))</f>
        <v>waitGenerations</v>
      </c>
      <c r="B27" s="18">
        <f>IF(D27&lt;&gt;"",D27,IF(LEN(INDEX(Lookups!$C$21:$Z$30,3,3*MATCH(Setup!$B22,Lookups!$A$21:$A$27,0)-1))=0,"",INDEX(Lookups!$C$21:$Z$30,3,3*MATCH(Setup!$B22,Lookups!$A$21:$A$27,0)-1)))</f>
        <v>2</v>
      </c>
      <c r="C27" s="25" t="str">
        <f>IF(LEN(INDEX(Lookups!$C$21:$Z$30,3,3*MATCH(Setup!$B22,Lookups!$A$21:$A$27,0)))=0,"",INDEX(Lookups!$C$21:$Z$30,3,3*MATCH(Setup!$B22,Lookups!$A$21:$A$27,0)))</f>
        <v>If no improvement in waitGenerations of generations, then exit</v>
      </c>
      <c r="D27" s="27"/>
      <c r="E27" s="23"/>
    </row>
    <row r="28" spans="1:6" s="23" customFormat="1" ht="28">
      <c r="A28" s="23" t="str">
        <f>IF(LEN(INDEX(Lookups!$C$21:$Z$30,4,3*MATCH(Setup!$B22,Lookups!$A$21:$A$27,0)-2))=0,"",INDEX(Lookups!$C$21:$Z$30,4,3*MATCH(Setup!$B22,Lookups!$A$21:$A$27,0)-2))</f>
        <v>bfgsburnin</v>
      </c>
      <c r="B28" s="18">
        <f>IF(D28&lt;&gt;"",D28,IF(LEN(INDEX(Lookups!$C$21:$Z$30,4,3*MATCH(Setup!$B22,Lookups!$A$21:$A$27,0)-1))=0,"",INDEX(Lookups!$C$21:$Z$30,4,3*MATCH(Setup!$B22,Lookups!$A$21:$A$27,0)-1)))</f>
        <v>2</v>
      </c>
      <c r="C28" s="25" t="str">
        <f>IF(LEN(INDEX(Lookups!$C$21:$Z$30,4,3*MATCH(Setup!$B22,Lookups!$A$21:$A$27,0)))=0,"",INDEX(Lookups!$C$21:$Z$30,4,3*MATCH(Setup!$B22,Lookups!$A$21:$A$27,0)))</f>
        <v>The number of generations which are run before the BFGS is ﬁrst used</v>
      </c>
      <c r="D28" s="27"/>
    </row>
    <row r="29" spans="1:6" s="23" customFormat="1" ht="28">
      <c r="A29" s="23" t="str">
        <f>IF(LEN(INDEX(Lookups!$C$21:$Z$30,5,3*MATCH(Setup!$B22,Lookups!$A$21:$A$27,0)-2))=0,"",INDEX(Lookups!$C$21:$Z$30,5,3*MATCH(Setup!$B22,Lookups!$A$21:$A$27,0)-2))</f>
        <v>solutionTolerance</v>
      </c>
      <c r="B29" s="18">
        <f>IF(D29&lt;&gt;"",D29,IF(LEN(INDEX(Lookups!$C$21:$Z$30,5,3*MATCH(Setup!$B22,Lookups!$A$21:$A$27,0)-1))=0,"",INDEX(Lookups!$C$21:$Z$30,5,3*MATCH(Setup!$B22,Lookups!$A$21:$A$27,0)-1)))</f>
        <v>0.01</v>
      </c>
      <c r="C29" s="25" t="str">
        <f>IF(LEN(INDEX(Lookups!$C$21:$Z$30,5,3*MATCH(Setup!$B22,Lookups!$A$21:$A$27,0)))=0,"",INDEX(Lookups!$C$21:$Z$30,5,3*MATCH(Setup!$B22,Lookups!$A$21:$A$27,0)))</f>
        <v>Numbers within solutionTolerance are considered equal</v>
      </c>
      <c r="D29" s="27"/>
    </row>
    <row r="30" spans="1:6" s="23" customFormat="1">
      <c r="A30" s="23" t="str">
        <f>IF(LEN(INDEX(Lookups!$C$21:$Z$30,6,3*MATCH(Setup!$B22,Lookups!$A$21:$A$27,0)-2))=0,"",INDEX(Lookups!$C$21:$Z$30,6,3*MATCH(Setup!$B22,Lookups!$A$21:$A$27,0)-2))</f>
        <v>epsilonGradient</v>
      </c>
      <c r="B30" s="18">
        <f>IF(D30&lt;&gt;"",D30,IF(LEN(INDEX(Lookups!$C$21:$Z$30,6,3*MATCH(Setup!$B22,Lookups!$A$21:$A$27,0)-1))=0,"",INDEX(Lookups!$C$21:$Z$30,6,3*MATCH(Setup!$B22,Lookups!$A$21:$A$27,0)-1)))</f>
        <v>0.01</v>
      </c>
      <c r="C30" s="25" t="str">
        <f>IF(LEN(INDEX(Lookups!$C$21:$Z$30,6,3*MATCH(Setup!$B22,Lookups!$A$21:$A$27,0)))=0,"",INDEX(Lookups!$C$21:$Z$30,6,3*MATCH(Setup!$B22,Lookups!$A$21:$A$27,0)))</f>
        <v>epsilon in gradient calculation</v>
      </c>
      <c r="D30" s="27"/>
    </row>
    <row r="31" spans="1:6" s="23" customFormat="1">
      <c r="A31" s="23" t="str">
        <f>IF(LEN(INDEX(Lookups!$C$21:$Z$30,7,3*MATCH(Setup!$B22,Lookups!$A$21:$A$27,0)-2))=0,"",INDEX(Lookups!$C$21:$Z$30,7,3*MATCH(Setup!$B22,Lookups!$A$21:$A$27,0)-2))</f>
        <v>pgtol</v>
      </c>
      <c r="B31" s="18">
        <f>IF(D31&lt;&gt;"",D31,IF(LEN(INDEX(Lookups!$C$21:$Z$30,7,3*MATCH(Setup!$B22,Lookups!$A$21:$A$27,0)-1))=0,"",INDEX(Lookups!$C$21:$Z$30,7,3*MATCH(Setup!$B22,Lookups!$A$21:$A$27,0)-1)))</f>
        <v>0.01</v>
      </c>
      <c r="C31" s="25" t="str">
        <f>IF(LEN(INDEX(Lookups!$C$21:$Z$30,7,3*MATCH(Setup!$B22,Lookups!$A$21:$A$27,0)))=0,"",INDEX(Lookups!$C$21:$Z$30,7,3*MATCH(Setup!$B22,Lookups!$A$21:$A$27,0)))</f>
        <v>tolerance on the projected gradient</v>
      </c>
      <c r="D31" s="27"/>
    </row>
    <row r="32" spans="1:6" s="23" customFormat="1">
      <c r="A32" s="23" t="str">
        <f>IF(LEN(INDEX(Lookups!$C$21:$Z$30,8,3*MATCH(Setup!$B22,Lookups!$A$21:$A$27,0)-2))=0,"",INDEX(Lookups!$C$21:$Z$30,8,3*MATCH(Setup!$B22,Lookups!$A$21:$A$27,0)-2))</f>
        <v>factr</v>
      </c>
      <c r="B32" s="18">
        <f>IF(D32&lt;&gt;"",D32,IF(LEN(INDEX(Lookups!$C$21:$Z$30,8,3*MATCH(Setup!$B22,Lookups!$A$21:$A$27,0)-1))=0,"",INDEX(Lookups!$C$21:$Z$30,8,3*MATCH(Setup!$B22,Lookups!$A$21:$A$27,0)-1)))</f>
        <v>45036000000000</v>
      </c>
      <c r="C32" s="25" t="str">
        <f>IF(LEN(INDEX(Lookups!$C$21:$Z$30,8,3*MATCH(Setup!$B22,Lookups!$A$21:$A$27,0)))=0,"",INDEX(Lookups!$C$21:$Z$30,8,3*MATCH(Setup!$B22,Lookups!$A$21:$A$27,0)))</f>
        <v>Tolerance on delta_F</v>
      </c>
      <c r="D32" s="27"/>
    </row>
    <row r="33" spans="1:6" s="23" customFormat="1">
      <c r="A33" s="23" t="str">
        <f>IF(LEN(INDEX(Lookups!$C$21:$Z$30,9,3*MATCH(Setup!$B22,Lookups!$A$21:$A$27,0)-2))=0,"",INDEX(Lookups!$C$21:$Z$30,9,3*MATCH(Setup!$B22,Lookups!$A$21:$A$27,0)-2))</f>
        <v>maxit</v>
      </c>
      <c r="B33" s="18">
        <f>IF(D33&lt;&gt;"",D33,IF(LEN(INDEX(Lookups!$C$21:$Z$30,9,3*MATCH(Setup!$B22,Lookups!$A$21:$A$27,0)-1))=0,"",INDEX(Lookups!$C$21:$Z$30,9,3*MATCH(Setup!$B22,Lookups!$A$21:$A$27,0)-1)))</f>
        <v>100</v>
      </c>
      <c r="C33" s="25" t="str">
        <f>IF(LEN(INDEX(Lookups!$C$21:$Z$30,9,3*MATCH(Setup!$B22,Lookups!$A$21:$A$27,0)))=0,"",INDEX(Lookups!$C$21:$Z$30,9,3*MATCH(Setup!$B22,Lookups!$A$21:$A$27,0)))</f>
        <v>Maximum number of iterations</v>
      </c>
      <c r="D33" s="27"/>
    </row>
    <row r="34" spans="1:6">
      <c r="A34" s="23" t="str">
        <f>IF(LEN(INDEX(Lookups!$C$21:$Z$30,10,3*MATCH(Setup!$B22,Lookups!$A$21:$A$27,0)-2))=0,"",INDEX(Lookups!$C$21:$Z$30,10,3*MATCH(Setup!$B22,Lookups!$A$21:$A$27,0)-2))</f>
        <v>normType</v>
      </c>
      <c r="B34" s="18" t="str">
        <f>IF(D34&lt;&gt;"",D34,IF(LEN(INDEX(Lookups!$C$21:$Z$30,10,3*MATCH(Setup!$B22,Lookups!$A$21:$A$27,0)-1))=0,"",INDEX(Lookups!$C$21:$Z$30,10,3*MATCH(Setup!$B22,Lookups!$A$21:$A$27,0)-1)))</f>
        <v>minkowski</v>
      </c>
      <c r="C34" s="25" t="str">
        <f>IF(LEN(INDEX(Lookups!$C$21:$Z$30,10,3*MATCH(Setup!$B22,Lookups!$A$21:$A$27,0)))=0,"",INDEX(Lookups!$C$21:$Z$30,10,3*MATCH(Setup!$B22,Lookups!$A$21:$A$27,0)))</f>
        <v/>
      </c>
      <c r="D34" s="27"/>
      <c r="E34" s="23"/>
    </row>
    <row r="35" spans="1:6" s="23" customFormat="1">
      <c r="A35" s="23" t="str">
        <f>IF(LEN(INDEX(Lookups!$C$21:$Z$31,11,3*MATCH(Setup!$B22,Lookups!$A$21:$A$27,0)-2))=0,"",INDEX(Lookups!$C$21:$Z$31,11,3*MATCH(Setup!$B22,Lookups!$A$21:$A$27,0)-2))</f>
        <v>pPower</v>
      </c>
      <c r="B35" s="18">
        <f>IF(D35&lt;&gt;"",D35,IF(LEN(INDEX(Lookups!$C$21:$Z$31,11,3*MATCH(Setup!$B22,Lookups!$A$21:$A$27,0)-1))=0,"",INDEX(Lookups!$C$21:$Z$31,11,3*MATCH(Setup!$B22,Lookups!$A$21:$A$27,0)-1)))</f>
        <v>2</v>
      </c>
      <c r="C35" s="25" t="str">
        <f>IF(LEN(INDEX(Lookups!$C$21:$Z$31,11,3*MATCH(Setup!$B22,Lookups!$A$21:$A$27,0)))=0,"",INDEX(Lookups!$C$21:$Z$31,11,3*MATCH(Setup!$B22,Lookups!$A$21:$A$27,0)))</f>
        <v>Lp norm power</v>
      </c>
      <c r="D35" s="27"/>
    </row>
    <row r="36" spans="1:6" s="23" customFormat="1">
      <c r="B36" s="18"/>
      <c r="C36" s="18"/>
      <c r="D36" s="2"/>
      <c r="E36" s="2"/>
    </row>
    <row r="37" spans="1:6" s="2" customFormat="1" ht="28">
      <c r="A37" s="6" t="s">
        <v>33</v>
      </c>
      <c r="B37" s="19" t="s">
        <v>617</v>
      </c>
      <c r="C37" s="6" t="s">
        <v>31</v>
      </c>
      <c r="D37" s="6"/>
      <c r="E37" s="6"/>
      <c r="F37" s="8"/>
    </row>
    <row r="38" spans="1:6">
      <c r="A38" s="1" t="s">
        <v>29</v>
      </c>
      <c r="B38" s="26" t="s">
        <v>707</v>
      </c>
    </row>
    <row r="40" spans="1:6" s="2" customFormat="1" ht="28">
      <c r="A40" s="6" t="s">
        <v>30</v>
      </c>
      <c r="B40" s="19" t="s">
        <v>455</v>
      </c>
      <c r="C40" s="6" t="s">
        <v>38</v>
      </c>
      <c r="D40" s="6" t="s">
        <v>617</v>
      </c>
      <c r="E40" s="6"/>
      <c r="F40" s="8" t="s">
        <v>449</v>
      </c>
    </row>
    <row r="41" spans="1:6" ht="28">
      <c r="A41" s="23" t="s">
        <v>32</v>
      </c>
      <c r="B41" s="17" t="s">
        <v>716</v>
      </c>
      <c r="C41" s="14" t="s">
        <v>41</v>
      </c>
      <c r="D41" s="14" t="s">
        <v>718</v>
      </c>
      <c r="F41" s="2" t="s">
        <v>450</v>
      </c>
    </row>
    <row r="43" spans="1:6" s="2" customFormat="1" ht="56">
      <c r="A43" s="6" t="s">
        <v>35</v>
      </c>
      <c r="B43" s="19" t="s">
        <v>34</v>
      </c>
      <c r="C43" s="6" t="s">
        <v>618</v>
      </c>
      <c r="D43" s="6"/>
      <c r="E43" s="6"/>
      <c r="F43" s="8" t="s">
        <v>614</v>
      </c>
    </row>
    <row r="46" spans="1:6" s="2" customFormat="1" ht="56">
      <c r="A46" s="6" t="s">
        <v>729</v>
      </c>
      <c r="B46" s="19" t="s">
        <v>730</v>
      </c>
      <c r="C46" s="6" t="s">
        <v>731</v>
      </c>
      <c r="D46" s="19"/>
      <c r="E46" s="19"/>
      <c r="F46" s="8" t="s">
        <v>732</v>
      </c>
    </row>
    <row r="47" spans="1:6" s="2" customFormat="1">
      <c r="B47" s="25"/>
      <c r="D47" s="25"/>
      <c r="E47" s="25"/>
      <c r="F47" s="7"/>
    </row>
    <row r="48" spans="1:6" s="23" customFormat="1">
      <c r="B48" s="18"/>
      <c r="D48" s="2"/>
    </row>
    <row r="49" spans="1:6" s="2" customFormat="1" ht="42">
      <c r="A49" s="6" t="s">
        <v>733</v>
      </c>
      <c r="B49" s="19" t="s">
        <v>734</v>
      </c>
      <c r="C49" s="6" t="s">
        <v>731</v>
      </c>
      <c r="D49" s="19"/>
      <c r="E49" s="19"/>
      <c r="F49" s="8" t="s">
        <v>735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opLeftCell="A19" zoomScale="150" zoomScaleNormal="150" zoomScalePageLayoutView="150" workbookViewId="0">
      <selection activeCell="B26" sqref="B26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1" t="s">
        <v>61</v>
      </c>
      <c r="V1" s="51"/>
      <c r="W1" s="51"/>
      <c r="X1" s="51"/>
      <c r="Y1" s="51"/>
      <c r="Z1" s="51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639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708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709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39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710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711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39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712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713</v>
      </c>
      <c r="Q22" s="42" t="s">
        <v>714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39" t="s">
        <v>736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704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615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39" t="s">
        <v>737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705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658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715</v>
      </c>
      <c r="E35" s="42" t="s">
        <v>172</v>
      </c>
      <c r="F35" s="42" t="s">
        <v>697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659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9" customFormat="1" ht="15">
      <c r="A39" s="49" t="b">
        <v>1</v>
      </c>
      <c r="B39" s="39" t="s">
        <v>187</v>
      </c>
      <c r="C39" s="49" t="s">
        <v>188</v>
      </c>
      <c r="D39" s="49" t="s">
        <v>188</v>
      </c>
      <c r="E39" s="49" t="s">
        <v>68</v>
      </c>
      <c r="F39" s="49"/>
      <c r="G39" s="49"/>
      <c r="H39" s="49"/>
      <c r="I39" s="49"/>
      <c r="J39" s="49"/>
    </row>
    <row r="40" spans="1:26" s="47" customFormat="1" ht="15">
      <c r="A40" s="50"/>
      <c r="B40" s="50" t="s">
        <v>22</v>
      </c>
      <c r="C40" s="50"/>
      <c r="D40" s="50" t="s">
        <v>189</v>
      </c>
      <c r="E40" s="50" t="s">
        <v>190</v>
      </c>
      <c r="F40" s="50"/>
      <c r="G40" s="50" t="s">
        <v>64</v>
      </c>
      <c r="H40" s="50"/>
      <c r="I40" s="50">
        <v>1</v>
      </c>
      <c r="J40" s="50"/>
      <c r="K40" s="48">
        <v>-2</v>
      </c>
      <c r="L40" s="48">
        <v>2</v>
      </c>
      <c r="M40" s="48">
        <v>0</v>
      </c>
      <c r="N40" s="48">
        <f>(L40-K40)/6</f>
        <v>0.66666666666666663</v>
      </c>
      <c r="O40" s="48">
        <v>1</v>
      </c>
      <c r="R40" s="47" t="s">
        <v>24</v>
      </c>
    </row>
    <row r="41" spans="1:26" s="47" customFormat="1" ht="15">
      <c r="A41" s="50"/>
      <c r="B41" s="50" t="s">
        <v>22</v>
      </c>
      <c r="C41" s="50"/>
      <c r="D41" s="50" t="s">
        <v>191</v>
      </c>
      <c r="E41" s="50" t="s">
        <v>192</v>
      </c>
      <c r="F41" s="50"/>
      <c r="G41" s="50" t="s">
        <v>64</v>
      </c>
      <c r="H41" s="50"/>
      <c r="I41" s="50">
        <v>-1</v>
      </c>
      <c r="J41" s="50"/>
      <c r="K41" s="48">
        <v>-2</v>
      </c>
      <c r="L41" s="48">
        <v>2</v>
      </c>
      <c r="M41" s="48">
        <v>0</v>
      </c>
      <c r="N41" s="48">
        <f>(L41-K41)/6</f>
        <v>0.66666666666666663</v>
      </c>
      <c r="O41" s="48">
        <v>1</v>
      </c>
      <c r="R41" s="47" t="s">
        <v>24</v>
      </c>
    </row>
    <row r="42" spans="1:26" s="22" customFormat="1" ht="1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47" customFormat="1">
      <c r="B44" s="47" t="s">
        <v>22</v>
      </c>
      <c r="D44" s="47" t="s">
        <v>535</v>
      </c>
      <c r="E44" s="47" t="s">
        <v>536</v>
      </c>
      <c r="G44" s="47" t="s">
        <v>64</v>
      </c>
      <c r="I44" s="47">
        <v>44</v>
      </c>
      <c r="K44" s="47">
        <v>42</v>
      </c>
      <c r="L44" s="47">
        <v>46</v>
      </c>
      <c r="M44" s="47">
        <v>44</v>
      </c>
      <c r="N44" s="48">
        <f>(L44-K44)/6</f>
        <v>0.66666666666666663</v>
      </c>
      <c r="O44" s="48">
        <v>1</v>
      </c>
      <c r="R44" s="47" t="s">
        <v>23</v>
      </c>
    </row>
    <row r="45" spans="1:26" s="29" customFormat="1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</row>
    <row r="46" spans="1:26" s="47" customFormat="1">
      <c r="B46" s="47" t="s">
        <v>22</v>
      </c>
      <c r="D46" s="47" t="s">
        <v>539</v>
      </c>
      <c r="E46" s="47" t="s">
        <v>538</v>
      </c>
      <c r="G46" s="47" t="s">
        <v>64</v>
      </c>
      <c r="I46" s="47">
        <v>120</v>
      </c>
      <c r="K46" s="47">
        <v>118</v>
      </c>
      <c r="L46" s="47">
        <v>122</v>
      </c>
      <c r="M46" s="47">
        <v>120</v>
      </c>
      <c r="N46" s="48">
        <f>(L46-K46)/6</f>
        <v>0.66666666666666663</v>
      </c>
      <c r="O46" s="48">
        <v>1</v>
      </c>
      <c r="R46" s="47" t="s">
        <v>23</v>
      </c>
    </row>
    <row r="47" spans="1:26" s="28" customFormat="1" ht="15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2" customFormat="1" ht="15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s="22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s="29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s="22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s="22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customFormat="1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customFormat="1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customFormat="1" ht="15">
      <c r="A59" s="1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customFormat="1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41"/>
      <c r="N61" s="41"/>
      <c r="O61" s="41"/>
      <c r="P61" s="41"/>
      <c r="Q61" s="41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41"/>
      <c r="N64" s="41"/>
      <c r="O64" s="41"/>
      <c r="P64" s="41"/>
      <c r="Q64" s="41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41"/>
      <c r="N67" s="41"/>
      <c r="O67" s="41"/>
      <c r="P67" s="41"/>
      <c r="Q67" s="41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41"/>
      <c r="N70" s="41"/>
      <c r="O70" s="41"/>
      <c r="P70" s="41"/>
      <c r="Q70" s="41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">
      <c r="A71" s="1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41"/>
      <c r="N73" s="41"/>
      <c r="O73" s="41"/>
      <c r="P73" s="41"/>
      <c r="Q73" s="41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41"/>
      <c r="P77" s="41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0"/>
      <c r="O83" s="41"/>
      <c r="P83" s="41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">
      <c r="A90" s="10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41"/>
      <c r="P90" s="41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41"/>
      <c r="P92" s="41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41"/>
      <c r="P99" s="41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41"/>
      <c r="P101" s="41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C1" zoomScale="130" zoomScaleNormal="130" zoomScalePageLayoutView="130" workbookViewId="0">
      <pane ySplit="3" topLeftCell="A4" activePane="bottomLeft" state="frozen"/>
      <selection pane="bottomLeft" activeCell="D62" sqref="D62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640</v>
      </c>
      <c r="C2" s="35" t="s">
        <v>619</v>
      </c>
      <c r="D2" s="35" t="s">
        <v>462</v>
      </c>
      <c r="E2" s="35" t="s">
        <v>7</v>
      </c>
      <c r="F2" s="35" t="s">
        <v>11</v>
      </c>
      <c r="G2" s="35" t="s">
        <v>620</v>
      </c>
      <c r="H2" s="35" t="s">
        <v>621</v>
      </c>
      <c r="I2" s="35" t="s">
        <v>622</v>
      </c>
      <c r="J2" s="35" t="s">
        <v>623</v>
      </c>
      <c r="K2" s="35" t="s">
        <v>624</v>
      </c>
      <c r="L2" s="35" t="s">
        <v>625</v>
      </c>
      <c r="M2" s="35"/>
    </row>
    <row r="3" spans="1:13" s="9" customFormat="1" ht="45">
      <c r="A3" s="35" t="s">
        <v>626</v>
      </c>
      <c r="B3" s="35" t="s">
        <v>641</v>
      </c>
      <c r="C3" s="35" t="s">
        <v>627</v>
      </c>
      <c r="D3" s="35" t="s">
        <v>628</v>
      </c>
      <c r="E3" s="35"/>
      <c r="F3" s="35" t="s">
        <v>629</v>
      </c>
      <c r="G3" s="35" t="s">
        <v>463</v>
      </c>
      <c r="H3" s="35" t="s">
        <v>463</v>
      </c>
      <c r="I3" s="35" t="s">
        <v>463</v>
      </c>
      <c r="J3" s="37" t="s">
        <v>630</v>
      </c>
      <c r="K3" s="35" t="s">
        <v>630</v>
      </c>
      <c r="L3" s="35" t="s">
        <v>631</v>
      </c>
      <c r="M3" s="35" t="s">
        <v>632</v>
      </c>
    </row>
    <row r="4" spans="1:13" s="23" customFormat="1">
      <c r="A4" s="15" t="s">
        <v>633</v>
      </c>
      <c r="B4" s="15" t="s">
        <v>698</v>
      </c>
      <c r="C4" s="15" t="s">
        <v>634</v>
      </c>
      <c r="D4" s="15" t="s">
        <v>635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>
      <c r="A5" s="15" t="s">
        <v>636</v>
      </c>
      <c r="B5" s="15" t="s">
        <v>699</v>
      </c>
      <c r="C5" s="15" t="s">
        <v>637</v>
      </c>
      <c r="D5" s="15" t="s">
        <v>638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/>
      <c r="L5" s="15"/>
      <c r="M5" s="15"/>
    </row>
    <row r="6" spans="1:13" s="23" customFormat="1">
      <c r="A6" s="15" t="s">
        <v>660</v>
      </c>
      <c r="B6" s="15"/>
      <c r="C6" s="15"/>
      <c r="D6" s="15" t="s">
        <v>700</v>
      </c>
      <c r="E6" s="15" t="s">
        <v>661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662</v>
      </c>
      <c r="B7" s="15"/>
      <c r="C7" s="15"/>
      <c r="D7" s="15" t="s">
        <v>701</v>
      </c>
      <c r="E7" s="15" t="s">
        <v>661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663</v>
      </c>
      <c r="B8" s="15"/>
      <c r="C8" s="15"/>
      <c r="D8" s="15" t="s">
        <v>702</v>
      </c>
      <c r="E8" s="15" t="s">
        <v>661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664</v>
      </c>
      <c r="B9" s="15"/>
      <c r="C9" s="15"/>
      <c r="D9" s="15" t="s">
        <v>703</v>
      </c>
      <c r="E9" s="15" t="s">
        <v>665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666</v>
      </c>
      <c r="B10" s="15"/>
      <c r="C10" s="15"/>
      <c r="D10" s="15" t="s">
        <v>667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668</v>
      </c>
      <c r="B11" s="15"/>
      <c r="C11" s="15"/>
      <c r="D11" s="15" t="s">
        <v>669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670</v>
      </c>
      <c r="B12" s="15"/>
      <c r="C12" s="15"/>
      <c r="D12" s="15" t="s">
        <v>671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672</v>
      </c>
      <c r="B13" s="15"/>
      <c r="C13" s="15"/>
      <c r="D13" s="15" t="s">
        <v>673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674</v>
      </c>
      <c r="B14" s="15"/>
      <c r="C14" s="15"/>
      <c r="D14" s="15" t="s">
        <v>675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676</v>
      </c>
      <c r="B15" s="15"/>
      <c r="C15" s="15"/>
      <c r="D15" s="15" t="s">
        <v>677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678</v>
      </c>
      <c r="B16" s="15"/>
      <c r="C16" s="15"/>
      <c r="D16" s="15" t="s">
        <v>679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680</v>
      </c>
      <c r="B17" s="15"/>
      <c r="C17" s="15"/>
      <c r="D17" s="15" t="s">
        <v>681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682</v>
      </c>
      <c r="B18" s="15"/>
      <c r="C18" s="15"/>
      <c r="D18" s="15" t="s">
        <v>683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684</v>
      </c>
      <c r="B19" s="15"/>
      <c r="C19" s="15"/>
      <c r="D19" s="15" t="s">
        <v>685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686</v>
      </c>
      <c r="B20" s="15"/>
      <c r="C20" s="15"/>
      <c r="D20" s="15" t="s">
        <v>687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>
      <c r="A21" s="15" t="s">
        <v>688</v>
      </c>
      <c r="B21" s="15"/>
      <c r="C21" s="15"/>
      <c r="D21" s="15" t="s">
        <v>689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>
      <c r="A22" s="15" t="s">
        <v>690</v>
      </c>
      <c r="B22" s="15"/>
      <c r="C22" s="15"/>
      <c r="D22" s="15" t="s">
        <v>691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692</v>
      </c>
      <c r="B23" s="15"/>
      <c r="C23" s="15"/>
      <c r="D23" s="15" t="s">
        <v>693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694</v>
      </c>
      <c r="B24" s="15"/>
      <c r="C24" s="15"/>
      <c r="D24" s="15" t="s">
        <v>695</v>
      </c>
      <c r="E24" s="15" t="s">
        <v>696</v>
      </c>
      <c r="F24" s="15" t="s">
        <v>64</v>
      </c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34" sqref="D34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656</v>
      </c>
      <c r="E1" t="s">
        <v>5</v>
      </c>
    </row>
    <row r="2" spans="1:7" s="22" customFormat="1">
      <c r="A2" s="22" t="s">
        <v>642</v>
      </c>
      <c r="B2" s="22" t="s">
        <v>643</v>
      </c>
      <c r="C2" s="22" t="s">
        <v>644</v>
      </c>
      <c r="D2" s="22" t="s">
        <v>645</v>
      </c>
      <c r="E2" s="22" t="s">
        <v>653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646</v>
      </c>
      <c r="E3" s="22" t="s">
        <v>654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647</v>
      </c>
      <c r="E4" s="22" t="s">
        <v>654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648</v>
      </c>
      <c r="E5" s="22" t="s">
        <v>654</v>
      </c>
    </row>
    <row r="6" spans="1:7" s="22" customFormat="1">
      <c r="A6" s="22" t="s">
        <v>599</v>
      </c>
      <c r="B6" s="22" t="s">
        <v>445</v>
      </c>
      <c r="C6" s="22" t="s">
        <v>600</v>
      </c>
      <c r="D6" s="22" t="s">
        <v>649</v>
      </c>
      <c r="E6" s="22" t="s">
        <v>722</v>
      </c>
    </row>
    <row r="7" spans="1:7" s="22" customFormat="1">
      <c r="A7" s="22" t="s">
        <v>601</v>
      </c>
      <c r="B7" s="22" t="s">
        <v>446</v>
      </c>
      <c r="C7" s="22" t="s">
        <v>602</v>
      </c>
      <c r="D7" s="22" t="s">
        <v>647</v>
      </c>
      <c r="E7" s="22" t="s">
        <v>722</v>
      </c>
    </row>
    <row r="8" spans="1:7" s="22" customFormat="1">
      <c r="A8" s="22" t="s">
        <v>440</v>
      </c>
      <c r="B8" s="22" t="s">
        <v>447</v>
      </c>
      <c r="C8" s="22" t="s">
        <v>603</v>
      </c>
      <c r="D8" s="22" t="s">
        <v>648</v>
      </c>
      <c r="E8" s="22" t="s">
        <v>723</v>
      </c>
    </row>
    <row r="9" spans="1:7" s="22" customFormat="1">
      <c r="A9" s="22" t="s">
        <v>604</v>
      </c>
      <c r="B9" s="22" t="s">
        <v>448</v>
      </c>
      <c r="C9" s="22" t="s">
        <v>605</v>
      </c>
      <c r="D9" s="22" t="s">
        <v>650</v>
      </c>
      <c r="E9" s="22" t="s">
        <v>723</v>
      </c>
    </row>
    <row r="10" spans="1:7">
      <c r="A10" s="22" t="s">
        <v>606</v>
      </c>
      <c r="B10" s="22" t="s">
        <v>651</v>
      </c>
      <c r="C10" s="22" t="s">
        <v>607</v>
      </c>
      <c r="D10" s="22" t="s">
        <v>652</v>
      </c>
      <c r="E10" s="22" t="s">
        <v>723</v>
      </c>
    </row>
    <row r="11" spans="1:7" s="22" customFormat="1">
      <c r="A11" s="22" t="s">
        <v>724</v>
      </c>
      <c r="B11" s="22" t="s">
        <v>446</v>
      </c>
      <c r="C11" s="22" t="s">
        <v>725</v>
      </c>
      <c r="D11" s="22" t="s">
        <v>726</v>
      </c>
      <c r="E11" s="22" t="s">
        <v>655</v>
      </c>
    </row>
    <row r="12" spans="1:7" s="22" customFormat="1">
      <c r="A12" s="22" t="s">
        <v>727</v>
      </c>
      <c r="B12" s="22" t="s">
        <v>447</v>
      </c>
      <c r="C12" s="22" t="s">
        <v>728</v>
      </c>
      <c r="D12" s="22" t="s">
        <v>726</v>
      </c>
      <c r="E12" s="22" t="s">
        <v>655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2015-01-25T22:55:20Z</dcterms:modified>
</cp:coreProperties>
</file>