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2" l="1"/>
  <c r="N44" i="2"/>
  <c r="N41" i="2"/>
  <c r="N40" i="2"/>
  <c r="E7" i="7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<sst xmlns="http://schemas.openxmlformats.org/spreadsheetml/2006/main" count="2351" uniqueCount="732">
  <si>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</si>
  <si>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</si>
  <si>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</si>
  <si>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</si>
  <si>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</si>
  <si>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</si>
  <si>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</si>
  <si>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</si>
  <si>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</si>
  <si>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</si>
  <si>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</si>
  <si>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</si>
  <si>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</si>
  <si>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</si>
  <si>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</si>
  <si>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</si>
  <si>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</si>
  <si>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</si>
  <si>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</si>
  <si>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</si>
  <si>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</si>
  <si>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</si>
  <si>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</si>
  <si>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</si>
  <si>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</si>
  <si>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</si>
  <si>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</si>
  <si>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</si>
  <si>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</si>
  <si>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</si>
  <si>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</si>
  <si>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</si>
  <si>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</si>
  <si>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</si>
  <si>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</si>
  <si>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</si>
  <si>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</si>
  <si>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</si>
  <si>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</si>
  <si>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</si>
  <si>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</si>
  <si>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</si>
  <si>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</si>
  <si>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</si>
  <si>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</si>
  <si>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</si>
  <si>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</si>
  <si>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</si>
  <si>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</si>
  <si>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</si>
  <si>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</si>
  <si>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</si>
  <si>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</si>
  <si>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</si>
  <si>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</si>
  <si>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</si>
  <si>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</si>
  <si>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</si>
  <si>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</si>
  <si>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</si>
  <si>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</si>
  <si>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</si>
  <si>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</si>
  <si>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</si>
  <si>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</si>
  <si>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</si>
  <si>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</si>
  <si>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</si>
  <si>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</si>
  <si>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</si>
  <si>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</si>
  <si>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</si>
  <si>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</si>
  <si>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</si>
  <si>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</si>
  <si>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</si>
  <si>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</si>
  <si>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</si>
  <si>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</si>
  <si>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</si>
  <si>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</si>
  <si>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</si>
  <si>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</si>
  <si>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</si>
  <si>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</si>
  <si>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</si>
  <si>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</si>
  <si>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</si>
  <si>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</si>
  <si>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</si>
  <si>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</si>
  <si>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</si>
  <si>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</si>
  <si>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</si>
  <si>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</si>
  <si>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</si>
  <si>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</si>
  <si>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</si>
  <si>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</si>
  <si>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</si>
  <si>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</si>
  <si>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</si>
  <si>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</si>
  <si>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</si>
  <si>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</si>
  <si>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</si>
  <si>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</si>
  <si>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</si>
  <si>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</si>
  <si>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</si>
  <si>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</si>
  <si>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</si>
  <si>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</si>
  <si>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</si>
  <si>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</si>
  <si>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</si>
  <si>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</si>
  <si>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</si>
  <si>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</si>
  <si>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</si>
  <si>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</si>
  <si>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</si>
  <si>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</si>
  <si>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</si>
  <si>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</si>
  <si>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</si>
  <si>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</si>
  <si>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</si>
  <si>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</si>
  <si>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</si>
  <si>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</si>
  <si>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</si>
  <si>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</si>
  <si>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</si>
  <si>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</si>
  <si>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</si>
  <si>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</si>
  <si>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</si>
  <si>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</si>
  <si>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</si>
  <si>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</si>
  <si>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</si>
  <si>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</si>
  <si>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</si>
  <si>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</si>
  <si>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</si>
  <si>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</si>
  <si>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</si>
  <si>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</si>
  <si>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</si>
  <si>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</si>
  <si>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</si>
  <si>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</si>
  <si>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</si>
  <si>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</si>
  <si>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</si>
  <si>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</si>
  <si>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</si>
  <si>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</si>
  <si>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</si>
  <si>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</si>
  <si>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</si>
  <si>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</si>
  <si>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</si>
  <si>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</si>
  <si>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</si>
  <si>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</si>
  <si>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</si>
  <si>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</si>
  <si>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</si>
  <si>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</si>
  <si>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</si>
  <si>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</si>
  <si>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</si>
  <si>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</si>
  <si>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</si>
  <si>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</si>
  <si>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</si>
  <si>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</si>
  <si>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</si>
  <si>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</si>
  <si>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</si>
  <si>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</si>
  <si>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</si>
  <si>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</si>
  <si>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</si>
  <si>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</si>
  <si>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</si>
  <si>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</si>
  <si>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</si>
  <si>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</si>
  <si>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</si>
  <si>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</si>
  <si>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</si>
  <si>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</si>
  <si>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</si>
  <si>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</si>
  <si>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</si>
  <si>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</si>
  <si>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</si>
  <si>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</si>
  <si>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</si>
  <si>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</si>
  <si>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</si>
  <si>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</si>
  <si>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</si>
  <si>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</si>
  <si>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</si>
  <si>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</si>
  <si>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</si>
  <si>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</si>
  <si>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</si>
  <si>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</si>
  <si>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</si>
  <si>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</si>
  <si>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</si>
  <si>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</si>
  <si>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</si>
  <si>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</si>
  <si>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</si>
  <si>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</si>
  <si>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</si>
  <si>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</si>
  <si>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</si>
  <si>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</si>
  <si>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</si>
  <si>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</si>
  <si>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</si>
  <si>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</si>
  <si>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</si>
  <si>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</si>
  <si>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</si>
  <si>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</si>
  <si>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</si>
  <si>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</si>
  <si>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</si>
  <si>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</si>
  <si>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</si>
  <si>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</si>
  <si>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</si>
  <si>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</si>
  <si>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</si>
  <si>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</si>
  <si>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</si>
  <si>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</si>
  <si>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</si>
  <si>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</si>
  <si>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</si>
  <si>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</si>
  <si>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</si>
  <si>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</si>
  <si>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</si>
  <si>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</si>
  <si>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</si>
  <si>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</si>
  <si>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</si>
  <si>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</si>
  <si>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</si>
  <si>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</si>
  <si>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</si>
  <si>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</si>
  <si>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</si>
  <si>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</si>
  <si>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</si>
  <si>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</si>
  <si>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</si>
  <si>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</si>
  <si>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</si>
  <si>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</si>
  <si>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</si>
  <si>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</si>
  <si>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</si>
  <si>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</si>
  <si>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</si>
  <si>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</si>
  <si>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</si>
  <si>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</si>
  <si>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</si>
  <si>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</si>
  <si>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</si>
  <si>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</si>
  <si>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</si>
  <si>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</si>
  <si>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</si>
  <si>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</si>
  <si>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</si>
  <si>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</si>
  <si>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</si>
  <si>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</si>
  <si>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</si>
  <si>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</si>
  <si>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</si>
  <si>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</si>
  <si>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</si>
  <si>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</si>
  <si>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</si>
  <si>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</si>
  <si>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</si>
  <si>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</si>
  <si>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</si>
  <si>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</si>
  <si>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</si>
  <si>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</si>
  <si>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</si>
  <si>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</si>
  <si>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</si>
  <si>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</si>
  <si>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</si>
  <si>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</si>
  <si>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</si>
  <si>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</si>
  <si>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</si>
  <si>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</si>
  <si>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</si>
  <si>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</si>
  <si>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</si>
  <si>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</si>
  <si>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</si>
  <si>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</si>
  <si>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</si>
  <si>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</si>
  <si>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</si>
  <si>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</si>
  <si>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</si>
  <si>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</si>
  <si>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</si>
  <si>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</si>
  <si>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</si>
  <si>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</si>
  <si>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</si>
  <si>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</si>
  <si>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</si>
  <si>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</si>
  <si>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</si>
  <si>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</si>
  <si>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</si>
  <si>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</si>
  <si>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</si>
  <si>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</si>
  <si>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</si>
  <si>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</si>
  <si>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</si>
  <si>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</si>
  <si>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</si>
  <si>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</si>
  <si>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</si>
  <si>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</si>
  <si>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</si>
  <si>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</si>
  <si>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</si>
  <si>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</si>
  <si>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</si>
  <si>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</si>
  <si>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</si>
  <si>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</si>
  <si>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</si>
  <si>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</si>
  <si>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</si>
  <si>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</si>
  <si>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</si>
  <si>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</si>
  <si>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</si>
  <si>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</si>
  <si>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</si>
  <si>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</si>
  <si>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</si>
  <si>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</si>
  <si>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</si>
  <si>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</si>
  <si>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</si>
  <si>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</si>
  <si>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</si>
  <si>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</si>
  <si>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</si>
  <si>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</si>
  <si>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</si>
  <si>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</si>
  <si>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</si>
  <si>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</si>
  <si>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</si>
  <si>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</si>
  <si>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</si>
  <si>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</si>
  <si>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</si>
  <si>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</si>
  <si>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</si>
  <si>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</si>
  <si>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</si>
  <si>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</si>
  <si>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</si>
  <si>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</si>
  <si>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</si>
  <si>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</si>
  <si>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</si>
  <si>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</si>
  <si>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</si>
  <si>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</si>
  <si>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</si>
  <si>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</si>
  <si>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</si>
  <si>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</si>
  <si>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</si>
  <si>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</si>
  <si>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</si>
  <si>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</si>
  <si>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</si>
  <si>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</si>
  <si>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</si>
  <si>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</si>
  <si>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</si>
  <si>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</si>
  <si>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</si>
  <si>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</si>
  <si>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</si>
  <si>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</si>
  <si>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</si>
  <si>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</si>
  <si>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</si>
  <si>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</si>
  <si>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</si>
  <si>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</si>
  <si>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</si>
  <si>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</si>
  <si>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</si>
  <si>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</si>
  <si>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</si>
  <si>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</si>
  <si>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</si>
  <si>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</si>
  <si>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</si>
  <si>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</si>
  <si>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</si>
  <si>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</si>
  <si>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</si>
  <si>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</si>
  <si>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</si>
  <si>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</si>
  <si>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</si>
  <si>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</si>
  <si>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</si>
  <si>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</si>
  <si>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</si>
  <si>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</si>
  <si>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</si>
  <si>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</si>
  <si>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</si>
  <si>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</si>
  <si>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</si>
  <si>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</si>
  <si>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</si>
  <si>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</si>
  <si>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</si>
  <si>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</si>
  <si>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</si>
  <si>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</si>
  <si>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</si>
  <si>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</si>
  <si>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</si>
  <si>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</si>
  <si>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</si>
  <si>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</si>
  <si>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</si>
  <si>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</si>
  <si>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</si>
  <si>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</si>
  <si>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</si>
  <si>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</si>
  <si>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</si>
  <si>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</si>
  <si>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</si>
  <si>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</si>
  <si>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</si>
  <si>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</si>
  <si>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</si>
  <si>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</si>
  <si>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</si>
  <si>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</si>
  <si>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</si>
  <si>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</si>
  <si>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</si>
  <si>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</si>
  <si>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</si>
  <si>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</si>
  <si>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</si>
  <si>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</si>
  <si>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</si>
  <si>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</si>
  <si>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</si>
  <si>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</si>
  <si>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</si>
  <si>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</si>
  <si>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</si>
  <si>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</si>
  <si>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</si>
  <si>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</si>
  <si>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</si>
  <si>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</si>
  <si>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</si>
  <si>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</si>
  <si>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</si>
  <si>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</si>
  <si>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</si>
  <si>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</si>
  <si>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</si>
  <si>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</si>
  <si>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</si>
  <si>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</si>
  <si>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</si>
  <si>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</si>
  <si>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</si>
  <si>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</si>
  <si>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</si>
  <si>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</si>
  <si>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</si>
  <si>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</si>
  <si>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</si>
  <si>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</si>
  <si>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</si>
  <si>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</si>
  <si>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</si>
  <si>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</si>
  <si>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</si>
  <si>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</si>
  <si>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</si>
  <si>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</si>
  <si>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</si>
  <si>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</si>
  <si>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</si>
  <si>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</si>
  <si>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</si>
  <si>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</si>
  <si>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</si>
  <si>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</si>
  <si>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</si>
  <si>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</si>
  <si>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</si>
  <si>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</si>
  <si>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</si>
  <si>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</si>
  <si>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</si>
  <si>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</si>
  <si>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</si>
  <si>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</si>
  <si>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</si>
  <si>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</si>
  <si>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</si>
  <si>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</si>
  <si>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</si>
  <si>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</si>
  <si>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</si>
  <si>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</si>
  <si>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</si>
  <si>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</si>
  <si>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</si>
  <si>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</si>
  <si>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</si>
  <si>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</si>
  <si>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</si>
  <si>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</si>
  <si>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</si>
  <si>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</si>
  <si>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</si>
  <si>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</si>
  <si>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</si>
  <si>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</si>
  <si>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</si>
  <si>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</si>
  <si>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</si>
  <si>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</si>
  <si>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</si>
  <si>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</si>
  <si>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</si>
  <si>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</si>
  <si>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</si>
  <si>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</si>
  <si>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</si>
  <si>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</si>
  <si>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</si>
  <si>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</si>
  <si>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</si>
  <si>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</si>
  <si>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</si>
  <si>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</si>
  <si>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</si>
  <si>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</si>
  <si>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</si>
  <si>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</si>
  <si>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</si>
  <si>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</si>
  <si>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</si>
  <si>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</si>
  <si>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</si>
  <si>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</si>
  <si>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</si>
  <si>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</si>
  <si>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</si>
  <si>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</si>
  <si>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</si>
  <si>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</si>
  <si>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</si>
  <si>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</si>
  <si>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</si>
  <si>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</si>
  <si>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</si>
  <si>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</si>
  <si>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</si>
  <si>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</si>
  <si>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</si>
  <si>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</si>
  <si>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</si>
  <si>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</si>
  <si>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</si>
  <si>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</si>
  <si>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</si>
  <si>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</si>
  <si>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</si>
  <si>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</si>
  <si>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</si>
  <si>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</si>
  <si>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</si>
  <si>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</si>
  <si>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</si>
  <si>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</si>
  <si>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</si>
  <si>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</si>
  <si>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</si>
  <si>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</si>
  <si>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</si>
  <si>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</si>
  <si>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</si>
  <si>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</si>
  <si>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</si>
  <si>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</si>
  <si>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</si>
  <si>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</si>
  <si>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</si>
  <si>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</si>
  <si>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</si>
  <si>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</si>
  <si>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</si>
  <si>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</si>
  <si>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</si>
  <si>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</si>
  <si>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</si>
  <si>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</si>
  <si>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</si>
  <si>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</si>
  <si>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</si>
  <si>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</si>
  <si>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</si>
  <si>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</si>
  <si>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</si>
  <si>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</si>
  <si>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</si>
  <si>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</si>
  <si>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</si>
  <si>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</si>
  <si>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</si>
  <si>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</si>
  <si>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</si>
  <si>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</si>
  <si>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</si>
  <si>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</si>
  <si>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</si>
  <si>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</si>
  <si>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</si>
  <si>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</si>
  <si>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</si>
  <si>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</si>
  <si>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</si>
  <si>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</si>
  <si>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</si>
  <si>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</si>
  <si>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</si>
  <si>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</si>
  <si>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</si>
  <si>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</si>
  <si>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</si>
  <si>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</si>
  <si>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</si>
  <si>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</si>
  <si>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</si>
  <si>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</si>
  <si>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</si>
  <si>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</si>
  <si>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</si>
  <si>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</si>
  <si>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</si>
  <si>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</si>
  <si>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</si>
  <si>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</si>
  <si>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</si>
  <si>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</si>
  <si>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</si>
  <si>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</si>
  <si>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</si>
  <si>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</si>
  <si>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</si>
  <si>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</si>
  <si>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</si>
  <si>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</si>
  <si>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</si>
  <si>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</si>
  <si>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</si>
  <si>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</si>
  <si>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</si>
  <si>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</si>
  <si>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</si>
  <si>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</si>
  <si>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</si>
  <si>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</si>
  <si>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</si>
  <si>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</si>
  <si>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</si>
  <si>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</si>
  <si>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</si>
  <si>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</si>
  <si>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</si>
  <si>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</si>
  <si>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</si>
  <si>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</si>
  <si>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</si>
  <si>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</si>
  <si>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</si>
  <si>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</si>
  <si>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</si>
  <si>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</si>
  <si>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NSGA Template</t>
  </si>
  <si>
    <t>large office</t>
  </si>
  <si>
    <t>../seeds/large_office_air_cooled_chiller.osm</t>
  </si>
  <si>
    <t>0.3.5</t>
  </si>
  <si>
    <t>1.8.0-rc2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</si>
</sst>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7" fillId="11" borderId="0" xfId="0" applyFont="1" applyFill="1" applyAlignment="1">
      <alignment horizontal="center"/>
    </xf>
  </cellXfs>
  <cellStyles count="14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B8" sqref="B8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730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731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652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850 GB</v>
      </c>
      <c r="E7" s="24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17" t="s">
        <v>604</v>
      </c>
      <c r="C8" s="24" t="str">
        <f>VLOOKUP($B8,instance_defs,5,FALSE)</f>
        <v>Worker Only - Recommended for Worker</v>
      </c>
      <c r="D8" s="24" t="str">
        <f>VLOOKUP($B8,instance_defs,2,FALSE)&amp;" with "&amp;VLOOKUP($B8,instance_defs,4,FALSE)</f>
        <v>16 Cores with 160 GB</v>
      </c>
      <c r="E8" s="24" t="str">
        <f>VLOOKUP($B8,instance_defs,3,FALSE)</f>
        <v>$0.84/hour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668</v>
      </c>
      <c r="E9" s="24" t="str">
        <f>"$"&amp;VALUE(LEFT(E7,5))+B9*VALUE(LEFT(E8,5))&amp;"/hour"</f>
        <v>$1.33/hour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727</v>
      </c>
      <c r="F12" s="1" t="s">
        <v>473</v>
      </c>
    </row>
    <row r="13" spans="1:6">
      <c r="A13" s="1" t="s">
        <v>25</v>
      </c>
      <c r="B13" s="17" t="s">
        <v>717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553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Number of Samples</v>
      </c>
      <c r="B24" s="18">
        <f>IF(D24&lt;&gt;"",D24,IF(LEN(INDEX(Lookups!$C$21:$Z$30,1,3*MATCH(Setup!$B21,Lookups!$A$21:$A$27,0)-1))=0,"",INDEX(Lookups!$C$21:$Z$30,1,3*MATCH(Setup!$B21,Lookups!$A$21:$A$27,0)-1)))</f>
        <v>30</v>
      </c>
      <c r="C24" s="25" t="str">
        <f>IF(LEN(INDEX(Lookups!$C$21:$Z$30,1,3*MATCH(Setup!$B21,Lookups!$A$21:$A$27,0)))=0,"",INDEX(Lookups!$C$21:$Z$30,1,3*MATCH(Setup!$B21,Lookups!$A$21:$A$27,0)))</f>
        <v>Size of initial population</v>
      </c>
      <c r="D24" s="27"/>
      <c r="E24" s="23"/>
    </row>
    <row r="25" spans="1:6">
      <c r="A25" s="23" t="str">
        <f>IF(LEN(INDEX(Lookups!$C$21:$Z$30,2,3*MATCH(Setup!$B21,Lookups!$A$21:$A$27,0)-2))=0,"",INDEX(Lookups!$C$21:$Z$30,2,3*MATCH(Setup!$B21,Lookups!$A$21:$A$27,0)-2))</f>
        <v>Generations</v>
      </c>
      <c r="B25" s="18">
        <f>IF(D25&lt;&gt;"",D25,IF(LEN(INDEX(Lookups!$C$21:$Z$30,2,3*MATCH(Setup!$B21,Lookups!$A$21:$A$27,0)-1))=0,"",INDEX(Lookups!$C$21:$Z$30,2,3*MATCH(Setup!$B21,Lookups!$A$21:$A$27,0)-1)))</f>
        <v>3</v>
      </c>
      <c r="C25" s="25" t="str">
        <f>IF(LEN(INDEX(Lookups!$C$21:$Z$30,2,3*MATCH(Setup!$B21,Lookups!$A$21:$A$27,0)))=0,"",INDEX(Lookups!$C$21:$Z$30,2,3*MATCH(Setup!$B21,Lookups!$A$21:$A$27,0)))</f>
        <v>Number of generations</v>
      </c>
      <c r="D25" s="27"/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>cprob</v>
      </c>
      <c r="B26" s="18">
        <f>IF(D26&lt;&gt;"",D26,IF(LEN(INDEX(Lookups!$C$21:$Z$30,3,3*MATCH(Setup!$B21,Lookups!$A$21:$A$27,0)-1))=0,"",INDEX(Lookups!$C$21:$Z$30,3,3*MATCH(Setup!$B21,Lookups!$A$21:$A$27,0)-1)))</f>
        <v>0.85</v>
      </c>
      <c r="C26" s="25" t="str">
        <f>IF(LEN(INDEX(Lookups!$C$21:$Z$30,3,3*MATCH(Setup!$B21,Lookups!$A$21:$A$27,0)))=0,"",INDEX(Lookups!$C$21:$Z$30,3,3*MATCH(Setup!$B21,Lookups!$A$21:$A$27,0)))</f>
        <v>Crossover probability [0,1]</v>
      </c>
      <c r="D26" s="27"/>
      <c r="E26" s="23"/>
    </row>
    <row r="27" spans="1:6" s="23" customFormat="1" ht="42">
      <c r="A27" s="23" t="str">
        <f>IF(LEN(INDEX(Lookups!$C$21:$Z$30,4,3*MATCH(Setup!$B21,Lookups!$A$21:$A$27,0)-2))=0,"",INDEX(Lookups!$C$21:$Z$30,4,3*MATCH(Setup!$B21,Lookups!$A$21:$A$27,0)-2))</f>
        <v>XoverDistIdx</v>
      </c>
      <c r="B27" s="18">
        <f>IF(D27&lt;&gt;"",D27,IF(LEN(INDEX(Lookups!$C$21:$Z$30,4,3*MATCH(Setup!$B21,Lookups!$A$21:$A$27,0)-1))=0,"",INDEX(Lookups!$C$21:$Z$30,4,3*MATCH(Setup!$B21,Lookups!$A$21:$A$27,0)-1)))</f>
        <v>2</v>
      </c>
      <c r="C27" s="25" t="str">
        <f>IF(LEN(INDEX(Lookups!$C$21:$Z$30,4,3*MATCH(Setup!$B21,Lookups!$A$21:$A$27,0)))=0,"",INDEX(Lookups!$C$21:$Z$30,4,3*MATCH(Setup!$B21,Lookups!$A$21:$A$27,0)))</f>
        <v>Crossover Distribution Index (large values give higher probabilities of offspring close to parent)</v>
      </c>
      <c r="D27" s="27"/>
    </row>
    <row r="28" spans="1:6" s="23" customFormat="1" ht="42">
      <c r="A28" s="23" t="str">
        <f>IF(LEN(INDEX(Lookups!$C$21:$Z$30,5,3*MATCH(Setup!$B21,Lookups!$A$21:$A$27,0)-2))=0,"",INDEX(Lookups!$C$21:$Z$30,5,3*MATCH(Setup!$B21,Lookups!$A$21:$A$27,0)-2))</f>
        <v>MuDistIdx</v>
      </c>
      <c r="B28" s="18">
        <f>IF(D28&lt;&gt;"",D28,IF(LEN(INDEX(Lookups!$C$21:$Z$30,5,3*MATCH(Setup!$B21,Lookups!$A$21:$A$27,0)-1))=0,"",INDEX(Lookups!$C$21:$Z$30,5,3*MATCH(Setup!$B21,Lookups!$A$21:$A$27,0)-1)))</f>
        <v>2</v>
      </c>
      <c r="C28" s="25" t="str">
        <f>IF(LEN(INDEX(Lookups!$C$21:$Z$30,5,3*MATCH(Setup!$B21,Lookups!$A$21:$A$27,0)))=0,"",INDEX(Lookups!$C$21:$Z$30,5,3*MATCH(Setup!$B21,Lookups!$A$21:$A$27,0)))</f>
        <v>Mutation Distribution Index (large values give higher probabilities of offspring close to parent)</v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>mprob</v>
      </c>
      <c r="B29" s="18">
        <f>IF(D29&lt;&gt;"",D29,IF(LEN(INDEX(Lookups!$C$21:$Z$30,6,3*MATCH(Setup!$B21,Lookups!$A$21:$A$27,0)-1))=0,"",INDEX(Lookups!$C$21:$Z$30,6,3*MATCH(Setup!$B21,Lookups!$A$21:$A$27,0)-1)))</f>
        <v>0.8</v>
      </c>
      <c r="C29" s="25" t="str">
        <f>IF(LEN(INDEX(Lookups!$C$21:$Z$30,6,3*MATCH(Setup!$B21,Lookups!$A$21:$A$27,0)))=0,"",INDEX(Lookups!$C$21:$Z$30,6,3*MATCH(Setup!$B21,Lookups!$A$21:$A$27,0)))</f>
        <v>Mutation probability [0,1]</v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>normType</v>
      </c>
      <c r="B30" s="18" t="str">
        <f>IF(D30&lt;&gt;"",D30,IF(LEN(INDEX(Lookups!$C$21:$Z$30,7,3*MATCH(Setup!$B21,Lookups!$A$21:$A$27,0)-1))=0,"",INDEX(Lookups!$C$21:$Z$30,7,3*MATCH(Setup!$B21,Lookups!$A$21:$A$27,0)-1)))</f>
        <v>minkowski</v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>pPower</v>
      </c>
      <c r="B31" s="18">
        <f>IF(D31&lt;&gt;"",D31,IF(LEN(INDEX(Lookups!$C$21:$Z$30,8,3*MATCH(Setup!$B21,Lookups!$A$21:$A$27,0)-1))=0,"",INDEX(Lookups!$C$21:$Z$30,8,3*MATCH(Setup!$B21,Lookups!$A$21:$A$27,0)-1)))</f>
        <v>2</v>
      </c>
      <c r="C31" s="25" t="str">
        <f>IF(LEN(INDEX(Lookups!$C$21:$Z$30,8,3*MATCH(Setup!$B21,Lookups!$A$21:$A$27,0)))=0,"",INDEX(Lookups!$C$21:$Z$30,8,3*MATCH(Setup!$B21,Lookups!$A$21:$A$27,0)))</f>
        <v>Lp norm power</v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718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728</v>
      </c>
      <c r="C40" s="14" t="s">
        <v>41</v>
      </c>
      <c r="D40" s="14" t="s">
        <v>729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150" zoomScaleNormal="150" zoomScalePageLayoutView="150" workbookViewId="0">
      <selection activeCell="N23" sqref="N2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1" t="s">
        <v>61</v>
      </c>
      <c r="V1" s="51"/>
      <c r="W1" s="51"/>
      <c r="X1" s="51"/>
      <c r="Y1" s="51"/>
      <c r="Z1" s="51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719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720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721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722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723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724</v>
      </c>
      <c r="Q22" s="42" t="s">
        <v>725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715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716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669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726</v>
      </c>
      <c r="E35" s="42" t="s">
        <v>172</v>
      </c>
      <c r="F35" s="42" t="s">
        <v>708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28" customFormat="1">
      <c r="A44" s="50"/>
      <c r="B44" s="50" t="s">
        <v>22</v>
      </c>
      <c r="C44" s="50"/>
      <c r="D44" s="50" t="s">
        <v>535</v>
      </c>
      <c r="E44" s="50" t="s">
        <v>536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>
      <c r="A46" s="50"/>
      <c r="B46" s="50" t="s">
        <v>22</v>
      </c>
      <c r="C46" s="50"/>
      <c r="D46" s="50" t="s">
        <v>539</v>
      </c>
      <c r="E46" s="50" t="s">
        <v>538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130" zoomScaleNormal="130" zoomScalePageLayoutView="130" workbookViewId="0">
      <pane ySplit="3" topLeftCell="A4" activePane="bottomLeft" state="frozen"/>
      <selection pane="bottomLeft" activeCell="B10" sqref="B10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709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710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671</v>
      </c>
      <c r="B6" s="15"/>
      <c r="C6" s="15"/>
      <c r="D6" s="15" t="s">
        <v>711</v>
      </c>
      <c r="E6" s="15" t="s">
        <v>672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673</v>
      </c>
      <c r="B7" s="15"/>
      <c r="C7" s="15"/>
      <c r="D7" s="15" t="s">
        <v>712</v>
      </c>
      <c r="E7" s="15" t="s">
        <v>672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674</v>
      </c>
      <c r="B8" s="15"/>
      <c r="C8" s="15"/>
      <c r="D8" s="15" t="s">
        <v>713</v>
      </c>
      <c r="E8" s="15" t="s">
        <v>672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675</v>
      </c>
      <c r="B9" s="15"/>
      <c r="C9" s="15"/>
      <c r="D9" s="15" t="s">
        <v>714</v>
      </c>
      <c r="E9" s="15" t="s">
        <v>676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677</v>
      </c>
      <c r="B10" s="15"/>
      <c r="C10" s="15"/>
      <c r="D10" s="15" t="s">
        <v>678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679</v>
      </c>
      <c r="B11" s="15"/>
      <c r="C11" s="15"/>
      <c r="D11" s="15" t="s">
        <v>680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681</v>
      </c>
      <c r="B12" s="15"/>
      <c r="C12" s="15"/>
      <c r="D12" s="15" t="s">
        <v>682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683</v>
      </c>
      <c r="B13" s="15"/>
      <c r="C13" s="15"/>
      <c r="D13" s="15" t="s">
        <v>684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685</v>
      </c>
      <c r="B14" s="15"/>
      <c r="C14" s="15"/>
      <c r="D14" s="15" t="s">
        <v>686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687</v>
      </c>
      <c r="B15" s="15"/>
      <c r="C15" s="15"/>
      <c r="D15" s="15" t="s">
        <v>688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689</v>
      </c>
      <c r="B16" s="15"/>
      <c r="C16" s="15"/>
      <c r="D16" s="15" t="s">
        <v>690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691</v>
      </c>
      <c r="B17" s="15"/>
      <c r="C17" s="15"/>
      <c r="D17" s="15" t="s">
        <v>692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693</v>
      </c>
      <c r="B18" s="15"/>
      <c r="C18" s="15"/>
      <c r="D18" s="15" t="s">
        <v>694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695</v>
      </c>
      <c r="B19" s="15"/>
      <c r="C19" s="15"/>
      <c r="D19" s="15" t="s">
        <v>696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697</v>
      </c>
      <c r="B20" s="15"/>
      <c r="C20" s="15"/>
      <c r="D20" s="15" t="s">
        <v>698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699</v>
      </c>
      <c r="B21" s="15"/>
      <c r="C21" s="15"/>
      <c r="D21" s="15" t="s">
        <v>700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701</v>
      </c>
      <c r="B22" s="15"/>
      <c r="C22" s="15"/>
      <c r="D22" s="15" t="s">
        <v>702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703</v>
      </c>
      <c r="B23" s="15"/>
      <c r="C23" s="15"/>
      <c r="D23" s="15" t="s">
        <v>704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705</v>
      </c>
      <c r="B24" s="15"/>
      <c r="C24" s="15"/>
      <c r="D24" s="15" t="s">
        <v>706</v>
      </c>
      <c r="E24" s="15" t="s">
        <v>707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667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662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663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663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663</v>
      </c>
    </row>
    <row r="6" spans="1:7" s="22" customFormat="1">
      <c r="A6" s="22" t="s">
        <v>652</v>
      </c>
      <c r="B6" s="22" t="s">
        <v>446</v>
      </c>
      <c r="C6" s="22" t="s">
        <v>653</v>
      </c>
      <c r="D6" s="22" t="s">
        <v>654</v>
      </c>
      <c r="E6" s="22" t="s">
        <v>664</v>
      </c>
    </row>
    <row r="7" spans="1:7" s="22" customFormat="1">
      <c r="A7" s="22" t="s">
        <v>655</v>
      </c>
      <c r="B7" s="22" t="s">
        <v>447</v>
      </c>
      <c r="C7" s="22" t="s">
        <v>656</v>
      </c>
      <c r="D7" s="22" t="s">
        <v>657</v>
      </c>
      <c r="E7" s="22" t="s">
        <v>664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658</v>
      </c>
      <c r="E8" s="22" t="s">
        <v>665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650</v>
      </c>
      <c r="E9" s="22" t="s">
        <v>665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651</v>
      </c>
      <c r="E10" s="22" t="s">
        <v>666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659</v>
      </c>
      <c r="E11" s="22" t="s">
        <v>666</v>
      </c>
    </row>
    <row r="12" spans="1:7" s="22" customFormat="1">
      <c r="A12" s="22" t="s">
        <v>606</v>
      </c>
      <c r="B12" s="22" t="s">
        <v>660</v>
      </c>
      <c r="C12" s="22" t="s">
        <v>607</v>
      </c>
      <c r="D12" s="22" t="s">
        <v>661</v>
      </c>
      <c r="E12" s="22" t="s">
        <v>666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2014-10-02T01:51:10Z</dcterms:modified>
</cp:coreProperties>
</file>