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externalReferences>
    <externalReference r:id="rId6"/>
  </externalReference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c3.4xlarge">[1]Lookups!$A$2:$A$12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<sst xmlns="http://schemas.openxmlformats.org/spreadsheetml/2006/main" count="2362" uniqueCount="743">
  <si>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</si>
  <si>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</si>
  <si>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</si>
  <si>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</si>
  <si>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</si>
  <si>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</si>
  <si>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</si>
  <si>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</si>
  <si>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</si>
  <si>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</si>
  <si>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</si>
  <si>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</si>
  <si>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</si>
  <si>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</si>
  <si>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</si>
  <si>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</si>
  <si>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</si>
  <si>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</si>
  <si>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</si>
  <si>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</si>
  <si>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</si>
  <si>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</si>
  <si>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</si>
  <si>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</si>
  <si>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</si>
  <si>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</si>
  <si>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</si>
  <si>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</si>
  <si>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</si>
  <si>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</si>
  <si>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</si>
  <si>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</si>
  <si>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</si>
  <si>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</si>
  <si>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</si>
  <si>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</si>
  <si>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</si>
  <si>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</si>
  <si>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</si>
  <si>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</si>
  <si>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</si>
  <si>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</si>
  <si>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</si>
  <si>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</si>
  <si>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</si>
  <si>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</si>
  <si>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</si>
  <si>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</si>
  <si>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</si>
  <si>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</si>
  <si>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</si>
  <si>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</si>
  <si>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</si>
  <si>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</si>
  <si>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</si>
  <si>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</si>
  <si>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</si>
  <si>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</si>
  <si>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</si>
  <si>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</si>
  <si>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</si>
  <si>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</si>
  <si>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</si>
  <si>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</si>
  <si>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</si>
  <si>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</si>
  <si>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</si>
  <si>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</si>
  <si>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</si>
  <si>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</si>
  <si>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</si>
  <si>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</si>
  <si>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</si>
  <si>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</si>
  <si>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</si>
  <si>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</si>
  <si>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</si>
  <si>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</si>
  <si>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</si>
  <si>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</si>
  <si>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</si>
  <si>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</si>
  <si>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</si>
  <si>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</si>
  <si>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</si>
  <si>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</si>
  <si>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</si>
  <si>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</si>
  <si>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</si>
  <si>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</si>
  <si>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</si>
  <si>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</si>
  <si>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</si>
  <si>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</si>
  <si>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</si>
  <si>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</si>
  <si>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</si>
  <si>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</si>
  <si>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</si>
  <si>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</si>
  <si>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</si>
  <si>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</si>
  <si>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</si>
  <si>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</si>
  <si>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</si>
  <si>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</si>
  <si>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</si>
  <si>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</si>
  <si>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</si>
  <si>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</si>
  <si>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</si>
  <si>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</si>
  <si>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</si>
  <si>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</si>
  <si>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</si>
  <si>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</si>
  <si>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</si>
  <si>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</si>
  <si>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</si>
  <si>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</si>
  <si>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</si>
  <si>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</si>
  <si>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</si>
  <si>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</si>
  <si>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</si>
  <si>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</si>
  <si>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</si>
  <si>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</si>
  <si>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</si>
  <si>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</si>
  <si>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</si>
  <si>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</si>
  <si>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</si>
  <si>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</si>
  <si>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</si>
  <si>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</si>
  <si>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</si>
  <si>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</si>
  <si>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</si>
  <si>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</si>
  <si>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</si>
  <si>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</si>
  <si>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</si>
  <si>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</si>
  <si>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</si>
  <si>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</si>
  <si>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</si>
  <si>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</si>
  <si>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</si>
  <si>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</si>
  <si>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</si>
  <si>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</si>
  <si>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</si>
  <si>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</si>
  <si>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</si>
  <si>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</si>
  <si>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</si>
  <si>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</si>
  <si>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</si>
  <si>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</si>
  <si>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</si>
  <si>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</si>
  <si>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</si>
  <si>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</si>
  <si>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</si>
  <si>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</si>
  <si>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</si>
  <si>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</si>
  <si>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</si>
  <si>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</si>
  <si>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</si>
  <si>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</si>
  <si>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</si>
  <si>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</si>
  <si>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</si>
  <si>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</si>
  <si>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</si>
  <si>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</si>
  <si>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</si>
  <si>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</si>
  <si>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</si>
  <si>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</si>
  <si>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</si>
  <si>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</si>
  <si>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</si>
  <si>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</si>
  <si>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</si>
  <si>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</si>
  <si>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</si>
  <si>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</si>
  <si>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</si>
  <si>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</si>
  <si>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</si>
  <si>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</si>
  <si>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</si>
  <si>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</si>
  <si>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</si>
  <si>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</si>
  <si>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</si>
  <si>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</si>
  <si>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</si>
  <si>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</si>
  <si>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</si>
  <si>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</si>
  <si>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</si>
  <si>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</si>
  <si>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</si>
  <si>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</si>
  <si>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</si>
  <si>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</si>
  <si>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</si>
  <si>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</si>
  <si>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</si>
  <si>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</si>
  <si>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</si>
  <si>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</si>
  <si>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</si>
  <si>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</si>
  <si>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</si>
  <si>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</si>
  <si>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</si>
  <si>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</si>
  <si>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</si>
  <si>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</si>
  <si>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</si>
  <si>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</si>
  <si>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</si>
  <si>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</si>
  <si>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</si>
  <si>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</si>
  <si>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</si>
  <si>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</si>
  <si>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</si>
  <si>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</si>
  <si>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</si>
  <si>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</si>
  <si>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</si>
  <si>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</si>
  <si>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</si>
  <si>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</si>
  <si>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</si>
  <si>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</si>
  <si>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</si>
  <si>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</si>
  <si>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</si>
  <si>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</si>
  <si>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</si>
  <si>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</si>
  <si>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</si>
  <si>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</si>
  <si>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</si>
  <si>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</si>
  <si>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</si>
  <si>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</si>
  <si>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</si>
  <si>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</si>
  <si>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</si>
  <si>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</si>
  <si>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</si>
  <si>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</si>
  <si>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</si>
  <si>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</si>
  <si>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</si>
  <si>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</si>
  <si>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</si>
  <si>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</si>
  <si>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</si>
  <si>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</si>
  <si>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</si>
  <si>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</si>
  <si>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</si>
  <si>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</si>
  <si>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</si>
  <si>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</si>
  <si>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</si>
  <si>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</si>
  <si>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</si>
  <si>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</si>
  <si>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</si>
  <si>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</si>
  <si>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</si>
  <si>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</si>
  <si>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</si>
  <si>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</si>
  <si>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</si>
  <si>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</si>
  <si>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</si>
  <si>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</si>
  <si>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</si>
  <si>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</si>
  <si>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</si>
  <si>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</si>
  <si>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</si>
  <si>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</si>
  <si>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</si>
  <si>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</si>
  <si>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</si>
  <si>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</si>
  <si>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</si>
  <si>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</si>
  <si>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</si>
  <si>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</si>
  <si>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</si>
  <si>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</si>
  <si>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</si>
  <si>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</si>
  <si>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</si>
  <si>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</si>
  <si>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</si>
  <si>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</si>
  <si>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</si>
  <si>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</si>
  <si>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</si>
  <si>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</si>
  <si>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</si>
  <si>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</si>
  <si>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</si>
  <si>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</si>
  <si>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</si>
  <si>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</si>
  <si>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</si>
  <si>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</si>
  <si>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</si>
  <si>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</si>
  <si>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</si>
  <si>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</si>
  <si>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</si>
  <si>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</si>
  <si>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</si>
  <si>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</si>
  <si>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</si>
  <si>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</si>
  <si>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</si>
  <si>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</si>
  <si>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</si>
  <si>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</si>
  <si>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</si>
  <si>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</si>
  <si>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</si>
  <si>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</si>
  <si>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</si>
  <si>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</si>
  <si>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</si>
  <si>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</si>
  <si>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</si>
  <si>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</si>
  <si>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</si>
  <si>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</si>
  <si>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</si>
  <si>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</si>
  <si>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</si>
  <si>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</si>
  <si>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</si>
  <si>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</si>
  <si>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</si>
  <si>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</si>
  <si>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</si>
  <si>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</si>
  <si>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</si>
  <si>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</si>
  <si>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</si>
  <si>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</si>
  <si>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</si>
  <si>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</si>
  <si>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</si>
  <si>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</si>
  <si>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</si>
  <si>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</si>
  <si>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</si>
  <si>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</si>
  <si>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</si>
  <si>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</si>
  <si>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</si>
  <si>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</si>
  <si>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</si>
  <si>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</si>
  <si>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</si>
  <si>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</si>
  <si>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</si>
  <si>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</si>
  <si>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</si>
  <si>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</si>
  <si>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</si>
  <si>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</si>
  <si>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</si>
  <si>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</si>
  <si>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</si>
  <si>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</si>
  <si>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</si>
  <si>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</si>
  <si>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</si>
  <si>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</si>
  <si>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</si>
  <si>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</si>
  <si>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</si>
  <si>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</si>
  <si>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</si>
  <si>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</si>
  <si>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</si>
  <si>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</si>
  <si>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</si>
  <si>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</si>
  <si>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</si>
  <si>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</si>
  <si>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</si>
  <si>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</si>
  <si>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</si>
  <si>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</si>
  <si>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</si>
  <si>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</si>
  <si>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</si>
  <si>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</si>
  <si>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</si>
  <si>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</si>
  <si>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</si>
  <si>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</si>
  <si>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</si>
  <si>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</si>
  <si>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</si>
  <si>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</si>
  <si>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</si>
  <si>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</si>
  <si>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</si>
  <si>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</si>
  <si>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</si>
  <si>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</si>
  <si>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</si>
  <si>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</si>
  <si>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</si>
  <si>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</si>
  <si>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</si>
  <si>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</si>
  <si>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</si>
  <si>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</si>
  <si>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</si>
  <si>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</si>
  <si>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</si>
  <si>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</si>
  <si>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</si>
  <si>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</si>
  <si>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</si>
  <si>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</si>
  <si>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</si>
  <si>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</si>
  <si>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</si>
  <si>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</si>
  <si>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</si>
  <si>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</si>
  <si>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</si>
  <si>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</si>
  <si>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</si>
  <si>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</si>
  <si>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</si>
  <si>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</si>
  <si>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</si>
  <si>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</si>
  <si>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</si>
  <si>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</si>
  <si>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</si>
  <si>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</si>
  <si>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</si>
  <si>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</si>
  <si>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</si>
  <si>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</si>
  <si>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</si>
  <si>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</si>
  <si>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</si>
  <si>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</si>
  <si>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</si>
  <si>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</si>
  <si>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</si>
  <si>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</si>
  <si>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</si>
  <si>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</si>
  <si>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</si>
  <si>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</si>
  <si>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</si>
  <si>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</si>
  <si>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</si>
  <si>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</si>
  <si>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</si>
  <si>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</si>
  <si>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</si>
  <si>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</si>
  <si>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</si>
  <si>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</si>
  <si>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</si>
  <si>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</si>
  <si>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</si>
  <si>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</si>
  <si>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</si>
  <si>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</si>
  <si>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</si>
  <si>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</si>
  <si>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</si>
  <si>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</si>
  <si>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</si>
  <si>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</si>
  <si>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</si>
  <si>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</si>
  <si>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</si>
  <si>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</si>
  <si>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</si>
  <si>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</si>
  <si>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</si>
  <si>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</si>
  <si>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</si>
  <si>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</si>
  <si>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</si>
  <si>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</si>
  <si>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</si>
  <si>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</si>
  <si>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</si>
  <si>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</si>
  <si>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</si>
  <si>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</si>
  <si>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</si>
  <si>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</si>
  <si>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</si>
  <si>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</si>
  <si>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</si>
  <si>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</si>
  <si>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</si>
  <si>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</si>
  <si>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</si>
  <si>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</si>
  <si>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</si>
  <si>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</si>
  <si>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</si>
  <si>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</si>
  <si>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</si>
  <si>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</si>
  <si>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</si>
  <si>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</si>
  <si>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</si>
  <si>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</si>
  <si>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</si>
  <si>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</si>
  <si>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</si>
  <si>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</si>
  <si>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</si>
  <si>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</si>
  <si>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</si>
  <si>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</si>
  <si>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</si>
  <si>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</si>
  <si>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</si>
  <si>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</si>
  <si>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</si>
  <si>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</si>
  <si>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</si>
  <si>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</si>
  <si>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</si>
  <si>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</si>
  <si>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</si>
  <si>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</si>
  <si>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</si>
  <si>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</si>
  <si>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</si>
  <si>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</si>
  <si>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</si>
  <si>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</si>
  <si>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</si>
  <si>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</si>
  <si>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</si>
  <si>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</si>
  <si>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</si>
  <si>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</si>
  <si>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</si>
  <si>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</si>
  <si>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</si>
  <si>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</si>
  <si>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</si>
  <si>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</si>
  <si>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</si>
  <si>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</si>
  <si>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</si>
  <si>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</si>
  <si>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</si>
  <si>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</si>
  <si>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</si>
  <si>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</si>
  <si>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</si>
  <si>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</si>
  <si>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</si>
  <si>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</si>
  <si>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</si>
  <si>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</si>
  <si>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</si>
  <si>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</si>
  <si>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</si>
  <si>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</si>
  <si>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</si>
  <si>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</si>
  <si>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</si>
  <si>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</si>
  <si>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</si>
  <si>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</si>
  <si>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</si>
  <si>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</si>
  <si>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</si>
  <si>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</si>
  <si>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</si>
  <si>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</si>
  <si>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</si>
  <si>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</si>
  <si>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</si>
  <si>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</si>
  <si>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</si>
  <si>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</si>
  <si>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</si>
  <si>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</si>
  <si>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</si>
  <si>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</si>
  <si>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</si>
  <si>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</si>
  <si>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</si>
  <si>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</si>
  <si>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</si>
  <si>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</si>
  <si>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</si>
  <si>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</si>
  <si>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</si>
  <si>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</si>
  <si>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</si>
  <si>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</si>
  <si>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</si>
  <si>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</si>
  <si>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</si>
  <si>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</si>
  <si>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</si>
  <si>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</si>
  <si>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</si>
  <si>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</si>
  <si>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</si>
  <si>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</si>
  <si>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</si>
  <si>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</si>
  <si>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</si>
  <si>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</si>
  <si>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</si>
  <si>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</si>
  <si>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</si>
  <si>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</si>
  <si>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</si>
  <si>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</si>
  <si>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</si>
  <si>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</si>
  <si>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</si>
  <si>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</si>
  <si>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</si>
  <si>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</si>
  <si>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</si>
  <si>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</si>
  <si>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</si>
  <si>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</si>
  <si>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</si>
  <si>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</si>
  <si>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</si>
  <si>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</si>
  <si>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</si>
  <si>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</si>
  <si>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</si>
  <si>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</si>
  <si>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</si>
  <si>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</si>
  <si>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</si>
  <si>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</si>
  <si>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</si>
  <si>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</si>
  <si>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</si>
  <si>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</si>
  <si>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</si>
  <si>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</si>
  <si>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</si>
  <si>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</si>
  <si>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</si>
  <si>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</si>
  <si>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</si>
  <si>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</si>
  <si>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</si>
  <si>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</si>
  <si>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</si>
  <si>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</si>
  <si>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</si>
  <si>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</si>
  <si>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</si>
  <si>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</si>
  <si>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</si>
  <si>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</si>
  <si>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</si>
  <si>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</si>
  <si>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</si>
  <si>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</si>
  <si>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</si>
  <si>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</si>
  <si>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</si>
  <si>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</si>
  <si>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</si>
  <si>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</si>
  <si>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</si>
  <si>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</si>
  <si>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</si>
  <si>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</si>
  <si>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</si>
  <si>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</si>
  <si>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</si>
  <si>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</si>
  <si>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</si>
  <si>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</si>
  <si>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</si>
  <si>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</si>
  <si>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</si>
  <si>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</si>
  <si>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</si>
  <si>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</si>
  <si>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</si>
  <si>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</si>
  <si>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</si>
  <si>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</si>
  <si>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rgenoud template</t>
  </si>
  <si>
    <t>../seeds/large_office_air_cooled_chiller.osm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</si>
  <si>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</si>
  <si>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</si>
  <si>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</si>
  <si>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</si>
  <si>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</si>
  <si>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</si>
  <si>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</si>
  <si>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</si>
  <si>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</si>
  <si>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</si>
  <si>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</si>
  <si>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</si>
  <si>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</si>
  <si>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</si>
  <si>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</si>
  <si>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</si>
  <si>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</si>
  <si>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</si>
  <si>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</si>
  <si>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0.4.0</t>
  </si>
  <si>
    <t>1.9.3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</si>
</sst>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7" fillId="11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lhs_discrete_continuo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>
        <row r="2">
          <cell r="A2" t="str">
            <v>m3.medium</v>
          </cell>
        </row>
        <row r="3">
          <cell r="A3" t="str">
            <v>m3.large</v>
          </cell>
        </row>
        <row r="4">
          <cell r="A4" t="str">
            <v>m3.xlarge</v>
          </cell>
        </row>
        <row r="5">
          <cell r="A5" t="str">
            <v>m3.2xlarge</v>
          </cell>
        </row>
        <row r="6">
          <cell r="A6" t="str">
            <v>c3.large</v>
          </cell>
        </row>
        <row r="7">
          <cell r="A7" t="str">
            <v>c3.xlarge</v>
          </cell>
        </row>
        <row r="8">
          <cell r="A8" t="str">
            <v>c3.2xlarge</v>
          </cell>
        </row>
        <row r="9">
          <cell r="A9" t="str">
            <v>c3.4xlarge</v>
          </cell>
        </row>
        <row r="10">
          <cell r="A10" t="str">
            <v>c3.8xlarge</v>
          </cell>
        </row>
        <row r="11">
          <cell r="A11" t="str">
            <v>i2.xlarge</v>
          </cell>
        </row>
        <row r="12">
          <cell r="A12" t="str">
            <v>i2.2xlarge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741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742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660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722</v>
      </c>
      <c r="B10" s="17" t="s">
        <v>723</v>
      </c>
      <c r="C10" s="3"/>
      <c r="D10" s="24"/>
      <c r="E10" s="24"/>
      <c r="F10" s="2" t="s">
        <v>724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720</v>
      </c>
      <c r="F13" s="1" t="s">
        <v>473</v>
      </c>
    </row>
    <row r="14" spans="1:6">
      <c r="A14" s="1" t="s">
        <v>25</v>
      </c>
      <c r="B14" s="17" t="s">
        <v>709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554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popSize</v>
      </c>
      <c r="B25" s="18">
        <f>IF(D25&lt;&gt;"",D25,IF(LEN(INDEX(Lookups!$C$21:$Z$30,1,3*MATCH(Setup!$B22,Lookups!$A$21:$A$27,0)-1))=0,"",INDEX(Lookups!$C$21:$Z$30,1,3*MATCH(Setup!$B22,Lookups!$A$21:$A$27,0)-1)))</f>
        <v>30</v>
      </c>
      <c r="C25" s="25" t="str">
        <f>IF(LEN(INDEX(Lookups!$C$21:$Z$30,1,3*MATCH(Setup!$B22,Lookups!$A$21:$A$27,0)))=0,"",INDEX(Lookups!$C$21:$Z$30,1,3*MATCH(Setup!$B22,Lookups!$A$21:$A$27,0)))</f>
        <v>Size of initial population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Generations</v>
      </c>
      <c r="B26" s="18">
        <f>IF(D26&lt;&gt;"",D26,IF(LEN(INDEX(Lookups!$C$21:$Z$30,2,3*MATCH(Setup!$B22,Lookups!$A$21:$A$27,0)-1))=0,"",INDEX(Lookups!$C$21:$Z$30,2,3*MATCH(Setup!$B22,Lookups!$A$21:$A$27,0)-1)))</f>
        <v>5</v>
      </c>
      <c r="C26" s="25" t="str">
        <f>IF(LEN(INDEX(Lookups!$C$21:$Z$30,2,3*MATCH(Setup!$B22,Lookups!$A$21:$A$27,0)))=0,"",INDEX(Lookups!$C$21:$Z$30,2,3*MATCH(Setup!$B22,Lookups!$A$21:$A$27,0)))</f>
        <v>Number of generations</v>
      </c>
      <c r="D26" s="27"/>
      <c r="E26" s="23"/>
    </row>
    <row r="27" spans="1:6" ht="28">
      <c r="A27" s="23" t="str">
        <f>IF(LEN(INDEX(Lookups!$C$21:$Z$30,3,3*MATCH(Setup!$B22,Lookups!$A$21:$A$27,0)-2))=0,"",INDEX(Lookups!$C$21:$Z$30,3,3*MATCH(Setup!$B22,Lookups!$A$21:$A$27,0)-2))</f>
        <v>waitGenerations</v>
      </c>
      <c r="B27" s="18">
        <f>IF(D27&lt;&gt;"",D27,IF(LEN(INDEX(Lookups!$C$21:$Z$30,3,3*MATCH(Setup!$B22,Lookups!$A$21:$A$27,0)-1))=0,"",INDEX(Lookups!$C$21:$Z$30,3,3*MATCH(Setup!$B22,Lookups!$A$21:$A$27,0)-1)))</f>
        <v>2</v>
      </c>
      <c r="C27" s="25" t="str">
        <f>IF(LEN(INDEX(Lookups!$C$21:$Z$30,3,3*MATCH(Setup!$B22,Lookups!$A$21:$A$27,0)))=0,"",INDEX(Lookups!$C$21:$Z$30,3,3*MATCH(Setup!$B22,Lookups!$A$21:$A$27,0)))</f>
        <v>If no improvement in waitGenerations of generations, then exit</v>
      </c>
      <c r="D27" s="27"/>
      <c r="E27" s="23"/>
    </row>
    <row r="28" spans="1:6" s="23" customFormat="1" ht="28">
      <c r="A28" s="23" t="str">
        <f>IF(LEN(INDEX(Lookups!$C$21:$Z$30,4,3*MATCH(Setup!$B22,Lookups!$A$21:$A$27,0)-2))=0,"",INDEX(Lookups!$C$21:$Z$30,4,3*MATCH(Setup!$B22,Lookups!$A$21:$A$27,0)-2))</f>
        <v>bfgsburnin</v>
      </c>
      <c r="B28" s="18">
        <f>IF(D28&lt;&gt;"",D28,IF(LEN(INDEX(Lookups!$C$21:$Z$30,4,3*MATCH(Setup!$B22,Lookups!$A$21:$A$27,0)-1))=0,"",INDEX(Lookups!$C$21:$Z$30,4,3*MATCH(Setup!$B22,Lookups!$A$21:$A$27,0)-1)))</f>
        <v>2</v>
      </c>
      <c r="C28" s="25" t="str">
        <f>IF(LEN(INDEX(Lookups!$C$21:$Z$30,4,3*MATCH(Setup!$B22,Lookups!$A$21:$A$27,0)))=0,"",INDEX(Lookups!$C$21:$Z$30,4,3*MATCH(Setup!$B22,Lookups!$A$21:$A$27,0)))</f>
        <v>The number of generations which are run before the BFGS is ﬁrst used</v>
      </c>
      <c r="D28" s="27"/>
    </row>
    <row r="29" spans="1:6" s="23" customFormat="1" ht="28">
      <c r="A29" s="23" t="str">
        <f>IF(LEN(INDEX(Lookups!$C$21:$Z$30,5,3*MATCH(Setup!$B22,Lookups!$A$21:$A$27,0)-2))=0,"",INDEX(Lookups!$C$21:$Z$30,5,3*MATCH(Setup!$B22,Lookups!$A$21:$A$27,0)-2))</f>
        <v>solutionTolerance</v>
      </c>
      <c r="B29" s="18">
        <f>IF(D29&lt;&gt;"",D29,IF(LEN(INDEX(Lookups!$C$21:$Z$30,5,3*MATCH(Setup!$B22,Lookups!$A$21:$A$27,0)-1))=0,"",INDEX(Lookups!$C$21:$Z$30,5,3*MATCH(Setup!$B22,Lookups!$A$21:$A$27,0)-1)))</f>
        <v>0.01</v>
      </c>
      <c r="C29" s="25" t="str">
        <f>IF(LEN(INDEX(Lookups!$C$21:$Z$30,5,3*MATCH(Setup!$B22,Lookups!$A$21:$A$27,0)))=0,"",INDEX(Lookups!$C$21:$Z$30,5,3*MATCH(Setup!$B22,Lookups!$A$21:$A$27,0)))</f>
        <v>Numbers within solutionTolerance are considered equal</v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epsilonGradient</v>
      </c>
      <c r="B30" s="18">
        <f>IF(D30&lt;&gt;"",D30,IF(LEN(INDEX(Lookups!$C$21:$Z$30,6,3*MATCH(Setup!$B22,Lookups!$A$21:$A$27,0)-1))=0,"",INDEX(Lookups!$C$21:$Z$30,6,3*MATCH(Setup!$B22,Lookups!$A$21:$A$27,0)-1)))</f>
        <v>0.01</v>
      </c>
      <c r="C30" s="25" t="str">
        <f>IF(LEN(INDEX(Lookups!$C$21:$Z$30,6,3*MATCH(Setup!$B22,Lookups!$A$21:$A$27,0)))=0,"",INDEX(Lookups!$C$21:$Z$30,6,3*MATCH(Setup!$B22,Lookups!$A$21:$A$27,0)))</f>
        <v>epsilon in gradient calculation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>pgtol</v>
      </c>
      <c r="B31" s="18">
        <f>IF(D31&lt;&gt;"",D31,IF(LEN(INDEX(Lookups!$C$21:$Z$30,7,3*MATCH(Setup!$B22,Lookups!$A$21:$A$27,0)-1))=0,"",INDEX(Lookups!$C$21:$Z$30,7,3*MATCH(Setup!$B22,Lookups!$A$21:$A$27,0)-1)))</f>
        <v>0.01</v>
      </c>
      <c r="C31" s="25" t="str">
        <f>IF(LEN(INDEX(Lookups!$C$21:$Z$30,7,3*MATCH(Setup!$B22,Lookups!$A$21:$A$27,0)))=0,"",INDEX(Lookups!$C$21:$Z$30,7,3*MATCH(Setup!$B22,Lookups!$A$21:$A$27,0)))</f>
        <v>tolerance on the projected gradient</v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>factr</v>
      </c>
      <c r="B32" s="18">
        <f>IF(D32&lt;&gt;"",D32,IF(LEN(INDEX(Lookups!$C$21:$Z$30,8,3*MATCH(Setup!$B22,Lookups!$A$21:$A$27,0)-1))=0,"",INDEX(Lookups!$C$21:$Z$30,8,3*MATCH(Setup!$B22,Lookups!$A$21:$A$27,0)-1)))</f>
        <v>45036000000000</v>
      </c>
      <c r="C32" s="25" t="str">
        <f>IF(LEN(INDEX(Lookups!$C$21:$Z$30,8,3*MATCH(Setup!$B22,Lookups!$A$21:$A$27,0)))=0,"",INDEX(Lookups!$C$21:$Z$30,8,3*MATCH(Setup!$B22,Lookups!$A$21:$A$27,0)))</f>
        <v>Tolerance on delta_F</v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>maxit</v>
      </c>
      <c r="B33" s="18">
        <f>IF(D33&lt;&gt;"",D33,IF(LEN(INDEX(Lookups!$C$21:$Z$30,9,3*MATCH(Setup!$B22,Lookups!$A$21:$A$27,0)-1))=0,"",INDEX(Lookups!$C$21:$Z$30,9,3*MATCH(Setup!$B22,Lookups!$A$21:$A$27,0)-1)))</f>
        <v>100</v>
      </c>
      <c r="C33" s="25" t="str">
        <f>IF(LEN(INDEX(Lookups!$C$21:$Z$30,9,3*MATCH(Setup!$B22,Lookups!$A$21:$A$27,0)))=0,"",INDEX(Lookups!$C$21:$Z$30,9,3*MATCH(Setup!$B22,Lookups!$A$21:$A$27,0)))</f>
        <v>Maximum number of iterations</v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>normType</v>
      </c>
      <c r="B34" s="18" t="str">
        <f>IF(D34&lt;&gt;"",D34,IF(LEN(INDEX(Lookups!$C$21:$Z$30,10,3*MATCH(Setup!$B22,Lookups!$A$21:$A$27,0)-1))=0,"",INDEX(Lookups!$C$21:$Z$30,10,3*MATCH(Setup!$B22,Lookups!$A$21:$A$27,0)-1)))</f>
        <v>minkowski</v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>pPower</v>
      </c>
      <c r="B35" s="18">
        <f>IF(D35&lt;&gt;"",D35,IF(LEN(INDEX(Lookups!$C$21:$Z$31,11,3*MATCH(Setup!$B22,Lookups!$A$21:$A$27,0)-1))=0,"",INDEX(Lookups!$C$21:$Z$31,11,3*MATCH(Setup!$B22,Lookups!$A$21:$A$27,0)-1)))</f>
        <v>2</v>
      </c>
      <c r="C35" s="25" t="str">
        <f>IF(LEN(INDEX(Lookups!$C$21:$Z$31,11,3*MATCH(Setup!$B22,Lookups!$A$21:$A$27,0)))=0,"",INDEX(Lookups!$C$21:$Z$31,11,3*MATCH(Setup!$B22,Lookups!$A$21:$A$27,0)))</f>
        <v>Lp norm power</v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710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719</v>
      </c>
      <c r="C41" s="14" t="s">
        <v>41</v>
      </c>
      <c r="D41" s="14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6" spans="1:6" s="2" customFormat="1" ht="56">
      <c r="A46" s="6" t="s">
        <v>732</v>
      </c>
      <c r="B46" s="19" t="s">
        <v>733</v>
      </c>
      <c r="C46" s="6" t="s">
        <v>734</v>
      </c>
      <c r="D46" s="19"/>
      <c r="E46" s="19"/>
      <c r="F46" s="8" t="s">
        <v>735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736</v>
      </c>
      <c r="B49" s="19" t="s">
        <v>737</v>
      </c>
      <c r="C49" s="6" t="s">
        <v>734</v>
      </c>
      <c r="D49" s="19"/>
      <c r="E49" s="19"/>
      <c r="F49" s="8" t="s">
        <v>738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A19" zoomScale="150" zoomScaleNormal="150" zoomScalePageLayoutView="150" workbookViewId="0">
      <selection activeCell="B26" sqref="B2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716</v>
      </c>
      <c r="Q22" s="42" t="s">
        <v>717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739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740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661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718</v>
      </c>
      <c r="E35" s="42" t="s">
        <v>172</v>
      </c>
      <c r="F35" s="42" t="s">
        <v>700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3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701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702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663</v>
      </c>
      <c r="B6" s="15"/>
      <c r="C6" s="15"/>
      <c r="D6" s="15" t="s">
        <v>703</v>
      </c>
      <c r="E6" s="15" t="s">
        <v>664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665</v>
      </c>
      <c r="B7" s="15"/>
      <c r="C7" s="15"/>
      <c r="D7" s="15" t="s">
        <v>704</v>
      </c>
      <c r="E7" s="15" t="s">
        <v>664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705</v>
      </c>
      <c r="E8" s="15" t="s">
        <v>664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667</v>
      </c>
      <c r="B9" s="15"/>
      <c r="C9" s="15"/>
      <c r="D9" s="15" t="s">
        <v>706</v>
      </c>
      <c r="E9" s="15" t="s">
        <v>668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670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671</v>
      </c>
      <c r="B11" s="15"/>
      <c r="C11" s="15"/>
      <c r="D11" s="15" t="s">
        <v>672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673</v>
      </c>
      <c r="B12" s="15"/>
      <c r="C12" s="15"/>
      <c r="D12" s="15" t="s">
        <v>674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675</v>
      </c>
      <c r="B13" s="15"/>
      <c r="C13" s="15"/>
      <c r="D13" s="15" t="s">
        <v>676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677</v>
      </c>
      <c r="B14" s="15"/>
      <c r="C14" s="15"/>
      <c r="D14" s="15" t="s">
        <v>678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679</v>
      </c>
      <c r="B15" s="15"/>
      <c r="C15" s="15"/>
      <c r="D15" s="15" t="s">
        <v>680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681</v>
      </c>
      <c r="B16" s="15"/>
      <c r="C16" s="15"/>
      <c r="D16" s="15" t="s">
        <v>682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683</v>
      </c>
      <c r="B17" s="15"/>
      <c r="C17" s="15"/>
      <c r="D17" s="15" t="s">
        <v>684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685</v>
      </c>
      <c r="B18" s="15"/>
      <c r="C18" s="15"/>
      <c r="D18" s="15" t="s">
        <v>686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687</v>
      </c>
      <c r="B19" s="15"/>
      <c r="C19" s="15"/>
      <c r="D19" s="15" t="s">
        <v>688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689</v>
      </c>
      <c r="B20" s="15"/>
      <c r="C20" s="15"/>
      <c r="D20" s="15" t="s">
        <v>690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691</v>
      </c>
      <c r="B21" s="15"/>
      <c r="C21" s="15"/>
      <c r="D21" s="15" t="s">
        <v>692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693</v>
      </c>
      <c r="B22" s="15"/>
      <c r="C22" s="15"/>
      <c r="D22" s="15" t="s">
        <v>694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695</v>
      </c>
      <c r="B23" s="15"/>
      <c r="C23" s="15"/>
      <c r="D23" s="15" t="s">
        <v>696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697</v>
      </c>
      <c r="B24" s="15"/>
      <c r="C24" s="15"/>
      <c r="D24" s="15" t="s">
        <v>698</v>
      </c>
      <c r="E24" s="15" t="s">
        <v>699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34" sqref="D34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659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656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657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657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657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652</v>
      </c>
      <c r="E6" s="22" t="s">
        <v>725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650</v>
      </c>
      <c r="E7" s="22" t="s">
        <v>725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651</v>
      </c>
      <c r="E8" s="22" t="s">
        <v>726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653</v>
      </c>
      <c r="E9" s="22" t="s">
        <v>726</v>
      </c>
    </row>
    <row r="10" spans="1:7">
      <c r="A10" s="22" t="s">
        <v>606</v>
      </c>
      <c r="B10" s="22" t="s">
        <v>654</v>
      </c>
      <c r="C10" s="22" t="s">
        <v>607</v>
      </c>
      <c r="D10" s="22" t="s">
        <v>655</v>
      </c>
      <c r="E10" s="22" t="s">
        <v>726</v>
      </c>
    </row>
    <row r="11" spans="1:7" s="22" customFormat="1">
      <c r="A11" s="22" t="s">
        <v>727</v>
      </c>
      <c r="B11" s="22" t="s">
        <v>446</v>
      </c>
      <c r="C11" s="22" t="s">
        <v>728</v>
      </c>
      <c r="D11" s="22" t="s">
        <v>729</v>
      </c>
      <c r="E11" s="22" t="s">
        <v>658</v>
      </c>
    </row>
    <row r="12" spans="1:7" s="22" customFormat="1">
      <c r="A12" s="22" t="s">
        <v>730</v>
      </c>
      <c r="B12" s="22" t="s">
        <v>447</v>
      </c>
      <c r="C12" s="22" t="s">
        <v>731</v>
      </c>
      <c r="D12" s="22" t="s">
        <v>729</v>
      </c>
      <c r="E12" s="22" t="s">
        <v>658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2015-01-23T21:37:30Z</dcterms:modified>
</cp:coreProperties>
</file>