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externalReferences>
    <externalReference r:id="rId6"/>
  </externalReference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c3.4xlarge">[1]Lookups!$A$2:$A$12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" l="1"/>
  <c r="N40" i="2"/>
  <c r="N46" i="2"/>
  <c r="N44" i="2"/>
  <c r="E7" i="7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<sst xmlns="http://schemas.openxmlformats.org/spreadsheetml/2006/main" count="2351" uniqueCount="732">
  <si>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</si>
  <si>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</si>
  <si>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</si>
  <si>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</si>
  <si>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</si>
  <si>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</si>
  <si>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</si>
  <si>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</si>
  <si>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</si>
  <si>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</si>
  <si>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</si>
  <si>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</si>
  <si>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</si>
  <si>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</si>
  <si>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</si>
  <si>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</si>
  <si>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</si>
  <si>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</si>
  <si>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</si>
  <si>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</si>
  <si>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</si>
  <si>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</si>
  <si>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</si>
  <si>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</si>
  <si>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</si>
  <si>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</si>
  <si>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</si>
  <si>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</si>
  <si>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</si>
  <si>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</si>
  <si>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</si>
  <si>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</si>
  <si>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</si>
  <si>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</si>
  <si>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</si>
  <si>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</si>
  <si>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</si>
  <si>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</si>
  <si>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</si>
  <si>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</si>
  <si>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</si>
  <si>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</si>
  <si>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</si>
  <si>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</si>
  <si>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</si>
  <si>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</si>
  <si>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</si>
  <si>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</si>
  <si>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</si>
  <si>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</si>
  <si>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</si>
  <si>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</si>
  <si>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</si>
  <si>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</si>
  <si>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</si>
  <si>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</si>
  <si>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</si>
  <si>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</si>
  <si>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</si>
  <si>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</si>
  <si>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</si>
  <si>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</si>
  <si>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</si>
  <si>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</si>
  <si>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</si>
  <si>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</si>
  <si>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</si>
  <si>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</si>
  <si>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</si>
  <si>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</si>
  <si>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</si>
  <si>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</si>
  <si>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</si>
  <si>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</si>
  <si>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</si>
  <si>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</si>
  <si>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</si>
  <si>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</si>
  <si>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</si>
  <si>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</si>
  <si>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</si>
  <si>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</si>
  <si>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</si>
  <si>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</si>
  <si>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</si>
  <si>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</si>
  <si>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</si>
  <si>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</si>
  <si>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</si>
  <si>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</si>
  <si>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</si>
  <si>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</si>
  <si>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</si>
  <si>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</si>
  <si>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</si>
  <si>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</si>
  <si>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</si>
  <si>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</si>
  <si>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</si>
  <si>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</si>
  <si>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</si>
  <si>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</si>
  <si>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</si>
  <si>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</si>
  <si>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</si>
  <si>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</si>
  <si>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</si>
  <si>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</si>
  <si>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</si>
  <si>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</si>
  <si>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</si>
  <si>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</si>
  <si>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</si>
  <si>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</si>
  <si>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</si>
  <si>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</si>
  <si>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</si>
  <si>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</si>
  <si>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</si>
  <si>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</si>
  <si>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</si>
  <si>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</si>
  <si>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</si>
  <si>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</si>
  <si>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</si>
  <si>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</si>
  <si>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</si>
  <si>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</si>
  <si>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</si>
  <si>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</si>
  <si>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</si>
  <si>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</si>
  <si>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</si>
  <si>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</si>
  <si>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</si>
  <si>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</si>
  <si>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</si>
  <si>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</si>
  <si>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</si>
  <si>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</si>
  <si>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</si>
  <si>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</si>
  <si>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</si>
  <si>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</si>
  <si>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</si>
  <si>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</si>
  <si>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</si>
  <si>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</si>
  <si>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</si>
  <si>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</si>
  <si>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</si>
  <si>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</si>
  <si>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</si>
  <si>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</si>
  <si>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</si>
  <si>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</si>
  <si>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</si>
  <si>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</si>
  <si>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</si>
  <si>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</si>
  <si>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</si>
  <si>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</si>
  <si>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</si>
  <si>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</si>
  <si>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</si>
  <si>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</si>
  <si>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</si>
  <si>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</si>
  <si>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</si>
  <si>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</si>
  <si>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</si>
  <si>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</si>
  <si>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</si>
  <si>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</si>
  <si>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</si>
  <si>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</si>
  <si>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</si>
  <si>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</si>
  <si>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</si>
  <si>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</si>
  <si>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</si>
  <si>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</si>
  <si>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</si>
  <si>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</si>
  <si>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</si>
  <si>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</si>
  <si>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</si>
  <si>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</si>
  <si>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</si>
  <si>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</si>
  <si>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</si>
  <si>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</si>
  <si>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</si>
  <si>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</si>
  <si>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</si>
  <si>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</si>
  <si>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</si>
  <si>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</si>
  <si>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</si>
  <si>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</si>
  <si>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</si>
  <si>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</si>
  <si>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</si>
  <si>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</si>
  <si>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</si>
  <si>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</si>
  <si>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</si>
  <si>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</si>
  <si>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</si>
  <si>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</si>
  <si>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</si>
  <si>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</si>
  <si>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</si>
  <si>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</si>
  <si>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</si>
  <si>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</si>
  <si>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</si>
  <si>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</si>
  <si>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</si>
  <si>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</si>
  <si>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</si>
  <si>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</si>
  <si>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</si>
  <si>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</si>
  <si>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</si>
  <si>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</si>
  <si>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</si>
  <si>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</si>
  <si>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</si>
  <si>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</si>
  <si>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</si>
  <si>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</si>
  <si>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</si>
  <si>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</si>
  <si>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</si>
  <si>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</si>
  <si>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</si>
  <si>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</si>
  <si>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</si>
  <si>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</si>
  <si>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</si>
  <si>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</si>
  <si>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</si>
  <si>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</si>
  <si>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</si>
  <si>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</si>
  <si>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</si>
  <si>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</si>
  <si>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</si>
  <si>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</si>
  <si>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</si>
  <si>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</si>
  <si>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</si>
  <si>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</si>
  <si>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</si>
  <si>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</si>
  <si>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</si>
  <si>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</si>
  <si>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</si>
  <si>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</si>
  <si>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</si>
  <si>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</si>
  <si>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</si>
  <si>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</si>
  <si>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</si>
  <si>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</si>
  <si>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</si>
  <si>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</si>
  <si>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</si>
  <si>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</si>
  <si>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</si>
  <si>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</si>
  <si>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</si>
  <si>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</si>
  <si>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</si>
  <si>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</si>
  <si>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</si>
  <si>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</si>
  <si>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</si>
  <si>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</si>
  <si>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</si>
  <si>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</si>
  <si>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</si>
  <si>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</si>
  <si>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</si>
  <si>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</si>
  <si>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</si>
  <si>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</si>
  <si>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</si>
  <si>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</si>
  <si>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</si>
  <si>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</si>
  <si>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</si>
  <si>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</si>
  <si>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</si>
  <si>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</si>
  <si>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</si>
  <si>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</si>
  <si>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</si>
  <si>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</si>
  <si>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</si>
  <si>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</si>
  <si>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</si>
  <si>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</si>
  <si>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</si>
  <si>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</si>
  <si>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</si>
  <si>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</si>
  <si>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</si>
  <si>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</si>
  <si>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</si>
  <si>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</si>
  <si>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</si>
  <si>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</si>
  <si>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</si>
  <si>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</si>
  <si>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</si>
  <si>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</si>
  <si>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</si>
  <si>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</si>
  <si>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</si>
  <si>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</si>
  <si>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</si>
  <si>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</si>
  <si>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</si>
  <si>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</si>
  <si>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</si>
  <si>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</si>
  <si>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</si>
  <si>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</si>
  <si>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</si>
  <si>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</si>
  <si>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</si>
  <si>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</si>
  <si>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</si>
  <si>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</si>
  <si>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</si>
  <si>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</si>
  <si>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</si>
  <si>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</si>
  <si>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</si>
  <si>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</si>
  <si>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</si>
  <si>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</si>
  <si>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</si>
  <si>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</si>
  <si>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</si>
  <si>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</si>
  <si>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</si>
  <si>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</si>
  <si>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</si>
  <si>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</si>
  <si>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</si>
  <si>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</si>
  <si>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</si>
  <si>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</si>
  <si>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</si>
  <si>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</si>
  <si>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</si>
  <si>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</si>
  <si>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</si>
  <si>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</si>
  <si>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</si>
  <si>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</si>
  <si>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</si>
  <si>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</si>
  <si>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</si>
  <si>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</si>
  <si>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</si>
  <si>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</si>
  <si>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</si>
  <si>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</si>
  <si>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</si>
  <si>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</si>
  <si>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</si>
  <si>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</si>
  <si>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</si>
  <si>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</si>
  <si>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</si>
  <si>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</si>
  <si>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</si>
  <si>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</si>
  <si>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</si>
  <si>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</si>
  <si>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</si>
  <si>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</si>
  <si>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</si>
  <si>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</si>
  <si>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</si>
  <si>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</si>
  <si>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</si>
  <si>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</si>
  <si>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</si>
  <si>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</si>
  <si>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</si>
  <si>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</si>
  <si>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</si>
  <si>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</si>
  <si>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</si>
  <si>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</si>
  <si>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</si>
  <si>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</si>
  <si>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</si>
  <si>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</si>
  <si>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</si>
  <si>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</si>
  <si>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</si>
  <si>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</si>
  <si>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</si>
  <si>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</si>
  <si>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</si>
  <si>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</si>
  <si>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</si>
  <si>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</si>
  <si>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</si>
  <si>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</si>
  <si>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</si>
  <si>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</si>
  <si>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</si>
  <si>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</si>
  <si>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</si>
  <si>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</si>
  <si>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</si>
  <si>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</si>
  <si>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</si>
  <si>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</si>
  <si>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</si>
  <si>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</si>
  <si>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</si>
  <si>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</si>
  <si>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</si>
  <si>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</si>
  <si>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</si>
  <si>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</si>
  <si>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</si>
  <si>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</si>
  <si>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</si>
  <si>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</si>
  <si>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</si>
  <si>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</si>
  <si>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</si>
  <si>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</si>
  <si>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</si>
  <si>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</si>
  <si>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</si>
  <si>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</si>
  <si>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</si>
  <si>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</si>
  <si>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</si>
  <si>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</si>
  <si>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</si>
  <si>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</si>
  <si>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</si>
  <si>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</si>
  <si>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</si>
  <si>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</si>
  <si>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</si>
  <si>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</si>
  <si>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</si>
  <si>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</si>
  <si>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</si>
  <si>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</si>
  <si>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</si>
  <si>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</si>
  <si>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</si>
  <si>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</si>
  <si>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</si>
  <si>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</si>
  <si>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</si>
  <si>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</si>
  <si>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</si>
  <si>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</si>
  <si>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</si>
  <si>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</si>
  <si>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</si>
  <si>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</si>
  <si>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</si>
  <si>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</si>
  <si>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</si>
  <si>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</si>
  <si>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</si>
  <si>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</si>
  <si>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</si>
  <si>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</si>
  <si>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</si>
  <si>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</si>
  <si>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</si>
  <si>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</si>
  <si>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</si>
  <si>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</si>
  <si>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</si>
  <si>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</si>
  <si>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</si>
  <si>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</si>
  <si>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</si>
  <si>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</si>
  <si>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</si>
  <si>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</si>
  <si>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</si>
  <si>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</si>
  <si>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</si>
  <si>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</si>
  <si>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</si>
  <si>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</si>
  <si>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</si>
  <si>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</si>
  <si>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</si>
  <si>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</si>
  <si>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</si>
  <si>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</si>
  <si>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</si>
  <si>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</si>
  <si>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</si>
  <si>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</si>
  <si>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</si>
  <si>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</si>
  <si>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</si>
  <si>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</si>
  <si>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</si>
  <si>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</si>
  <si>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</si>
  <si>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</si>
  <si>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</si>
  <si>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</si>
  <si>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</si>
  <si>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</si>
  <si>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</si>
  <si>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</si>
  <si>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</si>
  <si>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</si>
  <si>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</si>
  <si>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</si>
  <si>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</si>
  <si>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</si>
  <si>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</si>
  <si>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</si>
  <si>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</si>
  <si>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</si>
  <si>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</si>
  <si>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</si>
  <si>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</si>
  <si>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</si>
  <si>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</si>
  <si>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</si>
  <si>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</si>
  <si>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</si>
  <si>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</si>
  <si>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</si>
  <si>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</si>
  <si>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</si>
  <si>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</si>
  <si>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</si>
  <si>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</si>
  <si>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</si>
  <si>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</si>
  <si>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</si>
  <si>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</si>
  <si>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</si>
  <si>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</si>
  <si>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</si>
  <si>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</si>
  <si>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</si>
  <si>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</si>
  <si>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</si>
  <si>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</si>
  <si>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</si>
  <si>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</si>
  <si>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</si>
  <si>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</si>
  <si>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</si>
  <si>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</si>
  <si>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</si>
  <si>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</si>
  <si>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</si>
  <si>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</si>
  <si>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</si>
  <si>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</si>
  <si>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</si>
  <si>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</si>
  <si>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</si>
  <si>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</si>
  <si>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</si>
  <si>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</si>
  <si>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</si>
  <si>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</si>
  <si>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</si>
  <si>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</si>
  <si>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</si>
  <si>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</si>
  <si>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</si>
  <si>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</si>
  <si>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</si>
  <si>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</si>
  <si>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</si>
  <si>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</si>
  <si>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</si>
  <si>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</si>
  <si>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</si>
  <si>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</si>
  <si>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</si>
  <si>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</si>
  <si>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</si>
  <si>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</si>
  <si>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</si>
  <si>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</si>
  <si>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</si>
  <si>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</si>
  <si>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</si>
  <si>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</si>
  <si>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</si>
  <si>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</si>
  <si>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</si>
  <si>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</si>
  <si>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</si>
  <si>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</si>
  <si>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</si>
  <si>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</si>
  <si>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</si>
  <si>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</si>
  <si>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</si>
  <si>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</si>
  <si>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</si>
  <si>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</si>
  <si>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</si>
  <si>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</si>
  <si>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</si>
  <si>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</si>
  <si>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</si>
  <si>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</si>
  <si>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</si>
  <si>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</si>
  <si>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</si>
  <si>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</si>
  <si>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</si>
  <si>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</si>
  <si>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</si>
  <si>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</si>
  <si>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</si>
  <si>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</si>
  <si>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</si>
  <si>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</si>
  <si>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</si>
  <si>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</si>
  <si>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</si>
  <si>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</si>
  <si>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</si>
  <si>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</si>
  <si>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</si>
  <si>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</si>
  <si>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</si>
  <si>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</si>
  <si>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</si>
  <si>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m2.2xlarge</t>
  </si>
  <si>
    <t>$0.49/hour</t>
  </si>
  <si>
    <t>850 GB</t>
  </si>
  <si>
    <t>m2.4xlarge</t>
  </si>
  <si>
    <t>$0.98/hour</t>
  </si>
  <si>
    <t>840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</si>
  <si>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</si>
  <si>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</si>
  <si>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</si>
  <si>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</si>
  <si>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</si>
  <si>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</si>
  <si>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</si>
  <si>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Worker Only</t>
  </si>
  <si>
    <t>Worker Only - Recommended for Worker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</si>
  <si>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</si>
  <si>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</si>
  <si>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</si>
  <si>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</si>
  <si>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</si>
  <si>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</si>
  <si>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</si>
  <si>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</si>
  <si>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</si>
  <si>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</si>
  <si>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</si>
  <si>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</si>
  <si>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</si>
  <si>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</si>
  <si>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</si>
  <si>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</si>
  <si>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</si>
  <si>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</si>
  <si>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</si>
  <si>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</si>
  <si>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</si>
  <si>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</si>
  <si>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</si>
  <si>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</si>
  <si>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</si>
  <si>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</si>
  <si>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</si>
  <si>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</si>
  <si>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</si>
  <si>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</si>
  <si>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</si>
  <si>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</si>
  <si>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</si>
  <si>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</si>
  <si>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</si>
  <si>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</si>
  <si>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</si>
  <si>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</si>
  <si>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</si>
  <si>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</si>
  <si>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</si>
  <si>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</si>
  <si>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</si>
  <si>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</si>
  <si>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</si>
  <si>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</si>
  <si>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</si>
  <si>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</si>
  <si>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</si>
  <si>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</si>
  <si>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</si>
  <si>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</si>
  <si>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</si>
  <si>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</si>
  <si>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</si>
  <si>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</si>
  <si>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</si>
  <si>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</si>
  <si>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</si>
  <si>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</si>
  <si>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large office</t>
  </si>
  <si>
    <t>rgenoud template</t>
  </si>
  <si>
    <t>../seeds/large_office_air_cooled_chiller.osm</t>
  </si>
  <si>
    <t>0.3.5</t>
  </si>
  <si>
    <t>1.8.0-rc2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</si>
</sst>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15" borderId="0" xfId="0" applyFill="1"/>
    <xf numFmtId="0" fontId="0" fillId="15" borderId="0" xfId="0" applyFill="1" applyAlignment="1">
      <alignment horizontal="right"/>
    </xf>
    <xf numFmtId="0" fontId="5" fillId="7" borderId="0" xfId="0" applyFont="1" applyFill="1"/>
    <xf numFmtId="0" fontId="5" fillId="15" borderId="0" xfId="0" applyFont="1" applyFill="1"/>
    <xf numFmtId="0" fontId="7" fillId="11" borderId="0" xfId="0" applyFont="1" applyFill="1" applyAlignment="1">
      <alignment horizontal="center"/>
    </xf>
  </cellXfs>
  <cellStyles count="1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lhs_discrete_continuou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  <sheetName val="Variables"/>
      <sheetName val="Outputs"/>
      <sheetName val="BCL Measure Data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m3.medium</v>
          </cell>
        </row>
        <row r="3">
          <cell r="A3" t="str">
            <v>m3.large</v>
          </cell>
        </row>
        <row r="4">
          <cell r="A4" t="str">
            <v>m3.xlarge</v>
          </cell>
        </row>
        <row r="5">
          <cell r="A5" t="str">
            <v>m3.2xlarge</v>
          </cell>
        </row>
        <row r="6">
          <cell r="A6" t="str">
            <v>m2.2xlarge</v>
          </cell>
        </row>
        <row r="7">
          <cell r="A7" t="str">
            <v>m2.4xlarge</v>
          </cell>
        </row>
        <row r="8">
          <cell r="A8" t="str">
            <v>c3.large</v>
          </cell>
        </row>
        <row r="9">
          <cell r="A9" t="str">
            <v>c3.xlarge</v>
          </cell>
        </row>
        <row r="10">
          <cell r="A10" t="str">
            <v>c3.2xlarge</v>
          </cell>
        </row>
        <row r="11">
          <cell r="A11" t="str">
            <v>c3.4xlarge</v>
          </cell>
        </row>
        <row r="12">
          <cell r="A12" t="str">
            <v>c3.8xlarge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zoomScale="120" zoomScaleNormal="120" zoomScalePageLayoutView="120" workbookViewId="0">
      <selection activeCell="B8" sqref="B8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4" t="s">
        <v>730</v>
      </c>
      <c r="F3" s="1" t="s">
        <v>437</v>
      </c>
    </row>
    <row r="4" spans="1:6" ht="28">
      <c r="A4" s="1" t="s">
        <v>458</v>
      </c>
      <c r="B4" s="17" t="s">
        <v>516</v>
      </c>
      <c r="F4" s="2" t="s">
        <v>459</v>
      </c>
    </row>
    <row r="5" spans="1:6" ht="42">
      <c r="A5" s="1" t="s">
        <v>471</v>
      </c>
      <c r="B5" s="18" t="s">
        <v>731</v>
      </c>
      <c r="F5" s="2" t="s">
        <v>618</v>
      </c>
    </row>
    <row r="6" spans="1:6" ht="46" customHeight="1">
      <c r="A6" s="1" t="s">
        <v>472</v>
      </c>
      <c r="B6" s="17" t="s">
        <v>608</v>
      </c>
      <c r="F6" s="2" t="s">
        <v>474</v>
      </c>
    </row>
    <row r="7" spans="1:6" ht="28">
      <c r="A7" s="1" t="s">
        <v>442</v>
      </c>
      <c r="B7" s="17" t="s">
        <v>652</v>
      </c>
      <c r="C7" s="24" t="str">
        <f>VLOOKUP($B7,instance_defs,5,FALSE)</f>
        <v>Recommended for Server if large analysis because of storage</v>
      </c>
      <c r="D7" s="24" t="str">
        <f>VLOOKUP($B7,instance_defs,2,FALSE)&amp;" with "&amp;VLOOKUP($B7,instance_defs,4,FALSE)</f>
        <v>4 Cores with 850 GB</v>
      </c>
      <c r="E7" s="24" t="str">
        <f>VLOOKUP($B7,instance_defs,3,FALSE)</f>
        <v>$0.49/hour</v>
      </c>
      <c r="F7" s="1" t="s">
        <v>610</v>
      </c>
    </row>
    <row r="8" spans="1:6" ht="28">
      <c r="A8" s="1" t="s">
        <v>443</v>
      </c>
      <c r="B8" s="17" t="s">
        <v>604</v>
      </c>
      <c r="C8" s="24" t="str">
        <f>VLOOKUP($B8,instance_defs,5,FALSE)</f>
        <v>Worker Only - Recommended for Worker</v>
      </c>
      <c r="D8" s="24" t="str">
        <f>VLOOKUP($B8,instance_defs,2,FALSE)&amp;" with "&amp;VLOOKUP($B8,instance_defs,4,FALSE)</f>
        <v>16 Cores with 160 GB</v>
      </c>
      <c r="E8" s="24" t="str">
        <f>VLOOKUP($B8,instance_defs,3,FALSE)</f>
        <v>$0.84/hour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668</v>
      </c>
      <c r="E9" s="24" t="str">
        <f>"$"&amp;VALUE(LEFT(E7,5))+B9*VALUE(LEFT(E8,5))&amp;"/hour"</f>
        <v>$1.33/hour</v>
      </c>
      <c r="F9" s="2" t="s">
        <v>609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728</v>
      </c>
      <c r="F12" s="1" t="s">
        <v>473</v>
      </c>
    </row>
    <row r="13" spans="1:6">
      <c r="A13" s="1" t="s">
        <v>25</v>
      </c>
      <c r="B13" s="17" t="s">
        <v>717</v>
      </c>
      <c r="F13" s="23" t="s">
        <v>619</v>
      </c>
    </row>
    <row r="14" spans="1:6">
      <c r="A14" s="1" t="s">
        <v>26</v>
      </c>
      <c r="B14" s="17" t="s">
        <v>452</v>
      </c>
      <c r="F14" s="23" t="s">
        <v>619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611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547</v>
      </c>
      <c r="F18" s="1" t="s">
        <v>437</v>
      </c>
    </row>
    <row r="20" spans="1:6" s="2" customFormat="1" ht="42">
      <c r="A20" s="6" t="s">
        <v>27</v>
      </c>
      <c r="B20" s="19" t="s">
        <v>612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554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615</v>
      </c>
      <c r="C23" s="6" t="s">
        <v>613</v>
      </c>
      <c r="D23" s="6" t="s">
        <v>614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popSize</v>
      </c>
      <c r="B24" s="18">
        <f>IF(D24&lt;&gt;"",D24,IF(LEN(INDEX(Lookups!$C$21:$Z$30,1,3*MATCH(Setup!$B21,Lookups!$A$21:$A$27,0)-1))=0,"",INDEX(Lookups!$C$21:$Z$30,1,3*MATCH(Setup!$B21,Lookups!$A$21:$A$27,0)-1)))</f>
        <v>30</v>
      </c>
      <c r="C24" s="25" t="str">
        <f>IF(LEN(INDEX(Lookups!$C$21:$Z$30,1,3*MATCH(Setup!$B21,Lookups!$A$21:$A$27,0)))=0,"",INDEX(Lookups!$C$21:$Z$30,1,3*MATCH(Setup!$B21,Lookups!$A$21:$A$27,0)))</f>
        <v>Size of initial population</v>
      </c>
      <c r="D24" s="27"/>
      <c r="E24" s="23"/>
    </row>
    <row r="25" spans="1:6">
      <c r="A25" s="23" t="str">
        <f>IF(LEN(INDEX(Lookups!$C$21:$Z$30,2,3*MATCH(Setup!$B21,Lookups!$A$21:$A$27,0)-2))=0,"",INDEX(Lookups!$C$21:$Z$30,2,3*MATCH(Setup!$B21,Lookups!$A$21:$A$27,0)-2))</f>
        <v>Generations</v>
      </c>
      <c r="B25" s="18">
        <f>IF(D25&lt;&gt;"",D25,IF(LEN(INDEX(Lookups!$C$21:$Z$30,2,3*MATCH(Setup!$B21,Lookups!$A$21:$A$27,0)-1))=0,"",INDEX(Lookups!$C$21:$Z$30,2,3*MATCH(Setup!$B21,Lookups!$A$21:$A$27,0)-1)))</f>
        <v>5</v>
      </c>
      <c r="C25" s="25" t="str">
        <f>IF(LEN(INDEX(Lookups!$C$21:$Z$30,2,3*MATCH(Setup!$B21,Lookups!$A$21:$A$27,0)))=0,"",INDEX(Lookups!$C$21:$Z$30,2,3*MATCH(Setup!$B21,Lookups!$A$21:$A$27,0)))</f>
        <v>Number of generations</v>
      </c>
      <c r="D25" s="27"/>
      <c r="E25" s="23"/>
    </row>
    <row r="26" spans="1:6" ht="28">
      <c r="A26" s="23" t="str">
        <f>IF(LEN(INDEX(Lookups!$C$21:$Z$30,3,3*MATCH(Setup!$B21,Lookups!$A$21:$A$27,0)-2))=0,"",INDEX(Lookups!$C$21:$Z$30,3,3*MATCH(Setup!$B21,Lookups!$A$21:$A$27,0)-2))</f>
        <v>waitGenerations</v>
      </c>
      <c r="B26" s="18">
        <f>IF(D26&lt;&gt;"",D26,IF(LEN(INDEX(Lookups!$C$21:$Z$30,3,3*MATCH(Setup!$B21,Lookups!$A$21:$A$27,0)-1))=0,"",INDEX(Lookups!$C$21:$Z$30,3,3*MATCH(Setup!$B21,Lookups!$A$21:$A$27,0)-1)))</f>
        <v>2</v>
      </c>
      <c r="C26" s="25" t="str">
        <f>IF(LEN(INDEX(Lookups!$C$21:$Z$30,3,3*MATCH(Setup!$B21,Lookups!$A$21:$A$27,0)))=0,"",INDEX(Lookups!$C$21:$Z$30,3,3*MATCH(Setup!$B21,Lookups!$A$21:$A$27,0)))</f>
        <v>If no improvement in waitGenerations of generations, then exit</v>
      </c>
      <c r="D26" s="27"/>
      <c r="E26" s="23"/>
    </row>
    <row r="27" spans="1:6" s="23" customFormat="1" ht="28">
      <c r="A27" s="23" t="str">
        <f>IF(LEN(INDEX(Lookups!$C$21:$Z$30,4,3*MATCH(Setup!$B21,Lookups!$A$21:$A$27,0)-2))=0,"",INDEX(Lookups!$C$21:$Z$30,4,3*MATCH(Setup!$B21,Lookups!$A$21:$A$27,0)-2))</f>
        <v>bfgsburnin</v>
      </c>
      <c r="B27" s="18">
        <f>IF(D27&lt;&gt;"",D27,IF(LEN(INDEX(Lookups!$C$21:$Z$30,4,3*MATCH(Setup!$B21,Lookups!$A$21:$A$27,0)-1))=0,"",INDEX(Lookups!$C$21:$Z$30,4,3*MATCH(Setup!$B21,Lookups!$A$21:$A$27,0)-1)))</f>
        <v>2</v>
      </c>
      <c r="C27" s="25" t="str">
        <f>IF(LEN(INDEX(Lookups!$C$21:$Z$30,4,3*MATCH(Setup!$B21,Lookups!$A$21:$A$27,0)))=0,"",INDEX(Lookups!$C$21:$Z$30,4,3*MATCH(Setup!$B21,Lookups!$A$21:$A$27,0)))</f>
        <v>The number of generations which are run before the BFGS is ﬁrst used</v>
      </c>
      <c r="D27" s="27"/>
    </row>
    <row r="28" spans="1:6" s="23" customFormat="1" ht="28">
      <c r="A28" s="23" t="str">
        <f>IF(LEN(INDEX(Lookups!$C$21:$Z$30,5,3*MATCH(Setup!$B21,Lookups!$A$21:$A$27,0)-2))=0,"",INDEX(Lookups!$C$21:$Z$30,5,3*MATCH(Setup!$B21,Lookups!$A$21:$A$27,0)-2))</f>
        <v>solutionTolerance</v>
      </c>
      <c r="B28" s="18">
        <f>IF(D28&lt;&gt;"",D28,IF(LEN(INDEX(Lookups!$C$21:$Z$30,5,3*MATCH(Setup!$B21,Lookups!$A$21:$A$27,0)-1))=0,"",INDEX(Lookups!$C$21:$Z$30,5,3*MATCH(Setup!$B21,Lookups!$A$21:$A$27,0)-1)))</f>
        <v>0.01</v>
      </c>
      <c r="C28" s="25" t="str">
        <f>IF(LEN(INDEX(Lookups!$C$21:$Z$30,5,3*MATCH(Setup!$B21,Lookups!$A$21:$A$27,0)))=0,"",INDEX(Lookups!$C$21:$Z$30,5,3*MATCH(Setup!$B21,Lookups!$A$21:$A$27,0)))</f>
        <v>Numbers within solutionTolerance are considered equal</v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>epsilonGradient</v>
      </c>
      <c r="B29" s="18">
        <f>IF(D29&lt;&gt;"",D29,IF(LEN(INDEX(Lookups!$C$21:$Z$30,6,3*MATCH(Setup!$B21,Lookups!$A$21:$A$27,0)-1))=0,"",INDEX(Lookups!$C$21:$Z$30,6,3*MATCH(Setup!$B21,Lookups!$A$21:$A$27,0)-1)))</f>
        <v>0.01</v>
      </c>
      <c r="C29" s="25" t="str">
        <f>IF(LEN(INDEX(Lookups!$C$21:$Z$30,6,3*MATCH(Setup!$B21,Lookups!$A$21:$A$27,0)))=0,"",INDEX(Lookups!$C$21:$Z$30,6,3*MATCH(Setup!$B21,Lookups!$A$21:$A$27,0)))</f>
        <v>epsilon in gradient calculation</v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>pgtol</v>
      </c>
      <c r="B30" s="18">
        <f>IF(D30&lt;&gt;"",D30,IF(LEN(INDEX(Lookups!$C$21:$Z$30,7,3*MATCH(Setup!$B21,Lookups!$A$21:$A$27,0)-1))=0,"",INDEX(Lookups!$C$21:$Z$30,7,3*MATCH(Setup!$B21,Lookups!$A$21:$A$27,0)-1)))</f>
        <v>0.01</v>
      </c>
      <c r="C30" s="25" t="str">
        <f>IF(LEN(INDEX(Lookups!$C$21:$Z$30,7,3*MATCH(Setup!$B21,Lookups!$A$21:$A$27,0)))=0,"",INDEX(Lookups!$C$21:$Z$30,7,3*MATCH(Setup!$B21,Lookups!$A$21:$A$27,0)))</f>
        <v>tolerance on the projected gradient</v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>factr</v>
      </c>
      <c r="B31" s="18">
        <f>IF(D31&lt;&gt;"",D31,IF(LEN(INDEX(Lookups!$C$21:$Z$30,8,3*MATCH(Setup!$B21,Lookups!$A$21:$A$27,0)-1))=0,"",INDEX(Lookups!$C$21:$Z$30,8,3*MATCH(Setup!$B21,Lookups!$A$21:$A$27,0)-1)))</f>
        <v>45036000000000</v>
      </c>
      <c r="C31" s="25" t="str">
        <f>IF(LEN(INDEX(Lookups!$C$21:$Z$30,8,3*MATCH(Setup!$B21,Lookups!$A$21:$A$27,0)))=0,"",INDEX(Lookups!$C$21:$Z$30,8,3*MATCH(Setup!$B21,Lookups!$A$21:$A$27,0)))</f>
        <v>Tolerance on delta_F</v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>maxit</v>
      </c>
      <c r="B32" s="18">
        <f>IF(D32&lt;&gt;"",D32,IF(LEN(INDEX(Lookups!$C$21:$Z$30,9,3*MATCH(Setup!$B21,Lookups!$A$21:$A$27,0)-1))=0,"",INDEX(Lookups!$C$21:$Z$30,9,3*MATCH(Setup!$B21,Lookups!$A$21:$A$27,0)-1)))</f>
        <v>100</v>
      </c>
      <c r="C32" s="25" t="str">
        <f>IF(LEN(INDEX(Lookups!$C$21:$Z$30,9,3*MATCH(Setup!$B21,Lookups!$A$21:$A$27,0)))=0,"",INDEX(Lookups!$C$21:$Z$30,9,3*MATCH(Setup!$B21,Lookups!$A$21:$A$27,0)))</f>
        <v>Maximum number of iterations</v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>normType</v>
      </c>
      <c r="B33" s="18" t="str">
        <f>IF(D33&lt;&gt;"",D33,IF(LEN(INDEX(Lookups!$C$21:$Z$30,10,3*MATCH(Setup!$B21,Lookups!$A$21:$A$27,0)-1))=0,"",INDEX(Lookups!$C$21:$Z$30,10,3*MATCH(Setup!$B21,Lookups!$A$21:$A$27,0)-1)))</f>
        <v>minkowski</v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>pPower</v>
      </c>
      <c r="B34" s="18">
        <f>IF(D34&lt;&gt;"",D34,IF(LEN(INDEX(Lookups!$C$21:$Z$31,11,3*MATCH(Setup!$B21,Lookups!$A$21:$A$27,0)-1))=0,"",INDEX(Lookups!$C$21:$Z$31,11,3*MATCH(Setup!$B21,Lookups!$A$21:$A$27,0)-1)))</f>
        <v>2</v>
      </c>
      <c r="C34" s="25" t="str">
        <f>IF(LEN(INDEX(Lookups!$C$21:$Z$31,11,3*MATCH(Setup!$B21,Lookups!$A$21:$A$27,0)))=0,"",INDEX(Lookups!$C$21:$Z$31,11,3*MATCH(Setup!$B21,Lookups!$A$21:$A$27,0)))</f>
        <v>Lp norm power</v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620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718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620</v>
      </c>
      <c r="E39" s="6"/>
      <c r="F39" s="8" t="s">
        <v>449</v>
      </c>
    </row>
    <row r="40" spans="1:6" ht="28">
      <c r="A40" s="23" t="s">
        <v>32</v>
      </c>
      <c r="B40" s="17" t="s">
        <v>727</v>
      </c>
      <c r="C40" s="14" t="s">
        <v>41</v>
      </c>
      <c r="D40" s="14" t="s">
        <v>729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621</v>
      </c>
      <c r="D42" s="6"/>
      <c r="E42" s="6"/>
      <c r="F42" s="8" t="s">
        <v>616</v>
      </c>
    </row>
  </sheetData>
  <dataConsolidate/>
  <dataValidations count="6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">
      <formula1>instance_types</formula1>
    </dataValidation>
    <dataValidation type="list" showInputMessage="1" showErrorMessage="1" sqref="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zoomScale="150" zoomScaleNormal="150" zoomScalePageLayoutView="150" workbookViewId="0">
      <selection activeCell="N23" sqref="N2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1" t="s">
        <v>61</v>
      </c>
      <c r="V1" s="51"/>
      <c r="W1" s="51"/>
      <c r="X1" s="51"/>
      <c r="Y1" s="51"/>
      <c r="Z1" s="51"/>
    </row>
    <row r="2" spans="1:26" s="5" customFormat="1" ht="15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642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719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720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721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722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723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724</v>
      </c>
      <c r="Q22" s="42" t="s">
        <v>725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383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715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617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383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716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669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726</v>
      </c>
      <c r="E35" s="42" t="s">
        <v>172</v>
      </c>
      <c r="F35" s="42" t="s">
        <v>708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670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9" customFormat="1" ht="15">
      <c r="A39" s="49" t="b">
        <v>1</v>
      </c>
      <c r="B39" s="49" t="s">
        <v>187</v>
      </c>
      <c r="C39" s="49" t="s">
        <v>188</v>
      </c>
      <c r="D39" s="49" t="s">
        <v>188</v>
      </c>
      <c r="E39" s="49" t="s">
        <v>68</v>
      </c>
      <c r="F39" s="49"/>
      <c r="G39" s="49"/>
      <c r="H39" s="49"/>
      <c r="I39" s="49"/>
      <c r="J39" s="49"/>
    </row>
    <row r="40" spans="1:26" s="47" customFormat="1" ht="15">
      <c r="A40" s="50"/>
      <c r="B40" s="50" t="s">
        <v>22</v>
      </c>
      <c r="C40" s="50"/>
      <c r="D40" s="50" t="s">
        <v>189</v>
      </c>
      <c r="E40" s="50" t="s">
        <v>190</v>
      </c>
      <c r="F40" s="50"/>
      <c r="G40" s="50" t="s">
        <v>64</v>
      </c>
      <c r="H40" s="50"/>
      <c r="I40" s="50">
        <v>1</v>
      </c>
      <c r="J40" s="50"/>
      <c r="K40" s="48">
        <v>-2</v>
      </c>
      <c r="L40" s="48">
        <v>2</v>
      </c>
      <c r="M40" s="48">
        <v>0</v>
      </c>
      <c r="N40" s="48">
        <f>(L40-K40)/6</f>
        <v>0.66666666666666663</v>
      </c>
      <c r="O40" s="48">
        <v>1</v>
      </c>
      <c r="R40" s="47" t="s">
        <v>24</v>
      </c>
    </row>
    <row r="41" spans="1:26" s="47" customFormat="1" ht="15">
      <c r="A41" s="50"/>
      <c r="B41" s="50" t="s">
        <v>22</v>
      </c>
      <c r="C41" s="50"/>
      <c r="D41" s="50" t="s">
        <v>191</v>
      </c>
      <c r="E41" s="50" t="s">
        <v>192</v>
      </c>
      <c r="F41" s="50"/>
      <c r="G41" s="50" t="s">
        <v>64</v>
      </c>
      <c r="H41" s="50"/>
      <c r="I41" s="50">
        <v>-1</v>
      </c>
      <c r="J41" s="50"/>
      <c r="K41" s="48">
        <v>-2</v>
      </c>
      <c r="L41" s="48">
        <v>2</v>
      </c>
      <c r="M41" s="48">
        <v>0</v>
      </c>
      <c r="N41" s="48">
        <f>(L41-K41)/6</f>
        <v>0.66666666666666663</v>
      </c>
      <c r="O41" s="48">
        <v>1</v>
      </c>
      <c r="R41" s="47" t="s">
        <v>24</v>
      </c>
    </row>
    <row r="42" spans="1:26" s="22" customFormat="1" ht="15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47" customFormat="1">
      <c r="B44" s="47" t="s">
        <v>22</v>
      </c>
      <c r="D44" s="47" t="s">
        <v>535</v>
      </c>
      <c r="E44" s="47" t="s">
        <v>536</v>
      </c>
      <c r="G44" s="47" t="s">
        <v>64</v>
      </c>
      <c r="I44" s="47">
        <v>44</v>
      </c>
      <c r="K44" s="47">
        <v>42</v>
      </c>
      <c r="L44" s="47">
        <v>46</v>
      </c>
      <c r="M44" s="47">
        <v>44</v>
      </c>
      <c r="N44" s="48">
        <f>(L44-K44)/6</f>
        <v>0.66666666666666663</v>
      </c>
      <c r="O44" s="48">
        <v>1</v>
      </c>
      <c r="R44" s="47" t="s">
        <v>23</v>
      </c>
    </row>
    <row r="45" spans="1:26" s="29" customFormat="1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</row>
    <row r="46" spans="1:26" s="47" customFormat="1">
      <c r="B46" s="47" t="s">
        <v>22</v>
      </c>
      <c r="D46" s="47" t="s">
        <v>539</v>
      </c>
      <c r="E46" s="47" t="s">
        <v>538</v>
      </c>
      <c r="G46" s="47" t="s">
        <v>64</v>
      </c>
      <c r="I46" s="47">
        <v>120</v>
      </c>
      <c r="K46" s="47">
        <v>118</v>
      </c>
      <c r="L46" s="47">
        <v>122</v>
      </c>
      <c r="M46" s="47">
        <v>120</v>
      </c>
      <c r="N46" s="48">
        <f>(L46-K46)/6</f>
        <v>0.66666666666666663</v>
      </c>
      <c r="O46" s="48">
        <v>1</v>
      </c>
      <c r="R46" s="47" t="s">
        <v>23</v>
      </c>
    </row>
    <row r="47" spans="1:26" s="28" customFormat="1" ht="15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2" customFormat="1" ht="15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s="22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s="29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s="22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s="22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customFormat="1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customFormat="1" ht="15">
      <c r="A59" s="15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customFormat="1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41"/>
      <c r="N61" s="41"/>
      <c r="O61" s="41"/>
      <c r="P61" s="41"/>
      <c r="Q61" s="41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5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41"/>
      <c r="N64" s="41"/>
      <c r="O64" s="41"/>
      <c r="P64" s="41"/>
      <c r="Q64" s="41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5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41"/>
      <c r="N67" s="41"/>
      <c r="O67" s="41"/>
      <c r="P67" s="41"/>
      <c r="Q67" s="41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5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41"/>
      <c r="N70" s="41"/>
      <c r="O70" s="41"/>
      <c r="P70" s="41"/>
      <c r="Q70" s="41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">
      <c r="A71" s="15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41"/>
      <c r="N73" s="41"/>
      <c r="O73" s="41"/>
      <c r="P73" s="41"/>
      <c r="Q73" s="41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41"/>
      <c r="P77" s="41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0"/>
      <c r="O83" s="41"/>
      <c r="P83" s="41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">
      <c r="A90" s="10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1"/>
      <c r="P90" s="41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1"/>
      <c r="P92" s="41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41"/>
      <c r="P99" s="41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41"/>
      <c r="P101" s="41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C1" zoomScale="130" zoomScaleNormal="130" zoomScalePageLayoutView="130" workbookViewId="0">
      <pane ySplit="3" topLeftCell="A4" activePane="bottomLeft" state="frozen"/>
      <selection pane="bottomLeft" activeCell="D62" sqref="D6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643</v>
      </c>
      <c r="C2" s="35" t="s">
        <v>622</v>
      </c>
      <c r="D2" s="35" t="s">
        <v>462</v>
      </c>
      <c r="E2" s="35" t="s">
        <v>7</v>
      </c>
      <c r="F2" s="35" t="s">
        <v>11</v>
      </c>
      <c r="G2" s="35" t="s">
        <v>623</v>
      </c>
      <c r="H2" s="35" t="s">
        <v>624</v>
      </c>
      <c r="I2" s="35" t="s">
        <v>625</v>
      </c>
      <c r="J2" s="35" t="s">
        <v>626</v>
      </c>
      <c r="K2" s="35" t="s">
        <v>627</v>
      </c>
      <c r="L2" s="35" t="s">
        <v>628</v>
      </c>
      <c r="M2" s="35"/>
    </row>
    <row r="3" spans="1:13" s="9" customFormat="1" ht="45">
      <c r="A3" s="35" t="s">
        <v>629</v>
      </c>
      <c r="B3" s="35" t="s">
        <v>644</v>
      </c>
      <c r="C3" s="35" t="s">
        <v>630</v>
      </c>
      <c r="D3" s="35" t="s">
        <v>631</v>
      </c>
      <c r="E3" s="35"/>
      <c r="F3" s="35" t="s">
        <v>632</v>
      </c>
      <c r="G3" s="35" t="s">
        <v>463</v>
      </c>
      <c r="H3" s="35" t="s">
        <v>463</v>
      </c>
      <c r="I3" s="35" t="s">
        <v>463</v>
      </c>
      <c r="J3" s="37" t="s">
        <v>633</v>
      </c>
      <c r="K3" s="35" t="s">
        <v>633</v>
      </c>
      <c r="L3" s="35" t="s">
        <v>634</v>
      </c>
      <c r="M3" s="35" t="s">
        <v>635</v>
      </c>
    </row>
    <row r="4" spans="1:13" s="23" customFormat="1">
      <c r="A4" s="15" t="s">
        <v>636</v>
      </c>
      <c r="B4" s="15" t="s">
        <v>709</v>
      </c>
      <c r="C4" s="15" t="s">
        <v>637</v>
      </c>
      <c r="D4" s="15" t="s">
        <v>638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>
      <c r="A5" s="15" t="s">
        <v>639</v>
      </c>
      <c r="B5" s="15" t="s">
        <v>710</v>
      </c>
      <c r="C5" s="15" t="s">
        <v>640</v>
      </c>
      <c r="D5" s="15" t="s">
        <v>641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/>
      <c r="L5" s="15"/>
      <c r="M5" s="15"/>
    </row>
    <row r="6" spans="1:13" s="23" customFormat="1">
      <c r="A6" s="15" t="s">
        <v>671</v>
      </c>
      <c r="B6" s="15"/>
      <c r="C6" s="15"/>
      <c r="D6" s="15" t="s">
        <v>711</v>
      </c>
      <c r="E6" s="15" t="s">
        <v>672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673</v>
      </c>
      <c r="B7" s="15"/>
      <c r="C7" s="15"/>
      <c r="D7" s="15" t="s">
        <v>712</v>
      </c>
      <c r="E7" s="15" t="s">
        <v>672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674</v>
      </c>
      <c r="B8" s="15"/>
      <c r="C8" s="15"/>
      <c r="D8" s="15" t="s">
        <v>713</v>
      </c>
      <c r="E8" s="15" t="s">
        <v>672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675</v>
      </c>
      <c r="B9" s="15"/>
      <c r="C9" s="15"/>
      <c r="D9" s="15" t="s">
        <v>714</v>
      </c>
      <c r="E9" s="15" t="s">
        <v>676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677</v>
      </c>
      <c r="B10" s="15"/>
      <c r="C10" s="15"/>
      <c r="D10" s="15" t="s">
        <v>678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679</v>
      </c>
      <c r="B11" s="15"/>
      <c r="C11" s="15"/>
      <c r="D11" s="15" t="s">
        <v>680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681</v>
      </c>
      <c r="B12" s="15"/>
      <c r="C12" s="15"/>
      <c r="D12" s="15" t="s">
        <v>682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683</v>
      </c>
      <c r="B13" s="15"/>
      <c r="C13" s="15"/>
      <c r="D13" s="15" t="s">
        <v>684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685</v>
      </c>
      <c r="B14" s="15"/>
      <c r="C14" s="15"/>
      <c r="D14" s="15" t="s">
        <v>686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687</v>
      </c>
      <c r="B15" s="15"/>
      <c r="C15" s="15"/>
      <c r="D15" s="15" t="s">
        <v>688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>
      <c r="A16" s="15" t="s">
        <v>689</v>
      </c>
      <c r="B16" s="15"/>
      <c r="C16" s="15"/>
      <c r="D16" s="15" t="s">
        <v>690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691</v>
      </c>
      <c r="B17" s="15"/>
      <c r="C17" s="15"/>
      <c r="D17" s="15" t="s">
        <v>692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693</v>
      </c>
      <c r="B18" s="15"/>
      <c r="C18" s="15"/>
      <c r="D18" s="15" t="s">
        <v>694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695</v>
      </c>
      <c r="B19" s="15"/>
      <c r="C19" s="15"/>
      <c r="D19" s="15" t="s">
        <v>696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697</v>
      </c>
      <c r="B20" s="15"/>
      <c r="C20" s="15"/>
      <c r="D20" s="15" t="s">
        <v>698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>
      <c r="A21" s="15" t="s">
        <v>699</v>
      </c>
      <c r="B21" s="15"/>
      <c r="C21" s="15"/>
      <c r="D21" s="15" t="s">
        <v>700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>
      <c r="A22" s="15" t="s">
        <v>701</v>
      </c>
      <c r="B22" s="15"/>
      <c r="C22" s="15"/>
      <c r="D22" s="15" t="s">
        <v>702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703</v>
      </c>
      <c r="B23" s="15"/>
      <c r="C23" s="15"/>
      <c r="D23" s="15" t="s">
        <v>704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705</v>
      </c>
      <c r="B24" s="15"/>
      <c r="C24" s="15"/>
      <c r="D24" s="15" t="s">
        <v>706</v>
      </c>
      <c r="E24" s="15" t="s">
        <v>707</v>
      </c>
      <c r="F24" s="15" t="s">
        <v>64</v>
      </c>
      <c r="G24" s="15" t="b">
        <v>1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B29" s="22"/>
    </row>
    <row r="30" spans="1:13">
      <c r="B30" s="22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D2" sqref="D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667</v>
      </c>
      <c r="E1" t="s">
        <v>5</v>
      </c>
    </row>
    <row r="2" spans="1:7" s="22" customFormat="1">
      <c r="A2" s="22" t="s">
        <v>645</v>
      </c>
      <c r="B2" s="22" t="s">
        <v>646</v>
      </c>
      <c r="C2" s="22" t="s">
        <v>647</v>
      </c>
      <c r="D2" s="22" t="s">
        <v>648</v>
      </c>
      <c r="E2" s="22" t="s">
        <v>662</v>
      </c>
    </row>
    <row r="3" spans="1:7" s="22" customFormat="1">
      <c r="A3" s="22" t="s">
        <v>593</v>
      </c>
      <c r="B3" s="22" t="s">
        <v>445</v>
      </c>
      <c r="C3" s="22" t="s">
        <v>594</v>
      </c>
      <c r="D3" s="22" t="s">
        <v>649</v>
      </c>
      <c r="E3" s="22" t="s">
        <v>663</v>
      </c>
    </row>
    <row r="4" spans="1:7" s="22" customFormat="1">
      <c r="A4" s="22" t="s">
        <v>595</v>
      </c>
      <c r="B4" s="22" t="s">
        <v>446</v>
      </c>
      <c r="C4" s="22" t="s">
        <v>596</v>
      </c>
      <c r="D4" s="22" t="s">
        <v>650</v>
      </c>
      <c r="E4" s="22" t="s">
        <v>663</v>
      </c>
    </row>
    <row r="5" spans="1:7" s="22" customFormat="1">
      <c r="A5" s="22" t="s">
        <v>597</v>
      </c>
      <c r="B5" s="22" t="s">
        <v>447</v>
      </c>
      <c r="C5" s="22" t="s">
        <v>598</v>
      </c>
      <c r="D5" s="22" t="s">
        <v>651</v>
      </c>
      <c r="E5" s="22" t="s">
        <v>663</v>
      </c>
    </row>
    <row r="6" spans="1:7" s="22" customFormat="1">
      <c r="A6" s="22" t="s">
        <v>652</v>
      </c>
      <c r="B6" s="22" t="s">
        <v>446</v>
      </c>
      <c r="C6" s="22" t="s">
        <v>653</v>
      </c>
      <c r="D6" s="22" t="s">
        <v>654</v>
      </c>
      <c r="E6" s="22" t="s">
        <v>664</v>
      </c>
    </row>
    <row r="7" spans="1:7" s="22" customFormat="1">
      <c r="A7" s="22" t="s">
        <v>655</v>
      </c>
      <c r="B7" s="22" t="s">
        <v>447</v>
      </c>
      <c r="C7" s="22" t="s">
        <v>656</v>
      </c>
      <c r="D7" s="22" t="s">
        <v>657</v>
      </c>
      <c r="E7" s="22" t="s">
        <v>664</v>
      </c>
    </row>
    <row r="8" spans="1:7" s="22" customFormat="1">
      <c r="A8" s="22" t="s">
        <v>599</v>
      </c>
      <c r="B8" s="22" t="s">
        <v>445</v>
      </c>
      <c r="C8" s="22" t="s">
        <v>600</v>
      </c>
      <c r="D8" s="22" t="s">
        <v>658</v>
      </c>
      <c r="E8" s="22" t="s">
        <v>665</v>
      </c>
    </row>
    <row r="9" spans="1:7" s="22" customFormat="1">
      <c r="A9" s="22" t="s">
        <v>601</v>
      </c>
      <c r="B9" s="22" t="s">
        <v>446</v>
      </c>
      <c r="C9" s="22" t="s">
        <v>602</v>
      </c>
      <c r="D9" s="22" t="s">
        <v>650</v>
      </c>
      <c r="E9" s="22" t="s">
        <v>665</v>
      </c>
    </row>
    <row r="10" spans="1:7">
      <c r="A10" s="22" t="s">
        <v>440</v>
      </c>
      <c r="B10" s="22" t="s">
        <v>447</v>
      </c>
      <c r="C10" s="22" t="s">
        <v>603</v>
      </c>
      <c r="D10" s="22" t="s">
        <v>651</v>
      </c>
      <c r="E10" s="22" t="s">
        <v>666</v>
      </c>
    </row>
    <row r="11" spans="1:7" s="22" customFormat="1">
      <c r="A11" s="22" t="s">
        <v>604</v>
      </c>
      <c r="B11" s="22" t="s">
        <v>448</v>
      </c>
      <c r="C11" s="22" t="s">
        <v>605</v>
      </c>
      <c r="D11" s="22" t="s">
        <v>659</v>
      </c>
      <c r="E11" s="22" t="s">
        <v>666</v>
      </c>
    </row>
    <row r="12" spans="1:7" s="22" customFormat="1">
      <c r="A12" s="22" t="s">
        <v>606</v>
      </c>
      <c r="B12" s="22" t="s">
        <v>660</v>
      </c>
      <c r="C12" s="22" t="s">
        <v>607</v>
      </c>
      <c r="D12" s="22" t="s">
        <v>661</v>
      </c>
      <c r="E12" s="22" t="s">
        <v>666</v>
      </c>
    </row>
    <row r="13" spans="1:7" s="22" customFormat="1"/>
    <row r="14" spans="1:7" s="22" customFormat="1"/>
    <row r="15" spans="1:7">
      <c r="A15" t="s">
        <v>573</v>
      </c>
      <c r="C15" s="11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2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1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1"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1">
      <c r="L29" s="1" t="s">
        <v>562</v>
      </c>
      <c r="M29" s="22">
        <v>100</v>
      </c>
      <c r="N29" s="22" t="s">
        <v>578</v>
      </c>
    </row>
    <row r="30" spans="1:21">
      <c r="L30" s="1" t="s">
        <v>542</v>
      </c>
      <c r="M30" s="23" t="s">
        <v>543</v>
      </c>
    </row>
    <row r="31" spans="1:21">
      <c r="L31" s="1" t="s">
        <v>544</v>
      </c>
      <c r="M31" s="23">
        <v>2</v>
      </c>
      <c r="N31" s="2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2014-10-02T01:53:27Z</dcterms:modified>
</cp:coreProperties>
</file>