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2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nes-my.sharepoint.com/personal/tduchenne_ensae_fr/Documents/Documents/Budget/Polytechnique/Dépenses/2024/"/>
    </mc:Choice>
  </mc:AlternateContent>
  <xr:revisionPtr revIDLastSave="1621" documentId="11_E5FB927622ADD3CD87B4B170FAEAE89661B3DA09" xr6:coauthVersionLast="47" xr6:coauthVersionMax="47" xr10:uidLastSave="{F9AE4359-D2F2-4963-B90B-854A8B110EAC}"/>
  <bookViews>
    <workbookView xWindow="-120" yWindow="-120" windowWidth="29040" windowHeight="17520" tabRatio="707" xr2:uid="{00000000-000D-0000-FFFF-FFFF00000000}"/>
  </bookViews>
  <sheets>
    <sheet name="BILAN" sheetId="14" r:id="rId1"/>
    <sheet name="SUBVENTION" sheetId="13" r:id="rId2"/>
    <sheet name="L029" sheetId="25" r:id="rId3"/>
    <sheet name="R23E" sheetId="24" r:id="rId4"/>
    <sheet name="CNV 3491" sheetId="23" r:id="rId5"/>
    <sheet name="CNV 3325" sheetId="22" r:id="rId6"/>
    <sheet name="CNV 3048" sheetId="21" r:id="rId7"/>
    <sheet name="CNV 3180" sheetId="20" r:id="rId8"/>
    <sheet name="CNV 3355" sheetId="19" r:id="rId9"/>
    <sheet name="CNV 3378" sheetId="18" r:id="rId10"/>
    <sheet name="L036" sheetId="17" r:id="rId11"/>
    <sheet name="CIEDS 3479" sheetId="16" r:id="rId12"/>
    <sheet name="CHAIRE BB2B" sheetId="12" r:id="rId13"/>
    <sheet name="CNV 3464" sheetId="15" r:id="rId14"/>
    <sheet name="CNV 3287" sheetId="11" r:id="rId15"/>
    <sheet name="CNV 3182" sheetId="10" r:id="rId16"/>
    <sheet name="CNV 3181" sheetId="9" r:id="rId17"/>
    <sheet name="CNV 3177" sheetId="8" r:id="rId18"/>
    <sheet name="CNV 3141 RD 111" sheetId="7" r:id="rId19"/>
    <sheet name="CNV 3356 RD 122" sheetId="6" r:id="rId20"/>
    <sheet name="CNV 3088" sheetId="5" r:id="rId21"/>
    <sheet name="CNV 3357" sheetId="4" r:id="rId22"/>
    <sheet name="CNV 3286" sheetId="3" r:id="rId23"/>
    <sheet name="CNV 3300" sheetId="1" r:id="rId24"/>
    <sheet name="DATA" sheetId="2" r:id="rId25"/>
  </sheets>
  <definedNames>
    <definedName name="_xlnm._FilterDatabase" localSheetId="12" hidden="1">'CHAIRE BB2B'!$A$19:$J$154</definedName>
    <definedName name="_xlnm._FilterDatabase" localSheetId="11" hidden="1">'CIEDS 3479'!$A$19:$J$48</definedName>
    <definedName name="_xlnm._FilterDatabase" localSheetId="6" hidden="1">'CNV 3048'!$A$19:$J$47</definedName>
    <definedName name="_xlnm._FilterDatabase" localSheetId="20" hidden="1">'CNV 3088'!$A$19:$J$61</definedName>
    <definedName name="_xlnm._FilterDatabase" localSheetId="18" hidden="1">'CNV 3141 RD 111'!$A$19:$J$120</definedName>
    <definedName name="_xlnm._FilterDatabase" localSheetId="17" hidden="1">'CNV 3177'!$A$19:$J$27</definedName>
    <definedName name="_xlnm._FilterDatabase" localSheetId="7" hidden="1">'CNV 3180'!$A$19:$J$48</definedName>
    <definedName name="_xlnm._FilterDatabase" localSheetId="16" hidden="1">'CNV 3181'!$A$19:$J$38</definedName>
    <definedName name="_xlnm._FilterDatabase" localSheetId="15" hidden="1">'CNV 3182'!$A$19:$J$19</definedName>
    <definedName name="_xlnm._FilterDatabase" localSheetId="22" hidden="1">'CNV 3286'!$A$18:$J$42</definedName>
    <definedName name="_xlnm._FilterDatabase" localSheetId="14" hidden="1">'CNV 3287'!$A$19:$J$44</definedName>
    <definedName name="_xlnm._FilterDatabase" localSheetId="23" hidden="1">'CNV 3300'!$A$18:$J$34</definedName>
    <definedName name="_xlnm._FilterDatabase" localSheetId="5" hidden="1">'CNV 3325'!$A$19:$J$47</definedName>
    <definedName name="_xlnm._FilterDatabase" localSheetId="8" hidden="1">'CNV 3355'!$A$19:$J$48</definedName>
    <definedName name="_xlnm._FilterDatabase" localSheetId="19" hidden="1">'CNV 3356 RD 122'!$A$19:$J$19</definedName>
    <definedName name="_xlnm._FilterDatabase" localSheetId="21" hidden="1">'CNV 3357'!$A$18:$J$29</definedName>
    <definedName name="_xlnm._FilterDatabase" localSheetId="9" hidden="1">'CNV 3378'!$A$19:$J$48</definedName>
    <definedName name="_xlnm._FilterDatabase" localSheetId="13" hidden="1">'CNV 3464'!$A$19:$J$19</definedName>
    <definedName name="_xlnm._FilterDatabase" localSheetId="4" hidden="1">'CNV 3491'!$A$19:$J$47</definedName>
    <definedName name="_xlnm._FilterDatabase" localSheetId="2" hidden="1">'L029'!$A$19:$J$48</definedName>
    <definedName name="_xlnm._FilterDatabase" localSheetId="10" hidden="1">'L036'!$A$19:$J$48</definedName>
    <definedName name="_xlnm._FilterDatabase" localSheetId="3" hidden="1">'R23E'!$A$19:$J$47</definedName>
    <definedName name="_xlnm._FilterDatabase" localSheetId="1" hidden="1">SUBVENTION!$A$19:$J$27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7" l="1"/>
  <c r="O25" i="7"/>
  <c r="O26" i="8"/>
  <c r="M10" i="14"/>
  <c r="L10" i="14"/>
  <c r="K10" i="14"/>
  <c r="J10" i="14"/>
  <c r="I10" i="14"/>
  <c r="H10" i="14"/>
  <c r="G10" i="14"/>
  <c r="F10" i="14"/>
  <c r="E10" i="14"/>
  <c r="D10" i="14"/>
  <c r="C10" i="14"/>
  <c r="B10" i="14"/>
  <c r="O26" i="25"/>
  <c r="C62" i="25" s="1"/>
  <c r="O25" i="25"/>
  <c r="C66" i="25" s="1"/>
  <c r="O24" i="25"/>
  <c r="C58" i="25" s="1"/>
  <c r="F12" i="25"/>
  <c r="C63" i="25" s="1"/>
  <c r="F11" i="25"/>
  <c r="C67" i="25" s="1"/>
  <c r="I25" i="13"/>
  <c r="I51" i="5"/>
  <c r="I40" i="12"/>
  <c r="I83" i="12"/>
  <c r="I39" i="12"/>
  <c r="I35" i="12"/>
  <c r="I91" i="12"/>
  <c r="I92" i="12"/>
  <c r="I93" i="12"/>
  <c r="I87" i="12"/>
  <c r="I153" i="12"/>
  <c r="I47" i="12"/>
  <c r="I60" i="12"/>
  <c r="I46" i="12"/>
  <c r="I41" i="12"/>
  <c r="I48" i="12"/>
  <c r="I55" i="12"/>
  <c r="I56" i="12"/>
  <c r="I37" i="12"/>
  <c r="I34" i="12"/>
  <c r="I36" i="12"/>
  <c r="I90" i="12"/>
  <c r="I69" i="12"/>
  <c r="I145" i="12"/>
  <c r="I78" i="12"/>
  <c r="I82" i="12"/>
  <c r="I70" i="12"/>
  <c r="I62" i="12"/>
  <c r="O38" i="12"/>
  <c r="I28" i="4"/>
  <c r="I31" i="4"/>
  <c r="I30" i="1"/>
  <c r="I32" i="1"/>
  <c r="I27" i="11"/>
  <c r="I33" i="11"/>
  <c r="I22" i="3"/>
  <c r="I26" i="3"/>
  <c r="I23" i="3"/>
  <c r="I110" i="7"/>
  <c r="F10" i="25" l="1"/>
  <c r="C59" i="25" s="1"/>
  <c r="O27" i="25"/>
  <c r="F9" i="25" s="1"/>
  <c r="O37" i="12"/>
  <c r="B11" i="14"/>
  <c r="C10" i="13" l="1"/>
  <c r="B18" i="14"/>
  <c r="B17" i="14"/>
  <c r="B16" i="14"/>
  <c r="B15" i="14"/>
  <c r="B14" i="14"/>
  <c r="B13" i="14"/>
  <c r="B12" i="14"/>
  <c r="F18" i="14"/>
  <c r="F17" i="14"/>
  <c r="F16" i="14"/>
  <c r="F15" i="14"/>
  <c r="E18" i="14"/>
  <c r="E17" i="14"/>
  <c r="E16" i="14"/>
  <c r="E15" i="14"/>
  <c r="E14" i="14"/>
  <c r="E12" i="14"/>
  <c r="E11" i="14"/>
  <c r="C19" i="14"/>
  <c r="D18" i="14"/>
  <c r="D17" i="14"/>
  <c r="D16" i="14"/>
  <c r="D14" i="14"/>
  <c r="D13" i="14"/>
  <c r="D12" i="14"/>
  <c r="D11" i="14"/>
  <c r="C18" i="14"/>
  <c r="C17" i="14"/>
  <c r="C16" i="14"/>
  <c r="C15" i="14"/>
  <c r="C14" i="14"/>
  <c r="C13" i="14"/>
  <c r="C12" i="14"/>
  <c r="C11" i="14"/>
  <c r="O25" i="24"/>
  <c r="C61" i="24" s="1"/>
  <c r="O24" i="24"/>
  <c r="O23" i="24"/>
  <c r="C57" i="24" s="1"/>
  <c r="C65" i="24" l="1"/>
  <c r="G11" i="14"/>
  <c r="H11" i="14"/>
  <c r="F11" i="14"/>
  <c r="F10" i="24"/>
  <c r="F11" i="24"/>
  <c r="F12" i="24"/>
  <c r="O26" i="24"/>
  <c r="F9" i="24" l="1"/>
  <c r="M11" i="14" s="1"/>
  <c r="I11" i="14"/>
  <c r="C62" i="24"/>
  <c r="L11" i="14"/>
  <c r="C66" i="24"/>
  <c r="K11" i="14"/>
  <c r="C58" i="24"/>
  <c r="J11" i="14"/>
  <c r="O25" i="23"/>
  <c r="F12" i="23" s="1"/>
  <c r="O24" i="23"/>
  <c r="F11" i="23" s="1"/>
  <c r="O23" i="23"/>
  <c r="C66" i="23" l="1"/>
  <c r="K12" i="14"/>
  <c r="C62" i="23"/>
  <c r="L12" i="14"/>
  <c r="C61" i="23"/>
  <c r="H12" i="14"/>
  <c r="C57" i="23"/>
  <c r="F12" i="14"/>
  <c r="C65" i="23"/>
  <c r="G12" i="14"/>
  <c r="O26" i="23"/>
  <c r="F10" i="23"/>
  <c r="C10" i="22"/>
  <c r="E13" i="14" s="1"/>
  <c r="O25" i="22"/>
  <c r="O24" i="22"/>
  <c r="F11" i="22" s="1"/>
  <c r="O23" i="22"/>
  <c r="C66" i="22" l="1"/>
  <c r="K13" i="14"/>
  <c r="C61" i="22"/>
  <c r="H13" i="14"/>
  <c r="C57" i="22"/>
  <c r="F13" i="14"/>
  <c r="C58" i="23"/>
  <c r="J12" i="14"/>
  <c r="C65" i="22"/>
  <c r="G13" i="14"/>
  <c r="F9" i="23"/>
  <c r="M12" i="14" s="1"/>
  <c r="I12" i="14"/>
  <c r="F12" i="22"/>
  <c r="F10" i="22"/>
  <c r="O26" i="22"/>
  <c r="F9" i="22" l="1"/>
  <c r="M13" i="14" s="1"/>
  <c r="I13" i="14"/>
  <c r="C62" i="22"/>
  <c r="L13" i="14"/>
  <c r="C58" i="22"/>
  <c r="J13" i="14"/>
  <c r="C10" i="7"/>
  <c r="I35" i="9" l="1"/>
  <c r="I34" i="9"/>
  <c r="I27" i="12" l="1"/>
  <c r="O39" i="12" s="1"/>
  <c r="O25" i="21" l="1"/>
  <c r="O24" i="21"/>
  <c r="O23" i="21"/>
  <c r="C13" i="20"/>
  <c r="D15" i="14" s="1"/>
  <c r="O26" i="20"/>
  <c r="O25" i="20"/>
  <c r="O24" i="20"/>
  <c r="O26" i="19"/>
  <c r="O25" i="19"/>
  <c r="O24" i="19"/>
  <c r="O26" i="18"/>
  <c r="O25" i="18"/>
  <c r="O24" i="18"/>
  <c r="F12" i="19" l="1"/>
  <c r="I16" i="14"/>
  <c r="F10" i="20"/>
  <c r="G15" i="14"/>
  <c r="F10" i="19"/>
  <c r="G16" i="14"/>
  <c r="F12" i="20"/>
  <c r="I15" i="14"/>
  <c r="F10" i="18"/>
  <c r="G17" i="14"/>
  <c r="F11" i="19"/>
  <c r="H16" i="14"/>
  <c r="F11" i="20"/>
  <c r="H15" i="14"/>
  <c r="F10" i="21"/>
  <c r="F14" i="14"/>
  <c r="F11" i="18"/>
  <c r="H17" i="14"/>
  <c r="C65" i="21"/>
  <c r="G14" i="14"/>
  <c r="F12" i="18"/>
  <c r="I17" i="14"/>
  <c r="C61" i="21"/>
  <c r="H14" i="14"/>
  <c r="F12" i="21"/>
  <c r="O26" i="21"/>
  <c r="C57" i="21"/>
  <c r="F11" i="21"/>
  <c r="C66" i="20"/>
  <c r="O27" i="20"/>
  <c r="F9" i="20" s="1"/>
  <c r="M15" i="14" s="1"/>
  <c r="C58" i="20"/>
  <c r="C62" i="20"/>
  <c r="O27" i="19"/>
  <c r="F9" i="19" s="1"/>
  <c r="M16" i="14" s="1"/>
  <c r="C58" i="19"/>
  <c r="C62" i="19"/>
  <c r="C66" i="19"/>
  <c r="C66" i="18"/>
  <c r="O27" i="18"/>
  <c r="F9" i="18" s="1"/>
  <c r="M17" i="14" s="1"/>
  <c r="C58" i="18"/>
  <c r="C62" i="18"/>
  <c r="O26" i="17"/>
  <c r="O25" i="17"/>
  <c r="O24" i="17"/>
  <c r="C13" i="16"/>
  <c r="D19" i="14" s="1"/>
  <c r="C11" i="16"/>
  <c r="B19" i="14" s="1"/>
  <c r="C10" i="16"/>
  <c r="F19" i="14"/>
  <c r="E19" i="14"/>
  <c r="O26" i="16"/>
  <c r="O25" i="16"/>
  <c r="C66" i="16" s="1"/>
  <c r="O24" i="16"/>
  <c r="C58" i="16" s="1"/>
  <c r="E31" i="14"/>
  <c r="E30" i="14"/>
  <c r="E29" i="14"/>
  <c r="E28" i="14"/>
  <c r="E27" i="14"/>
  <c r="E26" i="14"/>
  <c r="E24" i="14"/>
  <c r="E23" i="14"/>
  <c r="E22" i="14"/>
  <c r="E21" i="14"/>
  <c r="E20" i="14"/>
  <c r="E9" i="14"/>
  <c r="B21" i="14"/>
  <c r="O26" i="15"/>
  <c r="F12" i="15" s="1"/>
  <c r="C62" i="15" s="1"/>
  <c r="O25" i="15"/>
  <c r="C65" i="15" s="1"/>
  <c r="O24" i="15"/>
  <c r="C57" i="15" s="1"/>
  <c r="C67" i="20" l="1"/>
  <c r="K15" i="14"/>
  <c r="C62" i="16"/>
  <c r="I19" i="14"/>
  <c r="C66" i="21"/>
  <c r="K14" i="14"/>
  <c r="C67" i="19"/>
  <c r="K16" i="14"/>
  <c r="C59" i="18"/>
  <c r="J17" i="14"/>
  <c r="C63" i="20"/>
  <c r="L15" i="14"/>
  <c r="C58" i="21"/>
  <c r="J14" i="14"/>
  <c r="F9" i="21"/>
  <c r="M14" i="14" s="1"/>
  <c r="I14" i="14"/>
  <c r="C62" i="21"/>
  <c r="L14" i="14"/>
  <c r="F10" i="17"/>
  <c r="G18" i="14"/>
  <c r="C59" i="19"/>
  <c r="J16" i="14"/>
  <c r="C59" i="20"/>
  <c r="J15" i="14"/>
  <c r="F11" i="17"/>
  <c r="H18" i="14"/>
  <c r="C67" i="18"/>
  <c r="K17" i="14"/>
  <c r="F12" i="17"/>
  <c r="I18" i="14"/>
  <c r="C63" i="18"/>
  <c r="L17" i="14"/>
  <c r="C63" i="19"/>
  <c r="L16" i="14"/>
  <c r="C66" i="17"/>
  <c r="O27" i="17"/>
  <c r="F9" i="17" s="1"/>
  <c r="M18" i="14" s="1"/>
  <c r="C58" i="17"/>
  <c r="C62" i="17"/>
  <c r="G19" i="14"/>
  <c r="H19" i="14"/>
  <c r="F10" i="16"/>
  <c r="F11" i="16"/>
  <c r="K19" i="14" s="1"/>
  <c r="F12" i="16"/>
  <c r="O27" i="16"/>
  <c r="F9" i="16" s="1"/>
  <c r="M19" i="14" s="1"/>
  <c r="F21" i="14"/>
  <c r="F10" i="15"/>
  <c r="O27" i="15"/>
  <c r="C61" i="15"/>
  <c r="F11" i="15"/>
  <c r="C66" i="15" s="1"/>
  <c r="O24" i="13"/>
  <c r="C13" i="8"/>
  <c r="D25" i="14" s="1"/>
  <c r="C11" i="8"/>
  <c r="D24" i="14"/>
  <c r="C11" i="10"/>
  <c r="B23" i="14" s="1"/>
  <c r="C11" i="11"/>
  <c r="B22" i="14" s="1"/>
  <c r="D20" i="14"/>
  <c r="C12" i="12"/>
  <c r="C20" i="14" s="1"/>
  <c r="C11" i="12"/>
  <c r="B20" i="14" s="1"/>
  <c r="L31" i="14"/>
  <c r="L30" i="14"/>
  <c r="L29" i="14"/>
  <c r="D31" i="14"/>
  <c r="D30" i="14"/>
  <c r="D29" i="14"/>
  <c r="D27" i="14"/>
  <c r="D23" i="14"/>
  <c r="D22" i="14"/>
  <c r="C31" i="14"/>
  <c r="C30" i="14"/>
  <c r="C29" i="14"/>
  <c r="C28" i="14"/>
  <c r="C27" i="14"/>
  <c r="C26" i="14"/>
  <c r="C25" i="14"/>
  <c r="C24" i="14"/>
  <c r="C23" i="14"/>
  <c r="C22" i="14"/>
  <c r="B31" i="14"/>
  <c r="B30" i="14"/>
  <c r="B27" i="14"/>
  <c r="B24" i="14"/>
  <c r="D9" i="14"/>
  <c r="C9" i="14"/>
  <c r="B9" i="14"/>
  <c r="O26" i="13"/>
  <c r="F12" i="13" s="1"/>
  <c r="C42" i="13" s="1"/>
  <c r="O25" i="13"/>
  <c r="C45" i="13" s="1"/>
  <c r="F20" i="14"/>
  <c r="O27" i="11"/>
  <c r="C62" i="11" s="1"/>
  <c r="O26" i="11"/>
  <c r="F11" i="11" s="1"/>
  <c r="C67" i="11" s="1"/>
  <c r="O25" i="11"/>
  <c r="O26" i="10"/>
  <c r="C61" i="10" s="1"/>
  <c r="O25" i="10"/>
  <c r="F11" i="10" s="1"/>
  <c r="C66" i="10" s="1"/>
  <c r="O24" i="10"/>
  <c r="F10" i="10" s="1"/>
  <c r="C58" i="10" s="1"/>
  <c r="O26" i="9"/>
  <c r="H24" i="14" s="1"/>
  <c r="O25" i="9"/>
  <c r="F11" i="9" s="1"/>
  <c r="C66" i="9" s="1"/>
  <c r="O24" i="9"/>
  <c r="F10" i="9" s="1"/>
  <c r="C58" i="9" s="1"/>
  <c r="C56" i="8"/>
  <c r="O25" i="8"/>
  <c r="F11" i="8" s="1"/>
  <c r="C61" i="8" s="1"/>
  <c r="O24" i="8"/>
  <c r="C52" i="8" s="1"/>
  <c r="D26" i="14"/>
  <c r="B26" i="14"/>
  <c r="C134" i="7"/>
  <c r="F26" i="14"/>
  <c r="O26" i="7"/>
  <c r="H26" i="14" s="1"/>
  <c r="C63" i="17" l="1"/>
  <c r="L18" i="14"/>
  <c r="C59" i="17"/>
  <c r="J18" i="14"/>
  <c r="C63" i="16"/>
  <c r="L19" i="14"/>
  <c r="C67" i="17"/>
  <c r="K18" i="14"/>
  <c r="C59" i="16"/>
  <c r="J19" i="14"/>
  <c r="F10" i="11"/>
  <c r="C59" i="11" s="1"/>
  <c r="B25" i="14"/>
  <c r="C53" i="8"/>
  <c r="C10" i="8"/>
  <c r="E25" i="14" s="1"/>
  <c r="C67" i="16"/>
  <c r="F11" i="12"/>
  <c r="C170" i="12" s="1"/>
  <c r="F12" i="12"/>
  <c r="C166" i="12" s="1"/>
  <c r="F25" i="14"/>
  <c r="G25" i="14"/>
  <c r="H25" i="14"/>
  <c r="C60" i="8"/>
  <c r="G26" i="14"/>
  <c r="G24" i="14"/>
  <c r="C65" i="9"/>
  <c r="F24" i="14"/>
  <c r="G23" i="14"/>
  <c r="F23" i="14"/>
  <c r="C65" i="10"/>
  <c r="H23" i="14"/>
  <c r="C66" i="11"/>
  <c r="H22" i="14"/>
  <c r="F22" i="14"/>
  <c r="J22" i="14"/>
  <c r="G22" i="14"/>
  <c r="F9" i="15"/>
  <c r="M21" i="14" s="1"/>
  <c r="I21" i="14"/>
  <c r="C58" i="15"/>
  <c r="J21" i="14"/>
  <c r="H20" i="14"/>
  <c r="G20" i="14"/>
  <c r="O27" i="13"/>
  <c r="F10" i="13"/>
  <c r="C38" i="13" s="1"/>
  <c r="G9" i="14"/>
  <c r="L9" i="14"/>
  <c r="H9" i="14"/>
  <c r="K25" i="14"/>
  <c r="F12" i="9"/>
  <c r="K24" i="14"/>
  <c r="J24" i="14"/>
  <c r="K23" i="14"/>
  <c r="J23" i="14"/>
  <c r="K22" i="14"/>
  <c r="F10" i="12"/>
  <c r="C41" i="13"/>
  <c r="F11" i="13"/>
  <c r="O40" i="12"/>
  <c r="C161" i="12"/>
  <c r="C165" i="12"/>
  <c r="C169" i="12"/>
  <c r="F12" i="11"/>
  <c r="C58" i="11"/>
  <c r="O28" i="11"/>
  <c r="F12" i="10"/>
  <c r="O27" i="10"/>
  <c r="C57" i="10"/>
  <c r="O27" i="9"/>
  <c r="C57" i="9"/>
  <c r="C61" i="9"/>
  <c r="F12" i="8"/>
  <c r="F10" i="8"/>
  <c r="O27" i="8"/>
  <c r="O27" i="7"/>
  <c r="F12" i="7"/>
  <c r="C130" i="7"/>
  <c r="C126" i="7"/>
  <c r="F10" i="7"/>
  <c r="F11" i="7"/>
  <c r="L20" i="14" l="1"/>
  <c r="K20" i="14"/>
  <c r="F9" i="8"/>
  <c r="M25" i="14" s="1"/>
  <c r="I25" i="14"/>
  <c r="C135" i="7"/>
  <c r="K26" i="14"/>
  <c r="J26" i="14"/>
  <c r="C127" i="7"/>
  <c r="C131" i="7"/>
  <c r="L26" i="14"/>
  <c r="F9" i="7"/>
  <c r="M26" i="14" s="1"/>
  <c r="I26" i="14"/>
  <c r="F9" i="9"/>
  <c r="M24" i="14" s="1"/>
  <c r="I24" i="14"/>
  <c r="F9" i="10"/>
  <c r="M23" i="14" s="1"/>
  <c r="I23" i="14"/>
  <c r="F9" i="11"/>
  <c r="M22" i="14" s="1"/>
  <c r="I22" i="14"/>
  <c r="F9" i="12"/>
  <c r="M20" i="14" s="1"/>
  <c r="I20" i="14"/>
  <c r="F9" i="13"/>
  <c r="C37" i="13"/>
  <c r="F9" i="14"/>
  <c r="J9" i="14"/>
  <c r="C46" i="13"/>
  <c r="K9" i="14"/>
  <c r="C57" i="8"/>
  <c r="L25" i="14"/>
  <c r="J25" i="14"/>
  <c r="C62" i="9"/>
  <c r="L24" i="14"/>
  <c r="C62" i="10"/>
  <c r="L23" i="14"/>
  <c r="C63" i="11"/>
  <c r="L22" i="14"/>
  <c r="C162" i="12"/>
  <c r="J20" i="14"/>
  <c r="C67" i="6"/>
  <c r="O25" i="6"/>
  <c r="O24" i="6"/>
  <c r="O26" i="6"/>
  <c r="H27" i="14" s="1"/>
  <c r="D28" i="14"/>
  <c r="C11" i="5"/>
  <c r="B28" i="14" s="1"/>
  <c r="C58" i="6" l="1"/>
  <c r="F27" i="14"/>
  <c r="F11" i="6"/>
  <c r="K27" i="14" s="1"/>
  <c r="G27" i="14"/>
  <c r="I9" i="14"/>
  <c r="M9" i="14"/>
  <c r="F12" i="6"/>
  <c r="C62" i="6"/>
  <c r="F10" i="6"/>
  <c r="C66" i="6"/>
  <c r="O27" i="6"/>
  <c r="I42" i="5"/>
  <c r="I20" i="5"/>
  <c r="O26" i="5" s="1"/>
  <c r="C63" i="6" l="1"/>
  <c r="L27" i="14"/>
  <c r="J27" i="14"/>
  <c r="C59" i="6"/>
  <c r="F9" i="6"/>
  <c r="M27" i="14" s="1"/>
  <c r="I27" i="14"/>
  <c r="O25" i="5"/>
  <c r="G28" i="14" s="1"/>
  <c r="O24" i="5"/>
  <c r="C11" i="4"/>
  <c r="B29" i="14" s="1"/>
  <c r="O23" i="4"/>
  <c r="O22" i="4"/>
  <c r="F29" i="14" s="1"/>
  <c r="O23" i="3"/>
  <c r="O24" i="3"/>
  <c r="O24" i="1"/>
  <c r="O23" i="1"/>
  <c r="F31" i="14" s="1"/>
  <c r="C61" i="1" l="1"/>
  <c r="H31" i="14"/>
  <c r="C61" i="3"/>
  <c r="H30" i="14"/>
  <c r="C57" i="3"/>
  <c r="F30" i="14"/>
  <c r="F10" i="5"/>
  <c r="F28" i="14"/>
  <c r="F12" i="5"/>
  <c r="H28" i="14"/>
  <c r="C59" i="4"/>
  <c r="H29" i="14"/>
  <c r="O25" i="1"/>
  <c r="F10" i="1"/>
  <c r="F11" i="1"/>
  <c r="C72" i="5"/>
  <c r="F11" i="5"/>
  <c r="O27" i="5"/>
  <c r="C64" i="5"/>
  <c r="C68" i="5"/>
  <c r="O24" i="4"/>
  <c r="F10" i="4"/>
  <c r="C55" i="4"/>
  <c r="F11" i="4"/>
  <c r="F10" i="3"/>
  <c r="F11" i="3"/>
  <c r="O25" i="3"/>
  <c r="C57" i="1"/>
  <c r="F9" i="1" l="1"/>
  <c r="M31" i="14" s="1"/>
  <c r="I31" i="14"/>
  <c r="C62" i="1"/>
  <c r="K31" i="14"/>
  <c r="C58" i="1"/>
  <c r="J31" i="14"/>
  <c r="F9" i="3"/>
  <c r="M30" i="14" s="1"/>
  <c r="I30" i="14"/>
  <c r="C58" i="3"/>
  <c r="J30" i="14"/>
  <c r="K30" i="14"/>
  <c r="C62" i="3"/>
  <c r="F9" i="5"/>
  <c r="M28" i="14" s="1"/>
  <c r="I28" i="14"/>
  <c r="L28" i="14"/>
  <c r="C69" i="5"/>
  <c r="K28" i="14"/>
  <c r="C73" i="5"/>
  <c r="C65" i="5"/>
  <c r="J28" i="14"/>
  <c r="G29" i="14"/>
  <c r="C60" i="4"/>
  <c r="K29" i="14"/>
  <c r="J29" i="14"/>
  <c r="C56" i="4"/>
  <c r="F9" i="4"/>
  <c r="M29" i="14" s="1"/>
  <c r="I29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tc={2EB62F89-34FF-AE4D-A647-34CFFF0C022D}</author>
  </authors>
  <commentList>
    <comment ref="C10" authorId="0" shapeId="0" xr:uid="{00000000-0006-0000-0D00-00000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30k visiting PhD + 30k soutien PhD</t>
      </text>
    </comment>
  </commentList>
</comments>
</file>

<file path=xl/sharedStrings.xml><?xml version="1.0" encoding="utf-8"?>
<sst xmlns="http://schemas.openxmlformats.org/spreadsheetml/2006/main" count="3488" uniqueCount="834">
  <si>
    <t>Date de mise à jour</t>
  </si>
  <si>
    <t>FICHE IDENTITÉ CONVENTION</t>
  </si>
  <si>
    <t>Libellé :</t>
  </si>
  <si>
    <t>ERC P3OPLE</t>
  </si>
  <si>
    <t>n° PEP :</t>
  </si>
  <si>
    <t>Dates :</t>
  </si>
  <si>
    <t>01/09/2022 - 31/08/2027</t>
  </si>
  <si>
    <t>Bénéficiaire :</t>
  </si>
  <si>
    <t xml:space="preserve">Pauline Rossi </t>
  </si>
  <si>
    <t>Montant alloué :</t>
  </si>
  <si>
    <t>Disponible :</t>
  </si>
  <si>
    <t>Nature de la dépense</t>
  </si>
  <si>
    <t>Année d'imputation</t>
  </si>
  <si>
    <t>Type de dépense</t>
  </si>
  <si>
    <t>Bénéficiaire</t>
  </si>
  <si>
    <t>Libellé</t>
  </si>
  <si>
    <t>Numéro OM</t>
  </si>
  <si>
    <t>Numéro EJ</t>
  </si>
  <si>
    <t>Numéro Ligne</t>
  </si>
  <si>
    <t>Montant de la dépense (HTR)</t>
  </si>
  <si>
    <t>Fonctionnement</t>
  </si>
  <si>
    <t>Investissement</t>
  </si>
  <si>
    <t>Personnel</t>
  </si>
  <si>
    <t>Commande</t>
  </si>
  <si>
    <t>EJ</t>
  </si>
  <si>
    <t>Mission</t>
  </si>
  <si>
    <t>Paie</t>
  </si>
  <si>
    <t>CITI Program</t>
  </si>
  <si>
    <r>
      <t xml:space="preserve">Inscription cours Vrinda Sharma
</t>
    </r>
    <r>
      <rPr>
        <b/>
        <sz val="10"/>
        <color theme="1"/>
        <rFont val="MinionPro-Regular"/>
      </rPr>
      <t>Autres coûts directs</t>
    </r>
  </si>
  <si>
    <t>CASD</t>
  </si>
  <si>
    <r>
      <t xml:space="preserve">Accès aux données FECOHOM
</t>
    </r>
    <r>
      <rPr>
        <b/>
        <sz val="10"/>
        <color theme="1"/>
        <rFont val="MinionPro-Regular"/>
      </rPr>
      <t>Autres coûts directs</t>
    </r>
  </si>
  <si>
    <t>E2023000659</t>
  </si>
  <si>
    <r>
      <t xml:space="preserve">Inscription cours Manasi Chhabra
</t>
    </r>
    <r>
      <rPr>
        <b/>
        <sz val="10"/>
        <color theme="1"/>
        <rFont val="MinionPro-Regular"/>
      </rPr>
      <t>Autres coûts directs</t>
    </r>
  </si>
  <si>
    <t>Tilburg University</t>
  </si>
  <si>
    <r>
      <t xml:space="preserve">Accès aux données 2022
</t>
    </r>
    <r>
      <rPr>
        <b/>
        <sz val="10"/>
        <color theme="1"/>
        <rFont val="MinionPro-Regular"/>
      </rPr>
      <t>Coûts indirects</t>
    </r>
  </si>
  <si>
    <t>E2023009516</t>
  </si>
  <si>
    <t>Vrinda Sharma</t>
  </si>
  <si>
    <t>Contrat Assistante de Recherche 
01/09/2022 - 31/08/2023</t>
  </si>
  <si>
    <t>Tristan Duchenne</t>
  </si>
  <si>
    <r>
      <t xml:space="preserve">Contrat CDD
01/09/2022 - 31/08/2025
</t>
    </r>
    <r>
      <rPr>
        <b/>
        <sz val="10"/>
        <color theme="1"/>
        <rFont val="MinionPro-Regular"/>
      </rPr>
      <t>Coûts indirects</t>
    </r>
  </si>
  <si>
    <t>Manasi Chhabra</t>
  </si>
  <si>
    <t>Contrat Assistante de Recherche
01/09/2023 - 31/08/2024</t>
  </si>
  <si>
    <t>Pauline Rossi</t>
  </si>
  <si>
    <r>
      <t xml:space="preserve">Prime annuelle
</t>
    </r>
    <r>
      <rPr>
        <b/>
        <sz val="10"/>
        <color theme="1"/>
        <rFont val="MinionPro-Regular"/>
      </rPr>
      <t>Coûts indirects</t>
    </r>
  </si>
  <si>
    <t>Zheng Wang</t>
  </si>
  <si>
    <t>Contrat Post-doctorante
19/06/2023 - 18/06/2024</t>
  </si>
  <si>
    <t>Christine Valente</t>
  </si>
  <si>
    <t>Invitée séminaire et travail sur ERC P3OPLE
11/12/2022 - 16/12/2022</t>
  </si>
  <si>
    <t>Séminaire au laboratoire THEMA à CYU
09/03/2023</t>
  </si>
  <si>
    <t>Séminaire Fribourg et Genève
13/03/2023 - 19/03/2023</t>
  </si>
  <si>
    <t>Visiting UCLA /UCSD
11/10/2023 - 13/11/2023</t>
  </si>
  <si>
    <t>Yun Xiao</t>
  </si>
  <si>
    <t>Collaboration scientifique avec Pauline Rossi
23/04/2023 - 30/04/2023</t>
  </si>
  <si>
    <t>Data access and seminar presentation 
07-08/02/2024 - 27-29/02/2024</t>
  </si>
  <si>
    <r>
      <t xml:space="preserve">Sous-total </t>
    </r>
    <r>
      <rPr>
        <b/>
        <sz val="10"/>
        <color theme="1"/>
        <rFont val="MinionPro-Regular"/>
      </rPr>
      <t>Fonctionnement</t>
    </r>
  </si>
  <si>
    <r>
      <t xml:space="preserve">Sous-total </t>
    </r>
    <r>
      <rPr>
        <b/>
        <sz val="10"/>
        <color theme="1"/>
        <rFont val="MinionPro-Regular"/>
      </rPr>
      <t>Personnel</t>
    </r>
  </si>
  <si>
    <t>Partenaire :</t>
  </si>
  <si>
    <t>Commission européenne</t>
  </si>
  <si>
    <t>Total dépenses</t>
  </si>
  <si>
    <t>Solde</t>
  </si>
  <si>
    <t>Labex Ecodec</t>
  </si>
  <si>
    <t>01/01/2020 - 31/12/2024</t>
  </si>
  <si>
    <t>L1 - L2 - L3 - L6 - L7 - L9</t>
  </si>
  <si>
    <t>Renouvellement Geoffrey Barrows</t>
  </si>
  <si>
    <t>E2022001377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</si>
  <si>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</si>
  <si>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</si>
  <si>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</si>
  <si>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</si>
  <si>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</si>
  <si>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</si>
  <si>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</si>
  <si>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</si>
  <si>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</si>
  <si>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Yves Le Yaouanq</t>
  </si>
  <si>
    <t>Visite de recherche avec coauteurs à l'Université d'Amsterdam
28/02/2022 - 03/03/2022</t>
  </si>
  <si>
    <t>Pierre Picard</t>
  </si>
  <si>
    <t>Alexis Louaas</t>
  </si>
  <si>
    <t>Travail de collaboration avec coauteur
06/11/2022 - 08/11/2022</t>
  </si>
  <si>
    <t>Séminaire CREST et travaux de recherche avec Pauline Rossi
11/12/2022 - 16/12/2022</t>
  </si>
  <si>
    <t>Felix Montag</t>
  </si>
  <si>
    <t>Séminaire CREST
12/12/2022 - 08/01/2023</t>
  </si>
  <si>
    <t>Tommaso Bondi</t>
  </si>
  <si>
    <t>Séminaire CREST
13/12/2022 - 15/12/2022</t>
  </si>
  <si>
    <t>Vinaya Seshan</t>
  </si>
  <si>
    <t>Gratification de stage
Janvier 2023</t>
  </si>
  <si>
    <t>E2023001383</t>
  </si>
  <si>
    <t>Carolina Steensma</t>
  </si>
  <si>
    <t>E2023001602</t>
  </si>
  <si>
    <t>Gratification de stage
Février 2023</t>
  </si>
  <si>
    <t>E2023001991</t>
  </si>
  <si>
    <t>E2023001993</t>
  </si>
  <si>
    <t>Gratification de stage
Mars 2023</t>
  </si>
  <si>
    <t>E2023005669</t>
  </si>
  <si>
    <t>E2023005670</t>
  </si>
  <si>
    <t>ANR</t>
  </si>
  <si>
    <t>Rachel Huang</t>
  </si>
  <si>
    <t>François Salanie</t>
  </si>
  <si>
    <t>Conférence EGRIE 2022 à Vienne
16/09/2022 - 25/09/2022</t>
  </si>
  <si>
    <t>Conférence EGRIE 2022 à Vienne
18/09/2022 - 21/09/2022</t>
  </si>
  <si>
    <t>Participation à la conférence Risk and Insurance
12/09/2023 - 16/09/2023</t>
  </si>
  <si>
    <t>Participation à la conférence Risk and Insurance
13/09/2023 - 16/09/2023</t>
  </si>
  <si>
    <t>Conférence EGRIE 2023 à Malaga
17/09/2023 - 20/09/2023</t>
  </si>
  <si>
    <t>EUR DATA EFM</t>
  </si>
  <si>
    <t>01/08/2020 - 31/08/2023</t>
  </si>
  <si>
    <t>Laurent Linnemer</t>
  </si>
  <si>
    <t>Abonnement CASD TARECOM</t>
  </si>
  <si>
    <t>E2023001157</t>
  </si>
  <si>
    <t>La Table de Cana</t>
  </si>
  <si>
    <t>Évènement doctorants du 16/06/2023</t>
  </si>
  <si>
    <t>E2023011733</t>
  </si>
  <si>
    <t>Abonnement CASD MANQDIV pour Marion Brouard et Léa Dubreuil</t>
  </si>
  <si>
    <t>E2023011473</t>
  </si>
  <si>
    <t>Claire Leroy</t>
  </si>
  <si>
    <t>Visite du département de recherche d'Harvard University et collaboration avec chercheur à San Francisco
24/02/2023 - 11/05/2023</t>
  </si>
  <si>
    <t>Héloïse Clolery</t>
  </si>
  <si>
    <t>Margarita Kirneva</t>
  </si>
  <si>
    <t>Riccardo Norbiato</t>
  </si>
  <si>
    <t>Young Economist's Meeting 2023
23/05/2023 - 29/05/2023</t>
  </si>
  <si>
    <t>Conférence scientifique
25/06/2023 - 30/06/2023</t>
  </si>
  <si>
    <t>Conférence scientifique
22/07/2023 - 31/07/2023</t>
  </si>
  <si>
    <t>Visiting à San Francisco
05/08/2023 - 20/12/2023</t>
  </si>
  <si>
    <t>Visiting Harvard Business School
30/06/2022 - 31/05/2023 (convenance personnelle jusqu'au 30/06/2023)</t>
  </si>
  <si>
    <t>Myriam Kassoul</t>
  </si>
  <si>
    <t>Visiting USA
08/09/2022 - 09/01/2023</t>
  </si>
  <si>
    <t>ANR TAXREV</t>
  </si>
  <si>
    <t>01/10/2020 - 30/09/2025</t>
  </si>
  <si>
    <t>Pierre Boyer</t>
  </si>
  <si>
    <r>
      <t xml:space="preserve">Sous-total </t>
    </r>
    <r>
      <rPr>
        <b/>
        <sz val="10"/>
        <color theme="1"/>
        <rFont val="MinionPro-Regular"/>
      </rPr>
      <t>Investissement</t>
    </r>
  </si>
  <si>
    <t>Camille Ciriez</t>
  </si>
  <si>
    <t>Nolwenn Loisel</t>
  </si>
  <si>
    <t>Jérôme Poulain</t>
  </si>
  <si>
    <t>Adrien Vallette</t>
  </si>
  <si>
    <t>Vincent Verger</t>
  </si>
  <si>
    <t>Bilal Choho</t>
  </si>
  <si>
    <t>Gratification de stage 
Mai à août 2021</t>
  </si>
  <si>
    <t>Pablo Rodriguez</t>
  </si>
  <si>
    <t>Gratification de stage
Mai à juillet 2022</t>
  </si>
  <si>
    <t>Renouvellement INFOFIS</t>
  </si>
  <si>
    <t>Visiting de recherche à l'Université de San Francisco
03/01/2022 - 15/06/2022</t>
  </si>
  <si>
    <t>Thibault Ingrand</t>
  </si>
  <si>
    <t>Visite de recherche à Bruxelles
22/04/2022 - 23/04/2022</t>
  </si>
  <si>
    <t>Projet de recherche avec l'Université de San Francisco
28/03/2022 - 02/04/2022</t>
  </si>
  <si>
    <t>Visite de recherche à Amsterdam
01/03/2022 - 04/03/2022</t>
  </si>
  <si>
    <t>Visite de recherche à Toulouse
05/05/2022 - 11/05/2022</t>
  </si>
  <si>
    <t>Visite de recherche à Munich
30/05/2022 - 01/06/2022</t>
  </si>
  <si>
    <t>Adrianus Gerritsen</t>
  </si>
  <si>
    <t>Invité séminaire CREST
10/06/2022 - 11/06/2022</t>
  </si>
  <si>
    <t>Conférence IIPF 2022 à Linz et Conférence EEA-ESEM à Milan
01/08/2022 - 27/08/2022</t>
  </si>
  <si>
    <t>Marion Brouard</t>
  </si>
  <si>
    <t>Conférence IIPF 2022
09/08/2022 - 13/08/2022</t>
  </si>
  <si>
    <t>Randy Kotti</t>
  </si>
  <si>
    <t>2022 APSA Annual Meeting and Exhibition
15/09/2022 - 18/09/2022</t>
  </si>
  <si>
    <t>Visite de recherche à Cologne
01/11/2022 - 03/11/2022</t>
  </si>
  <si>
    <t>Arnaud Pandevant</t>
  </si>
  <si>
    <t>Journées de l'Économie à Lyon
15/11/2022 - 17/11/2022</t>
  </si>
  <si>
    <t>Geoffroy Dupont De Dinechin</t>
  </si>
  <si>
    <t>Jean-Galaad Barriere</t>
  </si>
  <si>
    <t>Visite de recherche à Munich
31/01/2023 - 02/02/2023</t>
  </si>
  <si>
    <t>Oxford University Press</t>
  </si>
  <si>
    <r>
      <t xml:space="preserve">Frais de publication
</t>
    </r>
    <r>
      <rPr>
        <b/>
        <sz val="10"/>
        <color theme="1"/>
        <rFont val="MinionPro-Regular"/>
      </rPr>
      <t>Coûts indirects</t>
    </r>
  </si>
  <si>
    <t>E2023014364</t>
  </si>
  <si>
    <t>OK</t>
  </si>
  <si>
    <t>3356 RD 122</t>
  </si>
  <si>
    <t>Giovanni Ricco</t>
  </si>
  <si>
    <t>Participation à l'Annual Conference of the Banco Central do Brasil et travail avec coauteurs
12/05/2023 - 23/05/2023</t>
  </si>
  <si>
    <t>Participation à African Econometric Society Conference et travail avec coauteurs
31/05/2023 - 06/06/2023</t>
  </si>
  <si>
    <t>BSE Summer Forum Workshop on Advances in Structural Shocks Identification
07/06/2023 - 09/06/2023</t>
  </si>
  <si>
    <t>Labex ECODEC RD 122</t>
  </si>
  <si>
    <t>01/09/2022 - 31/12/2024</t>
  </si>
  <si>
    <t>L1 - L2 - L3 - L4</t>
  </si>
  <si>
    <t>Grammarly</t>
  </si>
  <si>
    <t>Abonnement Alessandro Riboni</t>
  </si>
  <si>
    <t>Abonnement Julien Combe</t>
  </si>
  <si>
    <t>E2023009043</t>
  </si>
  <si>
    <t>Andrew Clark</t>
  </si>
  <si>
    <t>Relecture traduction</t>
  </si>
  <si>
    <t>E2022001175</t>
  </si>
  <si>
    <t>Renouvellement Churning in Cities - 15581</t>
  </si>
  <si>
    <t>E2023001158</t>
  </si>
  <si>
    <t>Renouvellement Churning in Cities - 15605</t>
  </si>
  <si>
    <t>E2023001159</t>
  </si>
  <si>
    <t>Projet VOLEMLI</t>
  </si>
  <si>
    <t>Eyrolles</t>
  </si>
  <si>
    <t>Livres pour Jean-Baptiste Michau</t>
  </si>
  <si>
    <t>E2023001728</t>
  </si>
  <si>
    <t>Frais de publications Yukio Koriyama</t>
  </si>
  <si>
    <t>Lilly Fischer</t>
  </si>
  <si>
    <r>
      <t xml:space="preserve">Gratification de stage
</t>
    </r>
    <r>
      <rPr>
        <b/>
        <sz val="10"/>
        <color theme="1"/>
        <rFont val="MinionPro-Regular"/>
      </rPr>
      <t>Décembre 2022</t>
    </r>
  </si>
  <si>
    <t>E2023001606</t>
  </si>
  <si>
    <r>
      <t xml:space="preserve">Gratification de stage
</t>
    </r>
    <r>
      <rPr>
        <b/>
        <sz val="10"/>
        <color theme="1"/>
        <rFont val="MinionPro-Regular"/>
      </rPr>
      <t>Janvier 2023</t>
    </r>
  </si>
  <si>
    <t>E2023001371</t>
  </si>
  <si>
    <t>Cyrus Pellet</t>
  </si>
  <si>
    <t>E2023001373</t>
  </si>
  <si>
    <r>
      <t xml:space="preserve">Gratification de stage
</t>
    </r>
    <r>
      <rPr>
        <b/>
        <sz val="10"/>
        <color theme="1"/>
        <rFont val="MinionPro-Regular"/>
      </rPr>
      <t>Février 2023</t>
    </r>
  </si>
  <si>
    <t>E2023001994</t>
  </si>
  <si>
    <t>Lucia Carai</t>
  </si>
  <si>
    <t>E2023002683</t>
  </si>
  <si>
    <t>E2023002688</t>
  </si>
  <si>
    <t>E2023002685</t>
  </si>
  <si>
    <t>E2023002689</t>
  </si>
  <si>
    <r>
      <t xml:space="preserve">Gratification de stage
</t>
    </r>
    <r>
      <rPr>
        <b/>
        <sz val="10"/>
        <color theme="1"/>
        <rFont val="MinionPro-Regular"/>
      </rPr>
      <t>Mars 2023</t>
    </r>
  </si>
  <si>
    <t>E2023005661</t>
  </si>
  <si>
    <t>E2023005668</t>
  </si>
  <si>
    <t>E2023005813</t>
  </si>
  <si>
    <t>Mathieu Fantino</t>
  </si>
  <si>
    <t>HP France</t>
  </si>
  <si>
    <t>E2023007186</t>
  </si>
  <si>
    <t>Tablette Yukio Koriyama</t>
  </si>
  <si>
    <r>
      <t xml:space="preserve">Gratification de stage
</t>
    </r>
    <r>
      <rPr>
        <b/>
        <sz val="10"/>
        <color theme="1"/>
        <rFont val="MinionPro-Regular"/>
      </rPr>
      <t>Juin 2023</t>
    </r>
  </si>
  <si>
    <r>
      <t xml:space="preserve">Gratification de stage
</t>
    </r>
    <r>
      <rPr>
        <b/>
        <sz val="10"/>
        <color theme="1"/>
        <rFont val="MinionPro-Regular"/>
      </rPr>
      <t>Juillet 2023</t>
    </r>
  </si>
  <si>
    <t>E2023021374</t>
  </si>
  <si>
    <t>Labex ECODEC RD 111</t>
  </si>
  <si>
    <t>Budget restant</t>
  </si>
  <si>
    <t>TOTAL</t>
  </si>
  <si>
    <t>15/03/2021 - 14/09/2026</t>
  </si>
  <si>
    <t>Patricia Crifo</t>
  </si>
  <si>
    <t>Firmin Traiteur</t>
  </si>
  <si>
    <t>Abonnement INFOFIS</t>
  </si>
  <si>
    <t>Johanne Trotin</t>
  </si>
  <si>
    <r>
      <t xml:space="preserve">Gratification de stage
</t>
    </r>
    <r>
      <rPr>
        <b/>
        <sz val="10"/>
        <color theme="1"/>
        <rFont val="MinionPro-Regular"/>
      </rPr>
      <t>Juillet 2022</t>
    </r>
  </si>
  <si>
    <r>
      <t xml:space="preserve">Gratification de stage
</t>
    </r>
    <r>
      <rPr>
        <b/>
        <sz val="10"/>
        <color theme="1"/>
        <rFont val="MinionPro-Regular"/>
      </rPr>
      <t>Août 2022</t>
    </r>
  </si>
  <si>
    <t>Conférence ESA
25/06/2023 - 29/06/2023</t>
  </si>
  <si>
    <t>Wael Bousselmi</t>
  </si>
  <si>
    <t>Conférence GRASFI AGM
04/09/2022 - 08/09/2022</t>
  </si>
  <si>
    <t>Conférence GRASFI AGM
06/09/2022 - 08/09/2022</t>
  </si>
  <si>
    <t>01/09/2021 - 31/08/2024</t>
  </si>
  <si>
    <t>Labex ECODEC RD 115 L3 / L4</t>
  </si>
  <si>
    <t>02/05/2021 - 31/12/2023</t>
  </si>
  <si>
    <t>Labex ECODEC RD 115 L2</t>
  </si>
  <si>
    <t>Maulik Fagnani</t>
  </si>
  <si>
    <t>Invité séminaire CREST et collaboration avec Pauline Rossi
09/03/2023 - 23/03/2023</t>
  </si>
  <si>
    <t>Labex ECODEC RD 118</t>
  </si>
  <si>
    <t>L4 / L5 / L8 / L10</t>
  </si>
  <si>
    <t>Pause gourmandise (Pierre Boyer)
24/03/2022</t>
  </si>
  <si>
    <t>E2022001424</t>
  </si>
  <si>
    <t>Déjeuner (Pierre Boyer)
24/03/2022</t>
  </si>
  <si>
    <t>E2022001464</t>
  </si>
  <si>
    <t>Pause-café (Pierre Boyer)
07/09/2022</t>
  </si>
  <si>
    <t>E2022016861</t>
  </si>
  <si>
    <t>Talking China Language Services</t>
  </si>
  <si>
    <t>Traduction pour Pierre Picard</t>
  </si>
  <si>
    <t>E2022019600</t>
  </si>
  <si>
    <t>Renouvellement IMPOREV</t>
  </si>
  <si>
    <t>E2023001361</t>
  </si>
  <si>
    <t>E2023002489</t>
  </si>
  <si>
    <t>Commande Livres pour Alessandro Riboni</t>
  </si>
  <si>
    <t>E2023009313</t>
  </si>
  <si>
    <t>Workshop on Political Economy
21/06/2023</t>
  </si>
  <si>
    <t>E2023009374</t>
  </si>
  <si>
    <t xml:space="preserve">Université </t>
  </si>
  <si>
    <t>Inscription summer school pour Clément Montes</t>
  </si>
  <si>
    <t>Chaire Blockchain &amp; B2B Platforms</t>
  </si>
  <si>
    <t>BB2B</t>
  </si>
  <si>
    <t>24/01/2022 - 31/11/2024</t>
  </si>
  <si>
    <t>Julien Prat</t>
  </si>
  <si>
    <t>Subvention d'État</t>
  </si>
  <si>
    <t>SE</t>
  </si>
  <si>
    <t>Econocom</t>
  </si>
  <si>
    <t>Guillaume Hollard</t>
  </si>
  <si>
    <t>Maddalena Conte</t>
  </si>
  <si>
    <t>Thomas Monnier</t>
  </si>
  <si>
    <t>Clément Montes</t>
  </si>
  <si>
    <t>École polytechnique</t>
  </si>
  <si>
    <t>CREST</t>
  </si>
  <si>
    <t>Subvention</t>
  </si>
  <si>
    <t>Chaire BB2B</t>
  </si>
  <si>
    <t>CNV 3287</t>
  </si>
  <si>
    <t>CNV 3182</t>
  </si>
  <si>
    <t>CNV 3181</t>
  </si>
  <si>
    <t>CNV 3177</t>
  </si>
  <si>
    <t>CNV 3141 RD 111</t>
  </si>
  <si>
    <t>CNV 3356 RD 122</t>
  </si>
  <si>
    <t>CNV 3088</t>
  </si>
  <si>
    <t>CNV 3357</t>
  </si>
  <si>
    <t>CNV 3286</t>
  </si>
  <si>
    <t>CNV 3300</t>
  </si>
  <si>
    <t>DÉPENSES</t>
  </si>
  <si>
    <t>Total</t>
  </si>
  <si>
    <t>BILAN CONVENTIONS CREST / ÉCOLE POLYTECHNIQUE</t>
  </si>
  <si>
    <t>CONVENTIONS</t>
  </si>
  <si>
    <t>MONTANTS ALLOUÉS</t>
  </si>
  <si>
    <t>DISPONIBLES</t>
  </si>
  <si>
    <t>Léa Bou Sleiman</t>
  </si>
  <si>
    <t>Lyza Racon</t>
  </si>
  <si>
    <t>EUR DATA EFM RD 6</t>
  </si>
  <si>
    <t>01/08/2023 - 31/08/2024</t>
  </si>
  <si>
    <t>GENES</t>
  </si>
  <si>
    <t>CNV 3464</t>
  </si>
  <si>
    <t>E2022019819</t>
  </si>
  <si>
    <t>Source :</t>
  </si>
  <si>
    <t>ULYSSE / CREST / ADMINISTRATION / CONTRATS / X</t>
  </si>
  <si>
    <t>Daniel Augot</t>
  </si>
  <si>
    <t>Séminaire ANR
08/01/2023 - 13/01/2023</t>
  </si>
  <si>
    <t>Drissi Faycal</t>
  </si>
  <si>
    <t>Invité séminaire chaire BB2B
24/01/2023 - 25/01/2023</t>
  </si>
  <si>
    <t>Bernadette Charron-Bost</t>
  </si>
  <si>
    <t>Co-organisation des journées "Revêtement de graphes et calcul distribué" au CIRM
12/02/2023 - 16/02/2023</t>
  </si>
  <si>
    <t>Louis De Monterno</t>
  </si>
  <si>
    <t>Marseille Covering Days
12/02/2023 - 15/02/2023</t>
  </si>
  <si>
    <t>Martina Fraschini</t>
  </si>
  <si>
    <t>Paolo Guasoni</t>
  </si>
  <si>
    <t>Invitée séminaire chaire BB2B
14/02/2023 - 16/02/2023</t>
  </si>
  <si>
    <t>Invité séminaire chaire BB2B
01/03/2023 - 02/03/2023</t>
  </si>
  <si>
    <t>Nicola Borri</t>
  </si>
  <si>
    <t>Invité séminaire chaire BB2B
15/03/2023 - 16/03/2023</t>
  </si>
  <si>
    <t>Francesco Zola</t>
  </si>
  <si>
    <t>Xiaotong Sun</t>
  </si>
  <si>
    <t>Invité séminaire chaire BB2B
16/05/2023 - 18/05/2023</t>
  </si>
  <si>
    <t>Natkamon Tovanich</t>
  </si>
  <si>
    <t>Summer school en Grèce
21/05/2023 - 30/05/2023</t>
  </si>
  <si>
    <t>Summer school en Grèce
21/05/2023 - 28/05/2023</t>
  </si>
  <si>
    <t>Summer school en Grèce
21/05/2023 - 26/05/2023</t>
  </si>
  <si>
    <t>Marseille Covering Days
31/05/2023 - 03/06/2023</t>
  </si>
  <si>
    <t>Recent Advances on Quantitative Finance à Hong-Kong
10/08/2023 - 31/08/2023</t>
  </si>
  <si>
    <t>Michele Fabi</t>
  </si>
  <si>
    <t>Conférence EEA - ESEM Barcelone 2023
27/08/2023 - 02/09/2023</t>
  </si>
  <si>
    <t>Présentation à ECML PKDD
17/09/2023 - 20/09/2023</t>
  </si>
  <si>
    <t>Liyi Zhou</t>
  </si>
  <si>
    <t>Participation Blockchain@X-OMI Workshop
20/09/2023 - 23/09/2023</t>
  </si>
  <si>
    <t>Léandro Sanchez Betancourt</t>
  </si>
  <si>
    <t>Kaihua Qui</t>
  </si>
  <si>
    <t>Marcello Monga</t>
  </si>
  <si>
    <t>Participation Blockchain@X-OMI Workshop
20/09/2023 - 24/09/2023</t>
  </si>
  <si>
    <t>Stefan Kitzler</t>
  </si>
  <si>
    <t>Deborah Miori</t>
  </si>
  <si>
    <t>DISC 2023 - 37th International Symposium on Distributed Computins
08/10/2023 - 13/10/2023</t>
  </si>
  <si>
    <t>Arnaud Casteigts</t>
  </si>
  <si>
    <t>Membre de jury de thèse Louis Pennet de Monterno
19/10/2023 - 20/10/2023</t>
  </si>
  <si>
    <t>George Giakkoupis</t>
  </si>
  <si>
    <t>Membre de jury de thèse Louis Pennet de Monterno
19/10/2023 - 19/10/2023</t>
  </si>
  <si>
    <t>Conférence à Londres
23/10/2023 - 29/10/2023</t>
  </si>
  <si>
    <t>Conférence à Naples
31/10/2023 - 07/11/2023</t>
  </si>
  <si>
    <t>Conférence à Mannheim
18/12/2023 - 20/12/2023</t>
  </si>
  <si>
    <t>Visiting à University College London
02/01/2024 - 31/03/2024</t>
  </si>
  <si>
    <t>École d'été à Oxford
10/09/2023 - 17/09/2023</t>
  </si>
  <si>
    <t>Allan Drazen</t>
  </si>
  <si>
    <t>Cours et séminaire CREST</t>
  </si>
  <si>
    <t>Renouvellement IMPOREV (Pierre Boyer)</t>
  </si>
  <si>
    <t>E2023022513</t>
  </si>
  <si>
    <t>E2023022514</t>
  </si>
  <si>
    <t>Renouvellement INFOFIS (Pierre Boyer)</t>
  </si>
  <si>
    <t>Abonnement INFOFIS pour Claire Leroy</t>
  </si>
  <si>
    <t>Olivier Gossner</t>
  </si>
  <si>
    <t>Visite de recherche avec co-auteur
19/01/2023 - 20/01/2023</t>
  </si>
  <si>
    <t>Visite de recherche avec co-auteur
26/01/2023 - 27/01/2023</t>
  </si>
  <si>
    <t>Yukio Koriyama</t>
  </si>
  <si>
    <t>Conférence CEFM et visite à Waseda University
31/01/2023 - 11/02/2023</t>
  </si>
  <si>
    <t>Visite de recherche avec co-auteur
02/02/2023 - 03/02/2023</t>
  </si>
  <si>
    <t>Visite de recherche avec co-auteur
09/02/2023 - 10/02/2023</t>
  </si>
  <si>
    <t>Visite de recherche avec co-auteur
16/02/2023 - 17/02/2023</t>
  </si>
  <si>
    <t>Visite de recherche avec co-auteur
02/03/2023 - 03/03/2023</t>
  </si>
  <si>
    <t>Visite de recherche avec co-auteur
09/03/2023 - 10/03/2023</t>
  </si>
  <si>
    <t>Conférence RIEF
15/03/2023 - 19/03/2023</t>
  </si>
  <si>
    <t>Visite de recherche avec co-auteur
16/03/2023 - 17/03/2023</t>
  </si>
  <si>
    <t>Benoît Schmutz</t>
  </si>
  <si>
    <t>Conférence RIEF
16/03/2023 - 17/03/2023</t>
  </si>
  <si>
    <t>Visite de recherche avec co-auteur
23/03/2023 - 24/03/2023</t>
  </si>
  <si>
    <t>Visite de recherche avec co-auteur
30/03/2023 - 31/03/2023</t>
  </si>
  <si>
    <t>Participation à une cérémonie de remise de prix et workshop
02/04/2023 - 05/04/2023</t>
  </si>
  <si>
    <t>Visite de recherche avec co-auteur
06/04/2023 - 07/04/2023</t>
  </si>
  <si>
    <t>Christian Belzil</t>
  </si>
  <si>
    <t>Conférence en mémoire de Claude Monmarquette et travaux avec co-auteurs sur différents projets
18/04/2023 - 03/05/2023</t>
  </si>
  <si>
    <t>Urban Economics Conference
27/04/2023 - 07/05/2023</t>
  </si>
  <si>
    <t>Visite de recherche avec co-auteur
04/05/2023 - 05/05/2023</t>
  </si>
  <si>
    <t>Matias Nunez</t>
  </si>
  <si>
    <t>Research stat seminar at Barcelone
27/05/2023 - 01/06/2023</t>
  </si>
  <si>
    <t>Inaugural Benelux PECO Conference
14/06/2023 - 16/06/2023</t>
  </si>
  <si>
    <t>Visiting Waseda University
20/06/2023 - 27/08/2023</t>
  </si>
  <si>
    <t>Conférence COMSOC 2023
29/06/2023 - 30/06/2023</t>
  </si>
  <si>
    <t>Conférence COMSOC 2023
02/07/2023 - 07/07/2023</t>
  </si>
  <si>
    <t>Les rencontres scientifiques d'Aix en Provence 2023
08/07/2023 - 09/07/2023</t>
  </si>
  <si>
    <t>Conférence SAET
17/07/2023 - 21/07/2023</t>
  </si>
  <si>
    <t>Recherche sur données au CIRANO et Ministère des Finances du Québec
20/08/2023 - 17/12/2023</t>
  </si>
  <si>
    <t>En cours</t>
  </si>
  <si>
    <t>Présentation à la Econometric Society
30/08/2023 - 30/08/2023</t>
  </si>
  <si>
    <t>Colloque Transatlantic Theory Workshop à Oxford
05/09/2023 - 08/09/2023</t>
  </si>
  <si>
    <t>Paul-Emmanuel Chouc</t>
  </si>
  <si>
    <t>Visite à Toulouse School of Economics
15/05/2023 - 18/05/2023</t>
  </si>
  <si>
    <t>Visite au MIT et Princeton University
18/03/2023 - 23/03/2023</t>
  </si>
  <si>
    <t>Albert Jan Hummel</t>
  </si>
  <si>
    <t>Workshop on Taxation Economics au CREST
02/06/2023 - 07/06/2023</t>
  </si>
  <si>
    <t>Karl Schulz</t>
  </si>
  <si>
    <t>Invité séminaire Firms and Markets
07/06/2023 - 12/06/2023</t>
  </si>
  <si>
    <t>Conférence SAET "Société pour l'Avancement de la Théorie Économique"
17/07/2023 - 21/07/2023</t>
  </si>
  <si>
    <t>Conférence NBER Public Economics
18/10/2023 - 22/10/2023</t>
  </si>
  <si>
    <t>Paul Vanborre--Jamin</t>
  </si>
  <si>
    <t>Journée de l'Économie 2023
14/11/2023 - 16/11/2023</t>
  </si>
  <si>
    <t>Amine Fahli Mohamed</t>
  </si>
  <si>
    <t>Transatlantic Theory Workshop
06/09/2023 - 10/09/2023</t>
  </si>
  <si>
    <t>Jan Tuinstra</t>
  </si>
  <si>
    <t>CREST / CEFM Workshop on Experimental Economics
25/09/2023 - 27/09/2023</t>
  </si>
  <si>
    <t>Joseph Tao-Yi Wang</t>
  </si>
  <si>
    <t>CREST / CEFM Workshop on Experimental Economics
25/09/2023 - 28/09/2023</t>
  </si>
  <si>
    <t>Angela Sutan</t>
  </si>
  <si>
    <t>Marc Willinger</t>
  </si>
  <si>
    <t>Michel Raymond</t>
  </si>
  <si>
    <t>CREST / CEFM Workshop on Experimental Economics
26/09/2023 - 27/09/2023</t>
  </si>
  <si>
    <t>E2023021375</t>
  </si>
  <si>
    <t>E2023022399</t>
  </si>
  <si>
    <t>Vincent Rollet</t>
  </si>
  <si>
    <t>Invité workshop CREST
12/12/2023 - 13/01/2024</t>
  </si>
  <si>
    <t>Invité séminaire "Projet CPO"
13/12/2023 - 13/01/2024</t>
  </si>
  <si>
    <t>Chris-Bistrot Augustin</t>
  </si>
  <si>
    <t>E2023024250</t>
  </si>
  <si>
    <t>POLARIS</t>
  </si>
  <si>
    <t>CIEDS 3479</t>
  </si>
  <si>
    <t>01/10/2023 - 01/07/2027</t>
  </si>
  <si>
    <t>Restaurant Augustin du 24/11/23 Workshop Doctorants</t>
  </si>
  <si>
    <t>L'Entrepot(es)</t>
  </si>
  <si>
    <t>Déjeuner jury de thèse Kotti 21/06</t>
  </si>
  <si>
    <t>E2023012206</t>
  </si>
  <si>
    <t>E2023019327</t>
  </si>
  <si>
    <t>Pause café workshop CWEE
26/09/2023-27/09/2023</t>
  </si>
  <si>
    <t>E2023019328</t>
  </si>
  <si>
    <t>Hôtel du Lion</t>
  </si>
  <si>
    <t>Hébergement workshop CREST/CEFM
26/09/2023-27/09/2023</t>
  </si>
  <si>
    <t>E2023027233</t>
  </si>
  <si>
    <t>E2023022103</t>
  </si>
  <si>
    <t>E2023013979</t>
  </si>
  <si>
    <t>E2023013812</t>
  </si>
  <si>
    <t>E2023016498</t>
  </si>
  <si>
    <t>Alejandro Christlieb Picazo</t>
  </si>
  <si>
    <t>E2023001160</t>
  </si>
  <si>
    <t>Pauline Carry</t>
  </si>
  <si>
    <t>Visite de recherche à l'Université de San Francisco
13/01/2022 - 03/06/2022</t>
  </si>
  <si>
    <t>Visiting à l'Université de Berkeley
02/03/2024 - 31/05/2024</t>
  </si>
  <si>
    <t>Alessandro Riboni</t>
  </si>
  <si>
    <t>Hugo Subtil</t>
  </si>
  <si>
    <t>Marie-Laure Allain</t>
  </si>
  <si>
    <t>Julien Combe</t>
  </si>
  <si>
    <t>Jean-Baptiste Michau</t>
  </si>
  <si>
    <t>Andrea Weber</t>
  </si>
  <si>
    <t>Emmanuelle Auriol</t>
  </si>
  <si>
    <t>Visite de recherche avec collaborateur</t>
  </si>
  <si>
    <t>Séminaire CREST</t>
  </si>
  <si>
    <t>Invité CREST pour recherche avec Alessandro Riboni
18/01/2022 - 18/05/2022</t>
  </si>
  <si>
    <t>Visite à Einaudi Institute of Finance et Luiss University (travail avec Facundo Piguillem)
19/02/2022 - 16/03/2022</t>
  </si>
  <si>
    <t>Visite de recherche avec collaborateur
11/03/2022 - 11/03/2022</t>
  </si>
  <si>
    <t>Visite de recherche et séminaire au CREST
31/03/2022 - 07/04/2022</t>
  </si>
  <si>
    <t>Séjour de recherche à California Institute of Technology
02/04/2022 - 08/05/2022</t>
  </si>
  <si>
    <t>Visite de recherche avec collaborateur Bernhard Von Stengel et participation au workshop "What is the Game? A Workshop on Game Theory"
05/04/2022 - 07/04/2022</t>
  </si>
  <si>
    <t>Collaboration scientifique avec Hansen (Concordia) et CIRANO (projet aide financière) et présentation à la congérence Montréal Economics 
26/04/2022 - 09/05/2022</t>
  </si>
  <si>
    <t>Visiting Waseda University and research and teaching with coauthors
24/05/2022 - 28/08/2022</t>
  </si>
  <si>
    <t>Conférence Journées de Microéconomie Appliquée
01/06/2022 - 03/06/2022</t>
  </si>
  <si>
    <t>Présentation conférence BECCLE
01/06/2022 - 03/06/2022</t>
  </si>
  <si>
    <t>Conférence Journées de Microéconomie Appliquée
02/06/2022 - 03/06/2022</t>
  </si>
  <si>
    <t>Conference on Economic Design at University of Padova
08/06/2022 - 12/06/2022</t>
  </si>
  <si>
    <t>Conference Society for Economic Dynamics
24/06/2022 - 02/07/2022</t>
  </si>
  <si>
    <t>Séjour de recherche
02/07/2022 - 13/04/2022</t>
  </si>
  <si>
    <t>Conférence Salento Macro Meetings 2022
24/07/2022 - 27/07/2022</t>
  </si>
  <si>
    <t>Visite de recherche
25/08/2022 - 16/12/2022</t>
  </si>
  <si>
    <t>Présentation Transatlantic Theory Workshop
30/08/2022 - 03/09/2022</t>
  </si>
  <si>
    <t>Visite de recherche
22/09/2022 - 22/09/2022</t>
  </si>
  <si>
    <t>Séminaire CREST
09/10/2022 - 22/10/2022</t>
  </si>
  <si>
    <t>Visite de recherche avec co-auteur
13/10/2022 - 13/10/2022</t>
  </si>
  <si>
    <t>Visite de recherche avec co-auteur
25/10/2022 - 25/10/2022</t>
  </si>
  <si>
    <t>Visite de recherche avec co-auteur
01/11/2022 - 01/11/2022</t>
  </si>
  <si>
    <t>Séminaire CREST
09/11/2022 - 10/11/2022</t>
  </si>
  <si>
    <t>CEPR Conference Series on the Political Economy of Finance
11/11/2022 - 13/11/2022</t>
  </si>
  <si>
    <t>Visite de recherche avec co-auteur
17/11/2022 - 17/11/2022</t>
  </si>
  <si>
    <t>Partenariat de recherche avec ANSD et SONATEL
20/11/2022 - 24/11/2022</t>
  </si>
  <si>
    <t>Visite de recherche avec co-auteur
24/11/2022 - 24/11/2022</t>
  </si>
  <si>
    <t>Visite Universié de Stanford pour séminaire
29/11/2022 - 17/12/2022</t>
  </si>
  <si>
    <t>Participation à un symposium et travail avec coauteurs à Tokyo
20/11/2023 - 27/11/2023</t>
  </si>
  <si>
    <t>Visite de travail avec Galit Ashkenazi
18/01/2024 - 19/01/2024</t>
  </si>
  <si>
    <t>Visite de travail avec Galit Ashkenazi
25/01/2024 - 26/01/2024</t>
  </si>
  <si>
    <t>Visite de travail avec Galit Ashkenazi
01/02/2024 - 02/02/2024</t>
  </si>
  <si>
    <t>Visite de travail avec Galit Ashkenazi
08/02/2024 - 09/02/2024</t>
  </si>
  <si>
    <t>Visite de travail avec Galit Ashkenazi
15/02/2024 - 16/02/2024</t>
  </si>
  <si>
    <t>Sarah Bordage</t>
  </si>
  <si>
    <t>Fatoumata Dione</t>
  </si>
  <si>
    <t>Maxime Romeas</t>
  </si>
  <si>
    <t>Youssef El Housni</t>
  </si>
  <si>
    <t>Arash Aloosh</t>
  </si>
  <si>
    <t>David Andolfatto</t>
  </si>
  <si>
    <t>Rodney John Garratt</t>
  </si>
  <si>
    <t>Hing Lun Chiu</t>
  </si>
  <si>
    <t>Andreas Park</t>
  </si>
  <si>
    <t>Maarten Roland Van Oordt</t>
  </si>
  <si>
    <t>Simon Mayer</t>
  </si>
  <si>
    <t>Eleanora Guerrini</t>
  </si>
  <si>
    <t>Gilles Zemor</t>
  </si>
  <si>
    <t>Jack Fletcher</t>
  </si>
  <si>
    <t>David Tercero Lucas</t>
  </si>
  <si>
    <t>Adeline Roux-Langlois</t>
  </si>
  <si>
    <t>Pierrick Gaudry</t>
  </si>
  <si>
    <t>Simon Weidenholzer</t>
  </si>
  <si>
    <t>Laurent Imbert</t>
  </si>
  <si>
    <t>Sylvain Duquesne</t>
  </si>
  <si>
    <t>Séminaire scientifique projet BARRACUDA</t>
  </si>
  <si>
    <t>Conférence à Paris "Crypto"</t>
  </si>
  <si>
    <t>Réunion de travail et conférence à Paris</t>
  </si>
  <si>
    <t>Visite de salle et traiteur pour conférence du 16 et 17/06/2022</t>
  </si>
  <si>
    <t>Conférence à Hendaye</t>
  </si>
  <si>
    <t>Présentation à une conférence</t>
  </si>
  <si>
    <t>Workshop on the Future of Money</t>
  </si>
  <si>
    <t>Membre du jury de thèse de Sarah Bordage</t>
  </si>
  <si>
    <t>Conférence Université Claude Bernard Lyon 1</t>
  </si>
  <si>
    <t>Travail de collaboration avec co-auteur</t>
  </si>
  <si>
    <t>Présentation Académie Work at Complex Networks 2022</t>
  </si>
  <si>
    <t>Journée du GDR Calculabilité</t>
  </si>
  <si>
    <t>Jury de soutenance de thèse Youssef El Housni</t>
  </si>
  <si>
    <t>Conférence OPODIS 2022</t>
  </si>
  <si>
    <t>Riho Marten Pallum</t>
  </si>
  <si>
    <t>Visite de recherche sur le projet de la chaire BB2B
27/12/2023 - 08/01/2024</t>
  </si>
  <si>
    <t>Workshop et short visiting on economic sanctions à Philadelphie
06/02/2024 - 26/02/2024</t>
  </si>
  <si>
    <t>Valentin Tordjman-Levasseur</t>
  </si>
  <si>
    <t>L10</t>
  </si>
  <si>
    <t>Assistant (Quotité 10%)
Contrat : 15/10/2023 - 30/04/2024</t>
  </si>
  <si>
    <t>Germain Gauthier</t>
  </si>
  <si>
    <t>Aurel Melard</t>
  </si>
  <si>
    <t>Agathe Noyer</t>
  </si>
  <si>
    <t>Yuanzhe Tang</t>
  </si>
  <si>
    <t>Mathilde Zobouyan</t>
  </si>
  <si>
    <t>Doctorant (Quotité 100%)
Contrat : 01/10/2019 - 31/08/2023</t>
  </si>
  <si>
    <t>Assistant (Quotité 100%)
Contrat : 10/09/2023 - 30/10/2023</t>
  </si>
  <si>
    <t>Assistant (Quotité 100%)
Contrat : 01/09/2023 - 31/03/2024</t>
  </si>
  <si>
    <t>Doctorant (Quotité 100%)
Contrat : 01/09/2021 - 31/08/2024</t>
  </si>
  <si>
    <t>Assistant (Quotité 100%)
Contrat : 01/09/2022 - 31/08/2023</t>
  </si>
  <si>
    <t>Assistant (Quotité 100%)
Contrat : 01/09/2023 - 30/09/2023</t>
  </si>
  <si>
    <t>Doctorant (Quotité 100%)
Contrat : 01/09/2018 - 31/03/2023</t>
  </si>
  <si>
    <t>Giulia Vattuone</t>
  </si>
  <si>
    <t>Doctorant (Quotité 100%)
Contrat : 01/09/2021 - 31/08/2022</t>
  </si>
  <si>
    <t>Thomas Van Casteren</t>
  </si>
  <si>
    <t>Assistant (Quotité 100%)
Contrat : 01/03/2022 - 31/05/2022)</t>
  </si>
  <si>
    <t>Claire He</t>
  </si>
  <si>
    <t>Assistant (Quotité 100%)
Contrat : 01/08/2022 - 21/08/2022</t>
  </si>
  <si>
    <t>Doctorant (Quotité 100%)
Contrat : 01/01/2024 - 30/09/2024</t>
  </si>
  <si>
    <t>Oliver Vanden Eynde</t>
  </si>
  <si>
    <t>Chargé de recherche (Quotité 20%)
Contrat : 01/0/2022 - 30/04/2022</t>
  </si>
  <si>
    <t>IAESE+ E</t>
  </si>
  <si>
    <t>L036</t>
  </si>
  <si>
    <t>Santiago Alejandro Lopez-Cantor</t>
  </si>
  <si>
    <t>Assistant (Quotité %)
Contrat : 01/12/2023 - 31/07/2024</t>
  </si>
  <si>
    <t>Lucas Degeorge</t>
  </si>
  <si>
    <t>Doctorant (Quotité 100%)
02/09/2023 - 31/08/2026</t>
  </si>
  <si>
    <t>Assistant (Quotité 100%)
02/09/2022 - 01/09/2023</t>
  </si>
  <si>
    <t>Doctorant (Quotité 100%)
01/10/2022 - 30/09/2025</t>
  </si>
  <si>
    <t>Direction Générale de l'Armement</t>
  </si>
  <si>
    <t>03/10/2022 - 02/10/2025</t>
  </si>
  <si>
    <t>Assistant (Quotité 20%)
Contrat : 01/01/2024 - 30/04/2024</t>
  </si>
  <si>
    <t>Assistant (Quotité : 100%)
01/09/2021 - 31/08/2022</t>
  </si>
  <si>
    <t>Assistant (Quotité : 100%)
06/12/2021 - 05/12/2022</t>
  </si>
  <si>
    <t>Assistant (Quotité : 100%)
01/01/2022 - 28/08/2022</t>
  </si>
  <si>
    <t>Doctorant (Quotité : 100%)
01/09/2022 - 31/08/2025</t>
  </si>
  <si>
    <t>3355 RD 122</t>
  </si>
  <si>
    <t xml:space="preserve">Labex ECODEC </t>
  </si>
  <si>
    <t>Doctorant (Quotité : 100%)
Contrat : 01/10/2023 - 30/06/2024</t>
  </si>
  <si>
    <t>Doctorant (Quotité : 100%)
Contrat : 01/09/2023 - 31/08/2024</t>
  </si>
  <si>
    <t>L2 (Welcome Grants)</t>
  </si>
  <si>
    <t>Doctorant (Quotité : 100%)
Contrat : 01/10/2023 - 31/12/2023</t>
  </si>
  <si>
    <t>Labex ECODEC RD 115 L1</t>
  </si>
  <si>
    <t>L1 (108k + L2 432k)</t>
  </si>
  <si>
    <t>L3 (Sém Rossi) / L4 (Sém Koriyama, Hollard, Nunez)</t>
  </si>
  <si>
    <t>Pierre-Edouard Collignon</t>
  </si>
  <si>
    <t>Doctorant (Quotité : 100%)
Contrat : 01/09/2021 - 31/08/2022</t>
  </si>
  <si>
    <t>Gwen-Jiro Clochard</t>
  </si>
  <si>
    <t>Doctorant (Quotité : 100%)
Contrat : 01/10/2021 - 30/09/2022</t>
  </si>
  <si>
    <t>Louis Pape</t>
  </si>
  <si>
    <t>Doctorant (Quotité : 100%)
Contrat : 01/10/2021 - 10/04/2022</t>
  </si>
  <si>
    <t>Doctorant (Quotité : 100%)
Contrat : 01/11/2023 - 30/04/2024</t>
  </si>
  <si>
    <t>Labex ECODEC 3048 RD 108</t>
  </si>
  <si>
    <t>Antoine Ferey</t>
  </si>
  <si>
    <t>Doctorant (Quotité : 100%)
Contrat : 01/10/2020 - 30/09/2021</t>
  </si>
  <si>
    <t>Doctorant (Quotité : 100%)
Contrat : 01/09/2020 - 31/08/2023</t>
  </si>
  <si>
    <t>Yannick Obeloer</t>
  </si>
  <si>
    <t>Assistant (Quotité : 100%)
Contrat : 01/12/2021 - 31/07/2022</t>
  </si>
  <si>
    <t>Doctorant (Quotité : 100%)
Contrat : 01/10/2022 - 30/09/2023</t>
  </si>
  <si>
    <t>01/09/2020 - 31/12/2024</t>
  </si>
  <si>
    <t>Vacations</t>
  </si>
  <si>
    <t>Saadeh Angelo</t>
  </si>
  <si>
    <t>Chercheur
Contrat : 17/03/2023 - 16/05/2023</t>
  </si>
  <si>
    <t>Louis Viallard</t>
  </si>
  <si>
    <t>Assistant (Quotité : 100%)
Contrat : 15/10/2022 - 14/10/2023</t>
  </si>
  <si>
    <t>Post-doctorant (Quotité : 100%)
Contrat : 01/03/2022 - 29/02/2024</t>
  </si>
  <si>
    <t>Communication (Quotité : 100%)
Contrat : 01/102/2021 - 28/11/2022</t>
  </si>
  <si>
    <t>Post-doctorant (Quotité : 100%)
Contrat : 01/09/2021 - 31/08/2024</t>
  </si>
  <si>
    <t>Azam Soleimanian</t>
  </si>
  <si>
    <t>Post-doctorant (Quotité : 100%)
Contrat : 01/01/2021 - 15/02/2022</t>
  </si>
  <si>
    <t>Porteur de chaire 
Contrat : 01/01/2019 - 31/12/2023</t>
  </si>
  <si>
    <t>PCC
Contrat : 01/09/2019 - 31/08/2023</t>
  </si>
  <si>
    <t>Doctorant (Quotité : 100%)
Contrat : 01/11/2019 - 31/10/2023</t>
  </si>
  <si>
    <t>Doctorant (Quotité : 100%)
Contrat : 01/01/2019 - 30/06/2022</t>
  </si>
  <si>
    <t>Sofo Kiknadze</t>
  </si>
  <si>
    <t>Stage
Convention : 06/2023 - 08/2023</t>
  </si>
  <si>
    <t>Elise Playe</t>
  </si>
  <si>
    <t>Budget</t>
  </si>
  <si>
    <t>Assistant (Quotité : 100%)
01/10/2022 - 31/12/2022</t>
  </si>
  <si>
    <t>Maxime Liegey</t>
  </si>
  <si>
    <t>Assistant (Quotité : 100%)
15/05/2021 - 31/08/2021</t>
  </si>
  <si>
    <t>Assistant (Quotité : 100%)
01/09/2021 - 31/08/2021</t>
  </si>
  <si>
    <t>Assistant (Quotité : 40%)
11/10/2021 - 31/05/2022</t>
  </si>
  <si>
    <t>Giacomp Rostagno</t>
  </si>
  <si>
    <t>Assistant (Quotité : 40%)
01/09/2022 - 31/12/2022</t>
  </si>
  <si>
    <t>Doctorant (Quotité : 100%)
Contrat : 01/09/2022 - 31/08/2023</t>
  </si>
  <si>
    <t>Institut Europlace de Finance</t>
  </si>
  <si>
    <t>Convention de financement Léa Bou Sleiman</t>
  </si>
  <si>
    <t>01/09/2022 - 31/08/2023</t>
  </si>
  <si>
    <t>Programme PAUSE - Saeed Najafi Zanganeh</t>
  </si>
  <si>
    <t>31/08/2023 - 31/03/2024</t>
  </si>
  <si>
    <t xml:space="preserve">Saeed Najafi </t>
  </si>
  <si>
    <t>Saeed Najafi</t>
  </si>
  <si>
    <t>Doctorant (Quotité : 100%)
Contrat : 01/10/2023 - 31/03/2024</t>
  </si>
  <si>
    <t>Collège de France</t>
  </si>
  <si>
    <t>R23E</t>
  </si>
  <si>
    <t>Recrutement Sara Signorelli (reliquats 2023)</t>
  </si>
  <si>
    <t>07/09/2023 - 31/12/2026</t>
  </si>
  <si>
    <t>Sara Signorelli</t>
  </si>
  <si>
    <t>Enseignant (Quotité : 100%)
Contrat : 01/06/2023 - 31/12/2024</t>
  </si>
  <si>
    <t>CNV 3491</t>
  </si>
  <si>
    <t>CNV 3325</t>
  </si>
  <si>
    <t>CNV 3048</t>
  </si>
  <si>
    <t>CNV 3180</t>
  </si>
  <si>
    <t>CNV 3355</t>
  </si>
  <si>
    <t>CNV 3378</t>
  </si>
  <si>
    <t>Ordinateur Grégory Corcos</t>
  </si>
  <si>
    <t>Garantie ordinateur Grégory Corcos</t>
  </si>
  <si>
    <t>Location box Matéo Moglia</t>
  </si>
  <si>
    <t>01/01/2024 - 31/12/20234</t>
  </si>
  <si>
    <t>Visite à Toulouse School of Economics
04/06/2023 - 07/06/2023</t>
  </si>
  <si>
    <t>Projet de recherche avec l'Université
16/12/2022 - 07/01/2023</t>
  </si>
  <si>
    <t>Payé sur BB2B</t>
  </si>
  <si>
    <t>Payé sur SE</t>
  </si>
  <si>
    <t>Régie d'avance</t>
  </si>
  <si>
    <t>Frais d'inscription</t>
  </si>
  <si>
    <t>E2023018920</t>
  </si>
  <si>
    <t>Manuel Pannier</t>
  </si>
  <si>
    <r>
      <t xml:space="preserve">Gratification de stage
</t>
    </r>
    <r>
      <rPr>
        <b/>
        <sz val="10"/>
        <color theme="1"/>
        <rFont val="MinionPro-Regular"/>
      </rPr>
      <t>Janvier 2022</t>
    </r>
  </si>
  <si>
    <t>Payé 2 fois</t>
  </si>
  <si>
    <t>E2022000693
E2022000627</t>
  </si>
  <si>
    <t>Raja Taleb Ahmed</t>
  </si>
  <si>
    <r>
      <t xml:space="preserve">Gratification de stage
</t>
    </r>
    <r>
      <rPr>
        <b/>
        <sz val="10"/>
        <color theme="1"/>
        <rFont val="MinionPro-Regular"/>
      </rPr>
      <t>Mai à août 2022</t>
    </r>
  </si>
  <si>
    <t>Thibaud Cazanave</t>
  </si>
  <si>
    <r>
      <t xml:space="preserve">Gratification de stage
</t>
    </r>
    <r>
      <rPr>
        <b/>
        <sz val="10"/>
        <color theme="1"/>
        <rFont val="MinionPro-Regular"/>
      </rPr>
      <t>Mai à juillet 2022</t>
    </r>
  </si>
  <si>
    <r>
      <t xml:space="preserve">Gratification de stage
</t>
    </r>
    <r>
      <rPr>
        <b/>
        <sz val="10"/>
        <color theme="1"/>
        <rFont val="MinionPro-Regular"/>
      </rPr>
      <t>Novembre 2022</t>
    </r>
  </si>
  <si>
    <t>E2022023919</t>
  </si>
  <si>
    <t>E2022016526</t>
  </si>
  <si>
    <t>E2022013026
E2022016471
E2022016675</t>
  </si>
  <si>
    <t>E2022012126</t>
  </si>
  <si>
    <t>Traduction pour Guillaume Hollard</t>
  </si>
  <si>
    <t>E2022001990</t>
  </si>
  <si>
    <t>Renouvellement Julien Combe</t>
  </si>
  <si>
    <t>E2022003076</t>
  </si>
  <si>
    <t>Location licence</t>
  </si>
  <si>
    <t>E2022023778</t>
  </si>
  <si>
    <t>Visite de Recherche avec co-auteur Prof. Bernhard von Stengel
28/09/2023 - 04/12/2023</t>
  </si>
  <si>
    <r>
      <t xml:space="preserve">Gratification de stage
</t>
    </r>
    <r>
      <rPr>
        <b/>
        <sz val="10"/>
        <color theme="1"/>
        <rFont val="MinionPro-Regular"/>
      </rPr>
      <t>Mai - Juin 2022</t>
    </r>
  </si>
  <si>
    <t>E2022012911</t>
  </si>
  <si>
    <t>E2022014520</t>
  </si>
  <si>
    <t>E2022016664</t>
  </si>
  <si>
    <t>Régie</t>
  </si>
  <si>
    <t>Régie expérimentation d'économétrie</t>
  </si>
  <si>
    <t>E2022025914</t>
  </si>
  <si>
    <t>Plateaux repas pour workshop
16/06/2022</t>
  </si>
  <si>
    <t>E2022010583</t>
  </si>
  <si>
    <t>Workshop CWEE
26/09/2023</t>
  </si>
  <si>
    <t>Workshop CWEE
27/09/2023</t>
  </si>
  <si>
    <t>Geoffrey Barrows</t>
  </si>
  <si>
    <t>Participation à une conférence à Larnaca
27/06/2023 - 30/06/2023</t>
  </si>
  <si>
    <t>Erreur d'imputation BB2B</t>
  </si>
  <si>
    <t>Non</t>
  </si>
  <si>
    <t>Déjeuner (Pierre Boyer)
07/09/2022</t>
  </si>
  <si>
    <t>E2022016969</t>
  </si>
  <si>
    <t>Pause après-midi
24/03/2022</t>
  </si>
  <si>
    <t>E2022001463</t>
  </si>
  <si>
    <t>Pause café workshop CREST doctorant
24/11/2023</t>
  </si>
  <si>
    <t>Payé par un autre organisme (mail du 14/02/2024)</t>
  </si>
  <si>
    <t>?</t>
  </si>
  <si>
    <t>Payé : 3600+5863,11</t>
  </si>
  <si>
    <t>Erreur d'imputation : 3141</t>
  </si>
  <si>
    <t>Remboursement du trop perçu fin de contrat</t>
  </si>
  <si>
    <t>E2023018484</t>
  </si>
  <si>
    <t>Abonnement TARECOM pour Théo Roudil</t>
  </si>
  <si>
    <t>E2024000417</t>
  </si>
  <si>
    <t>Inès Picard</t>
  </si>
  <si>
    <t>Visiting à Rotterdam
01/09/2023 - 31/12/2023</t>
  </si>
  <si>
    <t>Workshop + Short visiting on economic sanctions
06/02/2024 - 25/02/2024</t>
  </si>
  <si>
    <t>Aide à logement</t>
  </si>
  <si>
    <t>Aide au transport A/R</t>
  </si>
  <si>
    <t>Schloss Dagstuhl</t>
  </si>
  <si>
    <t>Grégoire Gaillard</t>
  </si>
  <si>
    <t>Gratification de stage
Mai 2022</t>
  </si>
  <si>
    <t>Gratification de stage
Juin 2022</t>
  </si>
  <si>
    <t>Gratification de stage
Juillet 2022</t>
  </si>
  <si>
    <t>E2022010257</t>
  </si>
  <si>
    <t>Frais de publication Tokenomics 2022</t>
  </si>
  <si>
    <t>E2022016524</t>
  </si>
  <si>
    <t>E2022016523</t>
  </si>
  <si>
    <t>E2022016525</t>
  </si>
  <si>
    <t>Didier</t>
  </si>
  <si>
    <t>Création de flyers pour Workshop du 16-17/06/2022</t>
  </si>
  <si>
    <t>E2022010528</t>
  </si>
  <si>
    <t>LBCMF SASU</t>
  </si>
  <si>
    <t>Vacation de rédacteur en chef d'un document de vulgarisation sur la Decentralized Finance (DeFi)</t>
  </si>
  <si>
    <t>21DG012217</t>
  </si>
  <si>
    <t>Gratification de stage
Aout 2022</t>
  </si>
  <si>
    <t>E2022017184</t>
  </si>
  <si>
    <t>CELYAN</t>
  </si>
  <si>
    <t>Création et renouvellement des noms de domaine</t>
  </si>
  <si>
    <t>E2022010256</t>
  </si>
  <si>
    <t>E2022014779</t>
  </si>
  <si>
    <t>E2022019326</t>
  </si>
  <si>
    <t>Mise en conformité de la charte du site Wordpress Blockchain</t>
  </si>
  <si>
    <t>Maintenance entre août et décembre 2022</t>
  </si>
  <si>
    <t>Développement Wordpress</t>
  </si>
  <si>
    <t>E2022001509</t>
  </si>
  <si>
    <t>SARBACANE SOFTWARE</t>
  </si>
  <si>
    <t>Offre essential (renouvellement)</t>
  </si>
  <si>
    <t>E2022014831</t>
  </si>
  <si>
    <t xml:space="preserve">Mailing et publicité </t>
  </si>
  <si>
    <t>E2023014683</t>
  </si>
  <si>
    <t>Refacturation du 20/06/2022 à la suite d'un avoir</t>
  </si>
  <si>
    <t>E2022010859</t>
  </si>
  <si>
    <t>E2022010857</t>
  </si>
  <si>
    <t>Prestation du 22/09/2023</t>
  </si>
  <si>
    <t>E2023019081</t>
  </si>
  <si>
    <t>Pause café Firmin - Conférence du 21-22/09/2023</t>
  </si>
  <si>
    <t>Serveur HPE ProLiant (Julien Prat)</t>
  </si>
  <si>
    <t>E2022002812</t>
  </si>
  <si>
    <t>S.E.CO SASU</t>
  </si>
  <si>
    <t>Audit digital et site web</t>
  </si>
  <si>
    <t>E2022001481</t>
  </si>
  <si>
    <t>Sébastian Krawczyk</t>
  </si>
  <si>
    <t>Gratification de stage
Juillet 2023</t>
  </si>
  <si>
    <t>Zexuan Sun</t>
  </si>
  <si>
    <t>François Wissocq</t>
  </si>
  <si>
    <t>Gratification de stage
Juin 2023</t>
  </si>
  <si>
    <t>Gratification de stage
Août 2023</t>
  </si>
  <si>
    <t>Rania Mani</t>
  </si>
  <si>
    <t>Dima Daouk</t>
  </si>
  <si>
    <t>Gratification de stage
Septembre 2023</t>
  </si>
  <si>
    <t>Remboursement transports juin-septembre 2023</t>
  </si>
  <si>
    <t>Réception du 22/09/2023</t>
  </si>
  <si>
    <t>E2023019343</t>
  </si>
  <si>
    <t>Réception du 21/09/2023</t>
  </si>
  <si>
    <t>Gratification de stage
Mai 2023</t>
  </si>
  <si>
    <t>E2023016530</t>
  </si>
  <si>
    <t>E2023018216</t>
  </si>
  <si>
    <t>E2023013808</t>
  </si>
  <si>
    <t>E2023013809</t>
  </si>
  <si>
    <t>E2023016547</t>
  </si>
  <si>
    <t>E2023016851</t>
  </si>
  <si>
    <t>E2023018220</t>
  </si>
  <si>
    <t>Gratification de stage 
Septembre 2023</t>
  </si>
  <si>
    <t>E2023021960</t>
  </si>
  <si>
    <t>Gratification de stage
Avril 2023</t>
  </si>
  <si>
    <t>E2023009213</t>
  </si>
  <si>
    <t>E2023011490</t>
  </si>
  <si>
    <t>PLS Living Room</t>
  </si>
  <si>
    <t>Diner du 22/09/2023</t>
  </si>
  <si>
    <t>E2023019082</t>
  </si>
  <si>
    <t>E2023016548</t>
  </si>
  <si>
    <t>E2023018228</t>
  </si>
  <si>
    <t>E2023019313</t>
  </si>
  <si>
    <t>E2023020187</t>
  </si>
  <si>
    <t>E2023009215</t>
  </si>
  <si>
    <t>E2023011491</t>
  </si>
  <si>
    <t>E2023013820</t>
  </si>
  <si>
    <t>Macbook Pro 13 (Fatou)</t>
  </si>
  <si>
    <t>E2023028987</t>
  </si>
  <si>
    <t xml:space="preserve">Apple Adaptateur </t>
  </si>
  <si>
    <t>UGAP</t>
  </si>
  <si>
    <t>Fournitures administratives</t>
  </si>
  <si>
    <t>E2023029022</t>
  </si>
  <si>
    <t>E2023018231</t>
  </si>
  <si>
    <t>E2023018232</t>
  </si>
  <si>
    <t>E2023018233</t>
  </si>
  <si>
    <t>E2023018450</t>
  </si>
  <si>
    <t>E2023018451</t>
  </si>
  <si>
    <t>E2023018452</t>
  </si>
  <si>
    <t>Participation à la Conférence "Journée de Microéconomie Appliquée"</t>
  </si>
  <si>
    <t>Réunion de collaboration avec Aurore Guillevic (Inria Nancy), soutenance de thèse de Rémi Clarisse et séminaire C2</t>
  </si>
  <si>
    <t>Karine Brisset</t>
  </si>
  <si>
    <t>Membre de jury de thèse au CREST</t>
  </si>
  <si>
    <t>Présentation conférence MUSEES à Lyon</t>
  </si>
  <si>
    <t>Giuseppe Sorrenti</t>
  </si>
  <si>
    <t>Séminaire CREST et visite de recherche avec Julien Combe</t>
  </si>
  <si>
    <t>Erreur d'imputation (SE)</t>
  </si>
  <si>
    <t>Rustamdjan Hakimov</t>
  </si>
  <si>
    <t>Jacques Desrues</t>
  </si>
  <si>
    <t>E4C - Colloque Pierre BREST</t>
  </si>
  <si>
    <t>Erreur d'imputation (E4C-LMD)</t>
  </si>
  <si>
    <t>Conférence of Risk and Insurance in Honor of Pierre Picard</t>
  </si>
  <si>
    <t>Erreur d'imputation (3286)</t>
  </si>
  <si>
    <t>Invité séminaire Chaire BB2B</t>
  </si>
  <si>
    <t>Erreur d'imputation (BB2B)</t>
  </si>
  <si>
    <t>Présentation papier au Workshop ACM DeFi 2023</t>
  </si>
  <si>
    <t>Erreur d'imputation pour 233,20€ pris sur 3286</t>
  </si>
  <si>
    <t>2022 APSA Annual Meeting &amp; Exhibition à Montréal</t>
  </si>
  <si>
    <t>Erreur d'imputation (3088)</t>
  </si>
  <si>
    <t>Maison MM2, Bistrot Augustin</t>
  </si>
  <si>
    <t>Diner séminaire workshop doctorants 
Annule et remplace EJ 2024002543
12/01/2024</t>
  </si>
  <si>
    <t>E2024000754</t>
  </si>
  <si>
    <t>Voyages C. Mathez</t>
  </si>
  <si>
    <t xml:space="preserve">A / R Yves le Yaouanq </t>
  </si>
  <si>
    <t>E2023026649</t>
  </si>
  <si>
    <t>Diner 3 personnes 
08/11/2023</t>
  </si>
  <si>
    <t>E2023024368</t>
  </si>
  <si>
    <t>Erreur d'imputation CNV 3088</t>
  </si>
  <si>
    <t>E2024000138</t>
  </si>
  <si>
    <t>Participation à ESA World Meeting à Lyon
25/06/2023 - 03/07/2023</t>
  </si>
  <si>
    <t>E2024000851</t>
  </si>
  <si>
    <t>E2024000539</t>
  </si>
  <si>
    <t>Jakub Steiner</t>
  </si>
  <si>
    <t>Invité séminaire Microeconomics
04/10/2023</t>
  </si>
  <si>
    <t>Clavier</t>
  </si>
  <si>
    <t>E2024000872</t>
  </si>
  <si>
    <t>E2024000139</t>
  </si>
  <si>
    <t>Organisation et présentation de la conférence "Des matchings aus marchés. au CIRM Marseille
10/12/2023 - 15/12/2023</t>
  </si>
  <si>
    <t>Visiting Rotterdam
01/09/2023 - 31/12/2023</t>
  </si>
  <si>
    <t>Visiting à University College London
Billets
03/01/2024 - 31/03/2024</t>
  </si>
  <si>
    <t>Gratification de stage
Février 2024</t>
  </si>
  <si>
    <t>E2024001639</t>
  </si>
  <si>
    <t>E2024001641</t>
  </si>
  <si>
    <t>Gratification de stage
Janvier 2024</t>
  </si>
  <si>
    <t>E2024001638</t>
  </si>
  <si>
    <t>E2024001640</t>
  </si>
  <si>
    <t>Chaire Marjoulet</t>
  </si>
  <si>
    <t>Benoit Schmutz</t>
  </si>
  <si>
    <t>L029</t>
  </si>
  <si>
    <t>Projet EPOLOSO</t>
  </si>
  <si>
    <t>E2024001018</t>
  </si>
  <si>
    <t>: frais de mission</t>
  </si>
  <si>
    <t>GT Communication GENES et visite CREST-ENSAI à Bruz</t>
  </si>
  <si>
    <t>Visiting à Berkeley
29/02/2024 - 01/06/2024</t>
  </si>
  <si>
    <t>DELL</t>
  </si>
  <si>
    <t>Braas pour double écran (Lyza)</t>
  </si>
  <si>
    <t>E2024000755</t>
  </si>
  <si>
    <t>MAJ 04.03.2024</t>
  </si>
  <si>
    <t>Tablette</t>
  </si>
  <si>
    <t>E2023021981</t>
  </si>
  <si>
    <t>Multi</t>
  </si>
  <si>
    <t>Total dépenses SIREPA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</si>
</sst>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MinionPro-Regular"/>
    </font>
    <font>
      <sz val="10"/>
      <color theme="1"/>
      <name val="MinionPro-Regular"/>
    </font>
    <font>
      <sz val="12"/>
      <color rgb="FF000000"/>
      <name val="MinionPro-Regular"/>
    </font>
    <font>
      <b/>
      <sz val="12"/>
      <color rgb="FF000000"/>
      <name val="MinionPro-Regular"/>
    </font>
    <font>
      <b/>
      <sz val="10"/>
      <color theme="1"/>
      <name val="MinionPro-Regular"/>
    </font>
    <font>
      <sz val="10"/>
      <color theme="0"/>
      <name val="MinionPro-Regular"/>
    </font>
    <font>
      <i/>
      <sz val="12"/>
      <color theme="1"/>
      <name val="MinionPro-Regular"/>
    </font>
    <font>
      <b/>
      <sz val="14"/>
      <color theme="0"/>
      <name val="MinionPro-Regular"/>
    </font>
    <font>
      <sz val="10"/>
      <color rgb="FF000000"/>
      <name val="MinionPro-Regular"/>
    </font>
    <font>
      <b/>
      <sz val="12"/>
      <color theme="0"/>
      <name val="MinionPro-Regular"/>
    </font>
    <font>
      <sz val="12"/>
      <color theme="0"/>
      <name val="MinionPro-Regular"/>
    </font>
    <font>
      <b/>
      <sz val="18"/>
      <color theme="1"/>
      <name val="MinionPro-Regular"/>
    </font>
    <font>
      <i/>
      <sz val="10"/>
      <color theme="1"/>
      <name val="MinionPro-Regular"/>
    </font>
    <font>
      <sz val="10"/>
      <color theme="1"/>
      <name val="Minion Pro"/>
      <family val="1"/>
    </font>
  </fonts>
  <fills count="8">
    <fill>
      <patternFill patternType="none"/>
    </fill>
    <fill>
      <patternFill patternType="gray125"/>
    </fill>
    <fill>
      <patternFill patternType="solid">
        <fgColor rgb="FF1B313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446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44654"/>
      </left>
      <right/>
      <top style="medium">
        <color rgb="FF944654"/>
      </top>
      <bottom/>
      <diagonal/>
    </border>
    <border>
      <left/>
      <right/>
      <top style="medium">
        <color rgb="FF944654"/>
      </top>
      <bottom/>
      <diagonal/>
    </border>
    <border>
      <left/>
      <right style="medium">
        <color rgb="FF944654"/>
      </right>
      <top style="medium">
        <color rgb="FF944654"/>
      </top>
      <bottom/>
      <diagonal/>
    </border>
    <border>
      <left style="medium">
        <color rgb="FF944654"/>
      </left>
      <right/>
      <top/>
      <bottom/>
      <diagonal/>
    </border>
    <border>
      <left/>
      <right style="medium">
        <color rgb="FF944654"/>
      </right>
      <top/>
      <bottom/>
      <diagonal/>
    </border>
    <border>
      <left style="medium">
        <color rgb="FF944654"/>
      </left>
      <right/>
      <top/>
      <bottom style="medium">
        <color rgb="FF944654"/>
      </bottom>
      <diagonal/>
    </border>
    <border>
      <left/>
      <right/>
      <top/>
      <bottom style="medium">
        <color rgb="FF944654"/>
      </bottom>
      <diagonal/>
    </border>
    <border>
      <left/>
      <right style="medium">
        <color rgb="FF944654"/>
      </right>
      <top/>
      <bottom style="medium">
        <color rgb="FF944654"/>
      </bottom>
      <diagonal/>
    </border>
    <border>
      <left style="medium">
        <color rgb="FF944654"/>
      </left>
      <right/>
      <top style="medium">
        <color rgb="FF944654"/>
      </top>
      <bottom style="medium">
        <color rgb="FF944654"/>
      </bottom>
      <diagonal/>
    </border>
    <border>
      <left/>
      <right/>
      <top style="medium">
        <color rgb="FF944654"/>
      </top>
      <bottom style="medium">
        <color rgb="FF944654"/>
      </bottom>
      <diagonal/>
    </border>
    <border>
      <left/>
      <right style="medium">
        <color rgb="FF944654"/>
      </right>
      <top style="medium">
        <color rgb="FF944654"/>
      </top>
      <bottom style="medium">
        <color rgb="FF944654"/>
      </bottom>
      <diagonal/>
    </border>
    <border>
      <left style="medium">
        <color rgb="FF944654"/>
      </left>
      <right style="thin">
        <color rgb="FF944654"/>
      </right>
      <top style="medium">
        <color rgb="FF944654"/>
      </top>
      <bottom style="thin">
        <color rgb="FF944654"/>
      </bottom>
      <diagonal/>
    </border>
    <border>
      <left style="thin">
        <color rgb="FF944654"/>
      </left>
      <right style="medium">
        <color rgb="FF944654"/>
      </right>
      <top style="medium">
        <color rgb="FF944654"/>
      </top>
      <bottom style="thin">
        <color rgb="FF944654"/>
      </bottom>
      <diagonal/>
    </border>
    <border>
      <left style="medium">
        <color rgb="FF944654"/>
      </left>
      <right style="thin">
        <color rgb="FF944654"/>
      </right>
      <top style="thin">
        <color rgb="FF944654"/>
      </top>
      <bottom style="thin">
        <color rgb="FF944654"/>
      </bottom>
      <diagonal/>
    </border>
    <border>
      <left style="thin">
        <color rgb="FF944654"/>
      </left>
      <right style="medium">
        <color rgb="FF944654"/>
      </right>
      <top style="thin">
        <color rgb="FF944654"/>
      </top>
      <bottom style="thin">
        <color rgb="FF944654"/>
      </bottom>
      <diagonal/>
    </border>
    <border>
      <left style="medium">
        <color rgb="FF944654"/>
      </left>
      <right style="thin">
        <color rgb="FF944654"/>
      </right>
      <top style="thin">
        <color rgb="FF944654"/>
      </top>
      <bottom style="medium">
        <color rgb="FF944654"/>
      </bottom>
      <diagonal/>
    </border>
    <border>
      <left style="thin">
        <color rgb="FF944654"/>
      </left>
      <right style="medium">
        <color rgb="FF944654"/>
      </right>
      <top style="thin">
        <color rgb="FF944654"/>
      </top>
      <bottom style="medium">
        <color rgb="FF944654"/>
      </bottom>
      <diagonal/>
    </border>
    <border>
      <left style="thin">
        <color rgb="FF944654"/>
      </left>
      <right style="thin">
        <color rgb="FF944654"/>
      </right>
      <top style="thin">
        <color rgb="FF944654"/>
      </top>
      <bottom style="thin">
        <color rgb="FF944654"/>
      </bottom>
      <diagonal/>
    </border>
    <border>
      <left style="medium">
        <color rgb="FF944654"/>
      </left>
      <right style="thin">
        <color rgb="FF944654"/>
      </right>
      <top/>
      <bottom style="thin">
        <color rgb="FF94465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6" xfId="0" applyFont="1" applyBorder="1" applyAlignment="1">
      <alignment horizontal="center"/>
    </xf>
    <xf numFmtId="0" fontId="4" fillId="0" borderId="5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4" fillId="0" borderId="3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4" fillId="0" borderId="0" xfId="0" applyFont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7" fillId="0" borderId="0" xfId="0" applyFont="1"/>
    <xf numFmtId="14" fontId="7" fillId="0" borderId="0" xfId="0" applyNumberFormat="1" applyFont="1" applyAlignment="1">
      <alignment horizontal="left"/>
    </xf>
    <xf numFmtId="0" fontId="2" fillId="0" borderId="13" xfId="0" applyFont="1" applyBorder="1" applyAlignment="1">
      <alignment horizontal="left" vertical="center"/>
    </xf>
    <xf numFmtId="164" fontId="2" fillId="0" borderId="14" xfId="0" applyNumberFormat="1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164" fontId="2" fillId="0" borderId="16" xfId="0" applyNumberFormat="1" applyFont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164" fontId="5" fillId="0" borderId="18" xfId="0" applyNumberFormat="1" applyFont="1" applyBorder="1" applyAlignment="1">
      <alignment horizontal="left" vertical="center"/>
    </xf>
    <xf numFmtId="0" fontId="2" fillId="0" borderId="19" xfId="0" applyFont="1" applyBorder="1"/>
    <xf numFmtId="164" fontId="2" fillId="0" borderId="19" xfId="0" applyNumberFormat="1" applyFont="1" applyBorder="1"/>
    <xf numFmtId="0" fontId="2" fillId="0" borderId="1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3" fillId="0" borderId="8" xfId="0" applyNumberFormat="1" applyFont="1" applyBorder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wrapText="1"/>
    </xf>
    <xf numFmtId="0" fontId="2" fillId="0" borderId="20" xfId="0" applyFont="1" applyBorder="1" applyAlignment="1">
      <alignment horizontal="left" vertical="center"/>
    </xf>
    <xf numFmtId="164" fontId="1" fillId="0" borderId="0" xfId="0" applyNumberFormat="1" applyFont="1"/>
    <xf numFmtId="0" fontId="9" fillId="0" borderId="1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21" xfId="0" applyFont="1" applyBorder="1" applyAlignment="1">
      <alignment vertical="center" wrapText="1"/>
    </xf>
    <xf numFmtId="0" fontId="0" fillId="0" borderId="0" xfId="0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1" fillId="0" borderId="22" xfId="0" applyNumberFormat="1" applyFont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164" fontId="1" fillId="0" borderId="27" xfId="0" applyNumberFormat="1" applyFont="1" applyBorder="1" applyAlignment="1">
      <alignment vertical="center"/>
    </xf>
    <xf numFmtId="164" fontId="1" fillId="0" borderId="28" xfId="0" applyNumberFormat="1" applyFont="1" applyBorder="1" applyAlignment="1">
      <alignment vertical="center"/>
    </xf>
    <xf numFmtId="0" fontId="11" fillId="4" borderId="23" xfId="0" applyFont="1" applyFill="1" applyBorder="1" applyAlignment="1">
      <alignment horizontal="center" vertical="center"/>
    </xf>
    <xf numFmtId="164" fontId="11" fillId="4" borderId="25" xfId="0" applyNumberFormat="1" applyFont="1" applyFill="1" applyBorder="1" applyAlignment="1">
      <alignment vertical="center"/>
    </xf>
    <xf numFmtId="164" fontId="11" fillId="4" borderId="26" xfId="0" applyNumberFormat="1" applyFont="1" applyFill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0" xfId="0" applyFont="1"/>
    <xf numFmtId="0" fontId="0" fillId="0" borderId="0" xfId="0" applyAlignment="1">
      <alignment horizontal="center"/>
    </xf>
    <xf numFmtId="0" fontId="2" fillId="0" borderId="35" xfId="0" applyFont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3" fillId="0" borderId="8" xfId="0" applyFont="1" applyBorder="1" applyAlignment="1">
      <alignment horizontal="left"/>
    </xf>
    <xf numFmtId="164" fontId="3" fillId="0" borderId="8" xfId="0" applyNumberFormat="1" applyFont="1" applyBorder="1" applyAlignment="1">
      <alignment horizontal="center"/>
    </xf>
    <xf numFmtId="164" fontId="1" fillId="0" borderId="36" xfId="0" applyNumberFormat="1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164" fontId="1" fillId="0" borderId="21" xfId="0" applyNumberFormat="1" applyFont="1" applyBorder="1" applyAlignment="1">
      <alignment vertical="center"/>
    </xf>
    <xf numFmtId="164" fontId="11" fillId="4" borderId="24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/>
    </xf>
    <xf numFmtId="0" fontId="0" fillId="0" borderId="0" xfId="0" applyAlignment="1">
      <alignment horizontal="center" wrapText="1"/>
    </xf>
    <xf numFmtId="0" fontId="3" fillId="0" borderId="0" xfId="0" quotePrefix="1" applyFont="1" applyAlignment="1">
      <alignment horizontal="right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2" borderId="24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79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44654"/>
      <color rgb="FF1B31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124-5F4F-9A98-35BE211875D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124-5F4F-9A98-35BE211875D0}"/>
              </c:ext>
            </c:extLst>
          </c:dPt>
          <c:dLbls>
            <c:dLbl>
              <c:idx val="0"/>
              <c:layout>
                <c:manualLayout>
                  <c:x val="0.10903842428718125"/>
                  <c:y val="0.166533517852605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24-5F4F-9A98-35BE211875D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24-5F4F-9A98-35BE211875D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SUBVENTION!$B$37:$B$38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SUBVENTION!$C$37:$C$38</c:f>
              <c:numCache>
                <c:formatCode>#\ ##0.00\ "€"</c:formatCode>
                <c:ptCount val="2"/>
                <c:pt idx="0">
                  <c:v>3837.2899999999995</c:v>
                </c:pt>
                <c:pt idx="1">
                  <c:v>29162.71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24-5F4F-9A98-35BE211875D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6A5-5A47-A8B5-38F68CA664F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6A5-5A47-A8B5-38F68CA664F4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A5-5A47-A8B5-38F68CA664F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A5-5A47-A8B5-38F68CA664F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3180'!$B$62:$B$63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3180'!$C$62:$C$63</c:f>
              <c:numCache>
                <c:formatCode>#\ ##0.00\ "€"</c:formatCode>
                <c:ptCount val="2"/>
                <c:pt idx="0">
                  <c:v>109162.93</c:v>
                </c:pt>
                <c:pt idx="1">
                  <c:v>430837.07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A5-5A47-A8B5-38F68CA664F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17-4B45-921F-A71958CD7F9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17-4B45-921F-A71958CD7F98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17-4B45-921F-A71958CD7F9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17-4B45-921F-A71958CD7F9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3355'!$B$62:$B$63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3355'!$C$62:$C$63</c:f>
              <c:numCache>
                <c:formatCode>#\ ##0.00\ "€"</c:formatCode>
                <c:ptCount val="2"/>
                <c:pt idx="0">
                  <c:v>74732.709999999992</c:v>
                </c:pt>
                <c:pt idx="1">
                  <c:v>1267.2900000000081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17-4B45-921F-A71958CD7F9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8DD-1646-9663-00FE088445B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8DD-1646-9663-00FE088445B6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DD-1646-9663-00FE088445B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DD-1646-9663-00FE088445B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3378'!$B$62:$B$63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3378'!$C$62:$C$63</c:f>
              <c:numCache>
                <c:formatCode>#\ ##0.00\ "€"</c:formatCode>
                <c:ptCount val="2"/>
                <c:pt idx="0">
                  <c:v>108000</c:v>
                </c:pt>
                <c:pt idx="1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DD-1646-9663-00FE088445B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704-9049-8EEF-E6CB5E102CE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704-9049-8EEF-E6CB5E102CEF}"/>
              </c:ext>
            </c:extLst>
          </c:dPt>
          <c:dLbls>
            <c:dLbl>
              <c:idx val="0"/>
              <c:layout>
                <c:manualLayout>
                  <c:x val="0.10903842428718125"/>
                  <c:y val="0.166533517852605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04-9049-8EEF-E6CB5E102CE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04-9049-8EEF-E6CB5E102CE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'L036'!$B$58:$B$59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'L036'!$C$58:$C$59</c:f>
              <c:numCache>
                <c:formatCode>#\ ##0.00\ "€"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04-9049-8EEF-E6CB5E102CE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35-0340-B0D0-7DAFC3DA5C0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735-0340-B0D0-7DAFC3DA5C08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35-0340-B0D0-7DAFC3DA5C0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35-0340-B0D0-7DAFC3DA5C0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'L036'!$B$62:$B$63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'L036'!$C$62:$C$63</c:f>
              <c:numCache>
                <c:formatCode>#\ ##0.00\ "€"</c:formatCode>
                <c:ptCount val="2"/>
                <c:pt idx="0">
                  <c:v>13660</c:v>
                </c:pt>
                <c:pt idx="1">
                  <c:v>106340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35-0340-B0D0-7DAFC3DA5C0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616-D74B-98DD-FDD7C65F866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616-D74B-98DD-FDD7C65F8666}"/>
              </c:ext>
            </c:extLst>
          </c:dPt>
          <c:dLbls>
            <c:dLbl>
              <c:idx val="0"/>
              <c:layout>
                <c:manualLayout>
                  <c:x val="-4.9447646063020909E-4"/>
                  <c:y val="-0.1801033645608773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16-D74B-98DD-FDD7C65F866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16-D74B-98DD-FDD7C65F866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'L036'!$B$66:$B$67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'L036'!$C$66:$C$67</c:f>
              <c:numCache>
                <c:formatCode>#\ ##0.00\ "€"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16-D74B-98DD-FDD7C65F866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1CE-9149-A096-3A77C616260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1CE-9149-A096-3A77C6162604}"/>
              </c:ext>
            </c:extLst>
          </c:dPt>
          <c:dLbls>
            <c:dLbl>
              <c:idx val="0"/>
              <c:layout>
                <c:manualLayout>
                  <c:x val="0.10903842428718125"/>
                  <c:y val="0.166533517852605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E-9149-A096-3A77C616260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CE-9149-A096-3A77C616260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'CIEDS 3479'!$B$58:$B$59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'CIEDS 3479'!$C$58:$C$59</c:f>
              <c:numCache>
                <c:formatCode>#\ ##0.00\ "€"</c:formatCode>
                <c:ptCount val="2"/>
                <c:pt idx="0">
                  <c:v>569.41999999999996</c:v>
                </c:pt>
                <c:pt idx="1">
                  <c:v>102430.58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E-9149-A096-3A77C616260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90F-A04D-8536-83BDA549C70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90F-A04D-8536-83BDA549C70D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0F-A04D-8536-83BDA549C70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0F-A04D-8536-83BDA549C70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'CIEDS 3479'!$B$62:$B$63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'CIEDS 3479'!$C$62:$C$63</c:f>
              <c:numCache>
                <c:formatCode>#\ ##0.00\ "€"</c:formatCode>
                <c:ptCount val="2"/>
                <c:pt idx="0">
                  <c:v>0</c:v>
                </c:pt>
                <c:pt idx="1">
                  <c:v>723154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0F-A04D-8536-83BDA549C70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5D-D045-A291-D7594F4514F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C5D-D045-A291-D7594F4514F0}"/>
              </c:ext>
            </c:extLst>
          </c:dPt>
          <c:dLbls>
            <c:dLbl>
              <c:idx val="0"/>
              <c:layout>
                <c:manualLayout>
                  <c:x val="-4.9447646063020909E-4"/>
                  <c:y val="-0.1801033645608773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5D-D045-A291-D7594F4514F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5D-D045-A291-D7594F4514F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'CIEDS 3479'!$B$66:$B$67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'CIEDS 3479'!$C$66:$C$67</c:f>
              <c:numCache>
                <c:formatCode>#\ ##0.00\ "€"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5D-D045-A291-D7594F4514F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A02-B847-BAC7-525681246E5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A02-B847-BAC7-525681246E51}"/>
              </c:ext>
            </c:extLst>
          </c:dPt>
          <c:dLbls>
            <c:dLbl>
              <c:idx val="0"/>
              <c:layout>
                <c:manualLayout>
                  <c:x val="0.10903842428718125"/>
                  <c:y val="0.166533517852605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02-B847-BAC7-525681246E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02-B847-BAC7-525681246E5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'CHAIRE BB2B'!$B$161:$B$162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'CHAIRE BB2B'!$C$161:$C$162</c:f>
              <c:numCache>
                <c:formatCode>#\ ##0.00\ "€"</c:formatCode>
                <c:ptCount val="2"/>
                <c:pt idx="0">
                  <c:v>64671.339999999989</c:v>
                </c:pt>
                <c:pt idx="1">
                  <c:v>55126.87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02-B847-BAC7-525681246E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4F-4E40-8521-DA16A768F94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74F-4E40-8521-DA16A768F943}"/>
              </c:ext>
            </c:extLst>
          </c:dPt>
          <c:dLbls>
            <c:dLbl>
              <c:idx val="0"/>
              <c:layout>
                <c:manualLayout>
                  <c:x val="-4.9447646063020909E-4"/>
                  <c:y val="-0.1801033645608773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4F-4E40-8521-DA16A768F9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4F-4E40-8521-DA16A768F94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SUBVENTION!$B$45:$B$46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SUBVENTION!$C$45:$C$46</c:f>
              <c:numCache>
                <c:formatCode>#\ ##0.00\ "€"</c:formatCode>
                <c:ptCount val="2"/>
                <c:pt idx="0">
                  <c:v>2974.44</c:v>
                </c:pt>
                <c:pt idx="1">
                  <c:v>12025.56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F-4E40-8521-DA16A768F94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618-434F-BDB4-C67BBB9FE77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618-434F-BDB4-C67BBB9FE77A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18-434F-BDB4-C67BBB9FE77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18-434F-BDB4-C67BBB9FE77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'CHAIRE BB2B'!$B$165:$B$166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'CHAIRE BB2B'!$C$165:$C$166</c:f>
              <c:numCache>
                <c:formatCode>#\ ##0.00\ "€"</c:formatCode>
                <c:ptCount val="2"/>
                <c:pt idx="0">
                  <c:v>788814.08000000007</c:v>
                </c:pt>
                <c:pt idx="1">
                  <c:v>232433.94999999995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18-434F-BDB4-C67BBB9FE77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0D4-C44F-9F5D-5F8636F80C8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0D4-C44F-9F5D-5F8636F80C8A}"/>
              </c:ext>
            </c:extLst>
          </c:dPt>
          <c:dLbls>
            <c:dLbl>
              <c:idx val="0"/>
              <c:layout>
                <c:manualLayout>
                  <c:x val="-4.9447646063020909E-4"/>
                  <c:y val="-0.1801033645608773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D4-C44F-9F5D-5F8636F80C8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D4-C44F-9F5D-5F8636F80C8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'CHAIRE BB2B'!$B$169:$B$170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'CHAIRE BB2B'!$C$169:$C$170</c:f>
              <c:numCache>
                <c:formatCode>#\ ##0.00\ "€"</c:formatCode>
                <c:ptCount val="2"/>
                <c:pt idx="0">
                  <c:v>6106.51</c:v>
                </c:pt>
                <c:pt idx="1">
                  <c:v>15589.35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D4-C44F-9F5D-5F8636F80C8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28E-4740-9763-0A1BB741F7D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28E-4740-9763-0A1BB741F7DB}"/>
              </c:ext>
            </c:extLst>
          </c:dPt>
          <c:dLbls>
            <c:dLbl>
              <c:idx val="0"/>
              <c:layout>
                <c:manualLayout>
                  <c:x val="0.10903842428718125"/>
                  <c:y val="0.166533517852605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8E-4740-9763-0A1BB741F7D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8E-4740-9763-0A1BB741F7D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3464'!$B$57:$B$58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3464'!$C$57:$C$58</c:f>
              <c:numCache>
                <c:formatCode>#\ ##0.00\ "€"</c:formatCode>
                <c:ptCount val="2"/>
                <c:pt idx="0">
                  <c:v>8925.7000000000007</c:v>
                </c:pt>
                <c:pt idx="1">
                  <c:v>51074.3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8E-4740-9763-0A1BB741F7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A15-9F43-98F2-6C0AD3AB101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A15-9F43-98F2-6C0AD3AB1013}"/>
              </c:ext>
            </c:extLst>
          </c:dPt>
          <c:dLbls>
            <c:dLbl>
              <c:idx val="0"/>
              <c:layout>
                <c:manualLayout>
                  <c:x val="0.10903842428718125"/>
                  <c:y val="0.166533517852605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15-9F43-98F2-6C0AD3AB101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15-9F43-98F2-6C0AD3AB101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3287'!$B$58:$B$59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3287'!$C$58:$C$59</c:f>
              <c:numCache>
                <c:formatCode>#\ ##0.00\ "€"</c:formatCode>
                <c:ptCount val="2"/>
                <c:pt idx="0">
                  <c:v>33669.439999999995</c:v>
                </c:pt>
                <c:pt idx="1">
                  <c:v>33330.560000000005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15-9F43-98F2-6C0AD3AB10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6DA-DD4C-BF31-CE62C08E709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6DA-DD4C-BF31-CE62C08E709E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DA-DD4C-BF31-CE62C08E709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DA-DD4C-BF31-CE62C08E709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3287'!$B$62:$B$63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3287'!$C$62:$C$63</c:f>
              <c:numCache>
                <c:formatCode>#\ ##0.00\ "€"</c:formatCode>
                <c:ptCount val="2"/>
                <c:pt idx="0">
                  <c:v>5220</c:v>
                </c:pt>
                <c:pt idx="1">
                  <c:v>25780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A-DD4C-BF31-CE62C08E709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1D-C84E-AAB0-D6F9BFEE91E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F1D-C84E-AAB0-D6F9BFEE91E8}"/>
              </c:ext>
            </c:extLst>
          </c:dPt>
          <c:dLbls>
            <c:dLbl>
              <c:idx val="0"/>
              <c:layout>
                <c:manualLayout>
                  <c:x val="-4.9447646063020909E-4"/>
                  <c:y val="-0.1801033645608773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1D-C84E-AAB0-D6F9BFEE91E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1D-C84E-AAB0-D6F9BFEE91E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3287'!$B$66:$B$67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3287'!$C$66:$C$67</c:f>
              <c:numCache>
                <c:formatCode>#\ ##0.00\ "€"</c:formatCode>
                <c:ptCount val="2"/>
                <c:pt idx="0">
                  <c:v>0</c:v>
                </c:pt>
                <c:pt idx="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D-C84E-AAB0-D6F9BFEE91E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4E8-434A-A566-E9C7D1A3E15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4E8-434A-A566-E9C7D1A3E151}"/>
              </c:ext>
            </c:extLst>
          </c:dPt>
          <c:dLbls>
            <c:dLbl>
              <c:idx val="0"/>
              <c:layout>
                <c:manualLayout>
                  <c:x val="0.10903842428718125"/>
                  <c:y val="0.166533517852605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E8-434A-A566-E9C7D1A3E1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E8-434A-A566-E9C7D1A3E15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3182'!$B$57:$B$58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3182'!$C$57:$C$58</c:f>
              <c:numCache>
                <c:formatCode>#\ ##0.00\ "€"</c:formatCode>
                <c:ptCount val="2"/>
                <c:pt idx="0">
                  <c:v>7472.32</c:v>
                </c:pt>
                <c:pt idx="1">
                  <c:v>1833.2400000000016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E8-434A-A566-E9C7D1A3E1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B4-E849-9FA4-6C524C24771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B4-E849-9FA4-6C524C247710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B4-E849-9FA4-6C524C24771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B4-E849-9FA4-6C524C24771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3182'!$B$61:$B$62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3182'!$C$61:$C$62</c:f>
              <c:numCache>
                <c:formatCode>#\ ##0.00\ "€"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B4-E849-9FA4-6C524C24771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5E3-7045-8FE9-BD77538E8CC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5E3-7045-8FE9-BD77538E8CC8}"/>
              </c:ext>
            </c:extLst>
          </c:dPt>
          <c:dLbls>
            <c:dLbl>
              <c:idx val="0"/>
              <c:layout>
                <c:manualLayout>
                  <c:x val="-4.9447646063020909E-4"/>
                  <c:y val="-0.1801033645608773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E3-7045-8FE9-BD77538E8CC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E3-7045-8FE9-BD77538E8CC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3182'!$B$65:$B$66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3182'!$C$65:$C$66</c:f>
              <c:numCache>
                <c:formatCode>#\ ##0.00\ "€"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E3-7045-8FE9-BD77538E8CC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4EC-534F-BEC8-A1094B9DA12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4EC-534F-BEC8-A1094B9DA126}"/>
              </c:ext>
            </c:extLst>
          </c:dPt>
          <c:dLbls>
            <c:dLbl>
              <c:idx val="0"/>
              <c:layout>
                <c:manualLayout>
                  <c:x val="0.10903842428718125"/>
                  <c:y val="0.166533517852605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EC-534F-BEC8-A1094B9DA12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EC-534F-BEC8-A1094B9DA12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3181'!$B$57:$B$58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3181'!$C$57:$C$58</c:f>
              <c:numCache>
                <c:formatCode>#\ ##0.00\ "€"</c:formatCode>
                <c:ptCount val="2"/>
                <c:pt idx="0">
                  <c:v>3752.23</c:v>
                </c:pt>
                <c:pt idx="1">
                  <c:v>-332.23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EC-534F-BEC8-A1094B9DA1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1A7-4C44-B242-BD8D3693634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1A7-4C44-B242-BD8D36936346}"/>
              </c:ext>
            </c:extLst>
          </c:dPt>
          <c:dLbls>
            <c:dLbl>
              <c:idx val="0"/>
              <c:layout>
                <c:manualLayout>
                  <c:x val="0.10903842428718125"/>
                  <c:y val="0.166533517852605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A7-4C44-B242-BD8D3693634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A7-4C44-B242-BD8D3693634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'L029'!$B$58:$B$59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'L029'!$C$58:$C$59</c:f>
              <c:numCache>
                <c:formatCode>#\ ##0.00\ "€"</c:formatCode>
                <c:ptCount val="2"/>
                <c:pt idx="0">
                  <c:v>5315</c:v>
                </c:pt>
                <c:pt idx="1">
                  <c:v>32685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A7-4C44-B242-BD8D3693634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E9B-1441-B325-68166DDEA51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E9B-1441-B325-68166DDEA51B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9B-1441-B325-68166DDEA5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9B-1441-B325-68166DDEA51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3181'!$B$61:$B$62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3181'!$C$61:$C$62</c:f>
              <c:numCache>
                <c:formatCode>#\ ##0.00\ "€"</c:formatCode>
                <c:ptCount val="2"/>
                <c:pt idx="0">
                  <c:v>394203.94000000012</c:v>
                </c:pt>
                <c:pt idx="1">
                  <c:v>34396.059999999881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9B-1441-B325-68166DDEA51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300-554F-B128-E0AF5F8AE7F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300-554F-B128-E0AF5F8AE7F9}"/>
              </c:ext>
            </c:extLst>
          </c:dPt>
          <c:dLbls>
            <c:dLbl>
              <c:idx val="0"/>
              <c:layout>
                <c:manualLayout>
                  <c:x val="0.10903842428718125"/>
                  <c:y val="0.166533517852605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00-554F-B128-E0AF5F8AE7F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00-554F-B128-E0AF5F8AE7F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3177'!$B$52:$B$53</c:f>
              <c:strCache>
                <c:ptCount val="2"/>
                <c:pt idx="0">
                  <c:v>Total dépenses</c:v>
                </c:pt>
                <c:pt idx="1">
                  <c:v>Budget</c:v>
                </c:pt>
              </c:strCache>
            </c:strRef>
          </c:cat>
          <c:val>
            <c:numRef>
              <c:f>'CNV 3177'!$C$52:$C$53</c:f>
              <c:numCache>
                <c:formatCode>#\ ##0.00\ "€"</c:formatCode>
                <c:ptCount val="2"/>
                <c:pt idx="0">
                  <c:v>4928.71</c:v>
                </c:pt>
                <c:pt idx="1">
                  <c:v>4767.5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00-554F-B128-E0AF5F8AE7F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57F-1C49-AC24-8FD2F5A9C81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57F-1C49-AC24-8FD2F5A9C819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57F-1C49-AC24-8FD2F5A9C819}"/>
                </c:ext>
              </c:extLst>
            </c:dLbl>
            <c:dLbl>
              <c:idx val="1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7F-1C49-AC24-8FD2F5A9C81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3048'!$B$61:$B$62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3048'!$C$61:$C$62</c:f>
              <c:numCache>
                <c:formatCode>#\ ##0.00\ "€"</c:formatCode>
                <c:ptCount val="2"/>
                <c:pt idx="0">
                  <c:v>195210.49000000002</c:v>
                </c:pt>
                <c:pt idx="1">
                  <c:v>4789.5099999999802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7F-1C49-AC24-8FD2F5A9C81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D1B-E549-8046-04BD18B2E11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D1B-E549-8046-04BD18B2E11C}"/>
              </c:ext>
            </c:extLst>
          </c:dPt>
          <c:dLbls>
            <c:dLbl>
              <c:idx val="0"/>
              <c:layout>
                <c:manualLayout>
                  <c:x val="0.10903842428718125"/>
                  <c:y val="0.166533517852605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1B-E549-8046-04BD18B2E11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1B-E549-8046-04BD18B2E11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3141 RD 111'!$B$126:$B$127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3141 RD 111'!$C$126:$C$127</c:f>
              <c:numCache>
                <c:formatCode>#\ ##0.00\ "€"</c:formatCode>
                <c:ptCount val="2"/>
                <c:pt idx="0">
                  <c:v>104374.83000000002</c:v>
                </c:pt>
                <c:pt idx="1">
                  <c:v>65870.219999999972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1B-E549-8046-04BD18B2E11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F5-F241-9274-9DBE76B348A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F5-F241-9274-9DBE76B348A6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F5-F241-9274-9DBE76B348A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F5-F241-9274-9DBE76B348A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3141 RD 111'!$B$130:$B$131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3141 RD 111'!$C$130:$C$131</c:f>
              <c:numCache>
                <c:formatCode>#\ ##0.00\ "€"</c:formatCode>
                <c:ptCount val="2"/>
                <c:pt idx="0">
                  <c:v>70676.61</c:v>
                </c:pt>
                <c:pt idx="1">
                  <c:v>6888.3399999999965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5-F241-9274-9DBE76B348A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0A6-C949-BA97-4A19EB5ADB5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0A6-C949-BA97-4A19EB5ADB50}"/>
              </c:ext>
            </c:extLst>
          </c:dPt>
          <c:dLbls>
            <c:dLbl>
              <c:idx val="0"/>
              <c:layout>
                <c:manualLayout>
                  <c:x val="-4.9447646063020909E-4"/>
                  <c:y val="-0.1801033645608773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A6-C949-BA97-4A19EB5ADB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A6-C949-BA97-4A19EB5ADB5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3141 RD 111'!$B$134:$B$135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3141 RD 111'!$C$134:$C$135</c:f>
              <c:numCache>
                <c:formatCode>#\ ##0.00\ "€"</c:formatCode>
                <c:ptCount val="2"/>
                <c:pt idx="0">
                  <c:v>1772.61</c:v>
                </c:pt>
                <c:pt idx="1">
                  <c:v>227.3900000000001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6-C949-BA97-4A19EB5ADB5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8BD-E745-9763-231F9649504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8BD-E745-9763-231F96495040}"/>
              </c:ext>
            </c:extLst>
          </c:dPt>
          <c:dLbls>
            <c:dLbl>
              <c:idx val="0"/>
              <c:layout>
                <c:manualLayout>
                  <c:x val="4.5495731672522646E-2"/>
                  <c:y val="1.4798713727612262E-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BD-E745-9763-231F96495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BD-E745-9763-231F9649504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3356 RD 122'!$B$58:$B$59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3356 RD 122'!$C$58:$C$59</c:f>
              <c:numCache>
                <c:formatCode>#\ ##0.00\ "€"</c:formatCode>
                <c:ptCount val="2"/>
                <c:pt idx="0">
                  <c:v>4899.1000000000004</c:v>
                </c:pt>
                <c:pt idx="1">
                  <c:v>3100.8999999999996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BD-E745-9763-231F9649504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5E-034A-A0DD-2636D5DB86B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5E-034A-A0DD-2636D5DB86B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35E-034A-A0DD-2636D5DB86B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35E-034A-A0DD-2636D5DB86B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3356 RD 122'!$B$62:$B$63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3356 RD 122'!$C$62:$C$63</c:f>
              <c:numCache>
                <c:formatCode>#\ ##0.00\ "€"</c:formatCode>
                <c:ptCount val="2"/>
                <c:pt idx="0">
                  <c:v>0</c:v>
                </c:pt>
                <c:pt idx="1">
                  <c:v>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5E-034A-A0DD-2636D5DB86B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648-F748-A55C-91EEDB4E449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648-F748-A55C-91EEDB4E449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648-F748-A55C-91EEDB4E449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648-F748-A55C-91EEDB4E449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3088'!$B$64:$B$65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3088'!$C$64:$C$65</c:f>
              <c:numCache>
                <c:formatCode>#\ ##0.00\ "€"</c:formatCode>
                <c:ptCount val="2"/>
                <c:pt idx="0">
                  <c:v>28252.83</c:v>
                </c:pt>
                <c:pt idx="1">
                  <c:v>23075.86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48-F748-A55C-91EEDB4E449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939-9C40-86E4-866328856FE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939-9C40-86E4-866328856FE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939-9C40-86E4-866328856FE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939-9C40-86E4-866328856FE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3088'!$B$68:$B$69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3088'!$C$68:$C$69</c:f>
              <c:numCache>
                <c:formatCode>#\ ##0.00\ "€"</c:formatCode>
                <c:ptCount val="2"/>
                <c:pt idx="0">
                  <c:v>188073.28</c:v>
                </c:pt>
                <c:pt idx="1">
                  <c:v>3926.7200000000012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39-9C40-86E4-866328856FE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9DF-436D-83FB-7A1C2632B8E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9DF-436D-83FB-7A1C2632B8E9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DF-436D-83FB-7A1C2632B8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DF-436D-83FB-7A1C2632B8E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'L029'!$B$62:$B$63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'L029'!$C$62:$C$63</c:f>
              <c:numCache>
                <c:formatCode>#\ ##0.00\ "€"</c:formatCode>
                <c:ptCount val="2"/>
                <c:pt idx="0">
                  <c:v>0</c:v>
                </c:pt>
                <c:pt idx="1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DF-436D-83FB-7A1C2632B8E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A9-1349-8DB1-05C55779B23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A9-1349-8DB1-05C55779B23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EA9-1349-8DB1-05C55779B231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EA9-1349-8DB1-05C55779B23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3357'!$B$55:$B$56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3357'!$C$55:$C$56</c:f>
              <c:numCache>
                <c:formatCode>#\ ##0.00\ "€"</c:formatCode>
                <c:ptCount val="2"/>
                <c:pt idx="0">
                  <c:v>46101.36</c:v>
                </c:pt>
                <c:pt idx="1">
                  <c:v>3898.6399999999994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A9-1349-8DB1-05C55779B23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6E9-7044-87B2-25FE0A3A336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6E9-7044-87B2-25FE0A3A336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6E9-7044-87B2-25FE0A3A336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6E9-7044-87B2-25FE0A3A336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3286'!$B$57:$B$58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3286'!$C$57:$C$58</c:f>
              <c:numCache>
                <c:formatCode>#\ ##0.00\ "€"</c:formatCode>
                <c:ptCount val="2"/>
                <c:pt idx="0">
                  <c:v>15288.55</c:v>
                </c:pt>
                <c:pt idx="1">
                  <c:v>21711.45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E9-7044-87B2-25FE0A3A33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FC0-DB40-A533-EC66BB328CD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FC0-DB40-A533-EC66BB328CD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FC0-DB40-A533-EC66BB328CD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FC0-DB40-A533-EC66BB328CD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3286'!$B$61:$B$62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3286'!$C$61:$C$62</c:f>
              <c:numCache>
                <c:formatCode>#\ ##0.00\ "€"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C0-DB40-A533-EC66BB328CD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2F-5F41-A84A-BEF085EA77A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E2F-5F41-A84A-BEF085EA77A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E2F-5F41-A84A-BEF085EA77A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E2F-5F41-A84A-BEF085EA77A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3300'!$B$57:$B$58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3300'!$C$57:$C$58</c:f>
              <c:numCache>
                <c:formatCode>#\ ##0.00\ "€"</c:formatCode>
                <c:ptCount val="2"/>
                <c:pt idx="0">
                  <c:v>27590.48</c:v>
                </c:pt>
                <c:pt idx="1">
                  <c:v>127688.92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F-5F41-A84A-BEF085EA77A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84C-8543-87A8-892377BA797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84C-8543-87A8-892377BA797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84C-8543-87A8-892377BA797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84C-8543-87A8-892377BA797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3300'!$B$61:$B$62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3300'!$C$61:$C$62</c:f>
              <c:numCache>
                <c:formatCode>#\ ##0.00\ "€"</c:formatCode>
                <c:ptCount val="2"/>
                <c:pt idx="0">
                  <c:v>391938.53</c:v>
                </c:pt>
                <c:pt idx="1">
                  <c:v>337024.47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C-8543-87A8-892377BA797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43A-4FBF-AB61-40BC10EC8F7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43A-4FBF-AB61-40BC10EC8F70}"/>
              </c:ext>
            </c:extLst>
          </c:dPt>
          <c:dLbls>
            <c:dLbl>
              <c:idx val="0"/>
              <c:layout>
                <c:manualLayout>
                  <c:x val="-4.9447646063020909E-4"/>
                  <c:y val="-0.1801033645608773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3A-4FBF-AB61-40BC10EC8F7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3A-4FBF-AB61-40BC10EC8F7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'L029'!$B$66:$B$67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'L029'!$C$66:$C$67</c:f>
              <c:numCache>
                <c:formatCode>#\ ##0.00\ "€"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3A-4FBF-AB61-40BC10EC8F7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2AA-407E-B9C8-C7BF784BE7B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2AA-407E-B9C8-C7BF784BE7B4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AA-407E-B9C8-C7BF784BE7B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AA-407E-B9C8-C7BF784BE7B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'R23E'!$B$61:$B$62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'R23E'!$C$61:$C$62</c:f>
              <c:numCache>
                <c:formatCode>#\ ##0.00\ "€"</c:formatCode>
                <c:ptCount val="2"/>
                <c:pt idx="0">
                  <c:v>129140</c:v>
                </c:pt>
                <c:pt idx="1">
                  <c:v>-466.47999999999593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AA-407E-B9C8-C7BF784BE7B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ED1-4870-BBAD-FF4387702A1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ED1-4870-BBAD-FF4387702A18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D1-4870-BBAD-FF4387702A1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D1-4870-BBAD-FF4387702A1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3491'!$B$61:$B$62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3491'!$C$61:$C$62</c:f>
              <c:numCache>
                <c:formatCode>#\ ##0.00\ "€"</c:formatCode>
                <c:ptCount val="2"/>
                <c:pt idx="0">
                  <c:v>12879.39</c:v>
                </c:pt>
                <c:pt idx="1">
                  <c:v>1420.6100000000006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D1-4870-BBAD-FF4387702A1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B9-4886-B6B6-ED825F507A5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DB9-4886-B6B6-ED825F507A51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B9-4886-B6B6-ED825F507A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B9-4886-B6B6-ED825F507A5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3325'!$B$61:$B$62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3325'!$C$61:$C$62</c:f>
              <c:numCache>
                <c:formatCode>#\ ##0.00\ "€"</c:formatCode>
                <c:ptCount val="2"/>
                <c:pt idx="0">
                  <c:v>35498.25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B9-4886-B6B6-ED825F507A5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E7A-4049-A5BA-542EE0B57F1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E7A-4049-A5BA-542EE0B57F11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7A-4049-A5BA-542EE0B57F1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7A-4049-A5BA-542EE0B57F1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3048'!$B$61:$B$62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3048'!$C$61:$C$62</c:f>
              <c:numCache>
                <c:formatCode>#\ ##0.00\ "€"</c:formatCode>
                <c:ptCount val="2"/>
                <c:pt idx="0">
                  <c:v>195210.49000000002</c:v>
                </c:pt>
                <c:pt idx="1">
                  <c:v>4789.5099999999802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7A-4049-A5BA-542EE0B57F1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13607</xdr:colOff>
      <xdr:row>2</xdr:row>
      <xdr:rowOff>161472</xdr:rowOff>
    </xdr:from>
    <xdr:to>
      <xdr:col>14</xdr:col>
      <xdr:colOff>771071</xdr:colOff>
      <xdr:row>13</xdr:row>
      <xdr:rowOff>90716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893536</xdr:colOff>
      <xdr:row>2</xdr:row>
      <xdr:rowOff>152400</xdr:rowOff>
    </xdr:from>
    <xdr:to>
      <xdr:col>18</xdr:col>
      <xdr:colOff>634999</xdr:colOff>
      <xdr:row>13</xdr:row>
      <xdr:rowOff>81644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893536</xdr:colOff>
      <xdr:row>2</xdr:row>
      <xdr:rowOff>152400</xdr:rowOff>
    </xdr:from>
    <xdr:to>
      <xdr:col>18</xdr:col>
      <xdr:colOff>634999</xdr:colOff>
      <xdr:row>13</xdr:row>
      <xdr:rowOff>81644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893536</xdr:colOff>
      <xdr:row>2</xdr:row>
      <xdr:rowOff>152400</xdr:rowOff>
    </xdr:from>
    <xdr:to>
      <xdr:col>18</xdr:col>
      <xdr:colOff>634999</xdr:colOff>
      <xdr:row>13</xdr:row>
      <xdr:rowOff>81644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893536</xdr:colOff>
      <xdr:row>2</xdr:row>
      <xdr:rowOff>152400</xdr:rowOff>
    </xdr:from>
    <xdr:to>
      <xdr:col>18</xdr:col>
      <xdr:colOff>634999</xdr:colOff>
      <xdr:row>13</xdr:row>
      <xdr:rowOff>81644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893536</xdr:colOff>
      <xdr:row>2</xdr:row>
      <xdr:rowOff>152400</xdr:rowOff>
    </xdr:from>
    <xdr:to>
      <xdr:col>18</xdr:col>
      <xdr:colOff>634999</xdr:colOff>
      <xdr:row>13</xdr:row>
      <xdr:rowOff>81644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893536</xdr:colOff>
      <xdr:row>2</xdr:row>
      <xdr:rowOff>152400</xdr:rowOff>
    </xdr:from>
    <xdr:to>
      <xdr:col>18</xdr:col>
      <xdr:colOff>634999</xdr:colOff>
      <xdr:row>13</xdr:row>
      <xdr:rowOff>81644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0</xdr:colOff>
      <xdr:row>45</xdr:row>
      <xdr:rowOff>0</xdr:rowOff>
    </xdr:from>
    <xdr:to>
      <xdr:col>17</xdr:col>
      <xdr:colOff>391529</xdr:colOff>
      <xdr:row>48</xdr:row>
      <xdr:rowOff>57310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73DE475C-4EE2-7620-0BEF-DA0D96695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78100" y="4962525"/>
          <a:ext cx="7192379" cy="11431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D5A475-6139-4494-B4C0-6E0ACB3ED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7368E44-2D49-4DAE-A29C-F86AE7D4B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893536</xdr:colOff>
      <xdr:row>2</xdr:row>
      <xdr:rowOff>152400</xdr:rowOff>
    </xdr:from>
    <xdr:to>
      <xdr:col>18</xdr:col>
      <xdr:colOff>634999</xdr:colOff>
      <xdr:row>13</xdr:row>
      <xdr:rowOff>81644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21DD72A-7462-4C04-B919-CB0B3999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12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12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12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12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12</xdr:row>
      <xdr:rowOff>63500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UCHENNE Tristan" id="{B447951A-1297-A141-831D-5FBD883F3B39}" userId="S::tduchenne@ensae.fr::1f3fb81f-5c16-4941-b5a3-ba9df99e5eb1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3-10-24T12:36:23.11" personId="{B447951A-1297-A141-831D-5FBD883F3B39}" id="{2EB62F89-34FF-AE4D-A647-34CFFF0C022D}">
    <text>30k visiting PhD + 30k soutien PhD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3.xml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4"/>
  <sheetViews>
    <sheetView showGridLines="0" tabSelected="1" zoomScaleNormal="100" workbookViewId="0">
      <selection activeCell="J12" sqref="J12"/>
    </sheetView>
  </sheetViews>
  <sheetFormatPr baseColWidth="10" defaultRowHeight="15.75" x14ac:dyDescent="0.25"/>
  <cols>
    <col min="1" max="1" width="16.75" customWidth="1"/>
    <col min="2" max="13" width="15.75" customWidth="1"/>
  </cols>
  <sheetData>
    <row r="3" spans="1:13" ht="25.5" x14ac:dyDescent="0.5">
      <c r="A3" s="75" t="s">
        <v>279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</row>
    <row r="4" spans="1:13" ht="17.25" x14ac:dyDescent="0.35">
      <c r="A4" s="76" t="s">
        <v>829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6" spans="1:13" ht="16.5" thickBot="1" x14ac:dyDescent="0.3"/>
    <row r="7" spans="1:13" ht="30" customHeight="1" thickBot="1" x14ac:dyDescent="0.3">
      <c r="A7" s="77" t="s">
        <v>280</v>
      </c>
      <c r="B7" s="79" t="s">
        <v>281</v>
      </c>
      <c r="C7" s="80"/>
      <c r="D7" s="80"/>
      <c r="E7" s="81"/>
      <c r="F7" s="79" t="s">
        <v>277</v>
      </c>
      <c r="G7" s="80"/>
      <c r="H7" s="80"/>
      <c r="I7" s="81"/>
      <c r="J7" s="82" t="s">
        <v>282</v>
      </c>
      <c r="K7" s="83"/>
      <c r="L7" s="83"/>
      <c r="M7" s="84"/>
    </row>
    <row r="8" spans="1:13" s="48" customFormat="1" ht="30" customHeight="1" thickBot="1" x14ac:dyDescent="0.3">
      <c r="A8" s="78"/>
      <c r="B8" s="51" t="s">
        <v>20</v>
      </c>
      <c r="C8" s="51" t="s">
        <v>21</v>
      </c>
      <c r="D8" s="51" t="s">
        <v>22</v>
      </c>
      <c r="E8" s="54" t="s">
        <v>278</v>
      </c>
      <c r="F8" s="51" t="s">
        <v>20</v>
      </c>
      <c r="G8" s="51" t="s">
        <v>21</v>
      </c>
      <c r="H8" s="51" t="s">
        <v>22</v>
      </c>
      <c r="I8" s="54" t="s">
        <v>278</v>
      </c>
      <c r="J8" s="51" t="s">
        <v>20</v>
      </c>
      <c r="K8" s="51" t="s">
        <v>21</v>
      </c>
      <c r="L8" s="51" t="s">
        <v>22</v>
      </c>
      <c r="M8" s="54" t="s">
        <v>278</v>
      </c>
    </row>
    <row r="9" spans="1:13" s="48" customFormat="1" ht="30" customHeight="1" thickBot="1" x14ac:dyDescent="0.3">
      <c r="A9" s="66" t="s">
        <v>265</v>
      </c>
      <c r="B9" s="65">
        <f>SUBVENTION!C11</f>
        <v>33000</v>
      </c>
      <c r="C9" s="52">
        <f>SUBVENTION!C12</f>
        <v>15000</v>
      </c>
      <c r="D9" s="53">
        <f>SUBVENTION!C13</f>
        <v>0</v>
      </c>
      <c r="E9" s="68">
        <f>SUBVENTION!C10</f>
        <v>48000</v>
      </c>
      <c r="F9" s="65">
        <f>SUBVENTION!O24</f>
        <v>3837.2899999999995</v>
      </c>
      <c r="G9" s="52">
        <f>SUBVENTION!O25</f>
        <v>2974.44</v>
      </c>
      <c r="H9" s="53">
        <f>SUBVENTION!O26</f>
        <v>0</v>
      </c>
      <c r="I9" s="68">
        <f>SUBVENTION!O27</f>
        <v>6811.73</v>
      </c>
      <c r="J9" s="65">
        <f>SUBVENTION!F10</f>
        <v>29162.71</v>
      </c>
      <c r="K9" s="52">
        <f>SUBVENTION!F11</f>
        <v>12025.56</v>
      </c>
      <c r="L9" s="53">
        <f>SUBVENTION!F12</f>
        <v>0</v>
      </c>
      <c r="M9" s="68">
        <f>SUBVENTION!F9</f>
        <v>41188.270000000004</v>
      </c>
    </row>
    <row r="10" spans="1:13" s="48" customFormat="1" ht="30" customHeight="1" thickBot="1" x14ac:dyDescent="0.3">
      <c r="A10" s="66" t="s">
        <v>820</v>
      </c>
      <c r="B10" s="67">
        <f>'L029'!C11</f>
        <v>38000</v>
      </c>
      <c r="C10" s="49">
        <f>'L029'!C12</f>
        <v>0</v>
      </c>
      <c r="D10" s="50">
        <f>'L029'!C13</f>
        <v>120000</v>
      </c>
      <c r="E10" s="55">
        <f>'L029'!C10</f>
        <v>158000</v>
      </c>
      <c r="F10" s="67">
        <f>'L029'!O24</f>
        <v>5315</v>
      </c>
      <c r="G10" s="49">
        <f>'L029'!O25</f>
        <v>0</v>
      </c>
      <c r="H10" s="50">
        <f>'L029'!O26</f>
        <v>0</v>
      </c>
      <c r="I10" s="55">
        <f>'L029'!O27</f>
        <v>5315</v>
      </c>
      <c r="J10" s="67">
        <f>'L029'!F10</f>
        <v>32685</v>
      </c>
      <c r="K10" s="49">
        <f>'L029'!F11</f>
        <v>0</v>
      </c>
      <c r="L10" s="50">
        <f>'L029'!F12</f>
        <v>120000</v>
      </c>
      <c r="M10" s="55">
        <f>'L029'!F9</f>
        <v>152685</v>
      </c>
    </row>
    <row r="11" spans="1:13" s="48" customFormat="1" ht="30" customHeight="1" thickBot="1" x14ac:dyDescent="0.3">
      <c r="A11" s="66" t="s">
        <v>605</v>
      </c>
      <c r="B11" s="67">
        <f>'R23E'!C11</f>
        <v>0</v>
      </c>
      <c r="C11" s="49">
        <f>'R23E'!C12</f>
        <v>0</v>
      </c>
      <c r="D11" s="50">
        <f>'R23E'!C13</f>
        <v>128673.52</v>
      </c>
      <c r="E11" s="55">
        <f>'R23E'!C10</f>
        <v>128673.52</v>
      </c>
      <c r="F11" s="67">
        <f>'R23E'!O23</f>
        <v>0</v>
      </c>
      <c r="G11" s="49">
        <f>'R23E'!O24</f>
        <v>0</v>
      </c>
      <c r="H11" s="50">
        <f>'R23E'!O25</f>
        <v>129140</v>
      </c>
      <c r="I11" s="55">
        <f>'R23E'!O26</f>
        <v>129140</v>
      </c>
      <c r="J11" s="67">
        <f>'R23E'!F10</f>
        <v>0</v>
      </c>
      <c r="K11" s="49">
        <f>'R23E'!F11</f>
        <v>0</v>
      </c>
      <c r="L11" s="50">
        <f>'R23E'!F12</f>
        <v>-466.47999999999593</v>
      </c>
      <c r="M11" s="55">
        <f>'R23E'!F9</f>
        <v>-466.47999999999593</v>
      </c>
    </row>
    <row r="12" spans="1:13" s="48" customFormat="1" ht="30" customHeight="1" thickBot="1" x14ac:dyDescent="0.3">
      <c r="A12" s="66" t="s">
        <v>610</v>
      </c>
      <c r="B12" s="67">
        <f>'CNV 3491'!C11</f>
        <v>0</v>
      </c>
      <c r="C12" s="49">
        <f>'CNV 3491'!C12</f>
        <v>0</v>
      </c>
      <c r="D12" s="50">
        <f>'CNV 3491'!C13</f>
        <v>14300</v>
      </c>
      <c r="E12" s="55">
        <f>'CNV 3491'!C10</f>
        <v>14300</v>
      </c>
      <c r="F12" s="67">
        <f>'CNV 3491'!O23</f>
        <v>0</v>
      </c>
      <c r="G12" s="49">
        <f>'CNV 3491'!O24</f>
        <v>0</v>
      </c>
      <c r="H12" s="50">
        <f>'CNV 3491'!O25</f>
        <v>12879.39</v>
      </c>
      <c r="I12" s="55">
        <f>'CNV 3491'!O26</f>
        <v>12879.39</v>
      </c>
      <c r="J12" s="67">
        <f>'CNV 3491'!F10</f>
        <v>0</v>
      </c>
      <c r="K12" s="49">
        <f>'CNV 3491'!F11</f>
        <v>0</v>
      </c>
      <c r="L12" s="50">
        <f>'CNV 3491'!F12</f>
        <v>1420.6100000000006</v>
      </c>
      <c r="M12" s="55">
        <f>'CNV 3491'!F9</f>
        <v>1420.6100000000006</v>
      </c>
    </row>
    <row r="13" spans="1:13" s="48" customFormat="1" ht="30" customHeight="1" thickBot="1" x14ac:dyDescent="0.3">
      <c r="A13" s="66" t="s">
        <v>611</v>
      </c>
      <c r="B13" s="67">
        <f>'CNV 3325'!C11</f>
        <v>1871.21</v>
      </c>
      <c r="C13" s="49">
        <f>'CNV 3325'!C12</f>
        <v>0</v>
      </c>
      <c r="D13" s="50">
        <f>'CNV 3325'!C13</f>
        <v>35498.25</v>
      </c>
      <c r="E13" s="55">
        <f>'CNV 3325'!C10</f>
        <v>37369.46</v>
      </c>
      <c r="F13" s="67">
        <f>'CNV 3325'!O23</f>
        <v>1871.21</v>
      </c>
      <c r="G13" s="49">
        <f>'CNV 3325'!O24</f>
        <v>0</v>
      </c>
      <c r="H13" s="50">
        <f>'CNV 3325'!O25</f>
        <v>35498.25</v>
      </c>
      <c r="I13" s="55">
        <f>'CNV 3325'!O26</f>
        <v>37369.46</v>
      </c>
      <c r="J13" s="67">
        <f>'CNV 3325'!F10</f>
        <v>0</v>
      </c>
      <c r="K13" s="49">
        <f>'CNV 3325'!F11</f>
        <v>0</v>
      </c>
      <c r="L13" s="50">
        <f>'CNV 3325'!F12</f>
        <v>0</v>
      </c>
      <c r="M13" s="55">
        <f>'CNV 3325'!F9</f>
        <v>0</v>
      </c>
    </row>
    <row r="14" spans="1:13" s="48" customFormat="1" ht="30" customHeight="1" thickBot="1" x14ac:dyDescent="0.3">
      <c r="A14" s="66" t="s">
        <v>612</v>
      </c>
      <c r="B14" s="67">
        <f>'CNV 3048'!C11</f>
        <v>0</v>
      </c>
      <c r="C14" s="49">
        <f>'CNV 3048'!C12</f>
        <v>0</v>
      </c>
      <c r="D14" s="50">
        <f>'CNV 3048'!C13</f>
        <v>200000</v>
      </c>
      <c r="E14" s="55">
        <f>'CNV 3048'!C10</f>
        <v>208000</v>
      </c>
      <c r="F14" s="67">
        <f>'CNV 3048'!O23</f>
        <v>0</v>
      </c>
      <c r="G14" s="49">
        <f>'CNV 3048'!O24</f>
        <v>0</v>
      </c>
      <c r="H14" s="50">
        <f>'CNV 3048'!O25</f>
        <v>195210.49000000002</v>
      </c>
      <c r="I14" s="55">
        <f>'CNV 3048'!O26</f>
        <v>195210.49000000002</v>
      </c>
      <c r="J14" s="67">
        <f>'CNV 3048'!F10</f>
        <v>0</v>
      </c>
      <c r="K14" s="49">
        <f>'CNV 3048'!F11</f>
        <v>0</v>
      </c>
      <c r="L14" s="50">
        <f>'CNV 3048'!F12</f>
        <v>4789.5099999999802</v>
      </c>
      <c r="M14" s="55">
        <f>'CNV 3048'!F9</f>
        <v>12789.50999999998</v>
      </c>
    </row>
    <row r="15" spans="1:13" s="48" customFormat="1" ht="30" customHeight="1" thickBot="1" x14ac:dyDescent="0.3">
      <c r="A15" s="66" t="s">
        <v>613</v>
      </c>
      <c r="B15" s="67">
        <f>'CNV 3180'!C11</f>
        <v>10000</v>
      </c>
      <c r="C15" s="49">
        <f>'CNV 3180'!C12</f>
        <v>0</v>
      </c>
      <c r="D15" s="50">
        <f>'CNV 3180'!C13</f>
        <v>540000</v>
      </c>
      <c r="E15" s="55">
        <f>'CNV 3180'!C10</f>
        <v>550000</v>
      </c>
      <c r="F15" s="67">
        <f>'CNV 3180'!O23</f>
        <v>0</v>
      </c>
      <c r="G15" s="49">
        <f>'CNV 3180'!O24</f>
        <v>0</v>
      </c>
      <c r="H15" s="50">
        <f>'CNV 3180'!O25</f>
        <v>0</v>
      </c>
      <c r="I15" s="55">
        <f>'CNV 3180'!O26</f>
        <v>109162.93</v>
      </c>
      <c r="J15" s="67">
        <f>'CNV 3180'!F10</f>
        <v>10000</v>
      </c>
      <c r="K15" s="49">
        <f>'CNV 3180'!F11</f>
        <v>0</v>
      </c>
      <c r="L15" s="50">
        <f>'CNV 3180'!F12</f>
        <v>430837.07</v>
      </c>
      <c r="M15" s="55">
        <f>'CNV 3180'!F9</f>
        <v>440837.07</v>
      </c>
    </row>
    <row r="16" spans="1:13" s="48" customFormat="1" ht="30" customHeight="1" thickBot="1" x14ac:dyDescent="0.3">
      <c r="A16" s="66" t="s">
        <v>614</v>
      </c>
      <c r="B16" s="67">
        <f>'CNV 3355'!C11</f>
        <v>8000</v>
      </c>
      <c r="C16" s="49">
        <f>'CNV 3355'!C12</f>
        <v>0</v>
      </c>
      <c r="D16" s="50">
        <f>'CNV 3355'!C13</f>
        <v>76000</v>
      </c>
      <c r="E16" s="55">
        <f>'CNV 3355'!C10</f>
        <v>76000</v>
      </c>
      <c r="F16" s="67">
        <f>'CNV 3355'!O23</f>
        <v>0</v>
      </c>
      <c r="G16" s="49">
        <f>'CNV 3355'!O24</f>
        <v>0</v>
      </c>
      <c r="H16" s="50">
        <f>'CNV 3355'!O25</f>
        <v>0</v>
      </c>
      <c r="I16" s="55">
        <f>'CNV 3355'!O26</f>
        <v>74732.709999999992</v>
      </c>
      <c r="J16" s="67">
        <f>'CNV 3355'!F10</f>
        <v>8000</v>
      </c>
      <c r="K16" s="49">
        <f>'CNV 3355'!F11</f>
        <v>0</v>
      </c>
      <c r="L16" s="50">
        <f>'CNV 3355'!F12</f>
        <v>1267.2900000000081</v>
      </c>
      <c r="M16" s="55">
        <f>'CNV 3355'!F9</f>
        <v>1267.2900000000081</v>
      </c>
    </row>
    <row r="17" spans="1:13" s="48" customFormat="1" ht="30" customHeight="1" thickBot="1" x14ac:dyDescent="0.3">
      <c r="A17" s="66" t="s">
        <v>615</v>
      </c>
      <c r="B17" s="67">
        <f>'CNV 3378'!C11</f>
        <v>0</v>
      </c>
      <c r="C17" s="49">
        <f>'CNV 3378'!C12</f>
        <v>0</v>
      </c>
      <c r="D17" s="50">
        <f>'CNV 3378'!C13</f>
        <v>120000</v>
      </c>
      <c r="E17" s="55">
        <f>'CNV 3378'!C10</f>
        <v>120000</v>
      </c>
      <c r="F17" s="67">
        <f>'CNV 3378'!O23</f>
        <v>0</v>
      </c>
      <c r="G17" s="49">
        <f>'CNV 3378'!O24</f>
        <v>0</v>
      </c>
      <c r="H17" s="50">
        <f>'CNV 3378'!O25</f>
        <v>0</v>
      </c>
      <c r="I17" s="55">
        <f>'CNV 3378'!O26</f>
        <v>108000</v>
      </c>
      <c r="J17" s="67">
        <f>'CNV 3378'!F10</f>
        <v>0</v>
      </c>
      <c r="K17" s="49">
        <f>'CNV 3378'!F11</f>
        <v>0</v>
      </c>
      <c r="L17" s="50">
        <f>'CNV 3378'!F12</f>
        <v>12000</v>
      </c>
      <c r="M17" s="55">
        <f>'CNV 3378'!F9</f>
        <v>12000</v>
      </c>
    </row>
    <row r="18" spans="1:13" s="48" customFormat="1" ht="30" customHeight="1" thickBot="1" x14ac:dyDescent="0.3">
      <c r="A18" s="66" t="s">
        <v>532</v>
      </c>
      <c r="B18" s="67">
        <f>'L036'!C11</f>
        <v>0</v>
      </c>
      <c r="C18" s="49">
        <f>'L036'!C12</f>
        <v>0</v>
      </c>
      <c r="D18" s="50">
        <f>'L036'!C13</f>
        <v>120000</v>
      </c>
      <c r="E18" s="55">
        <f>'L036'!C10</f>
        <v>120000</v>
      </c>
      <c r="F18" s="67">
        <f>'L036'!O23</f>
        <v>0</v>
      </c>
      <c r="G18" s="49">
        <f>'L036'!O24</f>
        <v>0</v>
      </c>
      <c r="H18" s="50">
        <f>'L036'!O25</f>
        <v>0</v>
      </c>
      <c r="I18" s="55">
        <f>'L036'!O26</f>
        <v>13660</v>
      </c>
      <c r="J18" s="67">
        <f>'L036'!F10</f>
        <v>0</v>
      </c>
      <c r="K18" s="49">
        <f>'L036'!F11</f>
        <v>0</v>
      </c>
      <c r="L18" s="50">
        <f>'L036'!F12</f>
        <v>106340</v>
      </c>
      <c r="M18" s="55">
        <f>'L036'!F9</f>
        <v>106340</v>
      </c>
    </row>
    <row r="19" spans="1:13" s="48" customFormat="1" ht="30" customHeight="1" thickBot="1" x14ac:dyDescent="0.3">
      <c r="A19" s="66" t="s">
        <v>406</v>
      </c>
      <c r="B19" s="67">
        <f>'CIEDS 3479'!C11</f>
        <v>103000</v>
      </c>
      <c r="C19" s="49">
        <f>'CIEDS 3479'!C12</f>
        <v>0</v>
      </c>
      <c r="D19" s="50">
        <f>'CIEDS 3479'!C13</f>
        <v>723154</v>
      </c>
      <c r="E19" s="55">
        <f>'CIEDS 3479'!C10</f>
        <v>826154</v>
      </c>
      <c r="F19" s="67">
        <f>'CIEDS 3479'!O23</f>
        <v>0</v>
      </c>
      <c r="G19" s="49">
        <f>'CIEDS 3479'!O24</f>
        <v>569.41999999999996</v>
      </c>
      <c r="H19" s="50">
        <f>'CIEDS 3479'!O25</f>
        <v>0</v>
      </c>
      <c r="I19" s="55">
        <f>'CIEDS 3479'!O26</f>
        <v>0</v>
      </c>
      <c r="J19" s="67">
        <f>'CIEDS 3479'!F10</f>
        <v>102430.58</v>
      </c>
      <c r="K19" s="49">
        <f>'CIEDS 3479'!F11</f>
        <v>0</v>
      </c>
      <c r="L19" s="50">
        <f>'CIEDS 3479'!F12</f>
        <v>723154</v>
      </c>
      <c r="M19" s="55">
        <f>'CIEDS 3479'!F9</f>
        <v>825584.58</v>
      </c>
    </row>
    <row r="20" spans="1:13" s="48" customFormat="1" ht="30" customHeight="1" thickBot="1" x14ac:dyDescent="0.3">
      <c r="A20" s="66" t="s">
        <v>266</v>
      </c>
      <c r="B20" s="67">
        <f>'CHAIRE BB2B'!C11</f>
        <v>119798.20999999999</v>
      </c>
      <c r="C20" s="49">
        <f>'CHAIRE BB2B'!C12</f>
        <v>21695.86</v>
      </c>
      <c r="D20" s="50">
        <f>'CHAIRE BB2B'!C13</f>
        <v>1021248.03</v>
      </c>
      <c r="E20" s="55">
        <f>'CHAIRE BB2B'!C10</f>
        <v>1384500</v>
      </c>
      <c r="F20" s="67">
        <f>'CHAIRE BB2B'!O37</f>
        <v>64671.339999999989</v>
      </c>
      <c r="G20" s="49">
        <f>'CHAIRE BB2B'!O38</f>
        <v>6106.51</v>
      </c>
      <c r="H20" s="50">
        <f>'CHAIRE BB2B'!O39</f>
        <v>788814.08000000007</v>
      </c>
      <c r="I20" s="55">
        <f>'CHAIRE BB2B'!O40</f>
        <v>853485.42</v>
      </c>
      <c r="J20" s="67">
        <f>'CHAIRE BB2B'!F10</f>
        <v>55126.87</v>
      </c>
      <c r="K20" s="49">
        <f>'CHAIRE BB2B'!F11</f>
        <v>15589.35</v>
      </c>
      <c r="L20" s="50">
        <f>'CHAIRE BB2B'!F12</f>
        <v>232433.94999999995</v>
      </c>
      <c r="M20" s="55">
        <f>'CHAIRE BB2B'!F9</f>
        <v>531014.57999999996</v>
      </c>
    </row>
    <row r="21" spans="1:13" s="48" customFormat="1" ht="30" customHeight="1" thickBot="1" x14ac:dyDescent="0.3">
      <c r="A21" s="66" t="s">
        <v>288</v>
      </c>
      <c r="B21" s="67">
        <f>'CNV 3464'!C11</f>
        <v>60000</v>
      </c>
      <c r="C21" s="49">
        <v>0</v>
      </c>
      <c r="D21" s="50">
        <v>0</v>
      </c>
      <c r="E21" s="55">
        <f>'CNV 3464'!C10</f>
        <v>60000</v>
      </c>
      <c r="F21" s="67">
        <f>'CNV 3464'!O24</f>
        <v>8925.7000000000007</v>
      </c>
      <c r="G21" s="49">
        <v>0</v>
      </c>
      <c r="H21" s="50">
        <v>0</v>
      </c>
      <c r="I21" s="55">
        <f>'CNV 3464'!O27</f>
        <v>8925.7000000000007</v>
      </c>
      <c r="J21" s="67">
        <f>'CNV 3464'!F10</f>
        <v>51074.3</v>
      </c>
      <c r="K21" s="49">
        <v>0</v>
      </c>
      <c r="L21" s="50">
        <v>0</v>
      </c>
      <c r="M21" s="55">
        <f>'CNV 3464'!F9</f>
        <v>51074.3</v>
      </c>
    </row>
    <row r="22" spans="1:13" s="48" customFormat="1" ht="30" customHeight="1" thickBot="1" x14ac:dyDescent="0.3">
      <c r="A22" s="66" t="s">
        <v>267</v>
      </c>
      <c r="B22" s="67">
        <f>'CNV 3287'!C11</f>
        <v>67000</v>
      </c>
      <c r="C22" s="49">
        <f>'CNV 3287'!C12</f>
        <v>2000</v>
      </c>
      <c r="D22" s="50">
        <f>'CNV 3287'!C13</f>
        <v>31000</v>
      </c>
      <c r="E22" s="55">
        <f>'CNV 3287'!C10</f>
        <v>104000</v>
      </c>
      <c r="F22" s="67">
        <f>'CNV 3287'!O25</f>
        <v>33669.439999999995</v>
      </c>
      <c r="G22" s="49">
        <f>'CNV 3287'!O26</f>
        <v>0</v>
      </c>
      <c r="H22" s="50">
        <f>'CNV 3287'!O27</f>
        <v>5220</v>
      </c>
      <c r="I22" s="55">
        <f>'CNV 3287'!O28</f>
        <v>38889.439999999995</v>
      </c>
      <c r="J22" s="67">
        <f>'CNV 3287'!F10</f>
        <v>33330.560000000005</v>
      </c>
      <c r="K22" s="49">
        <f>'CNV 3287'!F11</f>
        <v>2000</v>
      </c>
      <c r="L22" s="50">
        <f>'CNV 3287'!F12</f>
        <v>25780</v>
      </c>
      <c r="M22" s="55">
        <f>'CNV 3287'!F9</f>
        <v>65110.560000000005</v>
      </c>
    </row>
    <row r="23" spans="1:13" s="48" customFormat="1" ht="30" customHeight="1" thickBot="1" x14ac:dyDescent="0.3">
      <c r="A23" s="66" t="s">
        <v>268</v>
      </c>
      <c r="B23" s="67">
        <f>'CNV 3182'!C11</f>
        <v>9305.5600000000013</v>
      </c>
      <c r="C23" s="49">
        <f>'CNV 3182'!C12</f>
        <v>0</v>
      </c>
      <c r="D23" s="50">
        <f>'CNV 3182'!C13</f>
        <v>0</v>
      </c>
      <c r="E23" s="55">
        <f>'CNV 3182'!C10</f>
        <v>10400</v>
      </c>
      <c r="F23" s="67">
        <f>'CNV 3182'!O24</f>
        <v>7472.32</v>
      </c>
      <c r="G23" s="49">
        <f>'CNV 3182'!O25</f>
        <v>0</v>
      </c>
      <c r="H23" s="50">
        <f>'CNV 3182'!O26</f>
        <v>0</v>
      </c>
      <c r="I23" s="55">
        <f>'CNV 3182'!O27</f>
        <v>7472.32</v>
      </c>
      <c r="J23" s="67">
        <f>'CNV 3182'!F10</f>
        <v>1833.2400000000016</v>
      </c>
      <c r="K23" s="49">
        <f>'CNV 3182'!F11</f>
        <v>0</v>
      </c>
      <c r="L23" s="50">
        <f>'CNV 3182'!F12</f>
        <v>0</v>
      </c>
      <c r="M23" s="55">
        <f>'CNV 3182'!F9</f>
        <v>2927.6800000000003</v>
      </c>
    </row>
    <row r="24" spans="1:13" s="48" customFormat="1" ht="30" customHeight="1" thickBot="1" x14ac:dyDescent="0.3">
      <c r="A24" s="66" t="s">
        <v>269</v>
      </c>
      <c r="B24" s="67">
        <f>'CNV 3181'!C11</f>
        <v>3420</v>
      </c>
      <c r="C24" s="49">
        <f>'CNV 3181'!C12</f>
        <v>0</v>
      </c>
      <c r="D24" s="50">
        <f>'CNV 3181'!C13</f>
        <v>428600</v>
      </c>
      <c r="E24" s="55">
        <f>'CNV 3181'!C10</f>
        <v>432000</v>
      </c>
      <c r="F24" s="67">
        <f>'CNV 3181'!O24</f>
        <v>3752.23</v>
      </c>
      <c r="G24" s="49">
        <f>'CNV 3181'!O25</f>
        <v>0</v>
      </c>
      <c r="H24" s="50">
        <f>'CNV 3181'!O26</f>
        <v>394203.94000000012</v>
      </c>
      <c r="I24" s="55">
        <f>'CNV 3181'!O27</f>
        <v>397956.1700000001</v>
      </c>
      <c r="J24" s="67">
        <f>'CNV 3181'!F10</f>
        <v>-332.23</v>
      </c>
      <c r="K24" s="49">
        <f>'CNV 3181'!F11</f>
        <v>0</v>
      </c>
      <c r="L24" s="50">
        <f>'CNV 3181'!F12</f>
        <v>34396.059999999881</v>
      </c>
      <c r="M24" s="55">
        <f>'CNV 3181'!F9</f>
        <v>34043.8299999999</v>
      </c>
    </row>
    <row r="25" spans="1:13" s="48" customFormat="1" ht="30" customHeight="1" thickBot="1" x14ac:dyDescent="0.3">
      <c r="A25" s="66" t="s">
        <v>270</v>
      </c>
      <c r="B25" s="67">
        <f>'CNV 3177'!C11</f>
        <v>4767.5</v>
      </c>
      <c r="C25" s="49">
        <f>'CNV 3177'!C12</f>
        <v>0</v>
      </c>
      <c r="D25" s="50">
        <f>'CNV 3177'!C13</f>
        <v>145732.5</v>
      </c>
      <c r="E25" s="55">
        <f>'CNV 3177'!C10</f>
        <v>150500</v>
      </c>
      <c r="F25" s="67">
        <f>'CNV 3177'!O24</f>
        <v>4928.71</v>
      </c>
      <c r="G25" s="49">
        <f>'CNV 3177'!O25</f>
        <v>0</v>
      </c>
      <c r="H25" s="50">
        <f>'CNV 3177'!O26</f>
        <v>147564.84</v>
      </c>
      <c r="I25" s="55">
        <f>'CNV 3177'!O27</f>
        <v>152493.54999999999</v>
      </c>
      <c r="J25" s="67">
        <f>'CNV 3177'!F10</f>
        <v>-161.21000000000004</v>
      </c>
      <c r="K25" s="49">
        <f>'CNV 3177'!F11</f>
        <v>0</v>
      </c>
      <c r="L25" s="50">
        <f>'CNV 3177'!F12</f>
        <v>-1832.3399999999965</v>
      </c>
      <c r="M25" s="55">
        <f>'CNV 3177'!F9</f>
        <v>-1993.5499999999884</v>
      </c>
    </row>
    <row r="26" spans="1:13" s="48" customFormat="1" ht="30" customHeight="1" thickBot="1" x14ac:dyDescent="0.3">
      <c r="A26" s="66" t="s">
        <v>271</v>
      </c>
      <c r="B26" s="67">
        <f>'CNV 3141 RD 111'!C11</f>
        <v>170245.05</v>
      </c>
      <c r="C26" s="49">
        <f>'CNV 3141 RD 111'!C12</f>
        <v>2000</v>
      </c>
      <c r="D26" s="50">
        <f>'CNV 3141 RD 111'!C13</f>
        <v>77564.95</v>
      </c>
      <c r="E26" s="55">
        <f>'CNV 3141 RD 111'!C10</f>
        <v>249810</v>
      </c>
      <c r="F26" s="67">
        <f>'CNV 3141 RD 111'!O24</f>
        <v>104374.83000000002</v>
      </c>
      <c r="G26" s="49">
        <f>'CNV 3141 RD 111'!O25</f>
        <v>1772.61</v>
      </c>
      <c r="H26" s="50">
        <f>'CNV 3141 RD 111'!O26</f>
        <v>70676.61</v>
      </c>
      <c r="I26" s="55">
        <f>'CNV 3141 RD 111'!O27</f>
        <v>175051.44</v>
      </c>
      <c r="J26" s="67">
        <f>'CNV 3141 RD 111'!F10</f>
        <v>65870.219999999972</v>
      </c>
      <c r="K26" s="49">
        <f>'CNV 3141 RD 111'!F11</f>
        <v>227.3900000000001</v>
      </c>
      <c r="L26" s="50">
        <f>'CNV 3141 RD 111'!F12</f>
        <v>6888.3399999999965</v>
      </c>
      <c r="M26" s="55">
        <f>'CNV 3141 RD 111'!F9</f>
        <v>74758.559999999998</v>
      </c>
    </row>
    <row r="27" spans="1:13" s="48" customFormat="1" ht="30" customHeight="1" thickBot="1" x14ac:dyDescent="0.3">
      <c r="A27" s="66" t="s">
        <v>272</v>
      </c>
      <c r="B27" s="67">
        <f>'CNV 3356 RD 122'!C11</f>
        <v>8000</v>
      </c>
      <c r="C27" s="49">
        <f>'CNV 3356 RD 122'!C12</f>
        <v>0</v>
      </c>
      <c r="D27" s="50">
        <f>'CNV 3356 RD 122'!C13</f>
        <v>76000</v>
      </c>
      <c r="E27" s="55">
        <f>'CNV 3356 RD 122'!C10</f>
        <v>84000</v>
      </c>
      <c r="F27" s="67">
        <f>'CNV 3356 RD 122'!O24</f>
        <v>4899.1000000000004</v>
      </c>
      <c r="G27" s="49">
        <f>'CNV 3356 RD 122'!O25</f>
        <v>0</v>
      </c>
      <c r="H27" s="50">
        <f>'CNV 3356 RD 122'!O26</f>
        <v>0</v>
      </c>
      <c r="I27" s="55">
        <f>'CNV 3356 RD 122'!O27</f>
        <v>4899.1000000000004</v>
      </c>
      <c r="J27" s="67">
        <f>'CNV 3356 RD 122'!F10</f>
        <v>3100.8999999999996</v>
      </c>
      <c r="K27" s="49">
        <f>'CNV 3356 RD 122'!F11</f>
        <v>0</v>
      </c>
      <c r="L27" s="50">
        <f>'CNV 3356 RD 122'!F12</f>
        <v>76000</v>
      </c>
      <c r="M27" s="55">
        <f>'CNV 3356 RD 122'!F9</f>
        <v>79100.899999999994</v>
      </c>
    </row>
    <row r="28" spans="1:13" s="48" customFormat="1" ht="30" customHeight="1" thickBot="1" x14ac:dyDescent="0.3">
      <c r="A28" s="66" t="s">
        <v>273</v>
      </c>
      <c r="B28" s="67">
        <f>'CNV 3088'!C11</f>
        <v>51328.69</v>
      </c>
      <c r="C28" s="49">
        <f>'CNV 3088'!C12</f>
        <v>6048.05</v>
      </c>
      <c r="D28" s="50">
        <f>'CNV 3088'!C13</f>
        <v>192000</v>
      </c>
      <c r="E28" s="55">
        <f>'CNV 3088'!C10</f>
        <v>299160</v>
      </c>
      <c r="F28" s="67">
        <f>'CNV 3088'!O24</f>
        <v>28252.83</v>
      </c>
      <c r="G28" s="49">
        <f>'CNV 3088'!O25</f>
        <v>0</v>
      </c>
      <c r="H28" s="50">
        <f>'CNV 3088'!O26</f>
        <v>188073.28</v>
      </c>
      <c r="I28" s="55">
        <f>'CNV 3088'!O27</f>
        <v>216326.11</v>
      </c>
      <c r="J28" s="67">
        <f>'CNV 3088'!F10</f>
        <v>23075.86</v>
      </c>
      <c r="K28" s="49">
        <f>'CNV 3088'!F11</f>
        <v>6048.05</v>
      </c>
      <c r="L28" s="50">
        <f>'CNV 3088'!F12</f>
        <v>3926.7200000000012</v>
      </c>
      <c r="M28" s="55">
        <f>'CNV 3088'!F9</f>
        <v>82833.890000000014</v>
      </c>
    </row>
    <row r="29" spans="1:13" s="48" customFormat="1" ht="30" customHeight="1" thickBot="1" x14ac:dyDescent="0.3">
      <c r="A29" s="66" t="s">
        <v>274</v>
      </c>
      <c r="B29" s="67">
        <f>'CNV 3357'!C11</f>
        <v>50000</v>
      </c>
      <c r="C29" s="49">
        <f>'CNV 3357'!C12</f>
        <v>0</v>
      </c>
      <c r="D29" s="50">
        <f>'CNV 3357'!C13</f>
        <v>0</v>
      </c>
      <c r="E29" s="55">
        <f>'CNV 3357'!C10</f>
        <v>50000</v>
      </c>
      <c r="F29" s="67">
        <f>'CNV 3357'!O22</f>
        <v>46101.36</v>
      </c>
      <c r="G29" s="49">
        <f>'CNV 3357'!F11</f>
        <v>0</v>
      </c>
      <c r="H29" s="50">
        <f>'CNV 3357'!O23</f>
        <v>0</v>
      </c>
      <c r="I29" s="55">
        <f>'CNV 3357'!O24</f>
        <v>46101.36</v>
      </c>
      <c r="J29" s="67">
        <f>'CNV 3357'!F10</f>
        <v>3898.6399999999994</v>
      </c>
      <c r="K29" s="49">
        <f>'CNV 3357'!F11</f>
        <v>0</v>
      </c>
      <c r="L29" s="50">
        <f>'CNV 3357'!F12</f>
        <v>0</v>
      </c>
      <c r="M29" s="55">
        <f>'CNV 3357'!F9</f>
        <v>3898.6399999999994</v>
      </c>
    </row>
    <row r="30" spans="1:13" s="48" customFormat="1" ht="30" customHeight="1" thickBot="1" x14ac:dyDescent="0.3">
      <c r="A30" s="66" t="s">
        <v>275</v>
      </c>
      <c r="B30" s="67">
        <f>'CNV 3286'!C11</f>
        <v>37000</v>
      </c>
      <c r="C30" s="49">
        <f>'CNV 3286'!C12</f>
        <v>10000</v>
      </c>
      <c r="D30" s="50">
        <f>'CNV 3286'!C13</f>
        <v>0</v>
      </c>
      <c r="E30" s="55">
        <f>'CNV 3286'!C10</f>
        <v>47000</v>
      </c>
      <c r="F30" s="67">
        <f>'CNV 3286'!O23</f>
        <v>15288.55</v>
      </c>
      <c r="G30" s="49">
        <v>0</v>
      </c>
      <c r="H30" s="50">
        <f>'CNV 3286'!O24</f>
        <v>0</v>
      </c>
      <c r="I30" s="55">
        <f>'CNV 3286'!O25</f>
        <v>15288.55</v>
      </c>
      <c r="J30" s="67">
        <f>'CNV 3286'!F10</f>
        <v>21711.45</v>
      </c>
      <c r="K30" s="49">
        <f>'CNV 3286'!F11</f>
        <v>10000</v>
      </c>
      <c r="L30" s="50">
        <f>'CNV 3286'!F12</f>
        <v>0</v>
      </c>
      <c r="M30" s="55">
        <f>'CNV 3286'!F9</f>
        <v>31711.45</v>
      </c>
    </row>
    <row r="31" spans="1:13" s="48" customFormat="1" ht="30" customHeight="1" thickBot="1" x14ac:dyDescent="0.3">
      <c r="A31" s="66" t="s">
        <v>276</v>
      </c>
      <c r="B31" s="67">
        <f>'CNV 3300'!C11</f>
        <v>155279.4</v>
      </c>
      <c r="C31" s="49">
        <f>'CNV 3300'!C12</f>
        <v>728963</v>
      </c>
      <c r="D31" s="50">
        <f>'CNV 3300'!C13</f>
        <v>0</v>
      </c>
      <c r="E31" s="56">
        <f>'CNV 3300'!C10</f>
        <v>1105303</v>
      </c>
      <c r="F31" s="67">
        <f>'CNV 3300'!O23</f>
        <v>27590.48</v>
      </c>
      <c r="G31" s="49">
        <v>0</v>
      </c>
      <c r="H31" s="50">
        <f>'CNV 3300'!O24</f>
        <v>391938.53</v>
      </c>
      <c r="I31" s="56">
        <f>'CNV 3300'!O25</f>
        <v>419529.01</v>
      </c>
      <c r="J31" s="67">
        <f>'CNV 3300'!F10</f>
        <v>127688.92</v>
      </c>
      <c r="K31" s="49">
        <f>'CNV 3300'!F11</f>
        <v>337024.47</v>
      </c>
      <c r="L31" s="50">
        <f>'CNV 3300'!J12</f>
        <v>0</v>
      </c>
      <c r="M31" s="56">
        <f>'CNV 3300'!F9</f>
        <v>685773.99</v>
      </c>
    </row>
    <row r="34" spans="1:2" ht="16.5" x14ac:dyDescent="0.3">
      <c r="A34" s="57" t="s">
        <v>290</v>
      </c>
      <c r="B34" s="58" t="s">
        <v>291</v>
      </c>
    </row>
  </sheetData>
  <mergeCells count="6">
    <mergeCell ref="A3:M3"/>
    <mergeCell ref="A4:M4"/>
    <mergeCell ref="A7:A8"/>
    <mergeCell ref="B7:E7"/>
    <mergeCell ref="F7:I7"/>
    <mergeCell ref="J7:M7"/>
  </mergeCells>
  <conditionalFormatting sqref="M1:M9 J9:L9 B9:D31 F9:H31 J10:M10 J11:L31 M11:M1048576">
    <cfRule type="cellIs" dxfId="78" priority="1" operator="lessThan">
      <formula>0</formula>
    </cfRule>
  </conditionalFormatting>
  <pageMargins left="0.7" right="0.7" top="0.75" bottom="0.75" header="0.3" footer="0.3"/>
  <pageSetup paperSize="9" scale="39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7"/>
  <sheetViews>
    <sheetView showGridLines="0" zoomScale="140" zoomScaleNormal="140" workbookViewId="0">
      <selection activeCell="B2" sqref="B2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style="59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45313</v>
      </c>
      <c r="D1" s="1"/>
      <c r="E1" s="1"/>
      <c r="F1" s="1"/>
      <c r="G1" s="1"/>
    </row>
    <row r="2" spans="1:7" ht="17.25" x14ac:dyDescent="0.35">
      <c r="A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539</v>
      </c>
      <c r="D6" s="19"/>
      <c r="E6" s="20" t="s">
        <v>4</v>
      </c>
      <c r="F6" s="19">
        <v>3378</v>
      </c>
      <c r="G6" s="21"/>
    </row>
    <row r="7" spans="1:7" ht="17.25" x14ac:dyDescent="0.35">
      <c r="A7" s="1"/>
      <c r="B7" s="22"/>
      <c r="G7" s="12"/>
    </row>
    <row r="8" spans="1:7" ht="51.75" x14ac:dyDescent="0.35">
      <c r="A8" s="1"/>
      <c r="B8" s="24" t="s">
        <v>5</v>
      </c>
      <c r="C8" s="88" t="s">
        <v>540</v>
      </c>
      <c r="D8" s="88"/>
      <c r="E8" s="23" t="s">
        <v>56</v>
      </c>
      <c r="F8" s="41" t="s">
        <v>539</v>
      </c>
      <c r="G8" s="12"/>
    </row>
    <row r="9" spans="1:7" ht="17.25" x14ac:dyDescent="0.35">
      <c r="A9" s="1"/>
      <c r="B9" s="24" t="s">
        <v>7</v>
      </c>
      <c r="C9" s="39" t="s">
        <v>262</v>
      </c>
      <c r="D9" s="42"/>
      <c r="E9" s="9" t="s">
        <v>10</v>
      </c>
      <c r="F9" s="36">
        <f>C10-O27</f>
        <v>12000</v>
      </c>
      <c r="G9" s="12"/>
    </row>
    <row r="10" spans="1:7" ht="17.25" x14ac:dyDescent="0.35">
      <c r="A10" s="1"/>
      <c r="B10" s="13" t="s">
        <v>9</v>
      </c>
      <c r="C10" s="36">
        <v>120000</v>
      </c>
      <c r="D10" s="10"/>
      <c r="E10" s="11" t="s">
        <v>20</v>
      </c>
      <c r="F10" s="36">
        <f>C11-O24</f>
        <v>0</v>
      </c>
      <c r="G10" s="12"/>
    </row>
    <row r="11" spans="1:7" ht="17.25" x14ac:dyDescent="0.35">
      <c r="A11" s="1"/>
      <c r="B11" s="14" t="s">
        <v>20</v>
      </c>
      <c r="C11" s="36">
        <v>0</v>
      </c>
      <c r="D11" s="10"/>
      <c r="E11" s="11" t="s">
        <v>21</v>
      </c>
      <c r="F11" s="44">
        <f>C12-O25</f>
        <v>0</v>
      </c>
      <c r="G11" s="12"/>
    </row>
    <row r="12" spans="1:7" ht="17.25" x14ac:dyDescent="0.35">
      <c r="A12" s="1"/>
      <c r="B12" s="14" t="s">
        <v>21</v>
      </c>
      <c r="C12" s="36">
        <v>0</v>
      </c>
      <c r="D12" s="10"/>
      <c r="E12" s="11" t="s">
        <v>22</v>
      </c>
      <c r="F12" s="37">
        <f>C13-O26</f>
        <v>12000</v>
      </c>
      <c r="G12" s="12"/>
    </row>
    <row r="13" spans="1:7" ht="18" thickBot="1" x14ac:dyDescent="0.4">
      <c r="A13" s="1"/>
      <c r="B13" s="15" t="s">
        <v>22</v>
      </c>
      <c r="C13" s="38">
        <v>120000</v>
      </c>
      <c r="D13" s="16"/>
      <c r="E13" s="16"/>
      <c r="F13" s="16"/>
      <c r="G13" s="17"/>
    </row>
    <row r="19" spans="1:15" ht="28.5" x14ac:dyDescent="0.25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28.5" x14ac:dyDescent="0.25">
      <c r="A20" s="3" t="s">
        <v>22</v>
      </c>
      <c r="B20" s="3">
        <v>2022</v>
      </c>
      <c r="C20" s="3" t="s">
        <v>26</v>
      </c>
      <c r="D20" s="3" t="s">
        <v>262</v>
      </c>
      <c r="E20" s="4" t="s">
        <v>538</v>
      </c>
      <c r="F20" s="3"/>
      <c r="G20" s="3"/>
      <c r="H20" s="35"/>
      <c r="I20" s="6">
        <v>108000</v>
      </c>
      <c r="J20" s="35" t="s">
        <v>374</v>
      </c>
    </row>
    <row r="21" spans="1:15" x14ac:dyDescent="0.25">
      <c r="A21" s="3"/>
      <c r="B21" s="3"/>
      <c r="C21" s="3"/>
      <c r="D21" s="3"/>
      <c r="E21" s="4"/>
      <c r="F21" s="3"/>
      <c r="G21" s="3"/>
      <c r="H21" s="35"/>
      <c r="I21" s="6"/>
      <c r="J21" s="35"/>
    </row>
    <row r="22" spans="1:15" x14ac:dyDescent="0.25">
      <c r="A22" s="3"/>
      <c r="B22" s="3"/>
      <c r="C22" s="3"/>
      <c r="D22" s="3"/>
      <c r="E22" s="4"/>
      <c r="F22" s="3"/>
      <c r="G22" s="3"/>
      <c r="H22" s="35"/>
      <c r="I22" s="6"/>
      <c r="J22" s="35"/>
    </row>
    <row r="23" spans="1:15" ht="16.5" thickBot="1" x14ac:dyDescent="0.3">
      <c r="A23" s="3"/>
      <c r="B23" s="3"/>
      <c r="C23" s="3"/>
      <c r="D23" s="3"/>
      <c r="E23" s="4"/>
      <c r="F23" s="3"/>
      <c r="G23" s="3"/>
      <c r="H23" s="35"/>
      <c r="I23" s="6"/>
      <c r="J23" s="35"/>
    </row>
    <row r="24" spans="1:15" x14ac:dyDescent="0.25">
      <c r="A24" s="3"/>
      <c r="B24" s="3"/>
      <c r="C24" s="3"/>
      <c r="D24" s="3"/>
      <c r="E24" s="4"/>
      <c r="F24" s="3"/>
      <c r="G24" s="3"/>
      <c r="H24" s="35"/>
      <c r="I24" s="6"/>
      <c r="J24" s="35"/>
      <c r="N24" s="27" t="s">
        <v>54</v>
      </c>
      <c r="O24" s="28">
        <f>SUMIFS(I20:I51,A20:A51,"Fonctionnement")</f>
        <v>0</v>
      </c>
    </row>
    <row r="25" spans="1:15" x14ac:dyDescent="0.25">
      <c r="A25" s="3"/>
      <c r="B25" s="3"/>
      <c r="C25" s="3"/>
      <c r="D25" s="3"/>
      <c r="E25" s="4"/>
      <c r="F25" s="3"/>
      <c r="G25" s="3"/>
      <c r="H25" s="35"/>
      <c r="I25" s="6"/>
      <c r="J25" s="35"/>
      <c r="N25" s="43" t="s">
        <v>128</v>
      </c>
      <c r="O25" s="30">
        <f>SUMIFS(I20:I51,A20:A51,"Investissement")</f>
        <v>0</v>
      </c>
    </row>
    <row r="26" spans="1:15" x14ac:dyDescent="0.25">
      <c r="A26" s="3"/>
      <c r="B26" s="3"/>
      <c r="C26" s="3"/>
      <c r="D26" s="3"/>
      <c r="E26" s="4"/>
      <c r="F26" s="3"/>
      <c r="G26" s="3"/>
      <c r="H26" s="35"/>
      <c r="I26" s="6"/>
      <c r="J26" s="35"/>
      <c r="N26" s="29" t="s">
        <v>55</v>
      </c>
      <c r="O26" s="30">
        <f>SUMIFS(I20:I52,A20:A52,"Personnel")</f>
        <v>108000</v>
      </c>
    </row>
    <row r="27" spans="1:15" ht="16.5" thickBot="1" x14ac:dyDescent="0.3">
      <c r="A27" s="3"/>
      <c r="B27" s="3"/>
      <c r="C27" s="3"/>
      <c r="D27" s="3"/>
      <c r="E27" s="4"/>
      <c r="F27" s="3"/>
      <c r="G27" s="3"/>
      <c r="H27" s="35"/>
      <c r="I27" s="6"/>
      <c r="J27" s="35"/>
      <c r="N27" s="31" t="s">
        <v>58</v>
      </c>
      <c r="O27" s="32">
        <f>O24+O26</f>
        <v>108000</v>
      </c>
    </row>
    <row r="28" spans="1:15" x14ac:dyDescent="0.25">
      <c r="A28" s="3"/>
      <c r="B28" s="3"/>
      <c r="C28" s="3"/>
      <c r="D28" s="3"/>
      <c r="E28" s="4"/>
      <c r="F28" s="3"/>
      <c r="G28" s="3"/>
      <c r="H28" s="35"/>
      <c r="I28" s="6"/>
      <c r="J28" s="35"/>
    </row>
    <row r="29" spans="1:15" x14ac:dyDescent="0.25">
      <c r="A29" s="45"/>
      <c r="B29" s="3"/>
      <c r="C29" s="46"/>
      <c r="D29" s="46"/>
      <c r="E29" s="47"/>
      <c r="F29" s="3"/>
      <c r="G29" s="3"/>
      <c r="H29" s="35"/>
      <c r="I29" s="6"/>
      <c r="J29" s="35"/>
    </row>
    <row r="30" spans="1:15" x14ac:dyDescent="0.2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 x14ac:dyDescent="0.2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 x14ac:dyDescent="0.2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 x14ac:dyDescent="0.25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 x14ac:dyDescent="0.25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 x14ac:dyDescent="0.25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 x14ac:dyDescent="0.25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 x14ac:dyDescent="0.25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 x14ac:dyDescent="0.25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 x14ac:dyDescent="0.25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 x14ac:dyDescent="0.25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 x14ac:dyDescent="0.25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 x14ac:dyDescent="0.25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 x14ac:dyDescent="0.25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 x14ac:dyDescent="0.25">
      <c r="A44" s="3"/>
      <c r="B44" s="3"/>
      <c r="C44" s="3"/>
      <c r="D44" s="3"/>
      <c r="E44" s="4"/>
      <c r="F44" s="3"/>
      <c r="G44" s="3"/>
      <c r="H44" s="35"/>
      <c r="I44" s="6"/>
      <c r="J44" s="35"/>
    </row>
    <row r="45" spans="1:10" x14ac:dyDescent="0.25">
      <c r="A45" s="3"/>
      <c r="B45" s="3"/>
      <c r="C45" s="3"/>
      <c r="D45" s="3"/>
      <c r="E45" s="4"/>
      <c r="F45" s="3"/>
      <c r="G45" s="3"/>
      <c r="H45" s="35"/>
      <c r="I45" s="6"/>
      <c r="J45" s="35"/>
    </row>
    <row r="46" spans="1:10" x14ac:dyDescent="0.25">
      <c r="A46" s="3"/>
      <c r="B46" s="3"/>
      <c r="C46" s="3"/>
      <c r="D46" s="3"/>
      <c r="E46" s="4"/>
      <c r="F46" s="3"/>
      <c r="G46" s="3"/>
      <c r="H46" s="35"/>
      <c r="I46" s="6"/>
      <c r="J46" s="35"/>
    </row>
    <row r="47" spans="1:10" x14ac:dyDescent="0.25">
      <c r="A47" s="3"/>
      <c r="B47" s="3"/>
      <c r="C47" s="3"/>
      <c r="D47" s="3"/>
      <c r="E47" s="4"/>
      <c r="F47" s="3"/>
      <c r="G47" s="3"/>
      <c r="H47" s="35"/>
      <c r="I47" s="6"/>
      <c r="J47" s="35"/>
    </row>
    <row r="48" spans="1:10" x14ac:dyDescent="0.25">
      <c r="A48" s="3"/>
      <c r="B48" s="3"/>
      <c r="C48" s="3"/>
      <c r="D48" s="3"/>
      <c r="E48" s="4"/>
      <c r="F48" s="3"/>
      <c r="G48" s="3"/>
      <c r="H48" s="35"/>
      <c r="I48" s="6"/>
      <c r="J48" s="35"/>
    </row>
    <row r="49" spans="1:10" x14ac:dyDescent="0.25">
      <c r="A49" s="3"/>
      <c r="B49" s="3"/>
      <c r="C49" s="3"/>
      <c r="D49" s="3"/>
      <c r="E49" s="4"/>
      <c r="F49" s="3"/>
      <c r="G49" s="3"/>
      <c r="H49" s="35"/>
      <c r="I49" s="6"/>
      <c r="J49" s="35"/>
    </row>
    <row r="57" spans="1:10" ht="16.5" x14ac:dyDescent="0.3">
      <c r="B57" s="89" t="s">
        <v>20</v>
      </c>
      <c r="C57" s="89"/>
    </row>
    <row r="58" spans="1:10" ht="16.5" x14ac:dyDescent="0.3">
      <c r="B58" s="33" t="s">
        <v>58</v>
      </c>
      <c r="C58" s="34">
        <f>O24</f>
        <v>0</v>
      </c>
    </row>
    <row r="59" spans="1:10" ht="16.5" x14ac:dyDescent="0.3">
      <c r="B59" s="33" t="s">
        <v>213</v>
      </c>
      <c r="C59" s="34">
        <f>F10</f>
        <v>0</v>
      </c>
    </row>
    <row r="61" spans="1:10" ht="16.5" x14ac:dyDescent="0.3">
      <c r="B61" s="89" t="s">
        <v>22</v>
      </c>
      <c r="C61" s="89"/>
    </row>
    <row r="62" spans="1:10" ht="16.5" x14ac:dyDescent="0.3">
      <c r="B62" s="33" t="s">
        <v>58</v>
      </c>
      <c r="C62" s="34">
        <f>O26</f>
        <v>108000</v>
      </c>
    </row>
    <row r="63" spans="1:10" ht="16.5" x14ac:dyDescent="0.3">
      <c r="B63" s="33" t="s">
        <v>213</v>
      </c>
      <c r="C63" s="34">
        <f>F12</f>
        <v>12000</v>
      </c>
    </row>
    <row r="65" spans="2:3" ht="16.5" x14ac:dyDescent="0.3">
      <c r="B65" s="89" t="s">
        <v>21</v>
      </c>
      <c r="C65" s="89"/>
    </row>
    <row r="66" spans="2:3" ht="16.5" x14ac:dyDescent="0.3">
      <c r="B66" s="33" t="s">
        <v>58</v>
      </c>
      <c r="C66" s="34">
        <f>O25</f>
        <v>0</v>
      </c>
    </row>
    <row r="67" spans="2:3" ht="16.5" x14ac:dyDescent="0.3">
      <c r="B67" s="33" t="s">
        <v>213</v>
      </c>
      <c r="C67" s="34">
        <f>F11</f>
        <v>0</v>
      </c>
    </row>
  </sheetData>
  <autoFilter ref="A19:J48" xr:uid="{00000000-0009-0000-0000-000009000000}"/>
  <mergeCells count="5">
    <mergeCell ref="B5:G5"/>
    <mergeCell ref="C8:D8"/>
    <mergeCell ref="B57:C57"/>
    <mergeCell ref="B61:C61"/>
    <mergeCell ref="B65:C65"/>
  </mergeCells>
  <conditionalFormatting sqref="A40">
    <cfRule type="cellIs" dxfId="48" priority="2" operator="equal">
      <formula>"OK$J:$J"</formula>
    </cfRule>
  </conditionalFormatting>
  <conditionalFormatting sqref="F20:F28">
    <cfRule type="containsBlanks" dxfId="47" priority="3">
      <formula>LEN(TRIM(F20))=0</formula>
    </cfRule>
  </conditionalFormatting>
  <conditionalFormatting sqref="J1:J1048576">
    <cfRule type="containsText" dxfId="46" priority="1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900-000000000000}">
          <x14:formula1>
            <xm:f>DATA!$H$6:$H$14</xm:f>
          </x14:formula1>
          <xm:sqref>H20</xm:sqref>
        </x14:dataValidation>
        <x14:dataValidation type="list" allowBlank="1" showInputMessage="1" showErrorMessage="1" xr:uid="{00000000-0002-0000-0900-000001000000}">
          <x14:formula1>
            <xm:f>DATA!$A$6:$A$8</xm:f>
          </x14:formula1>
          <xm:sqref>A20:A28 A30:A41 A49</xm:sqref>
        </x14:dataValidation>
        <x14:dataValidation type="list" allowBlank="1" showInputMessage="1" showErrorMessage="1" xr:uid="{00000000-0002-0000-0900-000002000000}">
          <x14:formula1>
            <xm:f>DATA!$D$6:$D$11</xm:f>
          </x14:formula1>
          <xm:sqref>B20:B49</xm:sqref>
        </x14:dataValidation>
        <x14:dataValidation type="list" allowBlank="1" showInputMessage="1" showErrorMessage="1" xr:uid="{00000000-0002-0000-0900-000003000000}">
          <x14:formula1>
            <xm:f>DATA!$F$6:$F$9</xm:f>
          </x14:formula1>
          <xm:sqref>C20:C28 C30:C45 C49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7"/>
  <sheetViews>
    <sheetView showGridLines="0" topLeftCell="B4" zoomScale="140" zoomScaleNormal="140" workbookViewId="0">
      <selection activeCell="D20" sqref="D20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style="59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45307</v>
      </c>
      <c r="D1" s="1"/>
      <c r="E1" s="1"/>
      <c r="F1" s="1"/>
      <c r="G1" s="1"/>
    </row>
    <row r="2" spans="1:7" ht="17.25" x14ac:dyDescent="0.35">
      <c r="A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531</v>
      </c>
      <c r="D6" s="19"/>
      <c r="E6" s="20" t="s">
        <v>4</v>
      </c>
      <c r="F6" s="19" t="s">
        <v>532</v>
      </c>
      <c r="G6" s="21"/>
    </row>
    <row r="7" spans="1:7" ht="17.25" x14ac:dyDescent="0.35">
      <c r="A7" s="1"/>
      <c r="B7" s="22"/>
      <c r="G7" s="12"/>
    </row>
    <row r="8" spans="1:7" ht="17.25" x14ac:dyDescent="0.35">
      <c r="A8" s="1"/>
      <c r="B8" s="24" t="s">
        <v>5</v>
      </c>
      <c r="C8" s="88" t="s">
        <v>407</v>
      </c>
      <c r="D8" s="88"/>
      <c r="E8" s="23" t="s">
        <v>56</v>
      </c>
      <c r="F8" s="41"/>
      <c r="G8" s="12"/>
    </row>
    <row r="9" spans="1:7" ht="17.25" x14ac:dyDescent="0.35">
      <c r="A9" s="1"/>
      <c r="B9" s="24" t="s">
        <v>7</v>
      </c>
      <c r="C9" s="39" t="s">
        <v>343</v>
      </c>
      <c r="D9" s="42"/>
      <c r="E9" s="9" t="s">
        <v>10</v>
      </c>
      <c r="F9" s="36">
        <f>C10-O27</f>
        <v>106340</v>
      </c>
      <c r="G9" s="12"/>
    </row>
    <row r="10" spans="1:7" ht="17.25" x14ac:dyDescent="0.35">
      <c r="A10" s="1"/>
      <c r="B10" s="13" t="s">
        <v>9</v>
      </c>
      <c r="C10" s="36">
        <v>120000</v>
      </c>
      <c r="D10" s="10"/>
      <c r="E10" s="11" t="s">
        <v>20</v>
      </c>
      <c r="F10" s="36">
        <f>C11-O24</f>
        <v>0</v>
      </c>
      <c r="G10" s="12"/>
    </row>
    <row r="11" spans="1:7" ht="17.25" x14ac:dyDescent="0.35">
      <c r="A11" s="1"/>
      <c r="B11" s="14" t="s">
        <v>20</v>
      </c>
      <c r="C11" s="36">
        <v>0</v>
      </c>
      <c r="D11" s="10"/>
      <c r="E11" s="11" t="s">
        <v>21</v>
      </c>
      <c r="F11" s="44">
        <f>C12-O25</f>
        <v>0</v>
      </c>
      <c r="G11" s="12"/>
    </row>
    <row r="12" spans="1:7" ht="17.25" x14ac:dyDescent="0.35">
      <c r="A12" s="1"/>
      <c r="B12" s="14" t="s">
        <v>21</v>
      </c>
      <c r="C12" s="36">
        <v>0</v>
      </c>
      <c r="D12" s="10"/>
      <c r="E12" s="11" t="s">
        <v>22</v>
      </c>
      <c r="F12" s="37">
        <f>C13-O26</f>
        <v>106340</v>
      </c>
      <c r="G12" s="12"/>
    </row>
    <row r="13" spans="1:7" ht="18" thickBot="1" x14ac:dyDescent="0.4">
      <c r="A13" s="1"/>
      <c r="B13" s="15" t="s">
        <v>22</v>
      </c>
      <c r="C13" s="38">
        <v>120000</v>
      </c>
      <c r="D13" s="16"/>
      <c r="E13" s="16"/>
      <c r="F13" s="16"/>
      <c r="G13" s="17"/>
    </row>
    <row r="19" spans="1:15" ht="28.5" x14ac:dyDescent="0.25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28.5" x14ac:dyDescent="0.25">
      <c r="A20" s="3" t="s">
        <v>22</v>
      </c>
      <c r="B20" s="3">
        <v>2023</v>
      </c>
      <c r="C20" s="3" t="s">
        <v>26</v>
      </c>
      <c r="D20" s="4" t="s">
        <v>533</v>
      </c>
      <c r="E20" s="4" t="s">
        <v>534</v>
      </c>
      <c r="F20" s="3"/>
      <c r="G20" s="3"/>
      <c r="H20" s="35"/>
      <c r="I20" s="6">
        <v>13660</v>
      </c>
      <c r="J20" s="35" t="s">
        <v>374</v>
      </c>
    </row>
    <row r="21" spans="1:15" x14ac:dyDescent="0.25">
      <c r="A21" s="3"/>
      <c r="B21" s="3"/>
      <c r="C21" s="3"/>
      <c r="D21" s="3"/>
      <c r="E21" s="4"/>
      <c r="F21" s="3"/>
      <c r="G21" s="3"/>
      <c r="H21" s="35"/>
      <c r="I21" s="6"/>
      <c r="J21" s="35"/>
    </row>
    <row r="22" spans="1:15" x14ac:dyDescent="0.25">
      <c r="A22" s="3"/>
      <c r="B22" s="3"/>
      <c r="C22" s="3"/>
      <c r="D22" s="3"/>
      <c r="E22" s="4"/>
      <c r="F22" s="3"/>
      <c r="G22" s="3"/>
      <c r="H22" s="35"/>
      <c r="I22" s="6"/>
      <c r="J22" s="35"/>
    </row>
    <row r="23" spans="1:15" ht="16.5" thickBot="1" x14ac:dyDescent="0.3">
      <c r="A23" s="3"/>
      <c r="B23" s="3"/>
      <c r="C23" s="3"/>
      <c r="D23" s="3"/>
      <c r="E23" s="4"/>
      <c r="F23" s="3"/>
      <c r="G23" s="3"/>
      <c r="H23" s="35"/>
      <c r="I23" s="6"/>
      <c r="J23" s="35"/>
    </row>
    <row r="24" spans="1:15" x14ac:dyDescent="0.25">
      <c r="A24" s="3"/>
      <c r="B24" s="3"/>
      <c r="C24" s="3"/>
      <c r="D24" s="3"/>
      <c r="E24" s="4"/>
      <c r="F24" s="3"/>
      <c r="G24" s="3"/>
      <c r="H24" s="35"/>
      <c r="I24" s="6"/>
      <c r="J24" s="35"/>
      <c r="N24" s="27" t="s">
        <v>54</v>
      </c>
      <c r="O24" s="28">
        <f>SUMIFS(I20:I51,A20:A51,"Fonctionnement")</f>
        <v>0</v>
      </c>
    </row>
    <row r="25" spans="1:15" x14ac:dyDescent="0.25">
      <c r="A25" s="3"/>
      <c r="B25" s="3"/>
      <c r="C25" s="3"/>
      <c r="D25" s="3"/>
      <c r="E25" s="4"/>
      <c r="F25" s="3"/>
      <c r="G25" s="3"/>
      <c r="H25" s="35"/>
      <c r="I25" s="6"/>
      <c r="J25" s="35"/>
      <c r="N25" s="43" t="s">
        <v>128</v>
      </c>
      <c r="O25" s="30">
        <f>SUMIFS(I20:I51,A20:A51,"Investissement")</f>
        <v>0</v>
      </c>
    </row>
    <row r="26" spans="1:15" x14ac:dyDescent="0.25">
      <c r="A26" s="3"/>
      <c r="B26" s="3"/>
      <c r="C26" s="3"/>
      <c r="D26" s="3"/>
      <c r="E26" s="4"/>
      <c r="F26" s="3"/>
      <c r="G26" s="3"/>
      <c r="H26" s="35"/>
      <c r="I26" s="6"/>
      <c r="J26" s="35"/>
      <c r="N26" s="29" t="s">
        <v>55</v>
      </c>
      <c r="O26" s="30">
        <f>SUMIFS(I20:I52,A20:A52,"Personnel")</f>
        <v>13660</v>
      </c>
    </row>
    <row r="27" spans="1:15" ht="16.5" thickBot="1" x14ac:dyDescent="0.3">
      <c r="A27" s="3"/>
      <c r="B27" s="3"/>
      <c r="C27" s="3"/>
      <c r="D27" s="3"/>
      <c r="E27" s="4"/>
      <c r="F27" s="3"/>
      <c r="G27" s="3"/>
      <c r="H27" s="35"/>
      <c r="I27" s="6"/>
      <c r="J27" s="35"/>
      <c r="N27" s="31" t="s">
        <v>58</v>
      </c>
      <c r="O27" s="32">
        <f>O24+O26</f>
        <v>13660</v>
      </c>
    </row>
    <row r="28" spans="1:15" x14ac:dyDescent="0.25">
      <c r="A28" s="3"/>
      <c r="B28" s="3"/>
      <c r="C28" s="3"/>
      <c r="D28" s="3"/>
      <c r="E28" s="4"/>
      <c r="F28" s="3"/>
      <c r="G28" s="3"/>
      <c r="H28" s="35"/>
      <c r="I28" s="6"/>
      <c r="J28" s="35"/>
    </row>
    <row r="29" spans="1:15" x14ac:dyDescent="0.25">
      <c r="A29" s="45"/>
      <c r="B29" s="3"/>
      <c r="C29" s="46"/>
      <c r="D29" s="46"/>
      <c r="E29" s="47"/>
      <c r="F29" s="3"/>
      <c r="G29" s="3"/>
      <c r="H29" s="35"/>
      <c r="I29" s="6"/>
      <c r="J29" s="35"/>
    </row>
    <row r="30" spans="1:15" x14ac:dyDescent="0.2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 x14ac:dyDescent="0.2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 x14ac:dyDescent="0.2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 x14ac:dyDescent="0.25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 x14ac:dyDescent="0.25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 x14ac:dyDescent="0.25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 x14ac:dyDescent="0.25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 x14ac:dyDescent="0.25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 x14ac:dyDescent="0.25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 x14ac:dyDescent="0.25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 x14ac:dyDescent="0.25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 x14ac:dyDescent="0.25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 x14ac:dyDescent="0.25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 x14ac:dyDescent="0.25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 x14ac:dyDescent="0.25">
      <c r="A44" s="3"/>
      <c r="B44" s="3"/>
      <c r="C44" s="3"/>
      <c r="D44" s="3"/>
      <c r="E44" s="4"/>
      <c r="F44" s="3"/>
      <c r="G44" s="3"/>
      <c r="H44" s="35"/>
      <c r="I44" s="6"/>
      <c r="J44" s="35"/>
    </row>
    <row r="45" spans="1:10" x14ac:dyDescent="0.25">
      <c r="A45" s="3"/>
      <c r="B45" s="3"/>
      <c r="C45" s="3"/>
      <c r="D45" s="3"/>
      <c r="E45" s="4"/>
      <c r="F45" s="3"/>
      <c r="G45" s="3"/>
      <c r="H45" s="35"/>
      <c r="I45" s="6"/>
      <c r="J45" s="35"/>
    </row>
    <row r="46" spans="1:10" x14ac:dyDescent="0.25">
      <c r="A46" s="3"/>
      <c r="B46" s="3"/>
      <c r="C46" s="3"/>
      <c r="D46" s="3"/>
      <c r="E46" s="4"/>
      <c r="F46" s="3"/>
      <c r="G46" s="3"/>
      <c r="H46" s="35"/>
      <c r="I46" s="6"/>
      <c r="J46" s="35"/>
    </row>
    <row r="47" spans="1:10" x14ac:dyDescent="0.25">
      <c r="A47" s="3"/>
      <c r="B47" s="3"/>
      <c r="C47" s="3"/>
      <c r="D47" s="3"/>
      <c r="E47" s="4"/>
      <c r="F47" s="3"/>
      <c r="G47" s="3"/>
      <c r="H47" s="35"/>
      <c r="I47" s="6"/>
      <c r="J47" s="35"/>
    </row>
    <row r="48" spans="1:10" x14ac:dyDescent="0.25">
      <c r="A48" s="3"/>
      <c r="B48" s="3"/>
      <c r="C48" s="3"/>
      <c r="D48" s="3"/>
      <c r="E48" s="4"/>
      <c r="F48" s="3"/>
      <c r="G48" s="3"/>
      <c r="H48" s="35"/>
      <c r="I48" s="6"/>
      <c r="J48" s="35"/>
    </row>
    <row r="49" spans="1:10" x14ac:dyDescent="0.25">
      <c r="A49" s="3"/>
      <c r="B49" s="3"/>
      <c r="C49" s="3"/>
      <c r="D49" s="3"/>
      <c r="E49" s="4"/>
      <c r="F49" s="3"/>
      <c r="G49" s="3"/>
      <c r="H49" s="35"/>
      <c r="I49" s="6"/>
      <c r="J49" s="35"/>
    </row>
    <row r="57" spans="1:10" ht="16.5" x14ac:dyDescent="0.3">
      <c r="B57" s="89" t="s">
        <v>20</v>
      </c>
      <c r="C57" s="89"/>
    </row>
    <row r="58" spans="1:10" ht="16.5" x14ac:dyDescent="0.3">
      <c r="B58" s="33" t="s">
        <v>58</v>
      </c>
      <c r="C58" s="34">
        <f>O24</f>
        <v>0</v>
      </c>
    </row>
    <row r="59" spans="1:10" ht="16.5" x14ac:dyDescent="0.3">
      <c r="B59" s="33" t="s">
        <v>213</v>
      </c>
      <c r="C59" s="34">
        <f>F10</f>
        <v>0</v>
      </c>
    </row>
    <row r="61" spans="1:10" ht="16.5" x14ac:dyDescent="0.3">
      <c r="B61" s="89" t="s">
        <v>22</v>
      </c>
      <c r="C61" s="89"/>
    </row>
    <row r="62" spans="1:10" ht="16.5" x14ac:dyDescent="0.3">
      <c r="B62" s="33" t="s">
        <v>58</v>
      </c>
      <c r="C62" s="34">
        <f>O26</f>
        <v>13660</v>
      </c>
    </row>
    <row r="63" spans="1:10" ht="16.5" x14ac:dyDescent="0.3">
      <c r="B63" s="33" t="s">
        <v>213</v>
      </c>
      <c r="C63" s="34">
        <f>F12</f>
        <v>106340</v>
      </c>
    </row>
    <row r="65" spans="2:3" ht="16.5" x14ac:dyDescent="0.3">
      <c r="B65" s="89" t="s">
        <v>21</v>
      </c>
      <c r="C65" s="89"/>
    </row>
    <row r="66" spans="2:3" ht="16.5" x14ac:dyDescent="0.3">
      <c r="B66" s="33" t="s">
        <v>58</v>
      </c>
      <c r="C66" s="34">
        <f>O25</f>
        <v>0</v>
      </c>
    </row>
    <row r="67" spans="2:3" ht="16.5" x14ac:dyDescent="0.3">
      <c r="B67" s="33" t="s">
        <v>213</v>
      </c>
      <c r="C67" s="34">
        <f>F11</f>
        <v>0</v>
      </c>
    </row>
  </sheetData>
  <autoFilter ref="A19:J48" xr:uid="{00000000-0009-0000-0000-00000A000000}"/>
  <mergeCells count="5">
    <mergeCell ref="B5:G5"/>
    <mergeCell ref="C8:D8"/>
    <mergeCell ref="B57:C57"/>
    <mergeCell ref="B61:C61"/>
    <mergeCell ref="B65:C65"/>
  </mergeCells>
  <conditionalFormatting sqref="A40">
    <cfRule type="cellIs" dxfId="45" priority="2" operator="equal">
      <formula>"OK$J:$J"</formula>
    </cfRule>
  </conditionalFormatting>
  <conditionalFormatting sqref="F20:F28">
    <cfRule type="containsBlanks" dxfId="44" priority="3">
      <formula>LEN(TRIM(F20))=0</formula>
    </cfRule>
  </conditionalFormatting>
  <conditionalFormatting sqref="J1:J1048576">
    <cfRule type="containsText" dxfId="43" priority="1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A00-000000000000}">
          <x14:formula1>
            <xm:f>DATA!$F$6:$F$9</xm:f>
          </x14:formula1>
          <xm:sqref>C20:C28 C30:C45 C49</xm:sqref>
        </x14:dataValidation>
        <x14:dataValidation type="list" allowBlank="1" showInputMessage="1" showErrorMessage="1" xr:uid="{00000000-0002-0000-0A00-000001000000}">
          <x14:formula1>
            <xm:f>DATA!$D$6:$D$11</xm:f>
          </x14:formula1>
          <xm:sqref>B20:B49</xm:sqref>
        </x14:dataValidation>
        <x14:dataValidation type="list" allowBlank="1" showInputMessage="1" showErrorMessage="1" xr:uid="{00000000-0002-0000-0A00-000002000000}">
          <x14:formula1>
            <xm:f>DATA!$A$6:$A$8</xm:f>
          </x14:formula1>
          <xm:sqref>A20:A28 A30:A41 A49</xm:sqref>
        </x14:dataValidation>
        <x14:dataValidation type="list" allowBlank="1" showInputMessage="1" showErrorMessage="1" xr:uid="{00000000-0002-0000-0A00-000003000000}">
          <x14:formula1>
            <xm:f>DATA!$H$6:$H$14</xm:f>
          </x14:formula1>
          <xm:sqref>H20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67"/>
  <sheetViews>
    <sheetView showGridLines="0" topLeftCell="B2" zoomScale="140" zoomScaleNormal="140" workbookViewId="0">
      <selection activeCell="F9" sqref="F9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style="59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45245</v>
      </c>
      <c r="D1" s="1"/>
      <c r="E1" s="1"/>
      <c r="F1" s="1"/>
      <c r="G1" s="1"/>
    </row>
    <row r="2" spans="1:7" ht="17.25" x14ac:dyDescent="0.35">
      <c r="A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405</v>
      </c>
      <c r="D6" s="19"/>
      <c r="E6" s="20" t="s">
        <v>4</v>
      </c>
      <c r="F6" s="19" t="s">
        <v>406</v>
      </c>
      <c r="G6" s="21"/>
    </row>
    <row r="7" spans="1:7" ht="17.25" x14ac:dyDescent="0.35">
      <c r="A7" s="1"/>
      <c r="B7" s="22"/>
      <c r="G7" s="12"/>
    </row>
    <row r="8" spans="1:7" ht="17.25" x14ac:dyDescent="0.35">
      <c r="A8" s="1"/>
      <c r="B8" s="24" t="s">
        <v>5</v>
      </c>
      <c r="C8" s="88" t="s">
        <v>407</v>
      </c>
      <c r="D8" s="88"/>
      <c r="E8" s="23" t="s">
        <v>56</v>
      </c>
      <c r="F8" s="41"/>
      <c r="G8" s="12"/>
    </row>
    <row r="9" spans="1:7" ht="17.25" x14ac:dyDescent="0.35">
      <c r="A9" s="1"/>
      <c r="B9" s="24" t="s">
        <v>7</v>
      </c>
      <c r="C9" s="39" t="s">
        <v>343</v>
      </c>
      <c r="D9" s="42"/>
      <c r="E9" s="9" t="s">
        <v>10</v>
      </c>
      <c r="F9" s="36">
        <f>C10-O27</f>
        <v>825584.58</v>
      </c>
      <c r="G9" s="12"/>
    </row>
    <row r="10" spans="1:7" ht="17.25" x14ac:dyDescent="0.35">
      <c r="A10" s="1"/>
      <c r="B10" s="13" t="s">
        <v>9</v>
      </c>
      <c r="C10" s="36">
        <f>1074815-248661</f>
        <v>826154</v>
      </c>
      <c r="D10" s="10"/>
      <c r="E10" s="11" t="s">
        <v>20</v>
      </c>
      <c r="F10" s="36">
        <f>C11-O24</f>
        <v>102430.58</v>
      </c>
      <c r="G10" s="12"/>
    </row>
    <row r="11" spans="1:7" ht="17.25" x14ac:dyDescent="0.35">
      <c r="A11" s="1"/>
      <c r="B11" s="14" t="s">
        <v>20</v>
      </c>
      <c r="C11" s="36">
        <f>89500+13500</f>
        <v>103000</v>
      </c>
      <c r="D11" s="10"/>
      <c r="E11" s="11" t="s">
        <v>21</v>
      </c>
      <c r="F11" s="44">
        <f>C12-O25</f>
        <v>0</v>
      </c>
      <c r="G11" s="12"/>
    </row>
    <row r="12" spans="1:7" ht="17.25" x14ac:dyDescent="0.35">
      <c r="A12" s="1"/>
      <c r="B12" s="14" t="s">
        <v>21</v>
      </c>
      <c r="C12" s="36">
        <v>0</v>
      </c>
      <c r="D12" s="10"/>
      <c r="E12" s="11" t="s">
        <v>22</v>
      </c>
      <c r="F12" s="37">
        <f>C13-O26</f>
        <v>723154</v>
      </c>
      <c r="G12" s="12"/>
    </row>
    <row r="13" spans="1:7" ht="18" thickBot="1" x14ac:dyDescent="0.4">
      <c r="A13" s="1"/>
      <c r="B13" s="15" t="s">
        <v>22</v>
      </c>
      <c r="C13" s="38">
        <f>518652+204502</f>
        <v>723154</v>
      </c>
      <c r="D13" s="16"/>
      <c r="E13" s="16"/>
      <c r="F13" s="16"/>
      <c r="G13" s="17"/>
    </row>
    <row r="19" spans="1:15" ht="28.5" x14ac:dyDescent="0.25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42.75" x14ac:dyDescent="0.25">
      <c r="A20" s="3" t="s">
        <v>20</v>
      </c>
      <c r="B20" s="3">
        <v>2024</v>
      </c>
      <c r="C20" s="3" t="s">
        <v>25</v>
      </c>
      <c r="D20" s="3" t="s">
        <v>262</v>
      </c>
      <c r="E20" s="4" t="s">
        <v>506</v>
      </c>
      <c r="F20" s="3">
        <v>60368</v>
      </c>
      <c r="G20" s="3"/>
      <c r="H20" s="35"/>
      <c r="I20" s="6">
        <v>569.41999999999996</v>
      </c>
      <c r="J20" s="35"/>
    </row>
    <row r="21" spans="1:15" x14ac:dyDescent="0.25">
      <c r="A21" s="3"/>
      <c r="B21" s="3"/>
      <c r="C21" s="3"/>
      <c r="D21" s="3"/>
      <c r="E21" s="4"/>
      <c r="F21" s="3"/>
      <c r="G21" s="3"/>
      <c r="H21" s="35"/>
      <c r="I21" s="6"/>
      <c r="J21" s="35"/>
    </row>
    <row r="22" spans="1:15" x14ac:dyDescent="0.25">
      <c r="A22" s="3"/>
      <c r="B22" s="3"/>
      <c r="C22" s="3"/>
      <c r="D22" s="3"/>
      <c r="E22" s="4"/>
      <c r="F22" s="3"/>
      <c r="G22" s="3"/>
      <c r="H22" s="35"/>
      <c r="I22" s="6"/>
      <c r="J22" s="35"/>
    </row>
    <row r="23" spans="1:15" ht="16.5" thickBot="1" x14ac:dyDescent="0.3">
      <c r="A23" s="3"/>
      <c r="B23" s="3"/>
      <c r="C23" s="3"/>
      <c r="D23" s="3"/>
      <c r="E23" s="4"/>
      <c r="F23" s="3"/>
      <c r="G23" s="3"/>
      <c r="H23" s="35"/>
      <c r="I23" s="6"/>
      <c r="J23" s="35"/>
    </row>
    <row r="24" spans="1:15" x14ac:dyDescent="0.25">
      <c r="A24" s="3"/>
      <c r="B24" s="3"/>
      <c r="C24" s="3"/>
      <c r="D24" s="3"/>
      <c r="E24" s="4"/>
      <c r="F24" s="3"/>
      <c r="G24" s="3"/>
      <c r="H24" s="35"/>
      <c r="I24" s="6"/>
      <c r="J24" s="35"/>
      <c r="N24" s="27" t="s">
        <v>54</v>
      </c>
      <c r="O24" s="28">
        <f>SUMIFS(I20:I51,A20:A51,"Fonctionnement")</f>
        <v>569.41999999999996</v>
      </c>
    </row>
    <row r="25" spans="1:15" x14ac:dyDescent="0.25">
      <c r="A25" s="3"/>
      <c r="B25" s="3"/>
      <c r="C25" s="3"/>
      <c r="D25" s="3"/>
      <c r="E25" s="4"/>
      <c r="F25" s="3"/>
      <c r="G25" s="3"/>
      <c r="H25" s="35"/>
      <c r="I25" s="6"/>
      <c r="J25" s="35"/>
      <c r="N25" s="43" t="s">
        <v>128</v>
      </c>
      <c r="O25" s="30">
        <f>SUMIFS(I20:I51,A20:A51,"Investissement")</f>
        <v>0</v>
      </c>
    </row>
    <row r="26" spans="1:15" x14ac:dyDescent="0.25">
      <c r="A26" s="3"/>
      <c r="B26" s="3"/>
      <c r="C26" s="3"/>
      <c r="D26" s="3"/>
      <c r="E26" s="4"/>
      <c r="F26" s="3"/>
      <c r="G26" s="3"/>
      <c r="H26" s="35"/>
      <c r="I26" s="6"/>
      <c r="J26" s="35"/>
      <c r="N26" s="29" t="s">
        <v>55</v>
      </c>
      <c r="O26" s="30">
        <f>SUMIFS(I21:I52,A21:A52,"Personnel")</f>
        <v>0</v>
      </c>
    </row>
    <row r="27" spans="1:15" ht="16.5" thickBot="1" x14ac:dyDescent="0.3">
      <c r="A27" s="3"/>
      <c r="B27" s="3"/>
      <c r="C27" s="3"/>
      <c r="D27" s="3"/>
      <c r="E27" s="4"/>
      <c r="F27" s="3"/>
      <c r="G27" s="3"/>
      <c r="H27" s="35"/>
      <c r="I27" s="6"/>
      <c r="J27" s="35"/>
      <c r="N27" s="31" t="s">
        <v>58</v>
      </c>
      <c r="O27" s="32">
        <f>O24+O26</f>
        <v>569.41999999999996</v>
      </c>
    </row>
    <row r="28" spans="1:15" x14ac:dyDescent="0.25">
      <c r="A28" s="3"/>
      <c r="B28" s="3"/>
      <c r="C28" s="3"/>
      <c r="D28" s="3"/>
      <c r="E28" s="4"/>
      <c r="F28" s="3"/>
      <c r="G28" s="3"/>
      <c r="H28" s="35"/>
      <c r="I28" s="6"/>
      <c r="J28" s="35"/>
    </row>
    <row r="29" spans="1:15" x14ac:dyDescent="0.25">
      <c r="A29" s="45"/>
      <c r="B29" s="3"/>
      <c r="C29" s="46"/>
      <c r="D29" s="46"/>
      <c r="E29" s="47"/>
      <c r="F29" s="3"/>
      <c r="G29" s="3"/>
      <c r="H29" s="35"/>
      <c r="I29" s="6"/>
      <c r="J29" s="35"/>
    </row>
    <row r="30" spans="1:15" x14ac:dyDescent="0.2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 x14ac:dyDescent="0.2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 x14ac:dyDescent="0.2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 x14ac:dyDescent="0.25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 x14ac:dyDescent="0.25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 x14ac:dyDescent="0.25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 x14ac:dyDescent="0.25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 x14ac:dyDescent="0.25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 x14ac:dyDescent="0.25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 x14ac:dyDescent="0.25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 x14ac:dyDescent="0.25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 x14ac:dyDescent="0.25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 x14ac:dyDescent="0.25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 x14ac:dyDescent="0.25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 x14ac:dyDescent="0.25">
      <c r="A44" s="3"/>
      <c r="B44" s="3"/>
      <c r="C44" s="3"/>
      <c r="D44" s="3"/>
      <c r="E44" s="4"/>
      <c r="F44" s="3"/>
      <c r="G44" s="3"/>
      <c r="H44" s="35"/>
      <c r="I44" s="6"/>
      <c r="J44" s="35"/>
    </row>
    <row r="45" spans="1:10" x14ac:dyDescent="0.25">
      <c r="A45" s="3"/>
      <c r="B45" s="3"/>
      <c r="C45" s="3"/>
      <c r="D45" s="3"/>
      <c r="E45" s="4"/>
      <c r="F45" s="3"/>
      <c r="G45" s="3"/>
      <c r="H45" s="35"/>
      <c r="I45" s="6"/>
      <c r="J45" s="35"/>
    </row>
    <row r="46" spans="1:10" x14ac:dyDescent="0.25">
      <c r="A46" s="3"/>
      <c r="B46" s="3"/>
      <c r="C46" s="3"/>
      <c r="D46" s="3"/>
      <c r="E46" s="4"/>
      <c r="F46" s="3"/>
      <c r="G46" s="3"/>
      <c r="H46" s="35"/>
      <c r="I46" s="6"/>
      <c r="J46" s="35"/>
    </row>
    <row r="47" spans="1:10" x14ac:dyDescent="0.25">
      <c r="A47" s="3"/>
      <c r="B47" s="3"/>
      <c r="C47" s="3"/>
      <c r="D47" s="3"/>
      <c r="E47" s="4"/>
      <c r="F47" s="3"/>
      <c r="G47" s="3"/>
      <c r="H47" s="35"/>
      <c r="I47" s="6"/>
      <c r="J47" s="35"/>
    </row>
    <row r="48" spans="1:10" x14ac:dyDescent="0.25">
      <c r="A48" s="3"/>
      <c r="B48" s="3"/>
      <c r="C48" s="3"/>
      <c r="D48" s="3"/>
      <c r="E48" s="4"/>
      <c r="F48" s="3"/>
      <c r="G48" s="3"/>
      <c r="H48" s="35"/>
      <c r="I48" s="6"/>
      <c r="J48" s="35"/>
    </row>
    <row r="49" spans="1:10" x14ac:dyDescent="0.25">
      <c r="A49" s="3"/>
      <c r="B49" s="3"/>
      <c r="C49" s="3"/>
      <c r="D49" s="3"/>
      <c r="E49" s="4"/>
      <c r="F49" s="3"/>
      <c r="G49" s="3"/>
      <c r="H49" s="35"/>
      <c r="I49" s="6"/>
      <c r="J49" s="35"/>
    </row>
    <row r="57" spans="1:10" ht="16.5" x14ac:dyDescent="0.3">
      <c r="B57" s="89" t="s">
        <v>20</v>
      </c>
      <c r="C57" s="89"/>
    </row>
    <row r="58" spans="1:10" ht="16.5" x14ac:dyDescent="0.3">
      <c r="B58" s="33" t="s">
        <v>58</v>
      </c>
      <c r="C58" s="34">
        <f>O24</f>
        <v>569.41999999999996</v>
      </c>
    </row>
    <row r="59" spans="1:10" ht="16.5" x14ac:dyDescent="0.3">
      <c r="B59" s="33" t="s">
        <v>213</v>
      </c>
      <c r="C59" s="34">
        <f>F10</f>
        <v>102430.58</v>
      </c>
    </row>
    <row r="61" spans="1:10" ht="16.5" x14ac:dyDescent="0.3">
      <c r="B61" s="89" t="s">
        <v>22</v>
      </c>
      <c r="C61" s="89"/>
    </row>
    <row r="62" spans="1:10" ht="16.5" x14ac:dyDescent="0.3">
      <c r="B62" s="33" t="s">
        <v>58</v>
      </c>
      <c r="C62" s="34">
        <f>O26</f>
        <v>0</v>
      </c>
    </row>
    <row r="63" spans="1:10" ht="16.5" x14ac:dyDescent="0.3">
      <c r="B63" s="33" t="s">
        <v>213</v>
      </c>
      <c r="C63" s="34">
        <f>F12</f>
        <v>723154</v>
      </c>
    </row>
    <row r="65" spans="2:3" ht="16.5" x14ac:dyDescent="0.3">
      <c r="B65" s="89" t="s">
        <v>21</v>
      </c>
      <c r="C65" s="89"/>
    </row>
    <row r="66" spans="2:3" ht="16.5" x14ac:dyDescent="0.3">
      <c r="B66" s="33" t="s">
        <v>58</v>
      </c>
      <c r="C66" s="34">
        <f>O25</f>
        <v>0</v>
      </c>
    </row>
    <row r="67" spans="2:3" ht="16.5" x14ac:dyDescent="0.3">
      <c r="B67" s="33" t="s">
        <v>213</v>
      </c>
      <c r="C67" s="34">
        <f>F11</f>
        <v>0</v>
      </c>
    </row>
  </sheetData>
  <autoFilter ref="A19:J48" xr:uid="{00000000-0009-0000-0000-00000B000000}"/>
  <mergeCells count="5">
    <mergeCell ref="B5:G5"/>
    <mergeCell ref="C8:D8"/>
    <mergeCell ref="B57:C57"/>
    <mergeCell ref="B61:C61"/>
    <mergeCell ref="B65:C65"/>
  </mergeCells>
  <conditionalFormatting sqref="A40">
    <cfRule type="cellIs" dxfId="42" priority="2" operator="equal">
      <formula>"OK$J:$J"</formula>
    </cfRule>
  </conditionalFormatting>
  <conditionalFormatting sqref="F20:F28">
    <cfRule type="containsBlanks" dxfId="41" priority="3">
      <formula>LEN(TRIM(F20))=0</formula>
    </cfRule>
  </conditionalFormatting>
  <conditionalFormatting sqref="J1:J1048576">
    <cfRule type="containsText" dxfId="40" priority="1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B00-000000000000}">
          <x14:formula1>
            <xm:f>DATA!$H$6:$H$14</xm:f>
          </x14:formula1>
          <xm:sqref>H20</xm:sqref>
        </x14:dataValidation>
        <x14:dataValidation type="list" allowBlank="1" showInputMessage="1" showErrorMessage="1" xr:uid="{00000000-0002-0000-0B00-000001000000}">
          <x14:formula1>
            <xm:f>DATA!$A$6:$A$8</xm:f>
          </x14:formula1>
          <xm:sqref>A20:A28 A30:A41 A49</xm:sqref>
        </x14:dataValidation>
        <x14:dataValidation type="list" allowBlank="1" showInputMessage="1" showErrorMessage="1" xr:uid="{00000000-0002-0000-0B00-000002000000}">
          <x14:formula1>
            <xm:f>DATA!$D$6:$D$11</xm:f>
          </x14:formula1>
          <xm:sqref>B20:B49</xm:sqref>
        </x14:dataValidation>
        <x14:dataValidation type="list" allowBlank="1" showInputMessage="1" showErrorMessage="1" xr:uid="{00000000-0002-0000-0B00-000003000000}">
          <x14:formula1>
            <xm:f>DATA!$F$6:$F$9</xm:f>
          </x14:formula1>
          <xm:sqref>C20:C28 C30:C45 C49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70"/>
  <sheetViews>
    <sheetView showGridLines="0" topLeftCell="A5" zoomScaleNormal="100" workbookViewId="0">
      <selection activeCell="C24" sqref="C24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style="73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44980</v>
      </c>
      <c r="D1" s="1"/>
      <c r="E1" s="1"/>
      <c r="F1" s="1"/>
      <c r="G1" s="1"/>
    </row>
    <row r="2" spans="1:7" ht="17.25" x14ac:dyDescent="0.35">
      <c r="A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252</v>
      </c>
      <c r="D6" s="19"/>
      <c r="E6" s="20" t="s">
        <v>4</v>
      </c>
      <c r="F6" s="19" t="s">
        <v>253</v>
      </c>
      <c r="G6" s="21"/>
    </row>
    <row r="7" spans="1:7" ht="17.25" x14ac:dyDescent="0.35">
      <c r="A7" s="1"/>
      <c r="B7" s="22"/>
      <c r="G7" s="12"/>
    </row>
    <row r="8" spans="1:7" ht="17.25" x14ac:dyDescent="0.35">
      <c r="A8" s="1"/>
      <c r="B8" s="24" t="s">
        <v>5</v>
      </c>
      <c r="C8" s="88" t="s">
        <v>254</v>
      </c>
      <c r="D8" s="88"/>
      <c r="E8" s="23" t="s">
        <v>56</v>
      </c>
      <c r="F8" s="41"/>
      <c r="G8" s="12"/>
    </row>
    <row r="9" spans="1:7" ht="17.25" x14ac:dyDescent="0.35">
      <c r="A9" s="1"/>
      <c r="B9" s="24" t="s">
        <v>7</v>
      </c>
      <c r="C9" s="39" t="s">
        <v>255</v>
      </c>
      <c r="D9" s="42"/>
      <c r="E9" s="9" t="s">
        <v>10</v>
      </c>
      <c r="F9" s="36">
        <f>C10-O40</f>
        <v>531014.57999999996</v>
      </c>
      <c r="G9" s="12"/>
    </row>
    <row r="10" spans="1:7" ht="17.25" x14ac:dyDescent="0.35">
      <c r="A10" s="1"/>
      <c r="B10" s="13" t="s">
        <v>9</v>
      </c>
      <c r="C10" s="36">
        <v>1384500</v>
      </c>
      <c r="D10" s="10"/>
      <c r="E10" s="11" t="s">
        <v>20</v>
      </c>
      <c r="F10" s="36">
        <f>C11-O37</f>
        <v>55126.87</v>
      </c>
      <c r="G10" s="12"/>
    </row>
    <row r="11" spans="1:7" ht="17.25" x14ac:dyDescent="0.35">
      <c r="A11" s="1"/>
      <c r="B11" s="14" t="s">
        <v>20</v>
      </c>
      <c r="C11" s="36">
        <f>30515.99+55412.21+33870.01</f>
        <v>119798.20999999999</v>
      </c>
      <c r="D11" s="10"/>
      <c r="E11" s="11" t="s">
        <v>21</v>
      </c>
      <c r="F11" s="44">
        <f>C12-O38</f>
        <v>15589.35</v>
      </c>
      <c r="G11" s="12"/>
    </row>
    <row r="12" spans="1:7" ht="17.25" x14ac:dyDescent="0.35">
      <c r="A12" s="1"/>
      <c r="B12" s="14" t="s">
        <v>21</v>
      </c>
      <c r="C12" s="36">
        <f>4341+12354.86+5000</f>
        <v>21695.86</v>
      </c>
      <c r="D12" s="10"/>
      <c r="E12" s="11" t="s">
        <v>22</v>
      </c>
      <c r="F12" s="37">
        <f>C13-O39</f>
        <v>232433.94999999995</v>
      </c>
      <c r="G12" s="12"/>
    </row>
    <row r="13" spans="1:7" ht="18" thickBot="1" x14ac:dyDescent="0.4">
      <c r="A13" s="1"/>
      <c r="B13" s="15" t="s">
        <v>22</v>
      </c>
      <c r="C13" s="38">
        <v>1021248.03</v>
      </c>
      <c r="D13" s="64"/>
      <c r="E13" s="16"/>
      <c r="F13" s="16"/>
      <c r="G13" s="17"/>
    </row>
    <row r="19" spans="1:10" ht="28.5" x14ac:dyDescent="0.25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0" ht="28.5" x14ac:dyDescent="0.25">
      <c r="A20" s="3" t="s">
        <v>20</v>
      </c>
      <c r="B20" s="3">
        <v>2024</v>
      </c>
      <c r="C20" s="3" t="s">
        <v>25</v>
      </c>
      <c r="D20" s="3" t="s">
        <v>504</v>
      </c>
      <c r="E20" s="4" t="s">
        <v>505</v>
      </c>
      <c r="F20" s="3">
        <v>60463</v>
      </c>
      <c r="G20" s="61"/>
      <c r="H20" s="61"/>
      <c r="I20" s="6"/>
      <c r="J20" s="71" t="s">
        <v>661</v>
      </c>
    </row>
    <row r="21" spans="1:10" ht="28.5" x14ac:dyDescent="0.25">
      <c r="A21" s="3" t="s">
        <v>22</v>
      </c>
      <c r="B21" s="3">
        <v>2019</v>
      </c>
      <c r="C21" s="3" t="s">
        <v>26</v>
      </c>
      <c r="D21" s="3" t="s">
        <v>470</v>
      </c>
      <c r="E21" s="4" t="s">
        <v>583</v>
      </c>
      <c r="F21" s="3"/>
      <c r="G21" s="61"/>
      <c r="H21" s="61"/>
      <c r="I21" s="6">
        <v>102130.92</v>
      </c>
      <c r="J21" s="35" t="s">
        <v>162</v>
      </c>
    </row>
    <row r="22" spans="1:10" ht="28.5" x14ac:dyDescent="0.25">
      <c r="A22" s="3" t="s">
        <v>22</v>
      </c>
      <c r="B22" s="3">
        <v>2019</v>
      </c>
      <c r="C22" s="3" t="s">
        <v>26</v>
      </c>
      <c r="D22" s="3" t="s">
        <v>123</v>
      </c>
      <c r="E22" s="4" t="s">
        <v>582</v>
      </c>
      <c r="F22" s="3"/>
      <c r="G22" s="61"/>
      <c r="H22" s="61"/>
      <c r="I22" s="6">
        <v>124452.77</v>
      </c>
      <c r="J22" s="35" t="s">
        <v>162</v>
      </c>
    </row>
    <row r="23" spans="1:10" ht="28.5" x14ac:dyDescent="0.25">
      <c r="A23" s="3" t="s">
        <v>22</v>
      </c>
      <c r="B23" s="3">
        <v>2019</v>
      </c>
      <c r="C23" s="3" t="s">
        <v>26</v>
      </c>
      <c r="D23" s="3" t="s">
        <v>296</v>
      </c>
      <c r="E23" s="4" t="s">
        <v>581</v>
      </c>
      <c r="F23" s="3"/>
      <c r="G23" s="61"/>
      <c r="H23" s="61"/>
      <c r="I23" s="6">
        <v>62310.559999999998</v>
      </c>
      <c r="J23" s="35" t="s">
        <v>162</v>
      </c>
    </row>
    <row r="24" spans="1:10" ht="28.5" x14ac:dyDescent="0.25">
      <c r="A24" s="3" t="s">
        <v>22</v>
      </c>
      <c r="B24" s="3">
        <v>2019</v>
      </c>
      <c r="C24" s="3" t="s">
        <v>26</v>
      </c>
      <c r="D24" s="3" t="s">
        <v>292</v>
      </c>
      <c r="E24" s="4" t="s">
        <v>581</v>
      </c>
      <c r="F24" s="3"/>
      <c r="G24" s="61"/>
      <c r="H24" s="61"/>
      <c r="I24" s="6">
        <v>62248.97</v>
      </c>
      <c r="J24" s="35" t="s">
        <v>162</v>
      </c>
    </row>
    <row r="25" spans="1:10" ht="28.5" x14ac:dyDescent="0.25">
      <c r="A25" s="3" t="s">
        <v>22</v>
      </c>
      <c r="B25" s="3">
        <v>2019</v>
      </c>
      <c r="C25" s="3" t="s">
        <v>26</v>
      </c>
      <c r="D25" s="3" t="s">
        <v>255</v>
      </c>
      <c r="E25" s="4" t="s">
        <v>580</v>
      </c>
      <c r="F25" s="3"/>
      <c r="G25" s="61"/>
      <c r="H25" s="61"/>
      <c r="I25" s="6">
        <v>81000</v>
      </c>
      <c r="J25" s="35" t="s">
        <v>162</v>
      </c>
    </row>
    <row r="26" spans="1:10" ht="28.5" x14ac:dyDescent="0.25">
      <c r="A26" s="3" t="s">
        <v>22</v>
      </c>
      <c r="B26" s="3">
        <v>2021</v>
      </c>
      <c r="C26" s="3" t="s">
        <v>26</v>
      </c>
      <c r="D26" s="3" t="s">
        <v>578</v>
      </c>
      <c r="E26" s="4" t="s">
        <v>579</v>
      </c>
      <c r="F26" s="3"/>
      <c r="G26" s="61"/>
      <c r="H26" s="61"/>
      <c r="I26" s="6">
        <v>57315.12</v>
      </c>
      <c r="J26" s="35" t="s">
        <v>162</v>
      </c>
    </row>
    <row r="27" spans="1:10" ht="28.5" x14ac:dyDescent="0.25">
      <c r="A27" s="3" t="s">
        <v>22</v>
      </c>
      <c r="B27" s="3">
        <v>2021</v>
      </c>
      <c r="C27" s="3" t="s">
        <v>26</v>
      </c>
      <c r="D27" s="3" t="s">
        <v>315</v>
      </c>
      <c r="E27" s="4" t="s">
        <v>577</v>
      </c>
      <c r="F27" s="3"/>
      <c r="G27" s="61"/>
      <c r="H27" s="61"/>
      <c r="I27" s="6">
        <f>89441.51+44712</f>
        <v>134153.51</v>
      </c>
      <c r="J27" s="35" t="s">
        <v>374</v>
      </c>
    </row>
    <row r="28" spans="1:10" ht="28.5" x14ac:dyDescent="0.25">
      <c r="A28" s="3" t="s">
        <v>22</v>
      </c>
      <c r="B28" s="3">
        <v>2021</v>
      </c>
      <c r="C28" s="3" t="s">
        <v>26</v>
      </c>
      <c r="D28" s="3" t="s">
        <v>471</v>
      </c>
      <c r="E28" s="4" t="s">
        <v>576</v>
      </c>
      <c r="F28" s="3"/>
      <c r="G28" s="61"/>
      <c r="H28" s="61"/>
      <c r="I28" s="6">
        <v>59033.38</v>
      </c>
      <c r="J28" s="35" t="s">
        <v>162</v>
      </c>
    </row>
    <row r="29" spans="1:10" ht="28.5" x14ac:dyDescent="0.25">
      <c r="A29" s="3" t="s">
        <v>22</v>
      </c>
      <c r="B29" s="3">
        <v>2022</v>
      </c>
      <c r="C29" s="3" t="s">
        <v>26</v>
      </c>
      <c r="D29" s="3" t="s">
        <v>309</v>
      </c>
      <c r="E29" s="4" t="s">
        <v>575</v>
      </c>
      <c r="F29" s="3"/>
      <c r="G29" s="61"/>
      <c r="H29" s="61"/>
      <c r="I29" s="6">
        <v>90616.02</v>
      </c>
      <c r="J29" s="35" t="s">
        <v>374</v>
      </c>
    </row>
    <row r="30" spans="1:10" ht="28.5" x14ac:dyDescent="0.25">
      <c r="A30" s="3" t="s">
        <v>22</v>
      </c>
      <c r="B30" s="3">
        <v>2022</v>
      </c>
      <c r="C30" s="3" t="s">
        <v>26</v>
      </c>
      <c r="D30" s="3" t="s">
        <v>573</v>
      </c>
      <c r="E30" s="4" t="s">
        <v>574</v>
      </c>
      <c r="F30" s="3"/>
      <c r="G30" s="61"/>
      <c r="H30" s="61"/>
      <c r="I30" s="6">
        <v>7385.67</v>
      </c>
      <c r="J30" s="35" t="s">
        <v>162</v>
      </c>
    </row>
    <row r="31" spans="1:10" ht="28.5" x14ac:dyDescent="0.25">
      <c r="A31" s="3" t="s">
        <v>22</v>
      </c>
      <c r="B31" s="3">
        <v>2023</v>
      </c>
      <c r="C31" s="3" t="s">
        <v>26</v>
      </c>
      <c r="D31" s="3" t="s">
        <v>571</v>
      </c>
      <c r="E31" s="4" t="s">
        <v>572</v>
      </c>
      <c r="F31" s="3"/>
      <c r="G31" s="61"/>
      <c r="H31" s="61"/>
      <c r="I31" s="6">
        <v>6644.43</v>
      </c>
      <c r="J31" s="35" t="s">
        <v>162</v>
      </c>
    </row>
    <row r="32" spans="1:10" x14ac:dyDescent="0.25">
      <c r="A32" s="3" t="s">
        <v>22</v>
      </c>
      <c r="B32" s="3">
        <v>2019</v>
      </c>
      <c r="C32" s="3" t="s">
        <v>26</v>
      </c>
      <c r="D32" s="3" t="s">
        <v>570</v>
      </c>
      <c r="E32" s="4" t="s">
        <v>570</v>
      </c>
      <c r="F32" s="3"/>
      <c r="G32" s="61"/>
      <c r="H32" s="61"/>
      <c r="I32" s="6">
        <v>1522.73</v>
      </c>
      <c r="J32" s="35" t="s">
        <v>162</v>
      </c>
    </row>
    <row r="33" spans="1:15" ht="28.5" x14ac:dyDescent="0.25">
      <c r="A33" s="3" t="s">
        <v>20</v>
      </c>
      <c r="B33" s="3">
        <v>2023</v>
      </c>
      <c r="C33" s="3" t="s">
        <v>25</v>
      </c>
      <c r="D33" s="3" t="s">
        <v>292</v>
      </c>
      <c r="E33" s="4" t="s">
        <v>293</v>
      </c>
      <c r="F33" s="69">
        <v>56294</v>
      </c>
      <c r="G33" s="61"/>
      <c r="H33" s="61"/>
      <c r="I33" s="6">
        <v>53.1</v>
      </c>
      <c r="J33" s="71" t="s">
        <v>162</v>
      </c>
    </row>
    <row r="34" spans="1:15" ht="28.5" x14ac:dyDescent="0.25">
      <c r="A34" s="3" t="s">
        <v>20</v>
      </c>
      <c r="B34" s="3">
        <v>2023</v>
      </c>
      <c r="C34" s="3" t="s">
        <v>25</v>
      </c>
      <c r="D34" s="3" t="s">
        <v>294</v>
      </c>
      <c r="E34" s="4" t="s">
        <v>295</v>
      </c>
      <c r="F34" s="69">
        <v>56738</v>
      </c>
      <c r="G34" s="61"/>
      <c r="H34" s="61"/>
      <c r="I34" s="6">
        <f>280.5+118.79</f>
        <v>399.29</v>
      </c>
      <c r="J34" s="71" t="s">
        <v>162</v>
      </c>
    </row>
    <row r="35" spans="1:15" ht="42.75" x14ac:dyDescent="0.25">
      <c r="A35" s="3" t="s">
        <v>20</v>
      </c>
      <c r="B35" s="3">
        <v>2023</v>
      </c>
      <c r="C35" s="3" t="s">
        <v>25</v>
      </c>
      <c r="D35" s="3" t="s">
        <v>296</v>
      </c>
      <c r="E35" s="4" t="s">
        <v>297</v>
      </c>
      <c r="F35" s="72">
        <v>56888</v>
      </c>
      <c r="G35" s="61"/>
      <c r="H35" s="61"/>
      <c r="I35" s="6">
        <f>247.75+116.13</f>
        <v>363.88</v>
      </c>
      <c r="J35" s="71" t="s">
        <v>788</v>
      </c>
    </row>
    <row r="36" spans="1:15" ht="29.25" thickBot="1" x14ac:dyDescent="0.3">
      <c r="A36" s="3" t="s">
        <v>20</v>
      </c>
      <c r="B36" s="3">
        <v>2023</v>
      </c>
      <c r="C36" s="3" t="s">
        <v>25</v>
      </c>
      <c r="D36" s="3" t="s">
        <v>298</v>
      </c>
      <c r="E36" s="4" t="s">
        <v>299</v>
      </c>
      <c r="F36" s="69">
        <v>56890</v>
      </c>
      <c r="G36" s="61"/>
      <c r="H36" s="61"/>
      <c r="I36" s="6">
        <f>161.5+315</f>
        <v>476.5</v>
      </c>
      <c r="J36" s="71" t="s">
        <v>162</v>
      </c>
    </row>
    <row r="37" spans="1:15" ht="28.5" x14ac:dyDescent="0.25">
      <c r="A37" s="3" t="s">
        <v>20</v>
      </c>
      <c r="B37" s="3">
        <v>2023</v>
      </c>
      <c r="C37" s="3" t="s">
        <v>25</v>
      </c>
      <c r="D37" s="3" t="s">
        <v>300</v>
      </c>
      <c r="E37" s="4" t="s">
        <v>302</v>
      </c>
      <c r="F37" s="69">
        <v>57014</v>
      </c>
      <c r="G37" s="61"/>
      <c r="H37" s="61"/>
      <c r="I37" s="6">
        <f>107.5+229.53</f>
        <v>337.03</v>
      </c>
      <c r="J37" s="71" t="s">
        <v>162</v>
      </c>
      <c r="N37" s="27" t="s">
        <v>54</v>
      </c>
      <c r="O37" s="28">
        <f>SUMIFS(I19:I144,A19:A144,"Fonctionnement")</f>
        <v>64671.339999999989</v>
      </c>
    </row>
    <row r="38" spans="1:15" ht="28.5" x14ac:dyDescent="0.25">
      <c r="A38" s="3" t="s">
        <v>20</v>
      </c>
      <c r="B38" s="3">
        <v>2023</v>
      </c>
      <c r="C38" s="3" t="s">
        <v>25</v>
      </c>
      <c r="D38" s="3" t="s">
        <v>301</v>
      </c>
      <c r="E38" s="4" t="s">
        <v>303</v>
      </c>
      <c r="F38" s="69">
        <v>57046</v>
      </c>
      <c r="G38" s="61"/>
      <c r="H38" s="61"/>
      <c r="I38" s="6">
        <v>0</v>
      </c>
      <c r="J38" s="71" t="s">
        <v>162</v>
      </c>
      <c r="N38" s="43" t="s">
        <v>128</v>
      </c>
      <c r="O38" s="30">
        <f>SUMIFS(I20:I144,A20:A144,"Investissement")</f>
        <v>6106.51</v>
      </c>
    </row>
    <row r="39" spans="1:15" ht="28.5" x14ac:dyDescent="0.25">
      <c r="A39" s="3" t="s">
        <v>20</v>
      </c>
      <c r="B39" s="3">
        <v>2023</v>
      </c>
      <c r="C39" s="3" t="s">
        <v>25</v>
      </c>
      <c r="D39" s="3" t="s">
        <v>304</v>
      </c>
      <c r="E39" s="4" t="s">
        <v>305</v>
      </c>
      <c r="F39" s="69">
        <v>57018</v>
      </c>
      <c r="G39" s="61"/>
      <c r="H39" s="61"/>
      <c r="I39" s="6">
        <f>304.24+105.68</f>
        <v>409.92</v>
      </c>
      <c r="J39" s="71" t="s">
        <v>162</v>
      </c>
      <c r="N39" s="29" t="s">
        <v>55</v>
      </c>
      <c r="O39" s="30">
        <f>SUMIFS(I19:I144,A19:A144,"Personnel")</f>
        <v>788814.08000000007</v>
      </c>
    </row>
    <row r="40" spans="1:15" ht="29.25" thickBot="1" x14ac:dyDescent="0.3">
      <c r="A40" s="3" t="s">
        <v>20</v>
      </c>
      <c r="B40" s="3">
        <v>2023</v>
      </c>
      <c r="C40" s="3" t="s">
        <v>25</v>
      </c>
      <c r="D40" s="3" t="s">
        <v>306</v>
      </c>
      <c r="E40" s="4" t="s">
        <v>305</v>
      </c>
      <c r="F40" s="69">
        <v>57019</v>
      </c>
      <c r="G40" s="61"/>
      <c r="H40" s="61"/>
      <c r="I40" s="6">
        <f>149+105.68</f>
        <v>254.68</v>
      </c>
      <c r="J40" s="71" t="s">
        <v>162</v>
      </c>
      <c r="N40" s="31" t="s">
        <v>58</v>
      </c>
      <c r="O40" s="32">
        <f>O37+O39</f>
        <v>853485.42</v>
      </c>
    </row>
    <row r="41" spans="1:15" ht="28.5" x14ac:dyDescent="0.25">
      <c r="A41" s="3" t="s">
        <v>20</v>
      </c>
      <c r="B41" s="3">
        <v>2023</v>
      </c>
      <c r="C41" s="3" t="s">
        <v>25</v>
      </c>
      <c r="D41" s="3" t="s">
        <v>307</v>
      </c>
      <c r="E41" s="4" t="s">
        <v>308</v>
      </c>
      <c r="F41" s="69">
        <v>57760</v>
      </c>
      <c r="G41" s="61"/>
      <c r="H41" s="61"/>
      <c r="I41" s="6">
        <f>3.48+158.46</f>
        <v>161.94</v>
      </c>
      <c r="J41" s="71" t="s">
        <v>162</v>
      </c>
    </row>
    <row r="42" spans="1:15" ht="28.5" x14ac:dyDescent="0.25">
      <c r="A42" s="45" t="s">
        <v>20</v>
      </c>
      <c r="B42" s="3">
        <v>2023</v>
      </c>
      <c r="C42" s="46" t="s">
        <v>25</v>
      </c>
      <c r="D42" s="46" t="s">
        <v>309</v>
      </c>
      <c r="E42" s="47" t="s">
        <v>310</v>
      </c>
      <c r="F42" s="69">
        <v>58022</v>
      </c>
      <c r="G42" s="61"/>
      <c r="H42" s="61"/>
      <c r="I42" s="6">
        <v>439.96</v>
      </c>
      <c r="J42" s="71" t="s">
        <v>162</v>
      </c>
    </row>
    <row r="43" spans="1:15" ht="28.5" x14ac:dyDescent="0.25">
      <c r="A43" s="3" t="s">
        <v>20</v>
      </c>
      <c r="B43" s="3">
        <v>2023</v>
      </c>
      <c r="C43" s="3" t="s">
        <v>25</v>
      </c>
      <c r="D43" s="3" t="s">
        <v>123</v>
      </c>
      <c r="E43" s="4" t="s">
        <v>311</v>
      </c>
      <c r="F43" s="69">
        <v>58023</v>
      </c>
      <c r="G43" s="61"/>
      <c r="H43" s="61"/>
      <c r="I43" s="6">
        <v>668.13</v>
      </c>
      <c r="J43" s="71" t="s">
        <v>162</v>
      </c>
    </row>
    <row r="44" spans="1:15" ht="28.5" x14ac:dyDescent="0.25">
      <c r="A44" s="3" t="s">
        <v>20</v>
      </c>
      <c r="B44" s="3">
        <v>2023</v>
      </c>
      <c r="C44" s="3" t="s">
        <v>25</v>
      </c>
      <c r="D44" s="3" t="s">
        <v>255</v>
      </c>
      <c r="E44" s="4" t="s">
        <v>312</v>
      </c>
      <c r="F44" s="69">
        <v>58024</v>
      </c>
      <c r="G44" s="61"/>
      <c r="H44" s="61"/>
      <c r="I44" s="6">
        <v>496.51</v>
      </c>
      <c r="J44" s="71" t="s">
        <v>162</v>
      </c>
    </row>
    <row r="45" spans="1:15" ht="28.5" x14ac:dyDescent="0.25">
      <c r="A45" s="3" t="s">
        <v>20</v>
      </c>
      <c r="B45" s="3">
        <v>2023</v>
      </c>
      <c r="C45" s="3" t="s">
        <v>25</v>
      </c>
      <c r="D45" s="3" t="s">
        <v>298</v>
      </c>
      <c r="E45" s="4" t="s">
        <v>313</v>
      </c>
      <c r="F45" s="69">
        <v>58413</v>
      </c>
      <c r="G45" s="61"/>
      <c r="H45" s="61"/>
      <c r="I45" s="6">
        <v>0</v>
      </c>
      <c r="J45" s="71" t="s">
        <v>162</v>
      </c>
    </row>
    <row r="46" spans="1:15" ht="28.5" x14ac:dyDescent="0.25">
      <c r="A46" s="3" t="s">
        <v>20</v>
      </c>
      <c r="B46" s="3">
        <v>2023</v>
      </c>
      <c r="C46" s="3" t="s">
        <v>25</v>
      </c>
      <c r="D46" s="3" t="s">
        <v>255</v>
      </c>
      <c r="E46" s="4" t="s">
        <v>314</v>
      </c>
      <c r="F46" s="69">
        <v>57785</v>
      </c>
      <c r="G46" s="61"/>
      <c r="H46" s="61"/>
      <c r="I46" s="6">
        <f>2077.04+24.95</f>
        <v>2101.9899999999998</v>
      </c>
      <c r="J46" s="71" t="s">
        <v>162</v>
      </c>
    </row>
    <row r="47" spans="1:15" ht="28.5" x14ac:dyDescent="0.25">
      <c r="A47" s="3" t="s">
        <v>20</v>
      </c>
      <c r="B47" s="3">
        <v>2023</v>
      </c>
      <c r="C47" s="3" t="s">
        <v>25</v>
      </c>
      <c r="D47" s="3" t="s">
        <v>315</v>
      </c>
      <c r="E47" s="4" t="s">
        <v>316</v>
      </c>
      <c r="F47" s="69">
        <v>58390</v>
      </c>
      <c r="G47" s="61"/>
      <c r="H47" s="61"/>
      <c r="I47" s="6">
        <f>377.98+758.61+440</f>
        <v>1576.5900000000001</v>
      </c>
      <c r="J47" s="71" t="s">
        <v>162</v>
      </c>
    </row>
    <row r="48" spans="1:15" ht="28.5" x14ac:dyDescent="0.25">
      <c r="A48" s="3" t="s">
        <v>20</v>
      </c>
      <c r="B48" s="3">
        <v>2023</v>
      </c>
      <c r="C48" s="3" t="s">
        <v>25</v>
      </c>
      <c r="D48" s="3" t="s">
        <v>309</v>
      </c>
      <c r="E48" s="4" t="s">
        <v>317</v>
      </c>
      <c r="F48" s="69">
        <v>59132</v>
      </c>
      <c r="G48" s="61"/>
      <c r="H48" s="61"/>
      <c r="I48" s="6">
        <f>114.53+829.4</f>
        <v>943.93</v>
      </c>
      <c r="J48" s="71" t="s">
        <v>162</v>
      </c>
    </row>
    <row r="49" spans="1:10" ht="28.5" x14ac:dyDescent="0.25">
      <c r="A49" s="3" t="s">
        <v>20</v>
      </c>
      <c r="B49" s="3">
        <v>2023</v>
      </c>
      <c r="C49" s="3" t="s">
        <v>25</v>
      </c>
      <c r="D49" s="3" t="s">
        <v>318</v>
      </c>
      <c r="E49" s="4" t="s">
        <v>319</v>
      </c>
      <c r="F49" s="69">
        <v>59136</v>
      </c>
      <c r="G49" s="61"/>
      <c r="H49" s="61"/>
      <c r="I49" s="6">
        <v>193.53</v>
      </c>
      <c r="J49" s="71" t="s">
        <v>162</v>
      </c>
    </row>
    <row r="50" spans="1:10" ht="28.5" x14ac:dyDescent="0.25">
      <c r="A50" s="3" t="s">
        <v>20</v>
      </c>
      <c r="B50" s="3">
        <v>2023</v>
      </c>
      <c r="C50" s="3" t="s">
        <v>25</v>
      </c>
      <c r="D50" s="3" t="s">
        <v>320</v>
      </c>
      <c r="E50" s="4" t="s">
        <v>319</v>
      </c>
      <c r="F50" s="69">
        <v>59138</v>
      </c>
      <c r="G50" s="61"/>
      <c r="H50" s="61"/>
      <c r="I50" s="6">
        <v>193.53</v>
      </c>
      <c r="J50" s="71" t="s">
        <v>162</v>
      </c>
    </row>
    <row r="51" spans="1:10" ht="28.5" x14ac:dyDescent="0.25">
      <c r="A51" s="3" t="s">
        <v>20</v>
      </c>
      <c r="B51" s="3">
        <v>2023</v>
      </c>
      <c r="C51" s="3" t="s">
        <v>25</v>
      </c>
      <c r="D51" s="3" t="s">
        <v>321</v>
      </c>
      <c r="E51" s="4" t="s">
        <v>319</v>
      </c>
      <c r="F51" s="69">
        <v>59139</v>
      </c>
      <c r="G51" s="61"/>
      <c r="H51" s="61"/>
      <c r="I51" s="6">
        <v>193.53</v>
      </c>
      <c r="J51" s="71" t="s">
        <v>162</v>
      </c>
    </row>
    <row r="52" spans="1:10" ht="28.5" x14ac:dyDescent="0.25">
      <c r="A52" s="3" t="s">
        <v>20</v>
      </c>
      <c r="B52" s="3">
        <v>2023</v>
      </c>
      <c r="C52" s="3" t="s">
        <v>25</v>
      </c>
      <c r="D52" s="3" t="s">
        <v>322</v>
      </c>
      <c r="E52" s="4" t="s">
        <v>323</v>
      </c>
      <c r="F52" s="69">
        <v>59141</v>
      </c>
      <c r="G52" s="61"/>
      <c r="H52" s="61"/>
      <c r="I52" s="6">
        <v>402.2</v>
      </c>
      <c r="J52" s="71" t="s">
        <v>162</v>
      </c>
    </row>
    <row r="53" spans="1:10" ht="28.5" x14ac:dyDescent="0.25">
      <c r="A53" s="3" t="s">
        <v>20</v>
      </c>
      <c r="B53" s="3">
        <v>2023</v>
      </c>
      <c r="C53" s="3" t="s">
        <v>25</v>
      </c>
      <c r="D53" s="3" t="s">
        <v>324</v>
      </c>
      <c r="E53" s="4" t="s">
        <v>319</v>
      </c>
      <c r="F53" s="3">
        <v>59144</v>
      </c>
      <c r="G53" s="61"/>
      <c r="H53" s="61"/>
      <c r="I53" s="6">
        <v>417.53</v>
      </c>
      <c r="J53" s="71" t="s">
        <v>661</v>
      </c>
    </row>
    <row r="54" spans="1:10" ht="28.5" x14ac:dyDescent="0.25">
      <c r="A54" s="3" t="s">
        <v>20</v>
      </c>
      <c r="B54" s="3">
        <v>2023</v>
      </c>
      <c r="C54" s="3" t="s">
        <v>25</v>
      </c>
      <c r="D54" s="3" t="s">
        <v>325</v>
      </c>
      <c r="E54" s="4" t="s">
        <v>323</v>
      </c>
      <c r="F54" s="69">
        <v>59145</v>
      </c>
      <c r="G54" s="61"/>
      <c r="H54" s="61"/>
      <c r="I54" s="6">
        <v>388.9</v>
      </c>
      <c r="J54" s="71" t="s">
        <v>162</v>
      </c>
    </row>
    <row r="55" spans="1:10" ht="42.75" x14ac:dyDescent="0.25">
      <c r="A55" s="3" t="s">
        <v>20</v>
      </c>
      <c r="B55" s="3">
        <v>2023</v>
      </c>
      <c r="C55" s="3" t="s">
        <v>25</v>
      </c>
      <c r="D55" s="3" t="s">
        <v>298</v>
      </c>
      <c r="E55" s="4" t="s">
        <v>326</v>
      </c>
      <c r="F55" s="69">
        <v>59532</v>
      </c>
      <c r="G55" s="61"/>
      <c r="H55" s="61"/>
      <c r="I55" s="6">
        <f>196.9+210.49</f>
        <v>407.39</v>
      </c>
      <c r="J55" s="71" t="s">
        <v>162</v>
      </c>
    </row>
    <row r="56" spans="1:10" ht="42.75" x14ac:dyDescent="0.25">
      <c r="A56" s="3" t="s">
        <v>20</v>
      </c>
      <c r="B56" s="3">
        <v>2023</v>
      </c>
      <c r="C56" s="3" t="s">
        <v>25</v>
      </c>
      <c r="D56" s="3" t="s">
        <v>296</v>
      </c>
      <c r="E56" s="4" t="s">
        <v>326</v>
      </c>
      <c r="F56" s="69">
        <v>59531</v>
      </c>
      <c r="G56" s="61"/>
      <c r="H56" s="61"/>
      <c r="I56" s="6">
        <f>210.49+196.9</f>
        <v>407.39</v>
      </c>
      <c r="J56" s="71" t="s">
        <v>162</v>
      </c>
    </row>
    <row r="57" spans="1:10" ht="28.5" x14ac:dyDescent="0.25">
      <c r="A57" s="3" t="s">
        <v>20</v>
      </c>
      <c r="B57" s="3">
        <v>2023</v>
      </c>
      <c r="C57" s="3" t="s">
        <v>25</v>
      </c>
      <c r="D57" s="3" t="s">
        <v>327</v>
      </c>
      <c r="E57" s="4" t="s">
        <v>328</v>
      </c>
      <c r="F57" s="69">
        <v>59748</v>
      </c>
      <c r="G57" s="61"/>
      <c r="H57" s="61"/>
      <c r="I57" s="6">
        <v>411.98</v>
      </c>
      <c r="J57" s="71" t="s">
        <v>162</v>
      </c>
    </row>
    <row r="58" spans="1:10" ht="28.5" x14ac:dyDescent="0.25">
      <c r="A58" s="3" t="s">
        <v>20</v>
      </c>
      <c r="B58" s="3">
        <v>2023</v>
      </c>
      <c r="C58" s="3" t="s">
        <v>25</v>
      </c>
      <c r="D58" s="3" t="s">
        <v>329</v>
      </c>
      <c r="E58" s="4" t="s">
        <v>330</v>
      </c>
      <c r="F58" s="69">
        <v>59749</v>
      </c>
      <c r="G58" s="61"/>
      <c r="H58" s="61"/>
      <c r="I58" s="6">
        <v>143.53</v>
      </c>
      <c r="J58" s="71" t="s">
        <v>162</v>
      </c>
    </row>
    <row r="59" spans="1:10" ht="28.5" x14ac:dyDescent="0.25">
      <c r="A59" s="3" t="s">
        <v>20</v>
      </c>
      <c r="B59" s="3">
        <v>2023</v>
      </c>
      <c r="C59" s="3" t="s">
        <v>25</v>
      </c>
      <c r="D59" s="3" t="s">
        <v>315</v>
      </c>
      <c r="E59" s="4" t="s">
        <v>331</v>
      </c>
      <c r="F59" s="69">
        <v>59853</v>
      </c>
      <c r="G59" s="61"/>
      <c r="H59" s="61"/>
      <c r="I59" s="6">
        <v>1766.98</v>
      </c>
      <c r="J59" s="71" t="s">
        <v>162</v>
      </c>
    </row>
    <row r="60" spans="1:10" ht="28.5" x14ac:dyDescent="0.25">
      <c r="A60" s="3" t="s">
        <v>20</v>
      </c>
      <c r="B60" s="3">
        <v>2023</v>
      </c>
      <c r="C60" s="3" t="s">
        <v>25</v>
      </c>
      <c r="D60" s="3" t="s">
        <v>315</v>
      </c>
      <c r="E60" s="4" t="s">
        <v>332</v>
      </c>
      <c r="F60" s="69">
        <v>59851</v>
      </c>
      <c r="G60" s="61"/>
      <c r="H60" s="61"/>
      <c r="I60" s="6">
        <f>185.8+535.22</f>
        <v>721.02</v>
      </c>
      <c r="J60" s="71" t="s">
        <v>162</v>
      </c>
    </row>
    <row r="61" spans="1:10" ht="28.5" x14ac:dyDescent="0.25">
      <c r="A61" s="3" t="s">
        <v>20</v>
      </c>
      <c r="B61" s="3">
        <v>2023</v>
      </c>
      <c r="C61" s="3" t="s">
        <v>25</v>
      </c>
      <c r="D61" s="3" t="s">
        <v>315</v>
      </c>
      <c r="E61" s="4" t="s">
        <v>333</v>
      </c>
      <c r="F61" s="69">
        <v>59854</v>
      </c>
      <c r="G61" s="61"/>
      <c r="H61" s="61"/>
      <c r="I61" s="6">
        <v>383.58</v>
      </c>
      <c r="J61" s="71" t="s">
        <v>162</v>
      </c>
    </row>
    <row r="62" spans="1:10" ht="28.5" x14ac:dyDescent="0.25">
      <c r="A62" s="3" t="s">
        <v>20</v>
      </c>
      <c r="B62" s="3">
        <v>2023</v>
      </c>
      <c r="C62" s="3" t="s">
        <v>25</v>
      </c>
      <c r="D62" s="3" t="s">
        <v>123</v>
      </c>
      <c r="E62" s="4" t="s">
        <v>124</v>
      </c>
      <c r="F62" s="69">
        <v>55344</v>
      </c>
      <c r="G62" s="61"/>
      <c r="H62" s="61"/>
      <c r="I62" s="6">
        <f>7990.13+458.09</f>
        <v>8448.2199999999993</v>
      </c>
      <c r="J62" s="71" t="s">
        <v>162</v>
      </c>
    </row>
    <row r="63" spans="1:10" x14ac:dyDescent="0.25">
      <c r="A63" s="3" t="s">
        <v>20</v>
      </c>
      <c r="B63" s="3">
        <v>2022</v>
      </c>
      <c r="C63" s="3" t="s">
        <v>25</v>
      </c>
      <c r="D63" s="3" t="s">
        <v>470</v>
      </c>
      <c r="E63" s="4" t="s">
        <v>490</v>
      </c>
      <c r="F63" s="3">
        <v>52715</v>
      </c>
      <c r="G63" s="61"/>
      <c r="H63" s="61"/>
      <c r="I63" s="6">
        <v>91.2</v>
      </c>
      <c r="J63" s="71" t="s">
        <v>661</v>
      </c>
    </row>
    <row r="64" spans="1:10" x14ac:dyDescent="0.25">
      <c r="A64" s="3" t="s">
        <v>20</v>
      </c>
      <c r="B64" s="3">
        <v>2022</v>
      </c>
      <c r="C64" s="3" t="s">
        <v>25</v>
      </c>
      <c r="D64" s="3" t="s">
        <v>292</v>
      </c>
      <c r="E64" s="4" t="s">
        <v>490</v>
      </c>
      <c r="F64" s="3">
        <v>52711</v>
      </c>
      <c r="G64" s="61"/>
      <c r="H64" s="61"/>
      <c r="I64" s="6">
        <v>91.2</v>
      </c>
      <c r="J64" s="71" t="s">
        <v>661</v>
      </c>
    </row>
    <row r="65" spans="1:10" x14ac:dyDescent="0.25">
      <c r="A65" s="3" t="s">
        <v>20</v>
      </c>
      <c r="B65" s="3">
        <v>2022</v>
      </c>
      <c r="C65" s="3" t="s">
        <v>25</v>
      </c>
      <c r="D65" s="3" t="s">
        <v>471</v>
      </c>
      <c r="E65" s="4" t="s">
        <v>491</v>
      </c>
      <c r="F65" s="69">
        <v>53308</v>
      </c>
      <c r="G65" s="61"/>
      <c r="H65" s="61"/>
      <c r="I65" s="6">
        <v>15.2</v>
      </c>
      <c r="J65" s="71" t="s">
        <v>162</v>
      </c>
    </row>
    <row r="66" spans="1:10" x14ac:dyDescent="0.25">
      <c r="A66" s="3" t="s">
        <v>20</v>
      </c>
      <c r="B66" s="3">
        <v>2022</v>
      </c>
      <c r="C66" s="3" t="s">
        <v>25</v>
      </c>
      <c r="D66" s="3" t="s">
        <v>471</v>
      </c>
      <c r="E66" s="4" t="s">
        <v>492</v>
      </c>
      <c r="F66" s="69">
        <v>53763</v>
      </c>
      <c r="G66" s="61"/>
      <c r="H66" s="61"/>
      <c r="I66" s="6">
        <v>0</v>
      </c>
      <c r="J66" s="71" t="s">
        <v>162</v>
      </c>
    </row>
    <row r="67" spans="1:10" ht="28.5" x14ac:dyDescent="0.25">
      <c r="A67" s="3" t="s">
        <v>20</v>
      </c>
      <c r="B67" s="3">
        <v>2022</v>
      </c>
      <c r="C67" s="3" t="s">
        <v>25</v>
      </c>
      <c r="D67" s="3" t="s">
        <v>284</v>
      </c>
      <c r="E67" s="4" t="s">
        <v>493</v>
      </c>
      <c r="F67" s="69">
        <v>53764</v>
      </c>
      <c r="G67" s="61"/>
      <c r="H67" s="61"/>
      <c r="I67" s="6">
        <v>0</v>
      </c>
      <c r="J67" s="71" t="s">
        <v>162</v>
      </c>
    </row>
    <row r="68" spans="1:10" x14ac:dyDescent="0.25">
      <c r="A68" s="3" t="s">
        <v>20</v>
      </c>
      <c r="B68" s="3">
        <v>2022</v>
      </c>
      <c r="C68" s="3" t="s">
        <v>25</v>
      </c>
      <c r="D68" s="3" t="s">
        <v>472</v>
      </c>
      <c r="E68" s="4" t="s">
        <v>494</v>
      </c>
      <c r="F68" s="69">
        <v>53884</v>
      </c>
      <c r="G68" s="61"/>
      <c r="H68" s="61"/>
      <c r="I68" s="6">
        <v>0</v>
      </c>
      <c r="J68" s="71" t="s">
        <v>162</v>
      </c>
    </row>
    <row r="69" spans="1:10" x14ac:dyDescent="0.25">
      <c r="A69" s="3" t="s">
        <v>20</v>
      </c>
      <c r="B69" s="3">
        <v>2022</v>
      </c>
      <c r="C69" s="3" t="s">
        <v>25</v>
      </c>
      <c r="D69" s="3" t="s">
        <v>473</v>
      </c>
      <c r="E69" s="4" t="s">
        <v>495</v>
      </c>
      <c r="F69" s="69">
        <v>53574</v>
      </c>
      <c r="G69" s="61"/>
      <c r="H69" s="61"/>
      <c r="I69" s="6">
        <f>164.39+62</f>
        <v>226.39</v>
      </c>
      <c r="J69" s="71" t="s">
        <v>162</v>
      </c>
    </row>
    <row r="70" spans="1:10" x14ac:dyDescent="0.25">
      <c r="A70" s="3" t="s">
        <v>20</v>
      </c>
      <c r="B70" s="3">
        <v>2022</v>
      </c>
      <c r="C70" s="3" t="s">
        <v>25</v>
      </c>
      <c r="D70" s="3" t="s">
        <v>470</v>
      </c>
      <c r="E70" s="4" t="s">
        <v>494</v>
      </c>
      <c r="F70" s="69">
        <v>53575</v>
      </c>
      <c r="G70" s="61"/>
      <c r="H70" s="61"/>
      <c r="I70" s="6">
        <f>37.52+5.45+494+201.39</f>
        <v>738.36</v>
      </c>
      <c r="J70" s="71" t="s">
        <v>162</v>
      </c>
    </row>
    <row r="71" spans="1:10" x14ac:dyDescent="0.25">
      <c r="A71" s="3" t="s">
        <v>20</v>
      </c>
      <c r="B71" s="3">
        <v>2022</v>
      </c>
      <c r="C71" s="3" t="s">
        <v>25</v>
      </c>
      <c r="D71" s="3" t="s">
        <v>474</v>
      </c>
      <c r="E71" s="4" t="s">
        <v>434</v>
      </c>
      <c r="F71" s="69">
        <v>53812</v>
      </c>
      <c r="G71" s="61"/>
      <c r="H71" s="61"/>
      <c r="I71" s="6">
        <v>717.79</v>
      </c>
      <c r="J71" s="71" t="s">
        <v>162</v>
      </c>
    </row>
    <row r="72" spans="1:10" x14ac:dyDescent="0.25">
      <c r="A72" s="3" t="s">
        <v>20</v>
      </c>
      <c r="B72" s="3">
        <v>2022</v>
      </c>
      <c r="C72" s="3" t="s">
        <v>25</v>
      </c>
      <c r="D72" s="3" t="s">
        <v>475</v>
      </c>
      <c r="E72" s="4" t="s">
        <v>496</v>
      </c>
      <c r="F72" s="69">
        <v>54255</v>
      </c>
      <c r="G72" s="61"/>
      <c r="H72" s="61"/>
      <c r="I72" s="6">
        <v>1346.72</v>
      </c>
      <c r="J72" s="71" t="s">
        <v>162</v>
      </c>
    </row>
    <row r="73" spans="1:10" x14ac:dyDescent="0.25">
      <c r="A73" s="3" t="s">
        <v>20</v>
      </c>
      <c r="B73" s="3">
        <v>2022</v>
      </c>
      <c r="C73" s="3" t="s">
        <v>25</v>
      </c>
      <c r="D73" s="3" t="s">
        <v>476</v>
      </c>
      <c r="E73" s="4" t="s">
        <v>496</v>
      </c>
      <c r="F73" s="69">
        <v>53969</v>
      </c>
      <c r="G73" s="61"/>
      <c r="H73" s="61"/>
      <c r="I73" s="6">
        <v>3044.54</v>
      </c>
      <c r="J73" s="71" t="s">
        <v>162</v>
      </c>
    </row>
    <row r="74" spans="1:10" x14ac:dyDescent="0.25">
      <c r="A74" s="3" t="s">
        <v>20</v>
      </c>
      <c r="B74" s="3">
        <v>2022</v>
      </c>
      <c r="C74" s="3" t="s">
        <v>25</v>
      </c>
      <c r="D74" s="3" t="s">
        <v>477</v>
      </c>
      <c r="E74" s="4" t="s">
        <v>496</v>
      </c>
      <c r="F74" s="69">
        <v>53973</v>
      </c>
      <c r="G74" s="61"/>
      <c r="H74" s="61"/>
      <c r="I74" s="6">
        <v>0</v>
      </c>
      <c r="J74" s="71" t="s">
        <v>162</v>
      </c>
    </row>
    <row r="75" spans="1:10" x14ac:dyDescent="0.25">
      <c r="A75" s="3" t="s">
        <v>20</v>
      </c>
      <c r="B75" s="3">
        <v>2022</v>
      </c>
      <c r="C75" s="3" t="s">
        <v>25</v>
      </c>
      <c r="D75" s="3" t="s">
        <v>478</v>
      </c>
      <c r="E75" s="4" t="s">
        <v>496</v>
      </c>
      <c r="F75" s="69">
        <v>53940</v>
      </c>
      <c r="G75" s="61"/>
      <c r="H75" s="61"/>
      <c r="I75" s="6">
        <v>735.79</v>
      </c>
      <c r="J75" s="71" t="s">
        <v>162</v>
      </c>
    </row>
    <row r="76" spans="1:10" x14ac:dyDescent="0.25">
      <c r="A76" s="3" t="s">
        <v>20</v>
      </c>
      <c r="B76" s="3">
        <v>2022</v>
      </c>
      <c r="C76" s="3" t="s">
        <v>25</v>
      </c>
      <c r="D76" s="3" t="s">
        <v>479</v>
      </c>
      <c r="E76" s="4" t="s">
        <v>496</v>
      </c>
      <c r="F76" s="69">
        <v>53934</v>
      </c>
      <c r="G76" s="61"/>
      <c r="H76" s="61"/>
      <c r="I76" s="6">
        <v>101.39</v>
      </c>
      <c r="J76" s="71" t="s">
        <v>162</v>
      </c>
    </row>
    <row r="77" spans="1:10" x14ac:dyDescent="0.25">
      <c r="A77" s="3" t="s">
        <v>20</v>
      </c>
      <c r="B77" s="3">
        <v>2022</v>
      </c>
      <c r="C77" s="3" t="s">
        <v>25</v>
      </c>
      <c r="D77" s="3" t="s">
        <v>300</v>
      </c>
      <c r="E77" s="4" t="s">
        <v>496</v>
      </c>
      <c r="F77" s="69">
        <v>53925</v>
      </c>
      <c r="G77" s="61"/>
      <c r="H77" s="61"/>
      <c r="I77" s="6">
        <v>69.39</v>
      </c>
      <c r="J77" s="71" t="s">
        <v>162</v>
      </c>
    </row>
    <row r="78" spans="1:10" x14ac:dyDescent="0.25">
      <c r="A78" s="3" t="s">
        <v>20</v>
      </c>
      <c r="B78" s="3">
        <v>2022</v>
      </c>
      <c r="C78" s="3" t="s">
        <v>25</v>
      </c>
      <c r="D78" s="3" t="s">
        <v>480</v>
      </c>
      <c r="E78" s="4" t="s">
        <v>496</v>
      </c>
      <c r="F78" s="69">
        <v>53972</v>
      </c>
      <c r="G78" s="61"/>
      <c r="H78" s="61"/>
      <c r="I78" s="6">
        <f>197.39</f>
        <v>197.39</v>
      </c>
      <c r="J78" s="71" t="s">
        <v>162</v>
      </c>
    </row>
    <row r="79" spans="1:10" x14ac:dyDescent="0.25">
      <c r="A79" s="3" t="s">
        <v>20</v>
      </c>
      <c r="B79" s="3">
        <v>2022</v>
      </c>
      <c r="C79" s="3" t="s">
        <v>25</v>
      </c>
      <c r="D79" s="3" t="s">
        <v>481</v>
      </c>
      <c r="E79" s="4" t="s">
        <v>497</v>
      </c>
      <c r="F79" s="69">
        <v>54712</v>
      </c>
      <c r="G79" s="61"/>
      <c r="H79" s="61"/>
      <c r="I79" s="6">
        <v>114.7</v>
      </c>
      <c r="J79" s="71" t="s">
        <v>162</v>
      </c>
    </row>
    <row r="80" spans="1:10" x14ac:dyDescent="0.25">
      <c r="A80" s="3" t="s">
        <v>20</v>
      </c>
      <c r="B80" s="3">
        <v>2022</v>
      </c>
      <c r="C80" s="3" t="s">
        <v>25</v>
      </c>
      <c r="D80" s="3" t="s">
        <v>482</v>
      </c>
      <c r="E80" s="4" t="s">
        <v>497</v>
      </c>
      <c r="F80" s="69">
        <v>54713</v>
      </c>
      <c r="G80" s="61"/>
      <c r="H80" s="61"/>
      <c r="I80" s="6">
        <v>223.39</v>
      </c>
      <c r="J80" s="71" t="s">
        <v>162</v>
      </c>
    </row>
    <row r="81" spans="1:10" x14ac:dyDescent="0.25">
      <c r="A81" s="3" t="s">
        <v>20</v>
      </c>
      <c r="B81" s="3">
        <v>2022</v>
      </c>
      <c r="C81" s="3" t="s">
        <v>25</v>
      </c>
      <c r="D81" s="3" t="s">
        <v>483</v>
      </c>
      <c r="E81" s="4" t="s">
        <v>496</v>
      </c>
      <c r="F81" s="69">
        <v>54339</v>
      </c>
      <c r="G81" s="61"/>
      <c r="H81" s="61"/>
      <c r="I81" s="6">
        <v>211.39</v>
      </c>
      <c r="J81" s="71" t="s">
        <v>162</v>
      </c>
    </row>
    <row r="82" spans="1:10" x14ac:dyDescent="0.25">
      <c r="A82" s="3" t="s">
        <v>20</v>
      </c>
      <c r="B82" s="3">
        <v>2022</v>
      </c>
      <c r="C82" s="3" t="s">
        <v>25</v>
      </c>
      <c r="D82" s="3" t="s">
        <v>484</v>
      </c>
      <c r="E82" s="4" t="s">
        <v>496</v>
      </c>
      <c r="F82" s="69">
        <v>53924</v>
      </c>
      <c r="G82" s="61"/>
      <c r="H82" s="61"/>
      <c r="I82" s="6">
        <f>83.54+97.44</f>
        <v>180.98000000000002</v>
      </c>
      <c r="J82" s="71" t="s">
        <v>162</v>
      </c>
    </row>
    <row r="83" spans="1:10" x14ac:dyDescent="0.25">
      <c r="A83" s="3" t="s">
        <v>20</v>
      </c>
      <c r="B83" s="3">
        <v>2022</v>
      </c>
      <c r="C83" s="3" t="s">
        <v>25</v>
      </c>
      <c r="D83" s="3" t="s">
        <v>485</v>
      </c>
      <c r="E83" s="4" t="s">
        <v>497</v>
      </c>
      <c r="F83" s="69">
        <v>54792</v>
      </c>
      <c r="G83" s="61"/>
      <c r="H83" s="61"/>
      <c r="I83" s="6">
        <f>44.6+181.39+90.65</f>
        <v>316.64</v>
      </c>
      <c r="J83" s="71" t="s">
        <v>162</v>
      </c>
    </row>
    <row r="84" spans="1:10" x14ac:dyDescent="0.25">
      <c r="A84" s="3" t="s">
        <v>20</v>
      </c>
      <c r="B84" s="3">
        <v>2022</v>
      </c>
      <c r="C84" s="3" t="s">
        <v>25</v>
      </c>
      <c r="D84" s="3" t="s">
        <v>486</v>
      </c>
      <c r="E84" s="4" t="s">
        <v>497</v>
      </c>
      <c r="F84" s="69">
        <v>54714</v>
      </c>
      <c r="G84" s="61"/>
      <c r="H84" s="61"/>
      <c r="I84" s="6">
        <v>222.61</v>
      </c>
      <c r="J84" s="71" t="s">
        <v>162</v>
      </c>
    </row>
    <row r="85" spans="1:10" x14ac:dyDescent="0.25">
      <c r="A85" s="3" t="s">
        <v>20</v>
      </c>
      <c r="B85" s="3">
        <v>2022</v>
      </c>
      <c r="C85" s="3" t="s">
        <v>25</v>
      </c>
      <c r="D85" s="3" t="s">
        <v>309</v>
      </c>
      <c r="E85" s="4" t="s">
        <v>498</v>
      </c>
      <c r="F85" s="69">
        <v>54431</v>
      </c>
      <c r="G85" s="61"/>
      <c r="H85" s="61"/>
      <c r="I85" s="6">
        <v>94.39</v>
      </c>
      <c r="J85" s="71" t="s">
        <v>162</v>
      </c>
    </row>
    <row r="86" spans="1:10" x14ac:dyDescent="0.25">
      <c r="A86" s="3" t="s">
        <v>20</v>
      </c>
      <c r="B86" s="3">
        <v>2022</v>
      </c>
      <c r="C86" s="3" t="s">
        <v>25</v>
      </c>
      <c r="D86" s="3" t="s">
        <v>292</v>
      </c>
      <c r="E86" s="4" t="s">
        <v>499</v>
      </c>
      <c r="F86" s="69">
        <v>55598</v>
      </c>
      <c r="G86" s="61"/>
      <c r="H86" s="61"/>
      <c r="I86" s="6">
        <v>211.69</v>
      </c>
      <c r="J86" s="71" t="s">
        <v>162</v>
      </c>
    </row>
    <row r="87" spans="1:10" x14ac:dyDescent="0.25">
      <c r="A87" s="3" t="s">
        <v>20</v>
      </c>
      <c r="B87" s="3">
        <v>2022</v>
      </c>
      <c r="C87" s="3" t="s">
        <v>25</v>
      </c>
      <c r="D87" s="3" t="s">
        <v>309</v>
      </c>
      <c r="E87" s="4" t="s">
        <v>500</v>
      </c>
      <c r="F87" s="69">
        <v>55575</v>
      </c>
      <c r="G87" s="61"/>
      <c r="H87" s="61"/>
      <c r="I87" s="6">
        <f>0.11+400.1+121.62</f>
        <v>521.83000000000004</v>
      </c>
      <c r="J87" s="71" t="s">
        <v>162</v>
      </c>
    </row>
    <row r="88" spans="1:10" x14ac:dyDescent="0.25">
      <c r="A88" s="3" t="s">
        <v>20</v>
      </c>
      <c r="B88" s="3">
        <v>2022</v>
      </c>
      <c r="C88" s="3" t="s">
        <v>25</v>
      </c>
      <c r="D88" s="3" t="s">
        <v>296</v>
      </c>
      <c r="E88" s="4" t="s">
        <v>501</v>
      </c>
      <c r="F88" s="69">
        <v>55849</v>
      </c>
      <c r="G88" s="61"/>
      <c r="H88" s="61"/>
      <c r="I88" s="6">
        <v>16.39</v>
      </c>
      <c r="J88" s="71" t="s">
        <v>162</v>
      </c>
    </row>
    <row r="89" spans="1:10" x14ac:dyDescent="0.25">
      <c r="A89" s="3" t="s">
        <v>20</v>
      </c>
      <c r="B89" s="3">
        <v>2022</v>
      </c>
      <c r="C89" s="3" t="s">
        <v>25</v>
      </c>
      <c r="D89" s="3" t="s">
        <v>487</v>
      </c>
      <c r="E89" s="4" t="s">
        <v>435</v>
      </c>
      <c r="F89" s="69">
        <v>55774</v>
      </c>
      <c r="G89" s="61"/>
      <c r="H89" s="61"/>
      <c r="I89" s="6">
        <v>251.39</v>
      </c>
      <c r="J89" s="71" t="s">
        <v>162</v>
      </c>
    </row>
    <row r="90" spans="1:10" x14ac:dyDescent="0.25">
      <c r="A90" s="3" t="s">
        <v>20</v>
      </c>
      <c r="B90" s="3">
        <v>2022</v>
      </c>
      <c r="C90" s="3" t="s">
        <v>25</v>
      </c>
      <c r="D90" s="3" t="s">
        <v>488</v>
      </c>
      <c r="E90" s="4" t="s">
        <v>502</v>
      </c>
      <c r="F90" s="69">
        <v>55929</v>
      </c>
      <c r="G90" s="61"/>
      <c r="H90" s="61"/>
      <c r="I90" s="6">
        <f>115.64+32.53+189.39</f>
        <v>337.56</v>
      </c>
      <c r="J90" s="71" t="s">
        <v>162</v>
      </c>
    </row>
    <row r="91" spans="1:10" x14ac:dyDescent="0.25">
      <c r="A91" s="3" t="s">
        <v>20</v>
      </c>
      <c r="B91" s="3">
        <v>2022</v>
      </c>
      <c r="C91" s="3" t="s">
        <v>25</v>
      </c>
      <c r="D91" s="3" t="s">
        <v>489</v>
      </c>
      <c r="E91" s="4" t="s">
        <v>502</v>
      </c>
      <c r="F91" s="69">
        <v>55927</v>
      </c>
      <c r="G91" s="61"/>
      <c r="H91" s="61"/>
      <c r="I91" s="6">
        <f>39.65+150.39</f>
        <v>190.04</v>
      </c>
      <c r="J91" s="71" t="s">
        <v>162</v>
      </c>
    </row>
    <row r="92" spans="1:10" x14ac:dyDescent="0.25">
      <c r="A92" s="3" t="s">
        <v>20</v>
      </c>
      <c r="B92" s="3">
        <v>2022</v>
      </c>
      <c r="C92" s="3" t="s">
        <v>25</v>
      </c>
      <c r="D92" s="3" t="s">
        <v>298</v>
      </c>
      <c r="E92" s="4" t="s">
        <v>503</v>
      </c>
      <c r="F92" s="69">
        <v>56348</v>
      </c>
      <c r="G92" s="61"/>
      <c r="H92" s="61"/>
      <c r="I92" s="6">
        <f>10.97+139.47+535.6</f>
        <v>686.04</v>
      </c>
      <c r="J92" s="71" t="s">
        <v>162</v>
      </c>
    </row>
    <row r="93" spans="1:10" x14ac:dyDescent="0.25">
      <c r="A93" s="3" t="s">
        <v>20</v>
      </c>
      <c r="B93" s="3">
        <v>2022</v>
      </c>
      <c r="C93" s="3" t="s">
        <v>25</v>
      </c>
      <c r="D93" s="3" t="s">
        <v>296</v>
      </c>
      <c r="E93" s="4" t="s">
        <v>503</v>
      </c>
      <c r="F93" s="69">
        <v>56374</v>
      </c>
      <c r="G93" s="61"/>
      <c r="H93" s="61"/>
      <c r="I93" s="6">
        <f>401.7+160.39</f>
        <v>562.08999999999992</v>
      </c>
      <c r="J93" s="71" t="s">
        <v>162</v>
      </c>
    </row>
    <row r="94" spans="1:10" x14ac:dyDescent="0.25">
      <c r="A94" s="3" t="s">
        <v>20</v>
      </c>
      <c r="B94" s="3">
        <v>2022</v>
      </c>
      <c r="C94" s="3" t="s">
        <v>24</v>
      </c>
      <c r="D94" s="3" t="s">
        <v>680</v>
      </c>
      <c r="E94" s="4" t="s">
        <v>686</v>
      </c>
      <c r="F94" s="61"/>
      <c r="G94" s="3" t="s">
        <v>685</v>
      </c>
      <c r="H94" s="61"/>
      <c r="I94" s="6">
        <v>780</v>
      </c>
      <c r="J94" s="35" t="s">
        <v>162</v>
      </c>
    </row>
    <row r="95" spans="1:10" ht="28.5" x14ac:dyDescent="0.25">
      <c r="A95" s="3" t="s">
        <v>20</v>
      </c>
      <c r="B95" s="3">
        <v>2022</v>
      </c>
      <c r="C95" s="3" t="s">
        <v>26</v>
      </c>
      <c r="D95" s="3" t="s">
        <v>681</v>
      </c>
      <c r="E95" s="4" t="s">
        <v>682</v>
      </c>
      <c r="F95" s="61"/>
      <c r="G95" s="3" t="s">
        <v>688</v>
      </c>
      <c r="H95" s="61"/>
      <c r="I95" s="6">
        <v>54.6</v>
      </c>
      <c r="J95" s="35" t="s">
        <v>162</v>
      </c>
    </row>
    <row r="96" spans="1:10" ht="28.5" x14ac:dyDescent="0.25">
      <c r="A96" s="3" t="s">
        <v>20</v>
      </c>
      <c r="B96" s="3">
        <v>2022</v>
      </c>
      <c r="C96" s="3" t="s">
        <v>26</v>
      </c>
      <c r="D96" s="3" t="s">
        <v>681</v>
      </c>
      <c r="E96" s="4" t="s">
        <v>683</v>
      </c>
      <c r="F96" s="61"/>
      <c r="G96" s="3" t="s">
        <v>687</v>
      </c>
      <c r="H96" s="61"/>
      <c r="I96" s="6">
        <v>573.29999999999995</v>
      </c>
      <c r="J96" s="35" t="s">
        <v>162</v>
      </c>
    </row>
    <row r="97" spans="1:10" ht="28.5" x14ac:dyDescent="0.25">
      <c r="A97" s="3" t="s">
        <v>20</v>
      </c>
      <c r="B97" s="3">
        <v>2022</v>
      </c>
      <c r="C97" s="3" t="s">
        <v>26</v>
      </c>
      <c r="D97" s="3" t="s">
        <v>681</v>
      </c>
      <c r="E97" s="4" t="s">
        <v>683</v>
      </c>
      <c r="F97" s="61"/>
      <c r="G97" s="3" t="s">
        <v>687</v>
      </c>
      <c r="H97" s="61"/>
      <c r="I97" s="6">
        <v>34.46</v>
      </c>
      <c r="J97" s="35" t="s">
        <v>162</v>
      </c>
    </row>
    <row r="98" spans="1:10" ht="28.5" x14ac:dyDescent="0.25">
      <c r="A98" s="3" t="s">
        <v>20</v>
      </c>
      <c r="B98" s="3">
        <v>2022</v>
      </c>
      <c r="C98" s="3" t="s">
        <v>26</v>
      </c>
      <c r="D98" s="3" t="s">
        <v>681</v>
      </c>
      <c r="E98" s="4" t="s">
        <v>684</v>
      </c>
      <c r="F98" s="61"/>
      <c r="G98" s="3" t="s">
        <v>689</v>
      </c>
      <c r="H98" s="61"/>
      <c r="I98" s="6">
        <v>546</v>
      </c>
      <c r="J98" s="35" t="s">
        <v>162</v>
      </c>
    </row>
    <row r="99" spans="1:10" ht="28.5" x14ac:dyDescent="0.25">
      <c r="A99" s="3" t="s">
        <v>20</v>
      </c>
      <c r="B99" s="3">
        <v>2022</v>
      </c>
      <c r="C99" s="3" t="s">
        <v>26</v>
      </c>
      <c r="D99" s="3" t="s">
        <v>681</v>
      </c>
      <c r="E99" s="4" t="s">
        <v>684</v>
      </c>
      <c r="F99" s="61"/>
      <c r="G99" s="3" t="s">
        <v>689</v>
      </c>
      <c r="H99" s="61"/>
      <c r="I99" s="6">
        <v>34.46</v>
      </c>
      <c r="J99" s="35" t="s">
        <v>162</v>
      </c>
    </row>
    <row r="100" spans="1:10" x14ac:dyDescent="0.25">
      <c r="A100" s="3" t="s">
        <v>20</v>
      </c>
      <c r="B100" s="3">
        <v>2022</v>
      </c>
      <c r="C100" s="3" t="s">
        <v>24</v>
      </c>
      <c r="D100" s="3" t="s">
        <v>690</v>
      </c>
      <c r="E100" s="4" t="s">
        <v>691</v>
      </c>
      <c r="F100" s="61"/>
      <c r="G100" s="3" t="s">
        <v>692</v>
      </c>
      <c r="H100" s="61"/>
      <c r="I100" s="6">
        <v>600</v>
      </c>
      <c r="J100" s="35" t="s">
        <v>162</v>
      </c>
    </row>
    <row r="101" spans="1:10" ht="28.5" x14ac:dyDescent="0.25">
      <c r="A101" s="3" t="s">
        <v>20</v>
      </c>
      <c r="B101" s="3">
        <v>2022</v>
      </c>
      <c r="C101" s="3" t="s">
        <v>24</v>
      </c>
      <c r="D101" s="3" t="s">
        <v>693</v>
      </c>
      <c r="E101" s="4" t="s">
        <v>694</v>
      </c>
      <c r="F101" s="61"/>
      <c r="G101" s="3" t="s">
        <v>695</v>
      </c>
      <c r="H101" s="61"/>
      <c r="I101" s="6">
        <v>1250</v>
      </c>
      <c r="J101" s="35" t="s">
        <v>162</v>
      </c>
    </row>
    <row r="102" spans="1:10" ht="28.5" x14ac:dyDescent="0.25">
      <c r="A102" s="3" t="s">
        <v>20</v>
      </c>
      <c r="B102" s="3">
        <v>2022</v>
      </c>
      <c r="C102" s="3" t="s">
        <v>26</v>
      </c>
      <c r="D102" s="3" t="s">
        <v>681</v>
      </c>
      <c r="E102" s="4" t="s">
        <v>696</v>
      </c>
      <c r="F102" s="61"/>
      <c r="G102" s="3" t="s">
        <v>697</v>
      </c>
      <c r="H102" s="61"/>
      <c r="I102" s="6">
        <v>136.5</v>
      </c>
      <c r="J102" s="35" t="s">
        <v>162</v>
      </c>
    </row>
    <row r="103" spans="1:10" x14ac:dyDescent="0.25">
      <c r="A103" s="3" t="s">
        <v>20</v>
      </c>
      <c r="B103" s="3">
        <v>2022</v>
      </c>
      <c r="C103" s="3" t="s">
        <v>24</v>
      </c>
      <c r="D103" s="3" t="s">
        <v>698</v>
      </c>
      <c r="E103" s="4" t="s">
        <v>699</v>
      </c>
      <c r="F103" s="61"/>
      <c r="G103" s="3" t="s">
        <v>700</v>
      </c>
      <c r="H103" s="61"/>
      <c r="I103" s="6">
        <v>169.55</v>
      </c>
      <c r="J103" s="35" t="s">
        <v>162</v>
      </c>
    </row>
    <row r="104" spans="1:10" x14ac:dyDescent="0.25">
      <c r="A104" s="3" t="s">
        <v>20</v>
      </c>
      <c r="B104" s="3">
        <v>2022</v>
      </c>
      <c r="C104" s="3" t="s">
        <v>24</v>
      </c>
      <c r="D104" s="3" t="s">
        <v>698</v>
      </c>
      <c r="E104" s="4" t="s">
        <v>704</v>
      </c>
      <c r="F104" s="61"/>
      <c r="G104" s="3" t="s">
        <v>701</v>
      </c>
      <c r="H104" s="61"/>
      <c r="I104" s="6">
        <v>375</v>
      </c>
      <c r="J104" s="35" t="s">
        <v>162</v>
      </c>
    </row>
    <row r="105" spans="1:10" ht="28.5" x14ac:dyDescent="0.25">
      <c r="A105" s="3" t="s">
        <v>20</v>
      </c>
      <c r="B105" s="3">
        <v>2022</v>
      </c>
      <c r="C105" s="3" t="s">
        <v>24</v>
      </c>
      <c r="D105" s="3" t="s">
        <v>698</v>
      </c>
      <c r="E105" s="4" t="s">
        <v>703</v>
      </c>
      <c r="F105" s="61"/>
      <c r="G105" s="3" t="s">
        <v>702</v>
      </c>
      <c r="H105" s="61"/>
      <c r="I105" s="6">
        <v>450</v>
      </c>
      <c r="J105" s="35" t="s">
        <v>162</v>
      </c>
    </row>
    <row r="106" spans="1:10" x14ac:dyDescent="0.25">
      <c r="A106" s="3" t="s">
        <v>20</v>
      </c>
      <c r="B106" s="3">
        <v>2022</v>
      </c>
      <c r="C106" s="3" t="s">
        <v>24</v>
      </c>
      <c r="D106" s="3" t="s">
        <v>698</v>
      </c>
      <c r="E106" s="4" t="s">
        <v>705</v>
      </c>
      <c r="F106" s="61"/>
      <c r="G106" s="3" t="s">
        <v>706</v>
      </c>
      <c r="H106" s="61"/>
      <c r="I106" s="6">
        <v>130</v>
      </c>
      <c r="J106" s="35" t="s">
        <v>162</v>
      </c>
    </row>
    <row r="107" spans="1:10" x14ac:dyDescent="0.25">
      <c r="A107" s="3" t="s">
        <v>20</v>
      </c>
      <c r="B107" s="3">
        <v>2022</v>
      </c>
      <c r="C107" s="3" t="s">
        <v>24</v>
      </c>
      <c r="D107" s="3" t="s">
        <v>707</v>
      </c>
      <c r="E107" s="4" t="s">
        <v>708</v>
      </c>
      <c r="F107" s="61"/>
      <c r="G107" s="3" t="s">
        <v>709</v>
      </c>
      <c r="H107" s="61"/>
      <c r="I107" s="6">
        <v>708</v>
      </c>
      <c r="J107" s="35" t="s">
        <v>162</v>
      </c>
    </row>
    <row r="108" spans="1:10" x14ac:dyDescent="0.25">
      <c r="A108" s="3" t="s">
        <v>20</v>
      </c>
      <c r="B108" s="3">
        <v>2023</v>
      </c>
      <c r="C108" s="3" t="s">
        <v>24</v>
      </c>
      <c r="D108" s="3" t="s">
        <v>707</v>
      </c>
      <c r="E108" s="4" t="s">
        <v>710</v>
      </c>
      <c r="F108" s="61"/>
      <c r="G108" s="3" t="s">
        <v>711</v>
      </c>
      <c r="H108" s="61"/>
      <c r="I108" s="6">
        <v>708</v>
      </c>
      <c r="J108" s="35" t="s">
        <v>162</v>
      </c>
    </row>
    <row r="109" spans="1:10" x14ac:dyDescent="0.25">
      <c r="A109" s="3" t="s">
        <v>20</v>
      </c>
      <c r="B109" s="3">
        <v>2022</v>
      </c>
      <c r="C109" s="3" t="s">
        <v>23</v>
      </c>
      <c r="D109" s="3" t="s">
        <v>217</v>
      </c>
      <c r="E109" s="4" t="s">
        <v>712</v>
      </c>
      <c r="F109" s="61"/>
      <c r="G109" s="3" t="s">
        <v>713</v>
      </c>
      <c r="H109" s="61"/>
      <c r="I109" s="6">
        <v>2415</v>
      </c>
      <c r="J109" s="35" t="s">
        <v>162</v>
      </c>
    </row>
    <row r="110" spans="1:10" x14ac:dyDescent="0.25">
      <c r="A110" s="3" t="s">
        <v>20</v>
      </c>
      <c r="B110" s="3">
        <v>2022</v>
      </c>
      <c r="C110" s="3" t="s">
        <v>23</v>
      </c>
      <c r="D110" s="3" t="s">
        <v>217</v>
      </c>
      <c r="E110" s="4" t="s">
        <v>712</v>
      </c>
      <c r="F110" s="61"/>
      <c r="G110" s="3" t="s">
        <v>714</v>
      </c>
      <c r="H110" s="61"/>
      <c r="I110" s="6">
        <v>3344.5</v>
      </c>
      <c r="J110" s="35" t="s">
        <v>162</v>
      </c>
    </row>
    <row r="111" spans="1:10" x14ac:dyDescent="0.25">
      <c r="A111" s="3" t="s">
        <v>20</v>
      </c>
      <c r="B111" s="3">
        <v>2023</v>
      </c>
      <c r="C111" s="3" t="s">
        <v>23</v>
      </c>
      <c r="D111" s="3" t="s">
        <v>217</v>
      </c>
      <c r="E111" s="4" t="s">
        <v>715</v>
      </c>
      <c r="F111" s="61"/>
      <c r="G111" s="3" t="s">
        <v>716</v>
      </c>
      <c r="H111" s="61"/>
      <c r="I111" s="6">
        <v>1001.9</v>
      </c>
      <c r="J111" s="35" t="s">
        <v>162</v>
      </c>
    </row>
    <row r="112" spans="1:10" x14ac:dyDescent="0.25">
      <c r="A112" s="3" t="s">
        <v>20</v>
      </c>
      <c r="B112" s="3">
        <v>2023</v>
      </c>
      <c r="C112" s="3" t="s">
        <v>23</v>
      </c>
      <c r="D112" s="3" t="s">
        <v>217</v>
      </c>
      <c r="E112" s="4" t="s">
        <v>717</v>
      </c>
      <c r="F112" s="61"/>
      <c r="G112" s="3" t="s">
        <v>716</v>
      </c>
      <c r="H112" s="61"/>
      <c r="I112" s="6">
        <v>1020.5</v>
      </c>
      <c r="J112" s="35" t="s">
        <v>162</v>
      </c>
    </row>
    <row r="113" spans="1:10" x14ac:dyDescent="0.25">
      <c r="A113" s="3" t="s">
        <v>21</v>
      </c>
      <c r="B113" s="3">
        <v>2022</v>
      </c>
      <c r="C113" s="3" t="s">
        <v>23</v>
      </c>
      <c r="D113" s="3" t="s">
        <v>206</v>
      </c>
      <c r="E113" s="4" t="s">
        <v>718</v>
      </c>
      <c r="F113" s="61"/>
      <c r="G113" s="3" t="s">
        <v>719</v>
      </c>
      <c r="H113" s="61"/>
      <c r="I113" s="6">
        <v>4341</v>
      </c>
      <c r="J113" s="35" t="s">
        <v>162</v>
      </c>
    </row>
    <row r="114" spans="1:10" x14ac:dyDescent="0.25">
      <c r="A114" s="3" t="s">
        <v>20</v>
      </c>
      <c r="B114" s="3">
        <v>2022</v>
      </c>
      <c r="C114" s="3" t="s">
        <v>24</v>
      </c>
      <c r="D114" s="3" t="s">
        <v>720</v>
      </c>
      <c r="E114" s="4" t="s">
        <v>721</v>
      </c>
      <c r="F114" s="61"/>
      <c r="G114" s="3" t="s">
        <v>722</v>
      </c>
      <c r="H114" s="61"/>
      <c r="I114" s="6">
        <v>1800</v>
      </c>
      <c r="J114" s="35" t="s">
        <v>162</v>
      </c>
    </row>
    <row r="115" spans="1:10" ht="28.5" x14ac:dyDescent="0.25">
      <c r="A115" s="3" t="s">
        <v>20</v>
      </c>
      <c r="B115" s="3">
        <v>2023</v>
      </c>
      <c r="C115" s="3" t="s">
        <v>26</v>
      </c>
      <c r="D115" s="3" t="s">
        <v>723</v>
      </c>
      <c r="E115" s="4" t="s">
        <v>724</v>
      </c>
      <c r="F115" s="61"/>
      <c r="G115" s="3" t="s">
        <v>737</v>
      </c>
      <c r="H115" s="61"/>
      <c r="I115" s="6">
        <v>567</v>
      </c>
      <c r="J115" s="35" t="s">
        <v>162</v>
      </c>
    </row>
    <row r="116" spans="1:10" ht="28.5" x14ac:dyDescent="0.25">
      <c r="A116" s="3" t="s">
        <v>20</v>
      </c>
      <c r="B116" s="3">
        <v>2023</v>
      </c>
      <c r="C116" s="3" t="s">
        <v>26</v>
      </c>
      <c r="D116" s="3" t="s">
        <v>725</v>
      </c>
      <c r="E116" s="4" t="s">
        <v>724</v>
      </c>
      <c r="F116" s="61"/>
      <c r="G116" s="3" t="s">
        <v>741</v>
      </c>
      <c r="H116" s="61"/>
      <c r="I116" s="6">
        <v>567</v>
      </c>
      <c r="J116" s="35" t="s">
        <v>162</v>
      </c>
    </row>
    <row r="117" spans="1:10" ht="28.5" x14ac:dyDescent="0.25">
      <c r="A117" s="3" t="s">
        <v>20</v>
      </c>
      <c r="B117" s="3">
        <v>2023</v>
      </c>
      <c r="C117" s="3" t="s">
        <v>26</v>
      </c>
      <c r="D117" s="3" t="s">
        <v>726</v>
      </c>
      <c r="E117" s="4" t="s">
        <v>724</v>
      </c>
      <c r="F117" s="61"/>
      <c r="G117" s="3" t="s">
        <v>752</v>
      </c>
      <c r="H117" s="61"/>
      <c r="I117" s="6">
        <v>567</v>
      </c>
      <c r="J117" s="35" t="s">
        <v>162</v>
      </c>
    </row>
    <row r="118" spans="1:10" ht="28.5" x14ac:dyDescent="0.25">
      <c r="A118" s="3" t="s">
        <v>20</v>
      </c>
      <c r="B118" s="3">
        <v>2023</v>
      </c>
      <c r="C118" s="3" t="s">
        <v>26</v>
      </c>
      <c r="D118" s="3" t="s">
        <v>725</v>
      </c>
      <c r="E118" s="4" t="s">
        <v>727</v>
      </c>
      <c r="F118" s="61"/>
      <c r="G118" s="3" t="s">
        <v>742</v>
      </c>
      <c r="H118" s="61"/>
      <c r="I118" s="6">
        <v>623.70000000000005</v>
      </c>
      <c r="J118" s="35" t="s">
        <v>162</v>
      </c>
    </row>
    <row r="119" spans="1:10" ht="28.5" x14ac:dyDescent="0.25">
      <c r="A119" s="3" t="s">
        <v>20</v>
      </c>
      <c r="B119" s="3">
        <v>2023</v>
      </c>
      <c r="C119" s="3" t="s">
        <v>26</v>
      </c>
      <c r="D119" s="3" t="s">
        <v>723</v>
      </c>
      <c r="E119" s="4" t="s">
        <v>728</v>
      </c>
      <c r="F119" s="61"/>
      <c r="G119" s="3" t="s">
        <v>738</v>
      </c>
      <c r="H119" s="61"/>
      <c r="I119" s="6">
        <v>623.70000000000005</v>
      </c>
      <c r="J119" s="35" t="s">
        <v>162</v>
      </c>
    </row>
    <row r="120" spans="1:10" ht="28.5" x14ac:dyDescent="0.25">
      <c r="A120" s="3" t="s">
        <v>20</v>
      </c>
      <c r="B120" s="3">
        <v>2023</v>
      </c>
      <c r="C120" s="3" t="s">
        <v>26</v>
      </c>
      <c r="D120" s="3" t="s">
        <v>725</v>
      </c>
      <c r="E120" s="4" t="s">
        <v>728</v>
      </c>
      <c r="F120" s="61"/>
      <c r="G120" s="3" t="s">
        <v>743</v>
      </c>
      <c r="H120" s="61"/>
      <c r="I120" s="6">
        <v>623.70000000000005</v>
      </c>
      <c r="J120" s="35" t="s">
        <v>162</v>
      </c>
    </row>
    <row r="121" spans="1:10" ht="28.5" x14ac:dyDescent="0.25">
      <c r="A121" s="3" t="s">
        <v>20</v>
      </c>
      <c r="B121" s="3">
        <v>2023</v>
      </c>
      <c r="C121" s="3" t="s">
        <v>26</v>
      </c>
      <c r="D121" s="3" t="s">
        <v>726</v>
      </c>
      <c r="E121" s="4" t="s">
        <v>728</v>
      </c>
      <c r="F121" s="61"/>
      <c r="G121" s="3" t="s">
        <v>753</v>
      </c>
      <c r="H121" s="61"/>
      <c r="I121" s="6">
        <v>623.70000000000005</v>
      </c>
      <c r="J121" s="35" t="s">
        <v>162</v>
      </c>
    </row>
    <row r="122" spans="1:10" ht="28.5" x14ac:dyDescent="0.25">
      <c r="A122" s="3" t="s">
        <v>20</v>
      </c>
      <c r="B122" s="3">
        <v>2023</v>
      </c>
      <c r="C122" s="3" t="s">
        <v>26</v>
      </c>
      <c r="D122" s="3" t="s">
        <v>729</v>
      </c>
      <c r="E122" s="4" t="s">
        <v>727</v>
      </c>
      <c r="F122" s="61"/>
      <c r="G122" s="3" t="s">
        <v>765</v>
      </c>
      <c r="H122" s="61"/>
      <c r="I122" s="6">
        <v>623.70000000000005</v>
      </c>
      <c r="J122" s="35" t="s">
        <v>162</v>
      </c>
    </row>
    <row r="123" spans="1:10" ht="28.5" x14ac:dyDescent="0.25">
      <c r="A123" s="3" t="s">
        <v>20</v>
      </c>
      <c r="B123" s="3">
        <v>2023</v>
      </c>
      <c r="C123" s="3" t="s">
        <v>26</v>
      </c>
      <c r="D123" s="3" t="s">
        <v>729</v>
      </c>
      <c r="E123" s="4" t="s">
        <v>724</v>
      </c>
      <c r="F123" s="61"/>
      <c r="G123" s="3" t="s">
        <v>766</v>
      </c>
      <c r="H123" s="61"/>
      <c r="I123" s="6">
        <v>567</v>
      </c>
      <c r="J123" s="35" t="s">
        <v>162</v>
      </c>
    </row>
    <row r="124" spans="1:10" ht="28.5" x14ac:dyDescent="0.25">
      <c r="A124" s="3" t="s">
        <v>20</v>
      </c>
      <c r="B124" s="3">
        <v>2023</v>
      </c>
      <c r="C124" s="3" t="s">
        <v>26</v>
      </c>
      <c r="D124" s="3" t="s">
        <v>729</v>
      </c>
      <c r="E124" s="4" t="s">
        <v>728</v>
      </c>
      <c r="F124" s="61"/>
      <c r="G124" s="3" t="s">
        <v>767</v>
      </c>
      <c r="H124" s="61"/>
      <c r="I124" s="6">
        <v>255.15</v>
      </c>
      <c r="J124" s="35" t="s">
        <v>162</v>
      </c>
    </row>
    <row r="125" spans="1:10" ht="28.5" x14ac:dyDescent="0.25">
      <c r="A125" s="3" t="s">
        <v>20</v>
      </c>
      <c r="B125" s="3">
        <v>2023</v>
      </c>
      <c r="C125" s="3" t="s">
        <v>26</v>
      </c>
      <c r="D125" s="3" t="s">
        <v>730</v>
      </c>
      <c r="E125" s="4" t="s">
        <v>85</v>
      </c>
      <c r="F125" s="61"/>
      <c r="G125" s="3" t="s">
        <v>768</v>
      </c>
      <c r="H125" s="61"/>
      <c r="I125" s="6">
        <v>340.2</v>
      </c>
      <c r="J125" s="35" t="s">
        <v>162</v>
      </c>
    </row>
    <row r="126" spans="1:10" ht="28.5" x14ac:dyDescent="0.25">
      <c r="A126" s="3" t="s">
        <v>20</v>
      </c>
      <c r="B126" s="3">
        <v>2023</v>
      </c>
      <c r="C126" s="3" t="s">
        <v>26</v>
      </c>
      <c r="D126" s="3" t="s">
        <v>730</v>
      </c>
      <c r="E126" s="4" t="s">
        <v>89</v>
      </c>
      <c r="F126" s="61"/>
      <c r="G126" s="3" t="s">
        <v>769</v>
      </c>
      <c r="H126" s="61"/>
      <c r="I126" s="6">
        <v>567</v>
      </c>
      <c r="J126" s="35" t="s">
        <v>162</v>
      </c>
    </row>
    <row r="127" spans="1:10" ht="28.5" x14ac:dyDescent="0.25">
      <c r="A127" s="3" t="s">
        <v>20</v>
      </c>
      <c r="B127" s="3">
        <v>2023</v>
      </c>
      <c r="C127" s="3" t="s">
        <v>26</v>
      </c>
      <c r="D127" s="3" t="s">
        <v>730</v>
      </c>
      <c r="E127" s="4" t="s">
        <v>92</v>
      </c>
      <c r="F127" s="61"/>
      <c r="G127" s="3" t="s">
        <v>770</v>
      </c>
      <c r="H127" s="61"/>
      <c r="I127" s="6">
        <v>368.55</v>
      </c>
      <c r="J127" s="35" t="s">
        <v>162</v>
      </c>
    </row>
    <row r="128" spans="1:10" ht="28.5" x14ac:dyDescent="0.25">
      <c r="A128" s="3" t="s">
        <v>20</v>
      </c>
      <c r="B128" s="3">
        <v>2023</v>
      </c>
      <c r="C128" s="3" t="s">
        <v>26</v>
      </c>
      <c r="D128" s="3" t="s">
        <v>726</v>
      </c>
      <c r="E128" s="4" t="s">
        <v>731</v>
      </c>
      <c r="F128" s="61"/>
      <c r="G128" s="3" t="s">
        <v>754</v>
      </c>
      <c r="H128" s="61"/>
      <c r="I128" s="6">
        <v>595.35</v>
      </c>
      <c r="J128" s="35" t="s">
        <v>162</v>
      </c>
    </row>
    <row r="129" spans="1:10" x14ac:dyDescent="0.25">
      <c r="A129" s="3" t="s">
        <v>20</v>
      </c>
      <c r="B129" s="3">
        <v>2023</v>
      </c>
      <c r="C129" s="3" t="s">
        <v>26</v>
      </c>
      <c r="D129" s="3" t="s">
        <v>726</v>
      </c>
      <c r="E129" s="4" t="s">
        <v>732</v>
      </c>
      <c r="F129" s="61"/>
      <c r="G129" s="3" t="s">
        <v>755</v>
      </c>
      <c r="H129" s="61"/>
      <c r="I129" s="6">
        <v>145.80000000000001</v>
      </c>
      <c r="J129" s="35" t="s">
        <v>162</v>
      </c>
    </row>
    <row r="130" spans="1:10" x14ac:dyDescent="0.25">
      <c r="A130" s="3" t="s">
        <v>20</v>
      </c>
      <c r="B130" s="3">
        <v>2023</v>
      </c>
      <c r="C130" s="3" t="s">
        <v>23</v>
      </c>
      <c r="D130" s="3" t="s">
        <v>108</v>
      </c>
      <c r="E130" s="4" t="s">
        <v>733</v>
      </c>
      <c r="F130" s="61"/>
      <c r="G130" s="3" t="s">
        <v>734</v>
      </c>
      <c r="H130" s="61"/>
      <c r="I130" s="6">
        <v>530.5</v>
      </c>
      <c r="J130" s="35" t="s">
        <v>162</v>
      </c>
    </row>
    <row r="131" spans="1:10" x14ac:dyDescent="0.25">
      <c r="A131" s="3" t="s">
        <v>20</v>
      </c>
      <c r="B131" s="3">
        <v>2023</v>
      </c>
      <c r="C131" s="3" t="s">
        <v>23</v>
      </c>
      <c r="D131" s="3" t="s">
        <v>108</v>
      </c>
      <c r="E131" s="4" t="s">
        <v>735</v>
      </c>
      <c r="F131" s="61"/>
      <c r="G131" s="3" t="s">
        <v>734</v>
      </c>
      <c r="H131" s="61"/>
      <c r="I131" s="6">
        <v>530.5</v>
      </c>
      <c r="J131" s="35" t="s">
        <v>162</v>
      </c>
    </row>
    <row r="132" spans="1:10" ht="28.5" x14ac:dyDescent="0.25">
      <c r="A132" s="3" t="s">
        <v>20</v>
      </c>
      <c r="B132" s="3">
        <v>2023</v>
      </c>
      <c r="C132" s="3" t="s">
        <v>26</v>
      </c>
      <c r="D132" s="3" t="s">
        <v>723</v>
      </c>
      <c r="E132" s="4" t="s">
        <v>736</v>
      </c>
      <c r="F132" s="61"/>
      <c r="G132" s="3" t="s">
        <v>739</v>
      </c>
      <c r="H132" s="61"/>
      <c r="I132" s="6">
        <v>538.65</v>
      </c>
      <c r="J132" s="35" t="s">
        <v>162</v>
      </c>
    </row>
    <row r="133" spans="1:10" ht="28.5" x14ac:dyDescent="0.25">
      <c r="A133" s="3" t="s">
        <v>20</v>
      </c>
      <c r="B133" s="3">
        <v>2023</v>
      </c>
      <c r="C133" s="3" t="s">
        <v>26</v>
      </c>
      <c r="D133" s="3" t="s">
        <v>723</v>
      </c>
      <c r="E133" s="4" t="s">
        <v>727</v>
      </c>
      <c r="F133" s="61"/>
      <c r="G133" s="3" t="s">
        <v>740</v>
      </c>
      <c r="H133" s="61"/>
      <c r="I133" s="6">
        <v>623.70000000000005</v>
      </c>
      <c r="J133" s="35" t="s">
        <v>162</v>
      </c>
    </row>
    <row r="134" spans="1:10" ht="28.5" x14ac:dyDescent="0.25">
      <c r="A134" s="3" t="s">
        <v>20</v>
      </c>
      <c r="B134" s="3">
        <v>2023</v>
      </c>
      <c r="C134" s="3" t="s">
        <v>26</v>
      </c>
      <c r="D134" s="3" t="s">
        <v>725</v>
      </c>
      <c r="E134" s="4" t="s">
        <v>744</v>
      </c>
      <c r="F134" s="61"/>
      <c r="G134" s="3" t="s">
        <v>745</v>
      </c>
      <c r="H134" s="61"/>
      <c r="I134" s="6">
        <v>340.2</v>
      </c>
      <c r="J134" s="35" t="s">
        <v>162</v>
      </c>
    </row>
    <row r="135" spans="1:10" ht="28.5" x14ac:dyDescent="0.25">
      <c r="A135" s="3" t="s">
        <v>20</v>
      </c>
      <c r="B135" s="3">
        <v>2023</v>
      </c>
      <c r="C135" s="3" t="s">
        <v>26</v>
      </c>
      <c r="D135" s="3" t="s">
        <v>725</v>
      </c>
      <c r="E135" s="4" t="s">
        <v>746</v>
      </c>
      <c r="F135" s="61"/>
      <c r="G135" s="3" t="s">
        <v>747</v>
      </c>
      <c r="H135" s="61"/>
      <c r="I135" s="6">
        <v>255.15</v>
      </c>
      <c r="J135" s="35" t="s">
        <v>162</v>
      </c>
    </row>
    <row r="136" spans="1:10" ht="28.5" x14ac:dyDescent="0.25">
      <c r="A136" s="3" t="s">
        <v>20</v>
      </c>
      <c r="B136" s="3">
        <v>2023</v>
      </c>
      <c r="C136" s="3" t="s">
        <v>26</v>
      </c>
      <c r="D136" s="3" t="s">
        <v>725</v>
      </c>
      <c r="E136" s="4" t="s">
        <v>736</v>
      </c>
      <c r="F136" s="61"/>
      <c r="G136" s="3" t="s">
        <v>748</v>
      </c>
      <c r="H136" s="61"/>
      <c r="I136" s="6">
        <v>538.65</v>
      </c>
      <c r="J136" s="35" t="s">
        <v>162</v>
      </c>
    </row>
    <row r="137" spans="1:10" x14ac:dyDescent="0.25">
      <c r="A137" s="3" t="s">
        <v>20</v>
      </c>
      <c r="B137" s="3">
        <v>2023</v>
      </c>
      <c r="C137" s="3" t="s">
        <v>24</v>
      </c>
      <c r="D137" s="3" t="s">
        <v>749</v>
      </c>
      <c r="E137" s="4" t="s">
        <v>750</v>
      </c>
      <c r="F137" s="61"/>
      <c r="G137" s="3" t="s">
        <v>751</v>
      </c>
      <c r="H137" s="61"/>
      <c r="I137" s="6">
        <v>950.08</v>
      </c>
      <c r="J137" s="35" t="s">
        <v>162</v>
      </c>
    </row>
    <row r="138" spans="1:10" ht="28.5" x14ac:dyDescent="0.25">
      <c r="A138" s="3" t="s">
        <v>20</v>
      </c>
      <c r="B138" s="3">
        <v>2023</v>
      </c>
      <c r="C138" s="3" t="s">
        <v>26</v>
      </c>
      <c r="D138" s="3" t="s">
        <v>726</v>
      </c>
      <c r="E138" s="4" t="s">
        <v>746</v>
      </c>
      <c r="F138" s="61"/>
      <c r="G138" s="3" t="s">
        <v>756</v>
      </c>
      <c r="H138" s="61"/>
      <c r="I138" s="6">
        <v>255.15</v>
      </c>
      <c r="J138" s="35" t="s">
        <v>162</v>
      </c>
    </row>
    <row r="139" spans="1:10" ht="28.5" x14ac:dyDescent="0.25">
      <c r="A139" s="3" t="s">
        <v>20</v>
      </c>
      <c r="B139" s="3">
        <v>2023</v>
      </c>
      <c r="C139" s="3" t="s">
        <v>26</v>
      </c>
      <c r="D139" s="3" t="s">
        <v>726</v>
      </c>
      <c r="E139" s="4" t="s">
        <v>736</v>
      </c>
      <c r="F139" s="61"/>
      <c r="G139" s="3" t="s">
        <v>757</v>
      </c>
      <c r="H139" s="61"/>
      <c r="I139" s="6">
        <v>538.65</v>
      </c>
      <c r="J139" s="35" t="s">
        <v>162</v>
      </c>
    </row>
    <row r="140" spans="1:10" ht="28.5" x14ac:dyDescent="0.25">
      <c r="A140" s="3" t="s">
        <v>20</v>
      </c>
      <c r="B140" s="3">
        <v>2023</v>
      </c>
      <c r="C140" s="3" t="s">
        <v>26</v>
      </c>
      <c r="D140" s="3" t="s">
        <v>726</v>
      </c>
      <c r="E140" s="4" t="s">
        <v>727</v>
      </c>
      <c r="F140" s="61"/>
      <c r="G140" s="3" t="s">
        <v>758</v>
      </c>
      <c r="H140" s="61"/>
      <c r="I140" s="6">
        <v>623.70000000000005</v>
      </c>
      <c r="J140" s="35" t="s">
        <v>162</v>
      </c>
    </row>
    <row r="141" spans="1:10" x14ac:dyDescent="0.25">
      <c r="A141" s="3" t="s">
        <v>21</v>
      </c>
      <c r="B141" s="3">
        <v>2023</v>
      </c>
      <c r="C141" s="3" t="s">
        <v>23</v>
      </c>
      <c r="D141" s="3" t="s">
        <v>258</v>
      </c>
      <c r="E141" s="4" t="s">
        <v>759</v>
      </c>
      <c r="F141" s="61"/>
      <c r="G141" s="3" t="s">
        <v>760</v>
      </c>
      <c r="H141" s="61"/>
      <c r="I141" s="6">
        <v>1716.17</v>
      </c>
      <c r="J141" s="35" t="s">
        <v>162</v>
      </c>
    </row>
    <row r="142" spans="1:10" x14ac:dyDescent="0.25">
      <c r="A142" s="3" t="s">
        <v>21</v>
      </c>
      <c r="B142" s="3">
        <v>2023</v>
      </c>
      <c r="C142" s="3" t="s">
        <v>23</v>
      </c>
      <c r="D142" s="3" t="s">
        <v>258</v>
      </c>
      <c r="E142" s="4" t="s">
        <v>761</v>
      </c>
      <c r="F142" s="61"/>
      <c r="G142" s="3" t="s">
        <v>760</v>
      </c>
      <c r="H142" s="61"/>
      <c r="I142" s="6">
        <v>49.34</v>
      </c>
      <c r="J142" s="35" t="s">
        <v>162</v>
      </c>
    </row>
    <row r="143" spans="1:10" x14ac:dyDescent="0.25">
      <c r="A143" s="3" t="s">
        <v>20</v>
      </c>
      <c r="B143" s="3">
        <v>2023</v>
      </c>
      <c r="C143" s="3" t="s">
        <v>23</v>
      </c>
      <c r="D143" s="3" t="s">
        <v>762</v>
      </c>
      <c r="E143" s="4" t="s">
        <v>763</v>
      </c>
      <c r="F143" s="61"/>
      <c r="G143" s="3" t="s">
        <v>764</v>
      </c>
      <c r="H143" s="61"/>
      <c r="I143" s="6">
        <v>307.60000000000002</v>
      </c>
      <c r="J143" s="35" t="s">
        <v>162</v>
      </c>
    </row>
    <row r="144" spans="1:10" x14ac:dyDescent="0.25">
      <c r="A144" s="3" t="s">
        <v>20</v>
      </c>
      <c r="B144" s="3">
        <v>2023</v>
      </c>
      <c r="C144" s="3" t="s">
        <v>23</v>
      </c>
      <c r="D144" s="3" t="s">
        <v>762</v>
      </c>
      <c r="E144" s="4" t="s">
        <v>763</v>
      </c>
      <c r="F144" s="61"/>
      <c r="G144" s="3" t="s">
        <v>764</v>
      </c>
      <c r="H144" s="61"/>
      <c r="I144" s="6">
        <v>169.24</v>
      </c>
      <c r="J144" s="35" t="s">
        <v>162</v>
      </c>
    </row>
    <row r="145" spans="1:10" ht="28.5" x14ac:dyDescent="0.25">
      <c r="A145" s="3" t="s">
        <v>20</v>
      </c>
      <c r="B145" s="3">
        <v>2022</v>
      </c>
      <c r="C145" s="3" t="s">
        <v>25</v>
      </c>
      <c r="D145" s="3" t="s">
        <v>557</v>
      </c>
      <c r="E145" s="4" t="s">
        <v>771</v>
      </c>
      <c r="F145" s="69">
        <v>54125</v>
      </c>
      <c r="G145" s="61"/>
      <c r="H145" s="61"/>
      <c r="I145" s="6">
        <f>140.95+261.39</f>
        <v>402.34</v>
      </c>
      <c r="J145" s="71" t="s">
        <v>162</v>
      </c>
    </row>
    <row r="146" spans="1:10" ht="42.75" x14ac:dyDescent="0.25">
      <c r="A146" s="3" t="s">
        <v>20</v>
      </c>
      <c r="B146" s="3">
        <v>2021</v>
      </c>
      <c r="C146" s="3" t="s">
        <v>25</v>
      </c>
      <c r="D146" s="3" t="s">
        <v>473</v>
      </c>
      <c r="E146" s="4" t="s">
        <v>772</v>
      </c>
      <c r="F146" s="69">
        <v>52607</v>
      </c>
      <c r="G146" s="61"/>
      <c r="H146" s="61"/>
      <c r="I146" s="6">
        <v>290.12</v>
      </c>
      <c r="J146" s="71" t="s">
        <v>162</v>
      </c>
    </row>
    <row r="147" spans="1:10" x14ac:dyDescent="0.25">
      <c r="A147" s="3" t="s">
        <v>20</v>
      </c>
      <c r="B147" s="3">
        <v>2021</v>
      </c>
      <c r="C147" s="3" t="s">
        <v>25</v>
      </c>
      <c r="D147" s="3" t="s">
        <v>773</v>
      </c>
      <c r="E147" s="4" t="s">
        <v>774</v>
      </c>
      <c r="F147" s="69">
        <v>52821</v>
      </c>
      <c r="G147" s="61"/>
      <c r="H147" s="61"/>
      <c r="I147" s="6">
        <v>178.5</v>
      </c>
      <c r="J147" s="71" t="s">
        <v>162</v>
      </c>
    </row>
    <row r="148" spans="1:10" x14ac:dyDescent="0.25">
      <c r="A148" s="3" t="s">
        <v>20</v>
      </c>
      <c r="B148" s="3">
        <v>2022</v>
      </c>
      <c r="C148" s="3" t="s">
        <v>25</v>
      </c>
      <c r="D148" s="3" t="s">
        <v>513</v>
      </c>
      <c r="E148" s="4" t="s">
        <v>775</v>
      </c>
      <c r="F148" s="72">
        <v>53484</v>
      </c>
      <c r="G148" s="61"/>
      <c r="H148" s="61"/>
      <c r="I148" s="6">
        <v>141.91999999999999</v>
      </c>
      <c r="J148" s="71" t="s">
        <v>778</v>
      </c>
    </row>
    <row r="149" spans="1:10" ht="28.5" x14ac:dyDescent="0.25">
      <c r="A149" s="3" t="s">
        <v>20</v>
      </c>
      <c r="B149" s="3">
        <v>2022</v>
      </c>
      <c r="C149" s="3" t="s">
        <v>25</v>
      </c>
      <c r="D149" s="3" t="s">
        <v>776</v>
      </c>
      <c r="E149" s="4" t="s">
        <v>777</v>
      </c>
      <c r="F149" s="72">
        <v>53930</v>
      </c>
      <c r="G149" s="61"/>
      <c r="H149" s="61"/>
      <c r="I149" s="6">
        <v>148.47</v>
      </c>
      <c r="J149" s="71" t="s">
        <v>778</v>
      </c>
    </row>
    <row r="150" spans="1:10" ht="28.5" x14ac:dyDescent="0.25">
      <c r="A150" s="3" t="s">
        <v>20</v>
      </c>
      <c r="B150" s="3">
        <v>2022</v>
      </c>
      <c r="C150" s="3" t="s">
        <v>25</v>
      </c>
      <c r="D150" s="3" t="s">
        <v>779</v>
      </c>
      <c r="E150" s="4" t="s">
        <v>777</v>
      </c>
      <c r="F150" s="72">
        <v>54175</v>
      </c>
      <c r="G150" s="61"/>
      <c r="H150" s="61"/>
      <c r="I150" s="6">
        <v>220</v>
      </c>
      <c r="J150" s="71" t="s">
        <v>778</v>
      </c>
    </row>
    <row r="151" spans="1:10" ht="28.5" x14ac:dyDescent="0.25">
      <c r="A151" s="3" t="s">
        <v>20</v>
      </c>
      <c r="B151" s="3">
        <v>2023</v>
      </c>
      <c r="C151" s="3" t="s">
        <v>25</v>
      </c>
      <c r="D151" s="3" t="s">
        <v>780</v>
      </c>
      <c r="E151" s="4" t="s">
        <v>781</v>
      </c>
      <c r="F151" s="72">
        <v>57844</v>
      </c>
      <c r="G151" s="61"/>
      <c r="H151" s="61"/>
      <c r="I151" s="6">
        <v>428.18</v>
      </c>
      <c r="J151" s="71" t="s">
        <v>782</v>
      </c>
    </row>
    <row r="152" spans="1:10" ht="28.5" x14ac:dyDescent="0.25">
      <c r="A152" s="3" t="s">
        <v>20</v>
      </c>
      <c r="B152" s="3">
        <v>2023</v>
      </c>
      <c r="C152" s="3" t="s">
        <v>25</v>
      </c>
      <c r="D152" s="3" t="s">
        <v>97</v>
      </c>
      <c r="E152" s="4" t="s">
        <v>783</v>
      </c>
      <c r="F152" s="72">
        <v>59056</v>
      </c>
      <c r="G152" s="61"/>
      <c r="H152" s="61"/>
      <c r="I152" s="6">
        <v>261.52999999999997</v>
      </c>
      <c r="J152" s="71" t="s">
        <v>784</v>
      </c>
    </row>
    <row r="153" spans="1:10" x14ac:dyDescent="0.25">
      <c r="A153" s="3" t="s">
        <v>20</v>
      </c>
      <c r="B153" s="3">
        <v>2023</v>
      </c>
      <c r="C153" s="3" t="s">
        <v>25</v>
      </c>
      <c r="D153" s="3" t="s">
        <v>309</v>
      </c>
      <c r="E153" s="4" t="s">
        <v>787</v>
      </c>
      <c r="F153" s="69">
        <v>60142</v>
      </c>
      <c r="G153" s="61"/>
      <c r="H153" s="61"/>
      <c r="I153" s="6">
        <f>262.76+315.84</f>
        <v>578.59999999999991</v>
      </c>
      <c r="J153" s="71" t="s">
        <v>162</v>
      </c>
    </row>
    <row r="154" spans="1:10" ht="28.5" x14ac:dyDescent="0.25">
      <c r="A154" s="3" t="s">
        <v>20</v>
      </c>
      <c r="B154" s="3">
        <v>2022</v>
      </c>
      <c r="C154" s="3" t="s">
        <v>25</v>
      </c>
      <c r="D154" s="3" t="s">
        <v>151</v>
      </c>
      <c r="E154" s="4" t="s">
        <v>789</v>
      </c>
      <c r="F154" s="72">
        <v>55993</v>
      </c>
      <c r="G154" s="61"/>
      <c r="H154" s="61"/>
      <c r="I154" s="6">
        <v>1192.75</v>
      </c>
      <c r="J154" s="71" t="s">
        <v>790</v>
      </c>
    </row>
    <row r="155" spans="1:10" x14ac:dyDescent="0.25">
      <c r="A155" s="3"/>
      <c r="B155" s="3"/>
      <c r="C155" s="3"/>
      <c r="D155" s="3"/>
      <c r="E155" s="4"/>
      <c r="F155" s="3"/>
      <c r="G155" s="61"/>
      <c r="H155" s="61"/>
      <c r="I155" s="6"/>
      <c r="J155" s="71"/>
    </row>
    <row r="156" spans="1:10" x14ac:dyDescent="0.25">
      <c r="A156" s="3"/>
      <c r="B156" s="3"/>
      <c r="C156" s="3"/>
      <c r="D156" s="3"/>
      <c r="E156" s="4"/>
      <c r="F156" s="3"/>
      <c r="G156" s="61"/>
      <c r="H156" s="61"/>
      <c r="I156" s="6"/>
      <c r="J156" s="71"/>
    </row>
    <row r="157" spans="1:10" x14ac:dyDescent="0.25">
      <c r="A157" s="3"/>
      <c r="B157" s="3"/>
      <c r="C157" s="3"/>
      <c r="D157" s="3"/>
      <c r="E157" s="4"/>
      <c r="F157" s="3"/>
      <c r="G157" s="61"/>
      <c r="H157" s="61"/>
      <c r="I157" s="6"/>
      <c r="J157" s="71"/>
    </row>
    <row r="160" spans="1:10" ht="16.5" x14ac:dyDescent="0.3">
      <c r="B160" s="89" t="s">
        <v>20</v>
      </c>
      <c r="C160" s="89"/>
    </row>
    <row r="161" spans="2:3" ht="16.5" x14ac:dyDescent="0.3">
      <c r="B161" s="33" t="s">
        <v>58</v>
      </c>
      <c r="C161" s="34">
        <f>O37</f>
        <v>64671.339999999989</v>
      </c>
    </row>
    <row r="162" spans="2:3" ht="16.5" x14ac:dyDescent="0.3">
      <c r="B162" s="33" t="s">
        <v>213</v>
      </c>
      <c r="C162" s="34">
        <f>F10</f>
        <v>55126.87</v>
      </c>
    </row>
    <row r="164" spans="2:3" ht="16.5" x14ac:dyDescent="0.3">
      <c r="B164" s="89" t="s">
        <v>22</v>
      </c>
      <c r="C164" s="89"/>
    </row>
    <row r="165" spans="2:3" ht="16.5" x14ac:dyDescent="0.3">
      <c r="B165" s="33" t="s">
        <v>58</v>
      </c>
      <c r="C165" s="34">
        <f>O39</f>
        <v>788814.08000000007</v>
      </c>
    </row>
    <row r="166" spans="2:3" ht="16.5" x14ac:dyDescent="0.3">
      <c r="B166" s="33" t="s">
        <v>213</v>
      </c>
      <c r="C166" s="34">
        <f>F12</f>
        <v>232433.94999999995</v>
      </c>
    </row>
    <row r="168" spans="2:3" ht="16.5" x14ac:dyDescent="0.3">
      <c r="B168" s="89" t="s">
        <v>21</v>
      </c>
      <c r="C168" s="89"/>
    </row>
    <row r="169" spans="2:3" ht="16.5" x14ac:dyDescent="0.3">
      <c r="B169" s="33" t="s">
        <v>58</v>
      </c>
      <c r="C169" s="34">
        <f>O38</f>
        <v>6106.51</v>
      </c>
    </row>
    <row r="170" spans="2:3" ht="16.5" x14ac:dyDescent="0.3">
      <c r="B170" s="33" t="s">
        <v>213</v>
      </c>
      <c r="C170" s="34">
        <f>F11</f>
        <v>15589.35</v>
      </c>
    </row>
  </sheetData>
  <autoFilter ref="A19:J154" xr:uid="{00000000-0009-0000-0000-00000C000000}"/>
  <mergeCells count="5">
    <mergeCell ref="B5:G5"/>
    <mergeCell ref="C8:D8"/>
    <mergeCell ref="B160:C160"/>
    <mergeCell ref="B164:C164"/>
    <mergeCell ref="B168:C168"/>
  </mergeCells>
  <conditionalFormatting sqref="A53">
    <cfRule type="cellIs" dxfId="39" priority="3" operator="equal">
      <formula>"OK$J:$J"</formula>
    </cfRule>
  </conditionalFormatting>
  <conditionalFormatting sqref="F20:F41">
    <cfRule type="containsBlanks" dxfId="38" priority="4">
      <formula>LEN(TRIM(F20))=0</formula>
    </cfRule>
  </conditionalFormatting>
  <conditionalFormatting sqref="J1:J1048576">
    <cfRule type="containsText" dxfId="37" priority="1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C00-000000000000}">
          <x14:formula1>
            <xm:f>DATA!$F$6:$F$9</xm:f>
          </x14:formula1>
          <xm:sqref>C33:C41 C43:C58 C62:C157</xm:sqref>
        </x14:dataValidation>
        <x14:dataValidation type="list" allowBlank="1" showInputMessage="1" showErrorMessage="1" xr:uid="{00000000-0002-0000-0C00-000002000000}">
          <x14:formula1>
            <xm:f>DATA!$A$6:$A$8</xm:f>
          </x14:formula1>
          <xm:sqref>A33:A41 A43:A54 A62:A157</xm:sqref>
        </x14:dataValidation>
        <x14:dataValidation type="list" allowBlank="1" showInputMessage="1" showErrorMessage="1" xr:uid="{00000000-0002-0000-0C00-000001000000}">
          <x14:formula1>
            <xm:f>DATA!$D$6:$D$11</xm:f>
          </x14:formula1>
          <xm:sqref>B33:B157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66"/>
  <sheetViews>
    <sheetView showGridLines="0" zoomScale="140" zoomScaleNormal="140" workbookViewId="0">
      <selection activeCell="A23" sqref="A23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45345</v>
      </c>
      <c r="D1" s="1"/>
      <c r="E1" s="1"/>
      <c r="F1" s="1"/>
      <c r="G1" s="1"/>
    </row>
    <row r="2" spans="1:7" ht="17.25" x14ac:dyDescent="0.35">
      <c r="A2" s="1"/>
      <c r="B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285</v>
      </c>
      <c r="D6" s="19"/>
      <c r="E6" s="20" t="s">
        <v>4</v>
      </c>
      <c r="F6" s="19">
        <v>3464</v>
      </c>
      <c r="G6" s="21"/>
    </row>
    <row r="7" spans="1:7" ht="17.25" x14ac:dyDescent="0.35">
      <c r="A7" s="1"/>
      <c r="B7" s="22"/>
      <c r="G7" s="12"/>
    </row>
    <row r="8" spans="1:7" ht="17.25" x14ac:dyDescent="0.35">
      <c r="A8" s="1"/>
      <c r="B8" s="24" t="s">
        <v>5</v>
      </c>
      <c r="C8" s="88" t="s">
        <v>286</v>
      </c>
      <c r="D8" s="88"/>
      <c r="E8" s="23" t="s">
        <v>56</v>
      </c>
      <c r="F8" s="41" t="s">
        <v>287</v>
      </c>
      <c r="G8" s="12"/>
    </row>
    <row r="9" spans="1:7" ht="17.25" x14ac:dyDescent="0.35">
      <c r="A9" s="1"/>
      <c r="B9" s="24" t="s">
        <v>7</v>
      </c>
      <c r="C9" s="39" t="s">
        <v>105</v>
      </c>
      <c r="D9" s="42"/>
      <c r="E9" s="9" t="s">
        <v>10</v>
      </c>
      <c r="F9" s="36">
        <f>C10-O27</f>
        <v>51074.3</v>
      </c>
      <c r="G9" s="12"/>
    </row>
    <row r="10" spans="1:7" ht="17.25" x14ac:dyDescent="0.35">
      <c r="A10" s="1"/>
      <c r="B10" s="13" t="s">
        <v>9</v>
      </c>
      <c r="C10" s="36">
        <v>60000</v>
      </c>
      <c r="D10" s="10"/>
      <c r="E10" s="11" t="s">
        <v>20</v>
      </c>
      <c r="F10" s="36">
        <f>C11-O24</f>
        <v>51074.3</v>
      </c>
      <c r="G10" s="12"/>
    </row>
    <row r="11" spans="1:7" ht="17.25" x14ac:dyDescent="0.35">
      <c r="A11" s="1"/>
      <c r="B11" s="14" t="s">
        <v>20</v>
      </c>
      <c r="C11" s="36">
        <v>60000</v>
      </c>
      <c r="D11" s="10"/>
      <c r="E11" s="11" t="s">
        <v>21</v>
      </c>
      <c r="F11" s="44">
        <f>C12-O25</f>
        <v>0</v>
      </c>
      <c r="G11" s="12"/>
    </row>
    <row r="12" spans="1:7" ht="17.25" x14ac:dyDescent="0.35">
      <c r="A12" s="1"/>
      <c r="B12" s="14" t="s">
        <v>21</v>
      </c>
      <c r="C12" s="36">
        <v>0</v>
      </c>
      <c r="D12" s="10"/>
      <c r="E12" s="11" t="s">
        <v>22</v>
      </c>
      <c r="F12" s="37">
        <f>C13-O26</f>
        <v>0</v>
      </c>
      <c r="G12" s="12"/>
    </row>
    <row r="13" spans="1:7" ht="18" thickBot="1" x14ac:dyDescent="0.4">
      <c r="A13" s="1"/>
      <c r="B13" s="15" t="s">
        <v>22</v>
      </c>
      <c r="C13" s="38">
        <v>0</v>
      </c>
      <c r="D13" s="16"/>
      <c r="E13" s="16"/>
      <c r="F13" s="16"/>
      <c r="G13" s="17"/>
    </row>
    <row r="19" spans="1:15" ht="28.5" x14ac:dyDescent="0.25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28.5" x14ac:dyDescent="0.25">
      <c r="A20" s="3" t="s">
        <v>20</v>
      </c>
      <c r="B20" s="3">
        <v>2024</v>
      </c>
      <c r="C20" s="3" t="s">
        <v>25</v>
      </c>
      <c r="D20" s="3" t="s">
        <v>261</v>
      </c>
      <c r="E20" s="4" t="s">
        <v>334</v>
      </c>
      <c r="F20" s="3">
        <v>60091</v>
      </c>
      <c r="G20" s="3"/>
      <c r="H20" s="35"/>
      <c r="I20" s="6">
        <v>2813.94</v>
      </c>
      <c r="J20" s="3" t="s">
        <v>162</v>
      </c>
    </row>
    <row r="21" spans="1:15" ht="28.5" x14ac:dyDescent="0.25">
      <c r="A21" s="3" t="s">
        <v>20</v>
      </c>
      <c r="B21" s="3">
        <v>2024</v>
      </c>
      <c r="C21" s="3" t="s">
        <v>25</v>
      </c>
      <c r="D21" s="3" t="s">
        <v>262</v>
      </c>
      <c r="E21" s="4" t="s">
        <v>677</v>
      </c>
      <c r="F21" s="3">
        <v>60368</v>
      </c>
      <c r="G21" s="3"/>
      <c r="H21" s="35"/>
      <c r="I21" s="6">
        <v>1136.06</v>
      </c>
      <c r="J21" s="3" t="s">
        <v>162</v>
      </c>
    </row>
    <row r="22" spans="1:15" ht="28.5" x14ac:dyDescent="0.25">
      <c r="A22" s="3" t="s">
        <v>20</v>
      </c>
      <c r="B22" s="3">
        <v>2024</v>
      </c>
      <c r="C22" s="3" t="s">
        <v>25</v>
      </c>
      <c r="D22" s="3" t="s">
        <v>260</v>
      </c>
      <c r="E22" s="4" t="s">
        <v>825</v>
      </c>
      <c r="F22" s="3">
        <v>60818</v>
      </c>
      <c r="G22" s="3"/>
      <c r="H22" s="35"/>
      <c r="I22" s="6">
        <v>4975.7</v>
      </c>
      <c r="J22" s="3" t="s">
        <v>162</v>
      </c>
    </row>
    <row r="23" spans="1:15" ht="16.5" thickBot="1" x14ac:dyDescent="0.3">
      <c r="A23" s="3"/>
      <c r="B23" s="3"/>
      <c r="C23" s="3"/>
      <c r="D23" s="3"/>
      <c r="E23" s="4"/>
      <c r="F23" s="3"/>
      <c r="G23" s="3"/>
      <c r="H23" s="35"/>
      <c r="I23" s="6"/>
      <c r="J23" s="3"/>
    </row>
    <row r="24" spans="1:15" x14ac:dyDescent="0.25">
      <c r="A24" s="3"/>
      <c r="B24" s="3"/>
      <c r="C24" s="3"/>
      <c r="D24" s="3"/>
      <c r="E24" s="4"/>
      <c r="F24" s="3"/>
      <c r="G24" s="3"/>
      <c r="H24" s="35"/>
      <c r="I24" s="6"/>
      <c r="J24" s="3"/>
      <c r="N24" s="27" t="s">
        <v>54</v>
      </c>
      <c r="O24" s="28">
        <f>SUMIFS(I20:I50,A20:A50,"Fonctionnement")</f>
        <v>8925.7000000000007</v>
      </c>
    </row>
    <row r="25" spans="1:15" x14ac:dyDescent="0.25">
      <c r="A25" s="3"/>
      <c r="B25" s="3"/>
      <c r="C25" s="3"/>
      <c r="D25" s="3"/>
      <c r="E25" s="4"/>
      <c r="F25" s="3"/>
      <c r="G25" s="3"/>
      <c r="H25" s="35"/>
      <c r="I25" s="6"/>
      <c r="J25" s="3"/>
      <c r="N25" s="43" t="s">
        <v>128</v>
      </c>
      <c r="O25" s="30">
        <f>SUMIFS(I20:I50,A20:A50,"Investissement")</f>
        <v>0</v>
      </c>
    </row>
    <row r="26" spans="1:15" x14ac:dyDescent="0.25">
      <c r="A26" s="3"/>
      <c r="B26" s="3"/>
      <c r="C26" s="3"/>
      <c r="D26" s="3"/>
      <c r="E26" s="4"/>
      <c r="F26" s="3"/>
      <c r="G26" s="3"/>
      <c r="H26" s="35"/>
      <c r="I26" s="6"/>
      <c r="J26" s="3"/>
      <c r="N26" s="29" t="s">
        <v>55</v>
      </c>
      <c r="O26" s="30">
        <f>SUMIFS(I21:I51,A21:A51,"Personnel")</f>
        <v>0</v>
      </c>
    </row>
    <row r="27" spans="1:15" ht="16.5" thickBot="1" x14ac:dyDescent="0.3">
      <c r="A27" s="3"/>
      <c r="B27" s="3"/>
      <c r="C27" s="3"/>
      <c r="D27" s="3"/>
      <c r="E27" s="4"/>
      <c r="F27" s="3"/>
      <c r="G27" s="3"/>
      <c r="H27" s="35"/>
      <c r="I27" s="6"/>
      <c r="J27" s="3"/>
      <c r="N27" s="31" t="s">
        <v>58</v>
      </c>
      <c r="O27" s="32">
        <f>O24+O26</f>
        <v>8925.7000000000007</v>
      </c>
    </row>
    <row r="28" spans="1:15" x14ac:dyDescent="0.25">
      <c r="A28" s="3"/>
      <c r="B28" s="3"/>
      <c r="C28" s="3"/>
      <c r="D28" s="3"/>
      <c r="E28" s="4"/>
      <c r="F28" s="3"/>
      <c r="G28" s="3"/>
      <c r="H28" s="35"/>
      <c r="I28" s="6"/>
      <c r="J28" s="3"/>
    </row>
    <row r="29" spans="1:15" x14ac:dyDescent="0.25">
      <c r="A29" s="45"/>
      <c r="B29" s="46"/>
      <c r="C29" s="46"/>
      <c r="D29" s="46"/>
      <c r="E29" s="47"/>
      <c r="F29" s="3"/>
      <c r="G29" s="3"/>
      <c r="H29" s="35"/>
      <c r="I29" s="6"/>
      <c r="J29" s="3"/>
    </row>
    <row r="30" spans="1:15" x14ac:dyDescent="0.25">
      <c r="A30" s="3"/>
      <c r="B30" s="3"/>
      <c r="C30" s="3"/>
      <c r="D30" s="3"/>
      <c r="E30" s="4"/>
      <c r="F30" s="3"/>
      <c r="G30" s="3"/>
      <c r="H30" s="35"/>
      <c r="I30" s="6"/>
      <c r="J30" s="3"/>
    </row>
    <row r="31" spans="1:15" x14ac:dyDescent="0.25">
      <c r="A31" s="3"/>
      <c r="B31" s="3"/>
      <c r="C31" s="3"/>
      <c r="D31" s="3"/>
      <c r="E31" s="4"/>
      <c r="F31" s="3"/>
      <c r="G31" s="3"/>
      <c r="H31" s="35"/>
      <c r="I31" s="6"/>
      <c r="J31" s="3"/>
    </row>
    <row r="32" spans="1:15" x14ac:dyDescent="0.25">
      <c r="A32" s="3"/>
      <c r="B32" s="3"/>
      <c r="C32" s="3"/>
      <c r="D32" s="3"/>
      <c r="E32" s="4"/>
      <c r="F32" s="3"/>
      <c r="G32" s="3"/>
      <c r="H32" s="35"/>
      <c r="I32" s="6"/>
      <c r="J32" s="3"/>
    </row>
    <row r="33" spans="1:10" x14ac:dyDescent="0.25">
      <c r="A33" s="3"/>
      <c r="B33" s="3"/>
      <c r="C33" s="3"/>
      <c r="D33" s="3"/>
      <c r="E33" s="4"/>
      <c r="F33" s="3"/>
      <c r="G33" s="3"/>
      <c r="H33" s="35"/>
      <c r="I33" s="6"/>
      <c r="J33" s="3"/>
    </row>
    <row r="34" spans="1:10" x14ac:dyDescent="0.25">
      <c r="A34" s="3"/>
      <c r="B34" s="3"/>
      <c r="C34" s="3"/>
      <c r="D34" s="3"/>
      <c r="E34" s="4"/>
      <c r="F34" s="3"/>
      <c r="G34" s="3"/>
      <c r="H34" s="35"/>
      <c r="I34" s="6"/>
      <c r="J34" s="3"/>
    </row>
    <row r="35" spans="1:10" x14ac:dyDescent="0.25">
      <c r="A35" s="3"/>
      <c r="B35" s="3"/>
      <c r="C35" s="3"/>
      <c r="D35" s="3"/>
      <c r="E35" s="4"/>
      <c r="F35" s="3"/>
      <c r="G35" s="3"/>
      <c r="H35" s="35"/>
      <c r="I35" s="6"/>
      <c r="J35" s="3"/>
    </row>
    <row r="36" spans="1:10" x14ac:dyDescent="0.25">
      <c r="A36" s="3"/>
      <c r="B36" s="3"/>
      <c r="C36" s="3"/>
      <c r="D36" s="3"/>
      <c r="E36" s="4"/>
      <c r="F36" s="3"/>
      <c r="G36" s="3"/>
      <c r="H36" s="35"/>
      <c r="I36" s="6"/>
      <c r="J36" s="3"/>
    </row>
    <row r="37" spans="1:10" x14ac:dyDescent="0.25">
      <c r="A37" s="3"/>
      <c r="B37" s="3"/>
      <c r="C37" s="3"/>
      <c r="D37" s="3"/>
      <c r="E37" s="4"/>
      <c r="F37" s="3"/>
      <c r="G37" s="3"/>
      <c r="H37" s="35"/>
      <c r="I37" s="6"/>
      <c r="J37" s="3"/>
    </row>
    <row r="38" spans="1:10" x14ac:dyDescent="0.25">
      <c r="A38" s="3"/>
      <c r="B38" s="3"/>
      <c r="C38" s="3"/>
      <c r="D38" s="3"/>
      <c r="E38" s="4"/>
      <c r="F38" s="3"/>
      <c r="G38" s="3"/>
      <c r="H38" s="35"/>
      <c r="I38" s="6"/>
      <c r="J38" s="3"/>
    </row>
    <row r="39" spans="1:10" x14ac:dyDescent="0.25">
      <c r="A39" s="3"/>
      <c r="B39" s="3"/>
      <c r="C39" s="3"/>
      <c r="D39" s="3"/>
      <c r="E39" s="4"/>
      <c r="F39" s="3"/>
      <c r="G39" s="3"/>
      <c r="H39" s="35"/>
      <c r="I39" s="6"/>
      <c r="J39" s="3"/>
    </row>
    <row r="40" spans="1:10" x14ac:dyDescent="0.25">
      <c r="A40" s="3"/>
      <c r="B40" s="3"/>
      <c r="C40" s="3"/>
      <c r="D40" s="3"/>
      <c r="E40" s="4"/>
      <c r="F40" s="3"/>
      <c r="G40" s="3"/>
      <c r="H40" s="35"/>
      <c r="I40" s="6"/>
      <c r="J40" s="3"/>
    </row>
    <row r="41" spans="1:10" x14ac:dyDescent="0.25">
      <c r="A41" s="3"/>
      <c r="B41" s="3"/>
      <c r="C41" s="3"/>
      <c r="D41" s="3"/>
      <c r="E41" s="4"/>
      <c r="F41" s="3"/>
      <c r="G41" s="3"/>
      <c r="H41" s="35"/>
      <c r="I41" s="6"/>
      <c r="J41" s="3"/>
    </row>
    <row r="42" spans="1:10" x14ac:dyDescent="0.25">
      <c r="A42" s="3"/>
      <c r="B42" s="3"/>
      <c r="C42" s="3"/>
      <c r="D42" s="3"/>
      <c r="E42" s="4"/>
      <c r="F42" s="3"/>
      <c r="G42" s="3"/>
      <c r="H42" s="35"/>
      <c r="I42" s="6"/>
      <c r="J42" s="3"/>
    </row>
    <row r="43" spans="1:10" x14ac:dyDescent="0.25">
      <c r="A43" s="3"/>
      <c r="B43" s="3"/>
      <c r="C43" s="3"/>
      <c r="D43" s="3"/>
      <c r="E43" s="4"/>
      <c r="F43" s="3"/>
      <c r="G43" s="3"/>
      <c r="H43" s="35"/>
      <c r="I43" s="6"/>
      <c r="J43" s="3"/>
    </row>
    <row r="44" spans="1:10" x14ac:dyDescent="0.25">
      <c r="A44" s="3"/>
      <c r="B44" s="3"/>
      <c r="C44" s="3"/>
      <c r="D44" s="3"/>
      <c r="E44" s="4"/>
      <c r="F44" s="3"/>
      <c r="G44" s="3"/>
      <c r="H44" s="35"/>
      <c r="I44" s="6"/>
      <c r="J44" s="3"/>
    </row>
    <row r="56" spans="2:3" ht="16.5" x14ac:dyDescent="0.3">
      <c r="B56" s="89" t="s">
        <v>20</v>
      </c>
      <c r="C56" s="89"/>
    </row>
    <row r="57" spans="2:3" ht="16.5" x14ac:dyDescent="0.3">
      <c r="B57" s="33" t="s">
        <v>58</v>
      </c>
      <c r="C57" s="34">
        <f>O24</f>
        <v>8925.7000000000007</v>
      </c>
    </row>
    <row r="58" spans="2:3" ht="16.5" x14ac:dyDescent="0.3">
      <c r="B58" s="33" t="s">
        <v>213</v>
      </c>
      <c r="C58" s="34">
        <f>F10</f>
        <v>51074.3</v>
      </c>
    </row>
    <row r="60" spans="2:3" ht="16.5" x14ac:dyDescent="0.3">
      <c r="B60" s="89" t="s">
        <v>22</v>
      </c>
      <c r="C60" s="89"/>
    </row>
    <row r="61" spans="2:3" ht="16.5" x14ac:dyDescent="0.3">
      <c r="B61" s="33" t="s">
        <v>58</v>
      </c>
      <c r="C61" s="34">
        <f>O26</f>
        <v>0</v>
      </c>
    </row>
    <row r="62" spans="2:3" ht="16.5" x14ac:dyDescent="0.3">
      <c r="B62" s="33" t="s">
        <v>213</v>
      </c>
      <c r="C62" s="34">
        <f>F12</f>
        <v>0</v>
      </c>
    </row>
    <row r="64" spans="2:3" ht="16.5" x14ac:dyDescent="0.3">
      <c r="B64" s="89" t="s">
        <v>21</v>
      </c>
      <c r="C64" s="89"/>
    </row>
    <row r="65" spans="2:3" ht="16.5" x14ac:dyDescent="0.3">
      <c r="B65" s="33" t="s">
        <v>58</v>
      </c>
      <c r="C65" s="34">
        <f>O25</f>
        <v>0</v>
      </c>
    </row>
    <row r="66" spans="2:3" ht="16.5" x14ac:dyDescent="0.3">
      <c r="B66" s="33" t="s">
        <v>213</v>
      </c>
      <c r="C66" s="34">
        <f>F11</f>
        <v>0</v>
      </c>
    </row>
  </sheetData>
  <autoFilter ref="A19:J19" xr:uid="{00000000-0009-0000-0000-00000D000000}"/>
  <mergeCells count="5">
    <mergeCell ref="B5:G5"/>
    <mergeCell ref="C8:D8"/>
    <mergeCell ref="B56:C56"/>
    <mergeCell ref="B60:C60"/>
    <mergeCell ref="B64:C64"/>
  </mergeCells>
  <conditionalFormatting sqref="F20:F28">
    <cfRule type="containsBlanks" dxfId="36" priority="1">
      <formula>LEN(TRIM(F20))=0</formula>
    </cfRule>
  </conditionalFormatting>
  <pageMargins left="0.7" right="0.7" top="0.75" bottom="0.75" header="0.3" footer="0.3"/>
  <pageSetup paperSize="9" scale="30" orientation="portrait" horizontalDpi="0" verticalDpi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D00-000000000000}">
          <x14:formula1>
            <xm:f>DATA!$F$6:$F$9</xm:f>
          </x14:formula1>
          <xm:sqref>C20:C28 C30:C44</xm:sqref>
        </x14:dataValidation>
        <x14:dataValidation type="list" allowBlank="1" showInputMessage="1" showErrorMessage="1" xr:uid="{00000000-0002-0000-0D00-000001000000}">
          <x14:formula1>
            <xm:f>DATA!$D$6:$D$11</xm:f>
          </x14:formula1>
          <xm:sqref>B20:B28 B30:B42</xm:sqref>
        </x14:dataValidation>
        <x14:dataValidation type="list" allowBlank="1" showInputMessage="1" showErrorMessage="1" xr:uid="{00000000-0002-0000-0D00-000002000000}">
          <x14:formula1>
            <xm:f>DATA!$A$6:$A$8</xm:f>
          </x14:formula1>
          <xm:sqref>A20:A28 A30:A41</xm:sqref>
        </x14:dataValidation>
        <x14:dataValidation type="list" allowBlank="1" showInputMessage="1" showErrorMessage="1" xr:uid="{00000000-0002-0000-0D00-000003000000}">
          <x14:formula1>
            <xm:f>DATA!$H$6:$H$14</xm:f>
          </x14:formula1>
          <xm:sqref>H20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67"/>
  <sheetViews>
    <sheetView showGridLines="0" topLeftCell="A6" zoomScale="150" zoomScaleNormal="100" workbookViewId="0">
      <selection activeCell="B2" sqref="B2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style="59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45355</v>
      </c>
      <c r="D1" s="1"/>
      <c r="E1" s="1"/>
      <c r="F1" s="1"/>
      <c r="G1" s="1"/>
    </row>
    <row r="2" spans="1:7" ht="17.25" x14ac:dyDescent="0.35">
      <c r="A2" s="1"/>
      <c r="B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232</v>
      </c>
      <c r="D6" s="19"/>
      <c r="E6" s="20" t="s">
        <v>4</v>
      </c>
      <c r="F6" s="19">
        <v>3287</v>
      </c>
      <c r="G6" s="21"/>
    </row>
    <row r="7" spans="1:7" ht="17.25" x14ac:dyDescent="0.35">
      <c r="A7" s="1"/>
      <c r="B7" s="22"/>
      <c r="G7" s="12"/>
    </row>
    <row r="8" spans="1:7" ht="17.25" x14ac:dyDescent="0.35">
      <c r="A8" s="1"/>
      <c r="B8" s="24" t="s">
        <v>5</v>
      </c>
      <c r="C8" s="88" t="s">
        <v>61</v>
      </c>
      <c r="D8" s="88"/>
      <c r="E8" s="23" t="s">
        <v>56</v>
      </c>
      <c r="F8" s="41" t="s">
        <v>95</v>
      </c>
      <c r="G8" s="12"/>
    </row>
    <row r="9" spans="1:7" ht="17.25" x14ac:dyDescent="0.35">
      <c r="A9" s="1"/>
      <c r="B9" s="24" t="s">
        <v>7</v>
      </c>
      <c r="C9" s="39" t="s">
        <v>233</v>
      </c>
      <c r="D9" s="42"/>
      <c r="E9" s="9" t="s">
        <v>10</v>
      </c>
      <c r="F9" s="36">
        <f>C10-O28</f>
        <v>65110.560000000005</v>
      </c>
      <c r="G9" s="12"/>
    </row>
    <row r="10" spans="1:7" ht="17.25" x14ac:dyDescent="0.35">
      <c r="A10" s="1"/>
      <c r="B10" s="13" t="s">
        <v>9</v>
      </c>
      <c r="C10" s="36">
        <v>104000</v>
      </c>
      <c r="D10" s="10"/>
      <c r="E10" s="11" t="s">
        <v>20</v>
      </c>
      <c r="F10" s="36">
        <f>C11-O25</f>
        <v>33330.560000000005</v>
      </c>
      <c r="G10" s="12"/>
    </row>
    <row r="11" spans="1:7" ht="17.25" x14ac:dyDescent="0.35">
      <c r="A11" s="1"/>
      <c r="B11" s="14" t="s">
        <v>20</v>
      </c>
      <c r="C11" s="36">
        <f>7750.02+44249.98+15000</f>
        <v>67000</v>
      </c>
      <c r="D11" s="10"/>
      <c r="E11" s="11" t="s">
        <v>21</v>
      </c>
      <c r="F11" s="44">
        <f>C12-O26</f>
        <v>2000</v>
      </c>
      <c r="G11" s="12"/>
    </row>
    <row r="12" spans="1:7" ht="17.25" x14ac:dyDescent="0.35">
      <c r="A12" s="1"/>
      <c r="B12" s="14" t="s">
        <v>21</v>
      </c>
      <c r="C12" s="36">
        <v>2000</v>
      </c>
      <c r="D12" s="10"/>
      <c r="E12" s="11" t="s">
        <v>22</v>
      </c>
      <c r="F12" s="37">
        <f>C13-O27</f>
        <v>25780</v>
      </c>
      <c r="G12" s="12"/>
    </row>
    <row r="13" spans="1:7" ht="18" thickBot="1" x14ac:dyDescent="0.4">
      <c r="A13" s="1"/>
      <c r="B13" s="15" t="s">
        <v>22</v>
      </c>
      <c r="C13" s="38">
        <v>31000</v>
      </c>
      <c r="D13" s="16"/>
      <c r="E13" s="16"/>
      <c r="F13" s="16"/>
      <c r="G13" s="17"/>
    </row>
    <row r="19" spans="1:15" ht="28.5" x14ac:dyDescent="0.25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42.75" x14ac:dyDescent="0.25">
      <c r="A20" s="3" t="s">
        <v>20</v>
      </c>
      <c r="B20" s="3">
        <v>2024</v>
      </c>
      <c r="C20" s="3" t="s">
        <v>23</v>
      </c>
      <c r="D20" s="4" t="s">
        <v>791</v>
      </c>
      <c r="E20" s="4" t="s">
        <v>792</v>
      </c>
      <c r="F20" s="3"/>
      <c r="G20" s="3" t="s">
        <v>793</v>
      </c>
      <c r="H20" s="35"/>
      <c r="I20" s="6">
        <v>723.6</v>
      </c>
      <c r="J20" s="35" t="s">
        <v>162</v>
      </c>
    </row>
    <row r="21" spans="1:15" ht="28.5" x14ac:dyDescent="0.25">
      <c r="A21" s="3" t="s">
        <v>20</v>
      </c>
      <c r="B21" s="3">
        <v>2022</v>
      </c>
      <c r="C21" s="3" t="s">
        <v>23</v>
      </c>
      <c r="D21" s="3" t="s">
        <v>217</v>
      </c>
      <c r="E21" s="4" t="s">
        <v>234</v>
      </c>
      <c r="F21" s="3"/>
      <c r="G21" s="3" t="s">
        <v>235</v>
      </c>
      <c r="H21" s="35" t="s">
        <v>72</v>
      </c>
      <c r="I21" s="6">
        <v>396.83</v>
      </c>
      <c r="J21" s="35" t="s">
        <v>162</v>
      </c>
    </row>
    <row r="22" spans="1:15" ht="28.5" x14ac:dyDescent="0.25">
      <c r="A22" s="3" t="s">
        <v>20</v>
      </c>
      <c r="B22" s="3">
        <v>2022</v>
      </c>
      <c r="C22" s="3" t="s">
        <v>23</v>
      </c>
      <c r="D22" s="3" t="s">
        <v>108</v>
      </c>
      <c r="E22" s="4" t="s">
        <v>236</v>
      </c>
      <c r="F22" s="3"/>
      <c r="G22" s="3" t="s">
        <v>237</v>
      </c>
      <c r="H22" s="35" t="s">
        <v>72</v>
      </c>
      <c r="I22" s="6">
        <v>635.6</v>
      </c>
      <c r="J22" s="35" t="s">
        <v>162</v>
      </c>
    </row>
    <row r="23" spans="1:15" ht="28.5" x14ac:dyDescent="0.25">
      <c r="A23" s="3" t="s">
        <v>20</v>
      </c>
      <c r="B23" s="3">
        <v>2022</v>
      </c>
      <c r="C23" s="3" t="s">
        <v>23</v>
      </c>
      <c r="D23" s="3" t="s">
        <v>217</v>
      </c>
      <c r="E23" s="4" t="s">
        <v>238</v>
      </c>
      <c r="F23" s="3"/>
      <c r="G23" s="3" t="s">
        <v>239</v>
      </c>
      <c r="H23" s="35" t="s">
        <v>72</v>
      </c>
      <c r="I23" s="6">
        <v>448.4</v>
      </c>
      <c r="J23" s="35" t="s">
        <v>162</v>
      </c>
    </row>
    <row r="24" spans="1:15" ht="72" thickBot="1" x14ac:dyDescent="0.3">
      <c r="A24" s="3" t="s">
        <v>20</v>
      </c>
      <c r="B24" s="3">
        <v>2022</v>
      </c>
      <c r="C24" s="3" t="s">
        <v>23</v>
      </c>
      <c r="D24" s="3" t="s">
        <v>240</v>
      </c>
      <c r="E24" s="4" t="s">
        <v>241</v>
      </c>
      <c r="F24" s="3"/>
      <c r="G24" s="3" t="s">
        <v>242</v>
      </c>
      <c r="H24" s="35" t="s">
        <v>72</v>
      </c>
      <c r="I24" s="6">
        <v>928.62</v>
      </c>
      <c r="J24" s="35" t="s">
        <v>661</v>
      </c>
      <c r="K24" s="71" t="s">
        <v>667</v>
      </c>
    </row>
    <row r="25" spans="1:15" x14ac:dyDescent="0.25">
      <c r="A25" s="3" t="s">
        <v>20</v>
      </c>
      <c r="B25" s="3">
        <v>2023</v>
      </c>
      <c r="C25" s="3" t="s">
        <v>24</v>
      </c>
      <c r="D25" s="3" t="s">
        <v>29</v>
      </c>
      <c r="E25" s="4" t="s">
        <v>243</v>
      </c>
      <c r="F25" s="3"/>
      <c r="G25" s="3" t="s">
        <v>244</v>
      </c>
      <c r="H25" s="35" t="s">
        <v>69</v>
      </c>
      <c r="I25" s="6">
        <v>4392</v>
      </c>
      <c r="J25" s="35" t="s">
        <v>162</v>
      </c>
      <c r="N25" s="27" t="s">
        <v>54</v>
      </c>
      <c r="O25" s="28">
        <f>SUMIFS(I21:I51,A21:A51,"Fonctionnement")</f>
        <v>33669.439999999995</v>
      </c>
    </row>
    <row r="26" spans="1:15" x14ac:dyDescent="0.25">
      <c r="A26" s="3" t="s">
        <v>20</v>
      </c>
      <c r="B26" s="3">
        <v>2023</v>
      </c>
      <c r="C26" s="3" t="s">
        <v>24</v>
      </c>
      <c r="D26" s="3" t="s">
        <v>29</v>
      </c>
      <c r="E26" s="4" t="s">
        <v>342</v>
      </c>
      <c r="F26" s="3"/>
      <c r="G26" s="3" t="s">
        <v>245</v>
      </c>
      <c r="H26" s="35" t="s">
        <v>72</v>
      </c>
      <c r="I26" s="6">
        <v>1160</v>
      </c>
      <c r="J26" s="35" t="s">
        <v>162</v>
      </c>
      <c r="N26" s="43" t="s">
        <v>128</v>
      </c>
      <c r="O26" s="30">
        <f>SUMIFS(I21:I51,A21:A51,"Investissement")</f>
        <v>0</v>
      </c>
    </row>
    <row r="27" spans="1:15" x14ac:dyDescent="0.25">
      <c r="A27" s="3" t="s">
        <v>20</v>
      </c>
      <c r="B27" s="3">
        <v>2023</v>
      </c>
      <c r="C27" s="3" t="s">
        <v>23</v>
      </c>
      <c r="D27" s="3" t="s">
        <v>183</v>
      </c>
      <c r="E27" s="4" t="s">
        <v>246</v>
      </c>
      <c r="F27" s="3"/>
      <c r="G27" s="3" t="s">
        <v>247</v>
      </c>
      <c r="H27" s="35" t="s">
        <v>72</v>
      </c>
      <c r="I27" s="6">
        <f>73.23+127.85</f>
        <v>201.07999999999998</v>
      </c>
      <c r="J27" s="35" t="s">
        <v>162</v>
      </c>
      <c r="N27" s="29" t="s">
        <v>55</v>
      </c>
      <c r="O27" s="30">
        <f>SUMIFS(I22:I52,A22:A52,"Personnel")</f>
        <v>5220</v>
      </c>
    </row>
    <row r="28" spans="1:15" ht="29.25" thickBot="1" x14ac:dyDescent="0.3">
      <c r="A28" s="3" t="s">
        <v>20</v>
      </c>
      <c r="B28" s="3">
        <v>2023</v>
      </c>
      <c r="C28" s="3" t="s">
        <v>23</v>
      </c>
      <c r="D28" s="3" t="s">
        <v>217</v>
      </c>
      <c r="E28" s="4" t="s">
        <v>248</v>
      </c>
      <c r="F28" s="3"/>
      <c r="G28" s="3" t="s">
        <v>249</v>
      </c>
      <c r="H28" s="35" t="s">
        <v>72</v>
      </c>
      <c r="I28" s="6">
        <v>358.8</v>
      </c>
      <c r="J28" s="35" t="s">
        <v>162</v>
      </c>
      <c r="N28" s="31" t="s">
        <v>58</v>
      </c>
      <c r="O28" s="32">
        <f>O25+O27</f>
        <v>38889.439999999995</v>
      </c>
    </row>
    <row r="29" spans="1:15" x14ac:dyDescent="0.25">
      <c r="A29" s="3" t="s">
        <v>20</v>
      </c>
      <c r="B29" s="3">
        <v>2023</v>
      </c>
      <c r="C29" s="3" t="s">
        <v>23</v>
      </c>
      <c r="D29" s="3" t="s">
        <v>250</v>
      </c>
      <c r="E29" s="4" t="s">
        <v>251</v>
      </c>
      <c r="F29" s="3"/>
      <c r="G29" s="7"/>
      <c r="H29" s="35" t="s">
        <v>68</v>
      </c>
      <c r="I29" s="6">
        <v>1200</v>
      </c>
      <c r="J29" s="35" t="s">
        <v>668</v>
      </c>
    </row>
    <row r="30" spans="1:15" ht="28.5" x14ac:dyDescent="0.25">
      <c r="A30" s="45" t="s">
        <v>20</v>
      </c>
      <c r="B30" s="46">
        <v>2023</v>
      </c>
      <c r="C30" s="46" t="s">
        <v>25</v>
      </c>
      <c r="D30" s="46" t="s">
        <v>133</v>
      </c>
      <c r="E30" s="47" t="s">
        <v>335</v>
      </c>
      <c r="F30" s="69">
        <v>58387</v>
      </c>
      <c r="G30" s="7"/>
      <c r="H30" s="35" t="s">
        <v>68</v>
      </c>
      <c r="I30" s="6">
        <v>1948.65</v>
      </c>
      <c r="J30" s="35" t="s">
        <v>162</v>
      </c>
    </row>
    <row r="31" spans="1:15" x14ac:dyDescent="0.25">
      <c r="A31" s="3" t="s">
        <v>20</v>
      </c>
      <c r="B31" s="3">
        <v>2023</v>
      </c>
      <c r="C31" s="3" t="s">
        <v>23</v>
      </c>
      <c r="D31" s="3" t="s">
        <v>29</v>
      </c>
      <c r="E31" s="4" t="s">
        <v>338</v>
      </c>
      <c r="F31" s="7"/>
      <c r="G31" s="3" t="s">
        <v>339</v>
      </c>
      <c r="H31" s="35" t="s">
        <v>72</v>
      </c>
      <c r="I31" s="6">
        <v>4392</v>
      </c>
      <c r="J31" s="35" t="s">
        <v>162</v>
      </c>
    </row>
    <row r="32" spans="1:15" x14ac:dyDescent="0.25">
      <c r="A32" s="3" t="s">
        <v>20</v>
      </c>
      <c r="B32" s="3">
        <v>2023</v>
      </c>
      <c r="C32" s="3" t="s">
        <v>23</v>
      </c>
      <c r="D32" s="3" t="s">
        <v>29</v>
      </c>
      <c r="E32" s="4" t="s">
        <v>341</v>
      </c>
      <c r="F32" s="7"/>
      <c r="G32" s="3" t="s">
        <v>340</v>
      </c>
      <c r="H32" s="35" t="s">
        <v>72</v>
      </c>
      <c r="I32" s="6">
        <v>8460</v>
      </c>
      <c r="J32" s="35" t="s">
        <v>162</v>
      </c>
    </row>
    <row r="33" spans="1:10" x14ac:dyDescent="0.25">
      <c r="A33" s="3" t="s">
        <v>20</v>
      </c>
      <c r="B33" s="3">
        <v>2023</v>
      </c>
      <c r="C33" s="3" t="s">
        <v>23</v>
      </c>
      <c r="D33" s="3" t="s">
        <v>183</v>
      </c>
      <c r="E33" s="4" t="s">
        <v>246</v>
      </c>
      <c r="F33" s="7"/>
      <c r="G33" s="3" t="s">
        <v>398</v>
      </c>
      <c r="H33" s="35" t="s">
        <v>72</v>
      </c>
      <c r="I33" s="6">
        <f>167.71+27.06</f>
        <v>194.77</v>
      </c>
      <c r="J33" s="35" t="s">
        <v>162</v>
      </c>
    </row>
    <row r="34" spans="1:10" ht="28.5" x14ac:dyDescent="0.25">
      <c r="A34" s="3" t="s">
        <v>20</v>
      </c>
      <c r="B34" s="3">
        <v>2023</v>
      </c>
      <c r="C34" s="3" t="s">
        <v>23</v>
      </c>
      <c r="D34" s="3" t="s">
        <v>217</v>
      </c>
      <c r="E34" s="4" t="s">
        <v>666</v>
      </c>
      <c r="F34" s="7"/>
      <c r="G34" s="3" t="s">
        <v>399</v>
      </c>
      <c r="H34" s="35" t="s">
        <v>72</v>
      </c>
      <c r="I34" s="6">
        <v>502.5</v>
      </c>
      <c r="J34" s="35" t="s">
        <v>162</v>
      </c>
    </row>
    <row r="35" spans="1:10" ht="28.5" x14ac:dyDescent="0.25">
      <c r="A35" s="3" t="s">
        <v>20</v>
      </c>
      <c r="B35" s="3">
        <v>2023</v>
      </c>
      <c r="C35" s="3" t="s">
        <v>25</v>
      </c>
      <c r="D35" s="3" t="s">
        <v>400</v>
      </c>
      <c r="E35" s="4" t="s">
        <v>401</v>
      </c>
      <c r="F35" s="69">
        <v>60139</v>
      </c>
      <c r="G35" s="7"/>
      <c r="H35" s="35" t="s">
        <v>72</v>
      </c>
      <c r="I35" s="6">
        <v>858.72</v>
      </c>
      <c r="J35" s="35" t="s">
        <v>162</v>
      </c>
    </row>
    <row r="36" spans="1:10" ht="28.5" x14ac:dyDescent="0.25">
      <c r="A36" s="3" t="s">
        <v>20</v>
      </c>
      <c r="B36" s="3">
        <v>2023</v>
      </c>
      <c r="C36" s="3" t="s">
        <v>25</v>
      </c>
      <c r="D36" s="3" t="s">
        <v>140</v>
      </c>
      <c r="E36" s="4" t="s">
        <v>402</v>
      </c>
      <c r="F36" s="69">
        <v>60231</v>
      </c>
      <c r="G36" s="7"/>
      <c r="H36" s="35" t="s">
        <v>72</v>
      </c>
      <c r="I36" s="6">
        <v>1272.32</v>
      </c>
      <c r="J36" s="35" t="s">
        <v>162</v>
      </c>
    </row>
    <row r="37" spans="1:10" x14ac:dyDescent="0.25">
      <c r="A37" s="3" t="s">
        <v>20</v>
      </c>
      <c r="B37" s="3">
        <v>2023</v>
      </c>
      <c r="C37" s="3" t="s">
        <v>23</v>
      </c>
      <c r="D37" s="3" t="s">
        <v>403</v>
      </c>
      <c r="E37" s="4" t="s">
        <v>408</v>
      </c>
      <c r="F37" s="7"/>
      <c r="G37" s="3" t="s">
        <v>404</v>
      </c>
      <c r="H37" s="35" t="s">
        <v>72</v>
      </c>
      <c r="I37" s="6">
        <v>723.6</v>
      </c>
      <c r="J37" s="35" t="s">
        <v>661</v>
      </c>
    </row>
    <row r="38" spans="1:10" x14ac:dyDescent="0.25">
      <c r="A38" s="3" t="s">
        <v>20</v>
      </c>
      <c r="B38" s="3">
        <v>2023</v>
      </c>
      <c r="C38" s="3" t="s">
        <v>23</v>
      </c>
      <c r="D38" s="3" t="s">
        <v>409</v>
      </c>
      <c r="E38" s="4" t="s">
        <v>410</v>
      </c>
      <c r="F38" s="3"/>
      <c r="G38" s="3" t="s">
        <v>411</v>
      </c>
      <c r="H38" s="35" t="s">
        <v>72</v>
      </c>
      <c r="I38" s="6">
        <v>116.55</v>
      </c>
      <c r="J38" s="35" t="s">
        <v>162</v>
      </c>
    </row>
    <row r="39" spans="1:10" ht="28.5" hidden="1" x14ac:dyDescent="0.25">
      <c r="A39" s="3" t="s">
        <v>22</v>
      </c>
      <c r="B39" s="3">
        <v>2023</v>
      </c>
      <c r="C39" s="3" t="s">
        <v>26</v>
      </c>
      <c r="D39" s="4" t="s">
        <v>507</v>
      </c>
      <c r="E39" s="4" t="s">
        <v>509</v>
      </c>
      <c r="F39" s="3"/>
      <c r="G39" s="3"/>
      <c r="H39" s="35" t="s">
        <v>508</v>
      </c>
      <c r="I39" s="6">
        <v>2340</v>
      </c>
      <c r="J39" s="35" t="s">
        <v>374</v>
      </c>
    </row>
    <row r="40" spans="1:10" ht="28.5" hidden="1" x14ac:dyDescent="0.25">
      <c r="A40" s="3" t="s">
        <v>22</v>
      </c>
      <c r="B40" s="3">
        <v>2024</v>
      </c>
      <c r="C40" s="3" t="s">
        <v>26</v>
      </c>
      <c r="D40" s="3" t="s">
        <v>535</v>
      </c>
      <c r="E40" s="4" t="s">
        <v>541</v>
      </c>
      <c r="F40" s="3"/>
      <c r="G40" s="3"/>
      <c r="H40" s="35" t="s">
        <v>508</v>
      </c>
      <c r="I40" s="6">
        <v>2880</v>
      </c>
      <c r="J40" s="35" t="s">
        <v>374</v>
      </c>
    </row>
    <row r="41" spans="1:10" x14ac:dyDescent="0.25">
      <c r="A41" s="3" t="s">
        <v>20</v>
      </c>
      <c r="B41" s="60">
        <v>2022</v>
      </c>
      <c r="C41" s="60" t="s">
        <v>23</v>
      </c>
      <c r="D41" s="60" t="s">
        <v>29</v>
      </c>
      <c r="E41" s="4" t="s">
        <v>218</v>
      </c>
      <c r="F41" s="3"/>
      <c r="G41" s="3"/>
      <c r="H41" s="35"/>
      <c r="I41" s="6">
        <v>3073</v>
      </c>
      <c r="J41" s="35" t="s">
        <v>162</v>
      </c>
    </row>
    <row r="42" spans="1:10" ht="28.5" x14ac:dyDescent="0.25">
      <c r="A42" s="3" t="s">
        <v>20</v>
      </c>
      <c r="B42" s="3">
        <v>2023</v>
      </c>
      <c r="C42" s="3" t="s">
        <v>25</v>
      </c>
      <c r="D42" s="3" t="s">
        <v>127</v>
      </c>
      <c r="E42" s="4" t="s">
        <v>153</v>
      </c>
      <c r="F42" s="69">
        <v>56014</v>
      </c>
      <c r="G42" s="3"/>
      <c r="H42" s="3" t="s">
        <v>72</v>
      </c>
      <c r="I42" s="6">
        <v>732.8</v>
      </c>
      <c r="J42" s="35" t="s">
        <v>162</v>
      </c>
    </row>
    <row r="43" spans="1:10" ht="28.5" x14ac:dyDescent="0.25">
      <c r="A43" s="3" t="s">
        <v>20</v>
      </c>
      <c r="B43" s="3">
        <v>2022</v>
      </c>
      <c r="C43" s="3" t="s">
        <v>23</v>
      </c>
      <c r="D43" s="3" t="s">
        <v>108</v>
      </c>
      <c r="E43" s="4" t="s">
        <v>662</v>
      </c>
      <c r="F43" s="3"/>
      <c r="G43" s="3" t="s">
        <v>663</v>
      </c>
      <c r="H43" s="35" t="s">
        <v>72</v>
      </c>
      <c r="I43" s="6">
        <v>1271.2</v>
      </c>
      <c r="J43" s="35" t="s">
        <v>162</v>
      </c>
    </row>
    <row r="44" spans="1:10" ht="28.5" x14ac:dyDescent="0.25">
      <c r="A44" s="3" t="s">
        <v>20</v>
      </c>
      <c r="B44" s="3">
        <v>2022</v>
      </c>
      <c r="C44" s="3" t="s">
        <v>23</v>
      </c>
      <c r="D44" s="3" t="s">
        <v>217</v>
      </c>
      <c r="E44" s="4" t="s">
        <v>664</v>
      </c>
      <c r="F44" s="3"/>
      <c r="G44" s="3" t="s">
        <v>665</v>
      </c>
      <c r="H44" s="35" t="s">
        <v>72</v>
      </c>
      <c r="I44" s="6">
        <v>402</v>
      </c>
      <c r="J44" s="35" t="s">
        <v>162</v>
      </c>
    </row>
    <row r="45" spans="1:10" x14ac:dyDescent="0.25">
      <c r="A45" s="3"/>
      <c r="B45" s="3"/>
      <c r="C45" s="3"/>
      <c r="D45" s="3"/>
      <c r="E45" s="4"/>
      <c r="F45" s="3"/>
      <c r="G45" s="3"/>
      <c r="H45" s="35"/>
      <c r="I45" s="6"/>
      <c r="J45" s="35"/>
    </row>
    <row r="57" spans="2:3" ht="16.5" x14ac:dyDescent="0.3">
      <c r="B57" s="89" t="s">
        <v>20</v>
      </c>
      <c r="C57" s="89"/>
    </row>
    <row r="58" spans="2:3" ht="16.5" x14ac:dyDescent="0.3">
      <c r="B58" s="33" t="s">
        <v>58</v>
      </c>
      <c r="C58" s="34">
        <f>O25</f>
        <v>33669.439999999995</v>
      </c>
    </row>
    <row r="59" spans="2:3" ht="16.5" x14ac:dyDescent="0.3">
      <c r="B59" s="33" t="s">
        <v>213</v>
      </c>
      <c r="C59" s="34">
        <f>F10</f>
        <v>33330.560000000005</v>
      </c>
    </row>
    <row r="61" spans="2:3" ht="16.5" x14ac:dyDescent="0.3">
      <c r="B61" s="89" t="s">
        <v>22</v>
      </c>
      <c r="C61" s="89"/>
    </row>
    <row r="62" spans="2:3" ht="16.5" x14ac:dyDescent="0.3">
      <c r="B62" s="33" t="s">
        <v>58</v>
      </c>
      <c r="C62" s="34">
        <f>O27</f>
        <v>5220</v>
      </c>
    </row>
    <row r="63" spans="2:3" ht="16.5" x14ac:dyDescent="0.3">
      <c r="B63" s="33" t="s">
        <v>213</v>
      </c>
      <c r="C63" s="34">
        <f>F12</f>
        <v>25780</v>
      </c>
    </row>
    <row r="65" spans="2:3" ht="16.5" x14ac:dyDescent="0.3">
      <c r="B65" s="89" t="s">
        <v>21</v>
      </c>
      <c r="C65" s="89"/>
    </row>
    <row r="66" spans="2:3" ht="16.5" x14ac:dyDescent="0.3">
      <c r="B66" s="33" t="s">
        <v>58</v>
      </c>
      <c r="C66" s="34">
        <f>O26</f>
        <v>0</v>
      </c>
    </row>
    <row r="67" spans="2:3" ht="16.5" x14ac:dyDescent="0.3">
      <c r="B67" s="33" t="s">
        <v>213</v>
      </c>
      <c r="C67" s="34">
        <f>F11</f>
        <v>2000</v>
      </c>
    </row>
  </sheetData>
  <autoFilter ref="A19:J44" xr:uid="{00000000-0009-0000-0000-00000E000000}">
    <filterColumn colId="0">
      <filters>
        <filter val="CASD"/>
        <filter val="Fonctionnement"/>
      </filters>
    </filterColumn>
  </autoFilter>
  <mergeCells count="5">
    <mergeCell ref="B5:G5"/>
    <mergeCell ref="C8:D8"/>
    <mergeCell ref="B57:C57"/>
    <mergeCell ref="B61:C61"/>
    <mergeCell ref="B65:C65"/>
  </mergeCells>
  <conditionalFormatting sqref="F20:F29">
    <cfRule type="containsBlanks" dxfId="35" priority="8">
      <formula>LEN(TRIM(F20))=0</formula>
    </cfRule>
  </conditionalFormatting>
  <conditionalFormatting sqref="F41">
    <cfRule type="containsBlanks" dxfId="34" priority="5">
      <formula>LEN(TRIM(F41))=0</formula>
    </cfRule>
  </conditionalFormatting>
  <conditionalFormatting sqref="J1:J40 J43:J1048576">
    <cfRule type="containsText" dxfId="33" priority="6" operator="containsText" text="Non">
      <formula>NOT(ISERROR(SEARCH("Non",J1)))</formula>
    </cfRule>
    <cfRule type="containsText" dxfId="32" priority="7" operator="containsText" text="OK">
      <formula>NOT(ISERROR(SEARCH("OK",J1)))</formula>
    </cfRule>
  </conditionalFormatting>
  <conditionalFormatting sqref="J41:J42">
    <cfRule type="containsText" dxfId="31" priority="3" operator="containsText" text="OK">
      <formula>NOT(ISERROR(SEARCH("OK",J41)))</formula>
    </cfRule>
  </conditionalFormatting>
  <conditionalFormatting sqref="K24">
    <cfRule type="containsText" dxfId="30" priority="1" operator="containsText" text="Non">
      <formula>NOT(ISERROR(SEARCH("Non",K24)))</formula>
    </cfRule>
    <cfRule type="containsText" dxfId="29" priority="2" operator="containsText" text="OK">
      <formula>NOT(ISERROR(SEARCH("OK",K24)))</formula>
    </cfRule>
  </conditionalFormatting>
  <pageMargins left="0.7" right="0.7" top="0.75" bottom="0.75" header="0.3" footer="0.3"/>
  <pageSetup paperSize="9" scale="26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E00-000000000000}">
          <x14:formula1>
            <xm:f>DATA!$H$6:$H$14</xm:f>
          </x14:formula1>
          <xm:sqref>H21</xm:sqref>
        </x14:dataValidation>
        <x14:dataValidation type="list" allowBlank="1" showInputMessage="1" showErrorMessage="1" xr:uid="{00000000-0002-0000-0E00-000001000000}">
          <x14:formula1>
            <xm:f>DATA!$A$6:$A$8</xm:f>
          </x14:formula1>
          <xm:sqref>A21:A29 A31:A40</xm:sqref>
        </x14:dataValidation>
        <x14:dataValidation type="list" allowBlank="1" showInputMessage="1" showErrorMessage="1" xr:uid="{00000000-0002-0000-0E00-000002000000}">
          <x14:formula1>
            <xm:f>DATA!$D$6:$D$11</xm:f>
          </x14:formula1>
          <xm:sqref>B21:B29 B31:B40 B42:B43</xm:sqref>
        </x14:dataValidation>
        <x14:dataValidation type="list" allowBlank="1" showInputMessage="1" showErrorMessage="1" xr:uid="{00000000-0002-0000-0E00-000003000000}">
          <x14:formula1>
            <xm:f>DATA!$F$6:$F$9</xm:f>
          </x14:formula1>
          <xm:sqref>C21:C29 C31:C40 C42:C45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66"/>
  <sheetViews>
    <sheetView showGridLines="0" zoomScale="140" zoomScaleNormal="140" workbookViewId="0">
      <selection activeCell="E25" sqref="E25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style="59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45343</v>
      </c>
      <c r="D1" s="1"/>
      <c r="E1" s="1"/>
      <c r="F1" s="1"/>
      <c r="G1" s="1"/>
    </row>
    <row r="2" spans="1:7" ht="17.25" x14ac:dyDescent="0.35">
      <c r="A2" s="1"/>
      <c r="B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227</v>
      </c>
      <c r="D6" s="19"/>
      <c r="E6" s="20" t="s">
        <v>4</v>
      </c>
      <c r="F6" s="19">
        <v>3182</v>
      </c>
      <c r="G6" s="21"/>
    </row>
    <row r="7" spans="1:7" ht="17.25" x14ac:dyDescent="0.35">
      <c r="A7" s="1"/>
      <c r="B7" s="22"/>
      <c r="G7" s="12"/>
    </row>
    <row r="8" spans="1:7" ht="17.25" x14ac:dyDescent="0.35">
      <c r="A8" s="1"/>
      <c r="B8" s="24" t="s">
        <v>5</v>
      </c>
      <c r="C8" s="88" t="s">
        <v>228</v>
      </c>
      <c r="D8" s="88"/>
      <c r="E8" s="23" t="s">
        <v>56</v>
      </c>
      <c r="F8" s="41" t="s">
        <v>95</v>
      </c>
      <c r="G8" s="12"/>
    </row>
    <row r="9" spans="1:7" ht="17.25" x14ac:dyDescent="0.35">
      <c r="A9" s="1"/>
      <c r="B9" s="24" t="s">
        <v>7</v>
      </c>
      <c r="C9" s="39"/>
      <c r="D9" s="42"/>
      <c r="E9" s="9" t="s">
        <v>10</v>
      </c>
      <c r="F9" s="36">
        <f>C10-O27</f>
        <v>2927.6800000000003</v>
      </c>
      <c r="G9" s="12"/>
    </row>
    <row r="10" spans="1:7" ht="17.25" x14ac:dyDescent="0.35">
      <c r="A10" s="1"/>
      <c r="B10" s="13" t="s">
        <v>9</v>
      </c>
      <c r="C10" s="36">
        <v>10400</v>
      </c>
      <c r="D10" s="10"/>
      <c r="E10" s="11" t="s">
        <v>20</v>
      </c>
      <c r="F10" s="36">
        <f>C11-O24</f>
        <v>1833.2400000000016</v>
      </c>
      <c r="G10" s="12"/>
    </row>
    <row r="11" spans="1:7" ht="17.25" x14ac:dyDescent="0.35">
      <c r="A11" s="1"/>
      <c r="B11" s="14" t="s">
        <v>20</v>
      </c>
      <c r="C11" s="36">
        <f>928.95+8376.61</f>
        <v>9305.5600000000013</v>
      </c>
      <c r="D11" s="10"/>
      <c r="E11" s="11" t="s">
        <v>21</v>
      </c>
      <c r="F11" s="44">
        <f>C12-O25</f>
        <v>0</v>
      </c>
      <c r="G11" s="12"/>
    </row>
    <row r="12" spans="1:7" ht="17.25" x14ac:dyDescent="0.35">
      <c r="A12" s="1"/>
      <c r="B12" s="14" t="s">
        <v>21</v>
      </c>
      <c r="C12" s="36">
        <v>0</v>
      </c>
      <c r="D12" s="10"/>
      <c r="E12" s="11" t="s">
        <v>22</v>
      </c>
      <c r="F12" s="37">
        <f>C13-O26</f>
        <v>0</v>
      </c>
      <c r="G12" s="12"/>
    </row>
    <row r="13" spans="1:7" ht="18" thickBot="1" x14ac:dyDescent="0.4">
      <c r="A13" s="1"/>
      <c r="B13" s="15" t="s">
        <v>22</v>
      </c>
      <c r="C13" s="38">
        <v>0</v>
      </c>
      <c r="D13" s="16"/>
      <c r="E13" s="16"/>
      <c r="F13" s="16"/>
      <c r="G13" s="17"/>
    </row>
    <row r="19" spans="1:15" ht="28.5" x14ac:dyDescent="0.25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42.75" x14ac:dyDescent="0.25">
      <c r="A20" s="3" t="s">
        <v>20</v>
      </c>
      <c r="B20" s="3">
        <v>2023</v>
      </c>
      <c r="C20" s="3" t="s">
        <v>25</v>
      </c>
      <c r="D20" s="3" t="s">
        <v>230</v>
      </c>
      <c r="E20" s="4" t="s">
        <v>231</v>
      </c>
      <c r="F20" s="69">
        <v>56842</v>
      </c>
      <c r="G20" s="3"/>
      <c r="H20" s="35" t="s">
        <v>67</v>
      </c>
      <c r="I20" s="6">
        <v>3511.14</v>
      </c>
      <c r="J20" s="35" t="s">
        <v>162</v>
      </c>
    </row>
    <row r="21" spans="1:15" ht="28.5" x14ac:dyDescent="0.25">
      <c r="A21" s="3" t="s">
        <v>20</v>
      </c>
      <c r="B21" s="3">
        <v>2023</v>
      </c>
      <c r="C21" s="3" t="s">
        <v>23</v>
      </c>
      <c r="D21" s="3" t="s">
        <v>108</v>
      </c>
      <c r="E21" s="4" t="s">
        <v>656</v>
      </c>
      <c r="F21" s="3"/>
      <c r="G21" s="3" t="s">
        <v>412</v>
      </c>
      <c r="H21" s="35" t="s">
        <v>68</v>
      </c>
      <c r="I21" s="6">
        <v>424.4</v>
      </c>
      <c r="J21" s="35" t="s">
        <v>162</v>
      </c>
    </row>
    <row r="22" spans="1:15" ht="28.5" x14ac:dyDescent="0.25">
      <c r="A22" s="3" t="s">
        <v>20</v>
      </c>
      <c r="B22" s="3">
        <v>2023</v>
      </c>
      <c r="C22" s="3" t="s">
        <v>23</v>
      </c>
      <c r="D22" s="3" t="s">
        <v>217</v>
      </c>
      <c r="E22" s="4" t="s">
        <v>413</v>
      </c>
      <c r="F22" s="3"/>
      <c r="G22" s="3" t="s">
        <v>414</v>
      </c>
      <c r="H22" s="35" t="s">
        <v>68</v>
      </c>
      <c r="I22" s="6">
        <v>1611.47</v>
      </c>
      <c r="J22" s="35" t="s">
        <v>162</v>
      </c>
    </row>
    <row r="23" spans="1:15" ht="29.25" thickBot="1" x14ac:dyDescent="0.3">
      <c r="A23" s="3" t="s">
        <v>20</v>
      </c>
      <c r="B23" s="3">
        <v>2022</v>
      </c>
      <c r="C23" s="3" t="s">
        <v>23</v>
      </c>
      <c r="D23" s="3" t="s">
        <v>108</v>
      </c>
      <c r="E23" s="4" t="s">
        <v>654</v>
      </c>
      <c r="F23" s="3"/>
      <c r="G23" s="3" t="s">
        <v>655</v>
      </c>
      <c r="H23" s="35" t="s">
        <v>68</v>
      </c>
      <c r="I23" s="6">
        <v>476.7</v>
      </c>
      <c r="J23" s="35" t="s">
        <v>162</v>
      </c>
    </row>
    <row r="24" spans="1:15" ht="28.5" x14ac:dyDescent="0.25">
      <c r="A24" s="3" t="s">
        <v>20</v>
      </c>
      <c r="B24" s="3">
        <v>2022</v>
      </c>
      <c r="C24" s="3" t="s">
        <v>23</v>
      </c>
      <c r="D24" s="3" t="s">
        <v>108</v>
      </c>
      <c r="E24" s="4" t="s">
        <v>657</v>
      </c>
      <c r="F24" s="3"/>
      <c r="G24" s="3" t="s">
        <v>412</v>
      </c>
      <c r="H24" s="35" t="s">
        <v>68</v>
      </c>
      <c r="I24" s="6">
        <v>654.79999999999995</v>
      </c>
      <c r="J24" s="35" t="s">
        <v>162</v>
      </c>
      <c r="N24" s="27" t="s">
        <v>54</v>
      </c>
      <c r="O24" s="28">
        <f>SUMIFS(I20:I50,A20:A50,"Fonctionnement")</f>
        <v>7472.32</v>
      </c>
    </row>
    <row r="25" spans="1:15" ht="28.5" x14ac:dyDescent="0.25">
      <c r="A25" s="3" t="s">
        <v>20</v>
      </c>
      <c r="B25" s="3">
        <v>2023</v>
      </c>
      <c r="C25" s="3" t="s">
        <v>25</v>
      </c>
      <c r="D25" s="3" t="s">
        <v>658</v>
      </c>
      <c r="E25" s="4" t="s">
        <v>659</v>
      </c>
      <c r="F25" s="69">
        <v>58066</v>
      </c>
      <c r="G25" s="3"/>
      <c r="H25" s="35" t="s">
        <v>67</v>
      </c>
      <c r="I25" s="6">
        <v>793.81</v>
      </c>
      <c r="J25" s="35" t="s">
        <v>162</v>
      </c>
      <c r="N25" s="43" t="s">
        <v>128</v>
      </c>
      <c r="O25" s="30">
        <f>SUMIFS(I20:I50,A20:A50,"Investissement")</f>
        <v>0</v>
      </c>
    </row>
    <row r="26" spans="1:15" x14ac:dyDescent="0.25">
      <c r="A26" s="3"/>
      <c r="B26" s="3"/>
      <c r="C26" s="3"/>
      <c r="D26" s="3"/>
      <c r="E26" s="4"/>
      <c r="F26" s="3"/>
      <c r="G26" s="3"/>
      <c r="H26" s="35"/>
      <c r="I26" s="6"/>
      <c r="J26" s="35"/>
      <c r="N26" s="29" t="s">
        <v>55</v>
      </c>
      <c r="O26" s="30">
        <f>SUMIFS(I20:I51,A20:A51,"Personnel")</f>
        <v>0</v>
      </c>
    </row>
    <row r="27" spans="1:15" ht="16.5" thickBot="1" x14ac:dyDescent="0.3">
      <c r="A27" s="3"/>
      <c r="B27" s="3"/>
      <c r="C27" s="3"/>
      <c r="D27" s="3"/>
      <c r="E27" s="4"/>
      <c r="F27" s="3"/>
      <c r="G27" s="3"/>
      <c r="H27" s="35"/>
      <c r="I27" s="6"/>
      <c r="J27" s="35"/>
      <c r="N27" s="31" t="s">
        <v>58</v>
      </c>
      <c r="O27" s="32">
        <f>O24+O26</f>
        <v>7472.32</v>
      </c>
    </row>
    <row r="28" spans="1:15" x14ac:dyDescent="0.25">
      <c r="A28" s="3"/>
      <c r="B28" s="3"/>
      <c r="C28" s="3"/>
      <c r="D28" s="3"/>
      <c r="E28" s="4"/>
      <c r="F28" s="3"/>
      <c r="G28" s="3"/>
      <c r="H28" s="35"/>
      <c r="I28" s="6"/>
      <c r="J28" s="35"/>
    </row>
    <row r="29" spans="1:15" x14ac:dyDescent="0.25">
      <c r="A29" s="45"/>
      <c r="B29" s="46"/>
      <c r="C29" s="46"/>
      <c r="D29" s="46"/>
      <c r="E29" s="47"/>
      <c r="F29" s="3"/>
      <c r="G29" s="3"/>
      <c r="H29" s="35"/>
      <c r="I29" s="6"/>
      <c r="J29" s="35"/>
    </row>
    <row r="30" spans="1:15" x14ac:dyDescent="0.2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 x14ac:dyDescent="0.2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 x14ac:dyDescent="0.2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 x14ac:dyDescent="0.25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 x14ac:dyDescent="0.25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 x14ac:dyDescent="0.25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 x14ac:dyDescent="0.25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 x14ac:dyDescent="0.25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 x14ac:dyDescent="0.25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 x14ac:dyDescent="0.25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 x14ac:dyDescent="0.25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 x14ac:dyDescent="0.25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 x14ac:dyDescent="0.25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 x14ac:dyDescent="0.25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 x14ac:dyDescent="0.25">
      <c r="A44" s="3"/>
      <c r="B44" s="3"/>
      <c r="C44" s="3"/>
      <c r="D44" s="3"/>
      <c r="E44" s="4"/>
      <c r="F44" s="3"/>
      <c r="G44" s="3"/>
      <c r="H44" s="35"/>
      <c r="I44" s="6"/>
      <c r="J44" s="35"/>
    </row>
    <row r="56" spans="2:3" ht="16.5" x14ac:dyDescent="0.3">
      <c r="B56" s="89" t="s">
        <v>20</v>
      </c>
      <c r="C56" s="89"/>
    </row>
    <row r="57" spans="2:3" ht="16.5" x14ac:dyDescent="0.3">
      <c r="B57" s="33" t="s">
        <v>58</v>
      </c>
      <c r="C57" s="34">
        <f>O24</f>
        <v>7472.32</v>
      </c>
    </row>
    <row r="58" spans="2:3" ht="16.5" x14ac:dyDescent="0.3">
      <c r="B58" s="33" t="s">
        <v>213</v>
      </c>
      <c r="C58" s="34">
        <f>F10</f>
        <v>1833.2400000000016</v>
      </c>
    </row>
    <row r="60" spans="2:3" ht="16.5" x14ac:dyDescent="0.3">
      <c r="B60" s="89" t="s">
        <v>22</v>
      </c>
      <c r="C60" s="89"/>
    </row>
    <row r="61" spans="2:3" ht="16.5" x14ac:dyDescent="0.3">
      <c r="B61" s="33" t="s">
        <v>58</v>
      </c>
      <c r="C61" s="34">
        <f>O26</f>
        <v>0</v>
      </c>
    </row>
    <row r="62" spans="2:3" ht="16.5" x14ac:dyDescent="0.3">
      <c r="B62" s="33" t="s">
        <v>213</v>
      </c>
      <c r="C62" s="34">
        <f>F12</f>
        <v>0</v>
      </c>
    </row>
    <row r="64" spans="2:3" ht="16.5" x14ac:dyDescent="0.3">
      <c r="B64" s="89" t="s">
        <v>21</v>
      </c>
      <c r="C64" s="89"/>
    </row>
    <row r="65" spans="2:3" ht="16.5" x14ac:dyDescent="0.3">
      <c r="B65" s="33" t="s">
        <v>58</v>
      </c>
      <c r="C65" s="34">
        <f>O25</f>
        <v>0</v>
      </c>
    </row>
    <row r="66" spans="2:3" ht="16.5" x14ac:dyDescent="0.3">
      <c r="B66" s="33" t="s">
        <v>213</v>
      </c>
      <c r="C66" s="34">
        <f>F11</f>
        <v>0</v>
      </c>
    </row>
  </sheetData>
  <autoFilter ref="A19:J19" xr:uid="{00000000-0009-0000-0000-00000F000000}"/>
  <mergeCells count="5">
    <mergeCell ref="B5:G5"/>
    <mergeCell ref="C8:D8"/>
    <mergeCell ref="B56:C56"/>
    <mergeCell ref="B60:C60"/>
    <mergeCell ref="B64:C64"/>
  </mergeCells>
  <conditionalFormatting sqref="F20:F28">
    <cfRule type="containsBlanks" dxfId="28" priority="2">
      <formula>LEN(TRIM(F20))=0</formula>
    </cfRule>
  </conditionalFormatting>
  <conditionalFormatting sqref="J1:J1048576">
    <cfRule type="containsText" dxfId="27" priority="1" operator="containsText" text="OK">
      <formula>NOT(ISERROR(SEARCH("OK",J1)))</formula>
    </cfRule>
  </conditionalFormatting>
  <pageMargins left="0.7" right="0.7" top="0.75" bottom="0.75" header="0.3" footer="0.3"/>
  <pageSetup paperSize="9" scale="26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F00-000000000000}">
          <x14:formula1>
            <xm:f>DATA!$F$6:$F$9</xm:f>
          </x14:formula1>
          <xm:sqref>C30:C44 C20:C28</xm:sqref>
        </x14:dataValidation>
        <x14:dataValidation type="list" allowBlank="1" showInputMessage="1" showErrorMessage="1" xr:uid="{00000000-0002-0000-0F00-000001000000}">
          <x14:formula1>
            <xm:f>DATA!$D$6:$D$11</xm:f>
          </x14:formula1>
          <xm:sqref>B30:B42 B20:B28</xm:sqref>
        </x14:dataValidation>
        <x14:dataValidation type="list" allowBlank="1" showInputMessage="1" showErrorMessage="1" xr:uid="{00000000-0002-0000-0F00-000002000000}">
          <x14:formula1>
            <xm:f>DATA!$A$6:$A$8</xm:f>
          </x14:formula1>
          <xm:sqref>A30:A41 A20:A28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filterMode="1"/>
  <dimension ref="A1:O66"/>
  <sheetViews>
    <sheetView showGridLines="0" zoomScale="140" zoomScaleNormal="140" workbookViewId="0">
      <selection activeCell="B2" sqref="B2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45343</v>
      </c>
      <c r="D1" s="1"/>
      <c r="E1" s="1"/>
      <c r="F1" s="1"/>
      <c r="G1" s="1"/>
    </row>
    <row r="2" spans="1:7" ht="17.25" x14ac:dyDescent="0.35">
      <c r="A2" s="1"/>
      <c r="B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229</v>
      </c>
      <c r="D6" s="19"/>
      <c r="E6" s="20" t="s">
        <v>4</v>
      </c>
      <c r="F6" s="19">
        <v>3181</v>
      </c>
      <c r="G6" s="21"/>
    </row>
    <row r="7" spans="1:7" ht="17.25" x14ac:dyDescent="0.35">
      <c r="A7" s="1"/>
      <c r="B7" s="22"/>
      <c r="G7" s="12"/>
    </row>
    <row r="8" spans="1:7" ht="17.25" x14ac:dyDescent="0.35">
      <c r="A8" s="1"/>
      <c r="B8" s="24" t="s">
        <v>5</v>
      </c>
      <c r="C8" s="88" t="s">
        <v>226</v>
      </c>
      <c r="D8" s="88"/>
      <c r="E8" s="23" t="s">
        <v>56</v>
      </c>
      <c r="F8" s="41" t="s">
        <v>95</v>
      </c>
      <c r="G8" s="12"/>
    </row>
    <row r="9" spans="1:7" ht="17.25" x14ac:dyDescent="0.35">
      <c r="A9" s="1"/>
      <c r="B9" s="24" t="s">
        <v>7</v>
      </c>
      <c r="C9" s="39"/>
      <c r="D9" s="42"/>
      <c r="E9" s="9" t="s">
        <v>10</v>
      </c>
      <c r="F9" s="36">
        <f>C10-O27</f>
        <v>34043.8299999999</v>
      </c>
      <c r="G9" s="12"/>
    </row>
    <row r="10" spans="1:7" ht="17.25" x14ac:dyDescent="0.35">
      <c r="A10" s="1"/>
      <c r="B10" s="13" t="s">
        <v>9</v>
      </c>
      <c r="C10" s="36">
        <v>432000</v>
      </c>
      <c r="D10" s="10"/>
      <c r="E10" s="11" t="s">
        <v>20</v>
      </c>
      <c r="F10" s="36">
        <f>C11-O24</f>
        <v>-332.23</v>
      </c>
      <c r="G10" s="12"/>
    </row>
    <row r="11" spans="1:7" ht="17.25" x14ac:dyDescent="0.35">
      <c r="A11" s="1"/>
      <c r="B11" s="14" t="s">
        <v>20</v>
      </c>
      <c r="C11" s="36">
        <v>3420</v>
      </c>
      <c r="D11" s="10"/>
      <c r="E11" s="11" t="s">
        <v>21</v>
      </c>
      <c r="F11" s="44">
        <f>C12-O25</f>
        <v>0</v>
      </c>
      <c r="G11" s="12"/>
    </row>
    <row r="12" spans="1:7" ht="17.25" x14ac:dyDescent="0.35">
      <c r="A12" s="1"/>
      <c r="B12" s="14" t="s">
        <v>21</v>
      </c>
      <c r="C12" s="36">
        <v>0</v>
      </c>
      <c r="D12" s="10"/>
      <c r="E12" s="11" t="s">
        <v>22</v>
      </c>
      <c r="F12" s="37">
        <f>C13-O26</f>
        <v>34396.059999999881</v>
      </c>
      <c r="G12" s="12"/>
    </row>
    <row r="13" spans="1:7" ht="18" thickBot="1" x14ac:dyDescent="0.4">
      <c r="A13" s="1"/>
      <c r="B13" s="15" t="s">
        <v>22</v>
      </c>
      <c r="C13" s="38">
        <v>428600</v>
      </c>
      <c r="D13" s="16"/>
      <c r="E13" s="16"/>
      <c r="F13" s="16"/>
      <c r="G13" s="17"/>
    </row>
    <row r="19" spans="1:15" ht="28.5" x14ac:dyDescent="0.25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x14ac:dyDescent="0.25">
      <c r="A20" s="3" t="s">
        <v>20</v>
      </c>
      <c r="B20" s="3">
        <v>2023</v>
      </c>
      <c r="C20" s="3" t="s">
        <v>25</v>
      </c>
      <c r="D20" s="3" t="s">
        <v>336</v>
      </c>
      <c r="E20" s="4" t="s">
        <v>337</v>
      </c>
      <c r="F20" s="3">
        <v>56844</v>
      </c>
      <c r="G20" s="3"/>
      <c r="H20" s="35" t="s">
        <v>66</v>
      </c>
      <c r="I20" s="6">
        <v>1711.03</v>
      </c>
      <c r="J20" s="35" t="s">
        <v>374</v>
      </c>
    </row>
    <row r="21" spans="1:15" ht="28.5" hidden="1" x14ac:dyDescent="0.25">
      <c r="A21" s="3" t="s">
        <v>22</v>
      </c>
      <c r="B21" s="3">
        <v>2022</v>
      </c>
      <c r="C21" s="3" t="s">
        <v>26</v>
      </c>
      <c r="D21" s="3" t="s">
        <v>377</v>
      </c>
      <c r="E21" s="4" t="s">
        <v>519</v>
      </c>
      <c r="F21" s="3"/>
      <c r="G21" s="3"/>
      <c r="H21" s="35" t="s">
        <v>66</v>
      </c>
      <c r="I21" s="6">
        <v>37747.660000000003</v>
      </c>
      <c r="J21" s="35" t="s">
        <v>162</v>
      </c>
    </row>
    <row r="22" spans="1:15" ht="28.5" hidden="1" x14ac:dyDescent="0.25">
      <c r="A22" s="3" t="s">
        <v>22</v>
      </c>
      <c r="B22" s="3">
        <v>2023</v>
      </c>
      <c r="C22" s="3" t="s">
        <v>26</v>
      </c>
      <c r="D22" s="3" t="s">
        <v>129</v>
      </c>
      <c r="E22" s="4" t="s">
        <v>520</v>
      </c>
      <c r="F22" s="3"/>
      <c r="G22" s="3"/>
      <c r="H22" s="35" t="s">
        <v>66</v>
      </c>
      <c r="I22" s="6">
        <v>30165.66</v>
      </c>
      <c r="J22" s="35" t="s">
        <v>162</v>
      </c>
    </row>
    <row r="23" spans="1:15" ht="28.5" hidden="1" x14ac:dyDescent="0.25">
      <c r="A23" s="3" t="s">
        <v>22</v>
      </c>
      <c r="B23" s="3">
        <v>2018</v>
      </c>
      <c r="C23" s="3" t="s">
        <v>26</v>
      </c>
      <c r="D23" s="3" t="s">
        <v>510</v>
      </c>
      <c r="E23" s="4" t="s">
        <v>521</v>
      </c>
      <c r="F23" s="3"/>
      <c r="G23" s="3"/>
      <c r="H23" s="35" t="s">
        <v>66</v>
      </c>
      <c r="I23" s="6">
        <v>24346.17</v>
      </c>
      <c r="J23" s="35" t="s">
        <v>162</v>
      </c>
    </row>
    <row r="24" spans="1:15" ht="28.5" hidden="1" x14ac:dyDescent="0.25">
      <c r="A24" s="3" t="s">
        <v>22</v>
      </c>
      <c r="B24" s="3">
        <v>2022</v>
      </c>
      <c r="C24" s="3" t="s">
        <v>26</v>
      </c>
      <c r="D24" s="3" t="s">
        <v>511</v>
      </c>
      <c r="E24" s="62" t="s">
        <v>519</v>
      </c>
      <c r="F24" s="3"/>
      <c r="G24" s="3"/>
      <c r="H24" s="35" t="s">
        <v>66</v>
      </c>
      <c r="I24" s="6">
        <v>44316.18</v>
      </c>
      <c r="J24" s="35" t="s">
        <v>162</v>
      </c>
      <c r="N24" s="27" t="s">
        <v>54</v>
      </c>
      <c r="O24" s="28">
        <f>SUMIFS(I20:I50,A20:A50,"Fonctionnement")</f>
        <v>3752.23</v>
      </c>
    </row>
    <row r="25" spans="1:15" ht="28.5" hidden="1" x14ac:dyDescent="0.25">
      <c r="A25" s="3" t="s">
        <v>22</v>
      </c>
      <c r="B25" s="3">
        <v>2021</v>
      </c>
      <c r="C25" s="3" t="s">
        <v>26</v>
      </c>
      <c r="D25" s="3" t="s">
        <v>261</v>
      </c>
      <c r="E25" s="4" t="s">
        <v>518</v>
      </c>
      <c r="F25" s="3"/>
      <c r="G25" s="3"/>
      <c r="H25" s="35" t="s">
        <v>66</v>
      </c>
      <c r="I25" s="6">
        <v>115490</v>
      </c>
      <c r="J25" s="35" t="s">
        <v>374</v>
      </c>
      <c r="N25" s="43" t="s">
        <v>128</v>
      </c>
      <c r="O25" s="30">
        <f>SUMIFS(I20:I50,A20:A50,"Investissement")</f>
        <v>0</v>
      </c>
    </row>
    <row r="26" spans="1:15" ht="28.5" hidden="1" x14ac:dyDescent="0.25">
      <c r="A26" s="3" t="s">
        <v>22</v>
      </c>
      <c r="B26" s="3">
        <v>2023</v>
      </c>
      <c r="C26" s="3" t="s">
        <v>26</v>
      </c>
      <c r="D26" s="3" t="s">
        <v>512</v>
      </c>
      <c r="E26" s="62" t="s">
        <v>517</v>
      </c>
      <c r="F26" s="3"/>
      <c r="G26" s="3"/>
      <c r="H26" s="35" t="s">
        <v>66</v>
      </c>
      <c r="I26" s="6">
        <v>22490</v>
      </c>
      <c r="J26" s="35" t="s">
        <v>374</v>
      </c>
      <c r="N26" s="29" t="s">
        <v>55</v>
      </c>
      <c r="O26" s="30">
        <f>SUMIFS(I21:I51,A21:A51,"Personnel")</f>
        <v>394203.94000000012</v>
      </c>
    </row>
    <row r="27" spans="1:15" ht="29.25" hidden="1" thickBot="1" x14ac:dyDescent="0.3">
      <c r="A27" s="3" t="s">
        <v>22</v>
      </c>
      <c r="B27" s="3">
        <v>2019</v>
      </c>
      <c r="C27" s="3" t="s">
        <v>26</v>
      </c>
      <c r="D27" s="3" t="s">
        <v>513</v>
      </c>
      <c r="E27" s="4" t="s">
        <v>515</v>
      </c>
      <c r="F27" s="3"/>
      <c r="G27" s="3"/>
      <c r="H27" s="35" t="s">
        <v>66</v>
      </c>
      <c r="I27" s="6">
        <v>33229.31</v>
      </c>
      <c r="J27" s="35" t="s">
        <v>162</v>
      </c>
      <c r="N27" s="31" t="s">
        <v>58</v>
      </c>
      <c r="O27" s="32">
        <f>O24+O26</f>
        <v>397956.1700000001</v>
      </c>
    </row>
    <row r="28" spans="1:15" ht="28.5" hidden="1" x14ac:dyDescent="0.25">
      <c r="A28" s="3" t="s">
        <v>22</v>
      </c>
      <c r="B28" s="3">
        <v>2023</v>
      </c>
      <c r="C28" s="3" t="s">
        <v>26</v>
      </c>
      <c r="D28" s="3" t="s">
        <v>514</v>
      </c>
      <c r="E28" s="62" t="s">
        <v>516</v>
      </c>
      <c r="F28" s="3"/>
      <c r="G28" s="3"/>
      <c r="H28" s="35" t="s">
        <v>66</v>
      </c>
      <c r="I28" s="6">
        <v>5968.59</v>
      </c>
      <c r="J28" s="35" t="s">
        <v>162</v>
      </c>
    </row>
    <row r="29" spans="1:15" ht="28.5" hidden="1" x14ac:dyDescent="0.25">
      <c r="A29" s="45" t="s">
        <v>22</v>
      </c>
      <c r="B29" s="3">
        <v>2021</v>
      </c>
      <c r="C29" s="46" t="s">
        <v>26</v>
      </c>
      <c r="D29" s="46" t="s">
        <v>522</v>
      </c>
      <c r="E29" s="47" t="s">
        <v>523</v>
      </c>
      <c r="F29" s="3"/>
      <c r="G29" s="3"/>
      <c r="H29" s="35" t="s">
        <v>66</v>
      </c>
      <c r="I29" s="6">
        <v>41029.83</v>
      </c>
      <c r="J29" s="35" t="s">
        <v>162</v>
      </c>
    </row>
    <row r="30" spans="1:15" ht="28.5" hidden="1" x14ac:dyDescent="0.25">
      <c r="A30" s="3" t="s">
        <v>22</v>
      </c>
      <c r="B30" s="3">
        <v>2022</v>
      </c>
      <c r="C30" s="3" t="s">
        <v>26</v>
      </c>
      <c r="D30" s="3" t="s">
        <v>524</v>
      </c>
      <c r="E30" s="4" t="s">
        <v>525</v>
      </c>
      <c r="F30" s="3"/>
      <c r="G30" s="3"/>
      <c r="H30" s="35" t="s">
        <v>66</v>
      </c>
      <c r="I30" s="6">
        <v>8670.2099999999991</v>
      </c>
      <c r="J30" s="35" t="s">
        <v>162</v>
      </c>
    </row>
    <row r="31" spans="1:15" ht="28.5" hidden="1" x14ac:dyDescent="0.25">
      <c r="A31" s="3" t="s">
        <v>22</v>
      </c>
      <c r="B31" s="3">
        <v>2022</v>
      </c>
      <c r="C31" s="3" t="s">
        <v>26</v>
      </c>
      <c r="D31" s="3" t="s">
        <v>526</v>
      </c>
      <c r="E31" s="4" t="s">
        <v>527</v>
      </c>
      <c r="F31" s="3"/>
      <c r="G31" s="3"/>
      <c r="H31" s="35" t="s">
        <v>66</v>
      </c>
      <c r="I31" s="6">
        <v>1796.33</v>
      </c>
      <c r="J31" s="35" t="s">
        <v>162</v>
      </c>
    </row>
    <row r="32" spans="1:15" ht="28.5" hidden="1" x14ac:dyDescent="0.25">
      <c r="A32" s="3" t="s">
        <v>22</v>
      </c>
      <c r="B32" s="3">
        <v>2023</v>
      </c>
      <c r="C32" s="3" t="s">
        <v>26</v>
      </c>
      <c r="D32" s="3" t="s">
        <v>115</v>
      </c>
      <c r="E32" s="4" t="s">
        <v>528</v>
      </c>
      <c r="F32" s="3"/>
      <c r="G32" s="3"/>
      <c r="H32" s="35" t="s">
        <v>66</v>
      </c>
      <c r="I32" s="6">
        <v>27950</v>
      </c>
      <c r="J32" s="35" t="s">
        <v>374</v>
      </c>
    </row>
    <row r="33" spans="1:10" ht="28.5" hidden="1" x14ac:dyDescent="0.25">
      <c r="A33" s="3" t="s">
        <v>22</v>
      </c>
      <c r="B33" s="3">
        <v>2022</v>
      </c>
      <c r="C33" s="3" t="s">
        <v>26</v>
      </c>
      <c r="D33" s="3" t="s">
        <v>529</v>
      </c>
      <c r="E33" s="4" t="s">
        <v>530</v>
      </c>
      <c r="F33" s="3"/>
      <c r="G33" s="3"/>
      <c r="H33" s="35" t="s">
        <v>66</v>
      </c>
      <c r="I33" s="6">
        <v>1004</v>
      </c>
      <c r="J33" s="35" t="s">
        <v>162</v>
      </c>
    </row>
    <row r="34" spans="1:10" ht="28.5" x14ac:dyDescent="0.25">
      <c r="A34" s="3" t="s">
        <v>20</v>
      </c>
      <c r="B34" s="3">
        <v>2023</v>
      </c>
      <c r="C34" s="3" t="s">
        <v>26</v>
      </c>
      <c r="D34" s="3" t="s">
        <v>584</v>
      </c>
      <c r="E34" s="4" t="s">
        <v>585</v>
      </c>
      <c r="F34" s="3"/>
      <c r="G34" s="3"/>
      <c r="H34" s="35" t="s">
        <v>66</v>
      </c>
      <c r="I34" s="6">
        <f>567+510.3+141.75</f>
        <v>1219.05</v>
      </c>
      <c r="J34" s="35" t="s">
        <v>162</v>
      </c>
    </row>
    <row r="35" spans="1:10" ht="28.5" x14ac:dyDescent="0.25">
      <c r="A35" s="3" t="s">
        <v>20</v>
      </c>
      <c r="B35" s="3">
        <v>2023</v>
      </c>
      <c r="C35" s="3" t="s">
        <v>26</v>
      </c>
      <c r="D35" s="3" t="s">
        <v>586</v>
      </c>
      <c r="E35" s="4" t="s">
        <v>585</v>
      </c>
      <c r="F35" s="3"/>
      <c r="G35" s="3"/>
      <c r="H35" s="35" t="s">
        <v>66</v>
      </c>
      <c r="I35" s="6">
        <f>425.25+255.15+141.75</f>
        <v>822.15</v>
      </c>
      <c r="J35" s="35" t="s">
        <v>162</v>
      </c>
    </row>
    <row r="36" spans="1:10" x14ac:dyDescent="0.25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 x14ac:dyDescent="0.25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 x14ac:dyDescent="0.25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 x14ac:dyDescent="0.25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 x14ac:dyDescent="0.25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 x14ac:dyDescent="0.25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 x14ac:dyDescent="0.25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 x14ac:dyDescent="0.25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 x14ac:dyDescent="0.25">
      <c r="A44" s="3"/>
      <c r="B44" s="3"/>
      <c r="C44" s="3"/>
      <c r="D44" s="3"/>
      <c r="E44" s="4"/>
      <c r="F44" s="3"/>
      <c r="G44" s="3"/>
      <c r="H44" s="35"/>
      <c r="I44" s="6"/>
      <c r="J44" s="35"/>
    </row>
    <row r="56" spans="2:3" ht="16.5" x14ac:dyDescent="0.3">
      <c r="B56" s="89" t="s">
        <v>20</v>
      </c>
      <c r="C56" s="89"/>
    </row>
    <row r="57" spans="2:3" ht="16.5" x14ac:dyDescent="0.3">
      <c r="B57" s="33" t="s">
        <v>58</v>
      </c>
      <c r="C57" s="34">
        <f>O24</f>
        <v>3752.23</v>
      </c>
    </row>
    <row r="58" spans="2:3" ht="16.5" x14ac:dyDescent="0.3">
      <c r="B58" s="33" t="s">
        <v>213</v>
      </c>
      <c r="C58" s="34">
        <f>F10</f>
        <v>-332.23</v>
      </c>
    </row>
    <row r="60" spans="2:3" ht="16.5" x14ac:dyDescent="0.3">
      <c r="B60" s="89" t="s">
        <v>22</v>
      </c>
      <c r="C60" s="89"/>
    </row>
    <row r="61" spans="2:3" ht="16.5" x14ac:dyDescent="0.3">
      <c r="B61" s="33" t="s">
        <v>58</v>
      </c>
      <c r="C61" s="34">
        <f>O26</f>
        <v>394203.94000000012</v>
      </c>
    </row>
    <row r="62" spans="2:3" ht="16.5" x14ac:dyDescent="0.3">
      <c r="B62" s="33" t="s">
        <v>213</v>
      </c>
      <c r="C62" s="34">
        <f>F12</f>
        <v>34396.059999999881</v>
      </c>
    </row>
    <row r="64" spans="2:3" ht="16.5" x14ac:dyDescent="0.3">
      <c r="B64" s="89" t="s">
        <v>21</v>
      </c>
      <c r="C64" s="89"/>
    </row>
    <row r="65" spans="2:3" ht="16.5" x14ac:dyDescent="0.3">
      <c r="B65" s="33" t="s">
        <v>58</v>
      </c>
      <c r="C65" s="34">
        <f>O25</f>
        <v>0</v>
      </c>
    </row>
    <row r="66" spans="2:3" ht="16.5" x14ac:dyDescent="0.3">
      <c r="B66" s="33" t="s">
        <v>213</v>
      </c>
      <c r="C66" s="34">
        <f>F11</f>
        <v>0</v>
      </c>
    </row>
  </sheetData>
  <autoFilter ref="A19:J38" xr:uid="{00000000-0009-0000-0000-000010000000}">
    <filterColumn colId="0">
      <filters blank="1">
        <filter val="Fonctionnement"/>
      </filters>
    </filterColumn>
  </autoFilter>
  <mergeCells count="5">
    <mergeCell ref="B5:G5"/>
    <mergeCell ref="C8:D8"/>
    <mergeCell ref="B56:C56"/>
    <mergeCell ref="B60:C60"/>
    <mergeCell ref="B64:C64"/>
  </mergeCells>
  <conditionalFormatting sqref="F10">
    <cfRule type="cellIs" dxfId="26" priority="1" operator="lessThan">
      <formula>0</formula>
    </cfRule>
  </conditionalFormatting>
  <conditionalFormatting sqref="F20:G33">
    <cfRule type="containsBlanks" dxfId="25" priority="2">
      <formula>LEN(TRIM(F20))=0</formula>
    </cfRule>
  </conditionalFormatting>
  <conditionalFormatting sqref="J1:J1048576">
    <cfRule type="containsText" dxfId="24" priority="4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1000-000000000000}">
          <x14:formula1>
            <xm:f>DATA!$H$6:$H$14</xm:f>
          </x14:formula1>
          <xm:sqref>H20</xm:sqref>
        </x14:dataValidation>
        <x14:dataValidation type="list" allowBlank="1" showInputMessage="1" showErrorMessage="1" xr:uid="{00000000-0002-0000-1000-000001000000}">
          <x14:formula1>
            <xm:f>DATA!$A$6:$A$8</xm:f>
          </x14:formula1>
          <xm:sqref>A20:A28 A30:A41</xm:sqref>
        </x14:dataValidation>
        <x14:dataValidation type="list" allowBlank="1" showInputMessage="1" showErrorMessage="1" xr:uid="{00000000-0002-0000-1000-000002000000}">
          <x14:formula1>
            <xm:f>DATA!$D$6:$D$11</xm:f>
          </x14:formula1>
          <xm:sqref>B39:B42</xm:sqref>
        </x14:dataValidation>
        <x14:dataValidation type="list" allowBlank="1" showInputMessage="1" showErrorMessage="1" xr:uid="{00000000-0002-0000-1000-000003000000}">
          <x14:formula1>
            <xm:f>DATA!$F$6:$F$9</xm:f>
          </x14:formula1>
          <xm:sqref>C20:C28 C30:C44</xm:sqref>
        </x14:dataValidation>
        <x14:dataValidation type="list" allowBlank="1" showInputMessage="1" showErrorMessage="1" xr:uid="{00000000-0002-0000-1000-000004000000}">
          <x14:formula1>
            <xm:f>DATA!$D$3:$D$11</xm:f>
          </x14:formula1>
          <xm:sqref>B20:B38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1"/>
  <sheetViews>
    <sheetView showGridLines="0" zoomScale="110" zoomScaleNormal="110" workbookViewId="0">
      <selection activeCell="O27" sqref="O27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45343</v>
      </c>
      <c r="D1" s="1"/>
      <c r="E1" s="1"/>
      <c r="F1" s="1"/>
      <c r="G1" s="1"/>
    </row>
    <row r="2" spans="1:7" ht="17.25" x14ac:dyDescent="0.35">
      <c r="A2" s="1"/>
      <c r="B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214</v>
      </c>
      <c r="D6" s="19"/>
      <c r="E6" s="20" t="s">
        <v>4</v>
      </c>
      <c r="F6" s="19">
        <v>3177</v>
      </c>
      <c r="G6" s="21"/>
    </row>
    <row r="7" spans="1:7" ht="17.25" x14ac:dyDescent="0.35">
      <c r="A7" s="1"/>
      <c r="B7" s="22"/>
      <c r="G7" s="12"/>
    </row>
    <row r="8" spans="1:7" ht="17.25" x14ac:dyDescent="0.35">
      <c r="A8" s="1"/>
      <c r="B8" s="24" t="s">
        <v>5</v>
      </c>
      <c r="C8" s="88" t="s">
        <v>215</v>
      </c>
      <c r="D8" s="88"/>
      <c r="E8" s="23" t="s">
        <v>56</v>
      </c>
      <c r="F8" s="41" t="s">
        <v>95</v>
      </c>
      <c r="G8" s="12"/>
    </row>
    <row r="9" spans="1:7" ht="17.25" x14ac:dyDescent="0.35">
      <c r="A9" s="1"/>
      <c r="B9" s="24" t="s">
        <v>7</v>
      </c>
      <c r="C9" s="39" t="s">
        <v>216</v>
      </c>
      <c r="D9" s="42"/>
      <c r="E9" s="9" t="s">
        <v>10</v>
      </c>
      <c r="F9" s="36">
        <f>C10-O27</f>
        <v>-1993.5499999999884</v>
      </c>
      <c r="G9" s="12"/>
    </row>
    <row r="10" spans="1:7" ht="17.25" x14ac:dyDescent="0.35">
      <c r="A10" s="1"/>
      <c r="B10" s="13" t="s">
        <v>9</v>
      </c>
      <c r="C10" s="36">
        <f>C11+C13</f>
        <v>150500</v>
      </c>
      <c r="D10" s="10"/>
      <c r="E10" s="11" t="s">
        <v>20</v>
      </c>
      <c r="F10" s="36">
        <f>C11-O24</f>
        <v>-161.21000000000004</v>
      </c>
      <c r="G10" s="12"/>
    </row>
    <row r="11" spans="1:7" ht="17.25" x14ac:dyDescent="0.35">
      <c r="A11" s="1"/>
      <c r="B11" s="14" t="s">
        <v>20</v>
      </c>
      <c r="C11" s="36">
        <f>2766.52+2000.98+0</f>
        <v>4767.5</v>
      </c>
      <c r="D11" s="10"/>
      <c r="E11" s="11" t="s">
        <v>21</v>
      </c>
      <c r="F11" s="44">
        <f>C12-O25</f>
        <v>0</v>
      </c>
      <c r="G11" s="12"/>
    </row>
    <row r="12" spans="1:7" ht="17.25" x14ac:dyDescent="0.35">
      <c r="A12" s="1"/>
      <c r="B12" s="14" t="s">
        <v>21</v>
      </c>
      <c r="C12" s="36">
        <v>0</v>
      </c>
      <c r="D12" s="10"/>
      <c r="E12" s="11" t="s">
        <v>22</v>
      </c>
      <c r="F12" s="37">
        <f>C13-O26</f>
        <v>-1832.3399999999965</v>
      </c>
      <c r="G12" s="12"/>
    </row>
    <row r="13" spans="1:7" ht="18" thickBot="1" x14ac:dyDescent="0.4">
      <c r="A13" s="1"/>
      <c r="B13" s="15" t="s">
        <v>22</v>
      </c>
      <c r="C13" s="38">
        <f>11104.11+98295.06+36333.33</f>
        <v>145732.5</v>
      </c>
      <c r="D13" s="16"/>
      <c r="E13" s="16"/>
      <c r="F13" s="16"/>
      <c r="G13" s="17"/>
    </row>
    <row r="19" spans="1:15" ht="28.5" x14ac:dyDescent="0.25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28.5" x14ac:dyDescent="0.25">
      <c r="A20" s="3" t="s">
        <v>20</v>
      </c>
      <c r="B20" s="3">
        <v>2022</v>
      </c>
      <c r="C20" s="3" t="s">
        <v>26</v>
      </c>
      <c r="D20" s="3" t="s">
        <v>219</v>
      </c>
      <c r="E20" s="4" t="s">
        <v>647</v>
      </c>
      <c r="F20" s="3"/>
      <c r="G20" s="3" t="s">
        <v>648</v>
      </c>
      <c r="H20" s="35"/>
      <c r="I20" s="6">
        <v>873.6</v>
      </c>
      <c r="J20" s="35" t="s">
        <v>162</v>
      </c>
    </row>
    <row r="21" spans="1:15" ht="28.5" x14ac:dyDescent="0.25">
      <c r="A21" s="3" t="s">
        <v>20</v>
      </c>
      <c r="B21" s="3">
        <v>2022</v>
      </c>
      <c r="C21" s="3" t="s">
        <v>26</v>
      </c>
      <c r="D21" s="3" t="s">
        <v>219</v>
      </c>
      <c r="E21" s="4" t="s">
        <v>220</v>
      </c>
      <c r="F21" s="3"/>
      <c r="G21" s="3" t="s">
        <v>649</v>
      </c>
      <c r="H21" s="35"/>
      <c r="I21" s="6">
        <v>409.5</v>
      </c>
      <c r="J21" s="35" t="s">
        <v>162</v>
      </c>
    </row>
    <row r="22" spans="1:15" ht="28.5" x14ac:dyDescent="0.25">
      <c r="A22" s="3" t="s">
        <v>20</v>
      </c>
      <c r="B22" s="3">
        <v>2022</v>
      </c>
      <c r="C22" s="3" t="s">
        <v>26</v>
      </c>
      <c r="D22" s="3" t="s">
        <v>219</v>
      </c>
      <c r="E22" s="4" t="s">
        <v>221</v>
      </c>
      <c r="F22" s="3"/>
      <c r="G22" s="3" t="s">
        <v>650</v>
      </c>
      <c r="H22" s="35"/>
      <c r="I22" s="6">
        <v>600.6</v>
      </c>
      <c r="J22" s="35" t="s">
        <v>162</v>
      </c>
    </row>
    <row r="23" spans="1:15" ht="29.25" thickBot="1" x14ac:dyDescent="0.3">
      <c r="A23" s="45" t="s">
        <v>22</v>
      </c>
      <c r="B23" s="46">
        <v>2022</v>
      </c>
      <c r="C23" s="46" t="s">
        <v>26</v>
      </c>
      <c r="D23" s="46" t="s">
        <v>219</v>
      </c>
      <c r="E23" s="47" t="s">
        <v>537</v>
      </c>
      <c r="F23" s="3"/>
      <c r="G23" s="3"/>
      <c r="H23" s="35"/>
      <c r="I23" s="6">
        <v>35094.839999999997</v>
      </c>
      <c r="J23" s="35" t="s">
        <v>162</v>
      </c>
    </row>
    <row r="24" spans="1:15" ht="28.5" x14ac:dyDescent="0.25">
      <c r="A24" s="45" t="s">
        <v>22</v>
      </c>
      <c r="B24" s="46">
        <v>2023</v>
      </c>
      <c r="C24" s="46" t="s">
        <v>26</v>
      </c>
      <c r="D24" s="46" t="s">
        <v>219</v>
      </c>
      <c r="E24" s="47" t="s">
        <v>536</v>
      </c>
      <c r="F24" s="3"/>
      <c r="G24" s="3"/>
      <c r="H24" s="35"/>
      <c r="I24" s="6">
        <v>112470</v>
      </c>
      <c r="J24" s="35" t="s">
        <v>374</v>
      </c>
      <c r="N24" s="27" t="s">
        <v>54</v>
      </c>
      <c r="O24" s="28">
        <f>SUMIFS(I20:I45,A20:A45,"Fonctionnement")</f>
        <v>4928.71</v>
      </c>
    </row>
    <row r="25" spans="1:15" ht="28.5" x14ac:dyDescent="0.25">
      <c r="A25" s="3" t="s">
        <v>20</v>
      </c>
      <c r="B25" s="3">
        <v>2023</v>
      </c>
      <c r="C25" s="3" t="s">
        <v>25</v>
      </c>
      <c r="D25" s="3" t="s">
        <v>219</v>
      </c>
      <c r="E25" s="4" t="s">
        <v>222</v>
      </c>
      <c r="F25" s="69">
        <v>57668</v>
      </c>
      <c r="G25" s="3"/>
      <c r="H25" s="35"/>
      <c r="I25" s="6">
        <v>1246.33</v>
      </c>
      <c r="J25" s="35" t="s">
        <v>162</v>
      </c>
      <c r="N25" s="43" t="s">
        <v>128</v>
      </c>
      <c r="O25" s="30">
        <f>SUMIFS(I20:I45,A20:A45,"Investissement")</f>
        <v>0</v>
      </c>
    </row>
    <row r="26" spans="1:15" ht="28.5" x14ac:dyDescent="0.25">
      <c r="A26" s="3" t="s">
        <v>20</v>
      </c>
      <c r="B26" s="3">
        <v>2022</v>
      </c>
      <c r="C26" s="3" t="s">
        <v>25</v>
      </c>
      <c r="D26" s="3" t="s">
        <v>223</v>
      </c>
      <c r="E26" s="4" t="s">
        <v>224</v>
      </c>
      <c r="F26" s="69">
        <v>55463</v>
      </c>
      <c r="G26" s="3"/>
      <c r="H26" s="35"/>
      <c r="I26" s="6">
        <v>915.86</v>
      </c>
      <c r="J26" s="35" t="s">
        <v>162</v>
      </c>
      <c r="N26" s="29" t="s">
        <v>55</v>
      </c>
      <c r="O26" s="30">
        <f>SUMIFS(I20:I46,A20:A46,"Personnel")</f>
        <v>147564.84</v>
      </c>
    </row>
    <row r="27" spans="1:15" ht="29.25" thickBot="1" x14ac:dyDescent="0.3">
      <c r="A27" s="3" t="s">
        <v>20</v>
      </c>
      <c r="B27" s="3">
        <v>2022</v>
      </c>
      <c r="C27" s="3" t="s">
        <v>25</v>
      </c>
      <c r="D27" s="3" t="s">
        <v>219</v>
      </c>
      <c r="E27" s="4" t="s">
        <v>225</v>
      </c>
      <c r="F27" s="69">
        <v>55456</v>
      </c>
      <c r="G27" s="3"/>
      <c r="H27" s="35"/>
      <c r="I27" s="6">
        <v>296.32</v>
      </c>
      <c r="J27" s="35" t="s">
        <v>162</v>
      </c>
      <c r="N27" s="31" t="s">
        <v>58</v>
      </c>
      <c r="O27" s="32">
        <f>O24+O26</f>
        <v>152493.54999999999</v>
      </c>
    </row>
    <row r="28" spans="1:15" x14ac:dyDescent="0.25">
      <c r="A28" s="3" t="s">
        <v>20</v>
      </c>
      <c r="B28" s="3">
        <v>2022</v>
      </c>
      <c r="C28" s="3" t="s">
        <v>24</v>
      </c>
      <c r="D28" s="3" t="s">
        <v>651</v>
      </c>
      <c r="E28" s="4" t="s">
        <v>652</v>
      </c>
      <c r="F28" s="3"/>
      <c r="G28" s="3" t="s">
        <v>653</v>
      </c>
      <c r="H28" s="35"/>
      <c r="I28" s="6">
        <v>586.5</v>
      </c>
      <c r="J28" s="35" t="s">
        <v>162</v>
      </c>
    </row>
    <row r="29" spans="1:15" x14ac:dyDescent="0.25">
      <c r="A29" s="3"/>
      <c r="B29" s="3"/>
      <c r="C29" s="3"/>
      <c r="D29" s="3"/>
      <c r="E29" s="4"/>
      <c r="F29" s="3"/>
      <c r="G29" s="3"/>
      <c r="H29" s="35"/>
      <c r="I29" s="6"/>
      <c r="J29" s="35"/>
    </row>
    <row r="30" spans="1:15" x14ac:dyDescent="0.2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 x14ac:dyDescent="0.2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 x14ac:dyDescent="0.2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 x14ac:dyDescent="0.25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 x14ac:dyDescent="0.25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 x14ac:dyDescent="0.25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 x14ac:dyDescent="0.25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 x14ac:dyDescent="0.25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 x14ac:dyDescent="0.25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 x14ac:dyDescent="0.25">
      <c r="A39" s="3"/>
      <c r="B39" s="3"/>
      <c r="C39" s="3"/>
      <c r="D39" s="3"/>
      <c r="E39" s="4"/>
      <c r="F39" s="3"/>
      <c r="G39" s="3"/>
      <c r="H39" s="35"/>
      <c r="I39" s="6"/>
      <c r="J39" s="35"/>
    </row>
    <row r="51" spans="2:3" ht="16.5" x14ac:dyDescent="0.3">
      <c r="B51" s="89" t="s">
        <v>20</v>
      </c>
      <c r="C51" s="89"/>
    </row>
    <row r="52" spans="2:3" ht="16.5" x14ac:dyDescent="0.3">
      <c r="B52" s="33" t="s">
        <v>58</v>
      </c>
      <c r="C52" s="34">
        <f>O24</f>
        <v>4928.71</v>
      </c>
    </row>
    <row r="53" spans="2:3" ht="16.5" x14ac:dyDescent="0.3">
      <c r="B53" s="33" t="s">
        <v>587</v>
      </c>
      <c r="C53" s="34">
        <f>C11</f>
        <v>4767.5</v>
      </c>
    </row>
    <row r="55" spans="2:3" ht="16.5" x14ac:dyDescent="0.3">
      <c r="B55" s="89" t="s">
        <v>22</v>
      </c>
      <c r="C55" s="89"/>
    </row>
    <row r="56" spans="2:3" ht="16.5" x14ac:dyDescent="0.3">
      <c r="B56" s="33" t="s">
        <v>58</v>
      </c>
      <c r="C56" s="34">
        <f>O26</f>
        <v>147564.84</v>
      </c>
    </row>
    <row r="57" spans="2:3" ht="16.5" x14ac:dyDescent="0.3">
      <c r="B57" s="33" t="s">
        <v>213</v>
      </c>
      <c r="C57" s="34">
        <f>F12</f>
        <v>-1832.3399999999965</v>
      </c>
    </row>
    <row r="59" spans="2:3" ht="16.5" x14ac:dyDescent="0.3">
      <c r="B59" s="89" t="s">
        <v>21</v>
      </c>
      <c r="C59" s="89"/>
    </row>
    <row r="60" spans="2:3" ht="16.5" x14ac:dyDescent="0.3">
      <c r="B60" s="33" t="s">
        <v>58</v>
      </c>
      <c r="C60" s="34">
        <f>O25</f>
        <v>0</v>
      </c>
    </row>
    <row r="61" spans="2:3" ht="16.5" x14ac:dyDescent="0.3">
      <c r="B61" s="33" t="s">
        <v>213</v>
      </c>
      <c r="C61" s="34">
        <f>F11</f>
        <v>0</v>
      </c>
    </row>
  </sheetData>
  <autoFilter ref="A19:J28" xr:uid="{00000000-0009-0000-0000-000011000000}"/>
  <mergeCells count="5">
    <mergeCell ref="B5:G5"/>
    <mergeCell ref="C8:D8"/>
    <mergeCell ref="B51:C51"/>
    <mergeCell ref="B55:C55"/>
    <mergeCell ref="B59:C59"/>
  </mergeCells>
  <conditionalFormatting sqref="F10">
    <cfRule type="cellIs" dxfId="23" priority="1" operator="lessThan">
      <formula>0</formula>
    </cfRule>
    <cfRule type="cellIs" dxfId="22" priority="2" operator="greaterThan">
      <formula>0</formula>
    </cfRule>
  </conditionalFormatting>
  <conditionalFormatting sqref="F12">
    <cfRule type="cellIs" dxfId="21" priority="3" operator="lessThan">
      <formula>0</formula>
    </cfRule>
  </conditionalFormatting>
  <conditionalFormatting sqref="F20:F22">
    <cfRule type="containsBlanks" dxfId="20" priority="5">
      <formula>LEN(TRIM(F20))=0</formula>
    </cfRule>
  </conditionalFormatting>
  <conditionalFormatting sqref="J1:J1048576">
    <cfRule type="containsText" dxfId="19" priority="4" operator="containsText" text="OK">
      <formula>NOT(ISERROR(SEARCH("OK",J1)))</formula>
    </cfRule>
  </conditionalFormatting>
  <pageMargins left="0.7" right="0.7" top="0.75" bottom="0.75" header="0.3" footer="0.3"/>
  <pageSetup paperSize="9" scale="26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100-000000000000}">
          <x14:formula1>
            <xm:f>DATA!$F$6:$F$9</xm:f>
          </x14:formula1>
          <xm:sqref>C20:C22 C25:C28 C29:C39</xm:sqref>
        </x14:dataValidation>
        <x14:dataValidation type="list" allowBlank="1" showInputMessage="1" showErrorMessage="1" xr:uid="{00000000-0002-0000-1100-000001000000}">
          <x14:formula1>
            <xm:f>DATA!$D$6:$D$11</xm:f>
          </x14:formula1>
          <xm:sqref>B20:B22 B25:B28 B29:B37</xm:sqref>
        </x14:dataValidation>
        <x14:dataValidation type="list" allowBlank="1" showInputMessage="1" showErrorMessage="1" xr:uid="{00000000-0002-0000-1100-000002000000}">
          <x14:formula1>
            <xm:f>DATA!$A$6:$A$8</xm:f>
          </x14:formula1>
          <xm:sqref>A20:A22 A25:A28 A29:A36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35"/>
  <sheetViews>
    <sheetView showGridLines="0" topLeftCell="A13" zoomScaleNormal="100" workbookViewId="0">
      <selection activeCell="O24" sqref="O24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style="59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45356</v>
      </c>
      <c r="D1" s="1"/>
      <c r="E1" s="1"/>
      <c r="F1" s="1"/>
      <c r="G1" s="1"/>
    </row>
    <row r="2" spans="1:7" ht="17.25" x14ac:dyDescent="0.35">
      <c r="A2" s="1"/>
      <c r="B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212</v>
      </c>
      <c r="D6" s="19"/>
      <c r="E6" s="20" t="s">
        <v>4</v>
      </c>
      <c r="F6" s="19">
        <v>3141</v>
      </c>
      <c r="G6" s="21"/>
    </row>
    <row r="7" spans="1:7" ht="17.25" x14ac:dyDescent="0.35">
      <c r="A7" s="1"/>
      <c r="B7" s="22"/>
      <c r="G7" s="12"/>
    </row>
    <row r="8" spans="1:7" ht="17.25" x14ac:dyDescent="0.35">
      <c r="A8" s="1"/>
      <c r="B8" s="24" t="s">
        <v>5</v>
      </c>
      <c r="C8" s="88" t="s">
        <v>61</v>
      </c>
      <c r="D8" s="88"/>
      <c r="E8" s="23" t="s">
        <v>56</v>
      </c>
      <c r="F8" s="41" t="s">
        <v>95</v>
      </c>
      <c r="G8" s="12"/>
    </row>
    <row r="9" spans="1:7" ht="17.25" x14ac:dyDescent="0.35">
      <c r="A9" s="1"/>
      <c r="B9" s="24" t="s">
        <v>7</v>
      </c>
      <c r="C9" s="39" t="s">
        <v>170</v>
      </c>
      <c r="D9" s="42"/>
      <c r="E9" s="9" t="s">
        <v>10</v>
      </c>
      <c r="F9" s="36">
        <f>C10-O27</f>
        <v>74758.559999999998</v>
      </c>
      <c r="G9" s="12"/>
    </row>
    <row r="10" spans="1:7" ht="17.25" x14ac:dyDescent="0.35">
      <c r="A10" s="1"/>
      <c r="B10" s="13" t="s">
        <v>9</v>
      </c>
      <c r="C10" s="36">
        <f>C11+C12+C13</f>
        <v>249810</v>
      </c>
      <c r="D10" s="10"/>
      <c r="E10" s="11" t="s">
        <v>20</v>
      </c>
      <c r="F10" s="36">
        <f>C11-O24</f>
        <v>65870.219999999972</v>
      </c>
      <c r="G10" s="12"/>
    </row>
    <row r="11" spans="1:7" ht="17.25" x14ac:dyDescent="0.35">
      <c r="A11" s="1"/>
      <c r="B11" s="14" t="s">
        <v>20</v>
      </c>
      <c r="C11" s="36">
        <v>170245.05</v>
      </c>
      <c r="D11" s="10"/>
      <c r="E11" s="11" t="s">
        <v>21</v>
      </c>
      <c r="F11" s="44">
        <f>C12-O25</f>
        <v>227.3900000000001</v>
      </c>
      <c r="G11" s="12"/>
    </row>
    <row r="12" spans="1:7" ht="17.25" x14ac:dyDescent="0.35">
      <c r="A12" s="1"/>
      <c r="B12" s="14" t="s">
        <v>21</v>
      </c>
      <c r="C12" s="36">
        <v>2000</v>
      </c>
      <c r="D12" s="10"/>
      <c r="E12" s="11" t="s">
        <v>22</v>
      </c>
      <c r="F12" s="37">
        <f>C13-O26</f>
        <v>6888.3399999999965</v>
      </c>
      <c r="G12" s="12"/>
    </row>
    <row r="13" spans="1:7" ht="18" thickBot="1" x14ac:dyDescent="0.4">
      <c r="A13" s="1"/>
      <c r="B13" s="15" t="s">
        <v>22</v>
      </c>
      <c r="C13" s="38">
        <v>77564.95</v>
      </c>
      <c r="D13" s="16"/>
      <c r="E13" s="16"/>
      <c r="F13" s="16"/>
      <c r="G13" s="17"/>
    </row>
    <row r="19" spans="1:15" ht="28.5" x14ac:dyDescent="0.25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x14ac:dyDescent="0.25">
      <c r="A20" s="3" t="s">
        <v>20</v>
      </c>
      <c r="B20" s="3">
        <v>2023</v>
      </c>
      <c r="C20" s="3" t="s">
        <v>23</v>
      </c>
      <c r="D20" s="3" t="s">
        <v>171</v>
      </c>
      <c r="E20" s="4" t="s">
        <v>172</v>
      </c>
      <c r="F20" s="3"/>
      <c r="G20" s="3" t="s">
        <v>419</v>
      </c>
      <c r="H20" s="35" t="s">
        <v>67</v>
      </c>
      <c r="I20" s="6">
        <v>144</v>
      </c>
      <c r="J20" s="35" t="s">
        <v>162</v>
      </c>
    </row>
    <row r="21" spans="1:15" x14ac:dyDescent="0.25">
      <c r="A21" s="3" t="s">
        <v>20</v>
      </c>
      <c r="B21" s="3">
        <v>2023</v>
      </c>
      <c r="C21" s="3" t="s">
        <v>24</v>
      </c>
      <c r="D21" s="3" t="s">
        <v>29</v>
      </c>
      <c r="E21" s="4" t="s">
        <v>173</v>
      </c>
      <c r="F21" s="3"/>
      <c r="G21" s="3" t="s">
        <v>174</v>
      </c>
      <c r="H21" s="35" t="s">
        <v>67</v>
      </c>
      <c r="I21" s="6">
        <v>444</v>
      </c>
      <c r="J21" s="35" t="s">
        <v>162</v>
      </c>
    </row>
    <row r="22" spans="1:15" x14ac:dyDescent="0.25">
      <c r="A22" s="3" t="s">
        <v>20</v>
      </c>
      <c r="B22" s="3">
        <v>2022</v>
      </c>
      <c r="C22" s="3" t="s">
        <v>23</v>
      </c>
      <c r="D22" s="3" t="s">
        <v>175</v>
      </c>
      <c r="E22" s="4" t="s">
        <v>176</v>
      </c>
      <c r="F22" s="3"/>
      <c r="G22" s="3" t="s">
        <v>177</v>
      </c>
      <c r="H22" s="35" t="s">
        <v>68</v>
      </c>
      <c r="I22" s="6">
        <v>480</v>
      </c>
      <c r="J22" s="35" t="s">
        <v>162</v>
      </c>
    </row>
    <row r="23" spans="1:15" ht="16.5" thickBot="1" x14ac:dyDescent="0.3">
      <c r="A23" s="3" t="s">
        <v>20</v>
      </c>
      <c r="B23" s="3">
        <v>2023</v>
      </c>
      <c r="C23" s="3" t="s">
        <v>24</v>
      </c>
      <c r="D23" s="3" t="s">
        <v>29</v>
      </c>
      <c r="E23" s="4" t="s">
        <v>178</v>
      </c>
      <c r="F23" s="3"/>
      <c r="G23" s="3" t="s">
        <v>179</v>
      </c>
      <c r="H23" s="35" t="s">
        <v>65</v>
      </c>
      <c r="I23" s="6">
        <v>629</v>
      </c>
      <c r="J23" s="35" t="s">
        <v>162</v>
      </c>
    </row>
    <row r="24" spans="1:15" x14ac:dyDescent="0.25">
      <c r="A24" s="3" t="s">
        <v>20</v>
      </c>
      <c r="B24" s="3">
        <v>2023</v>
      </c>
      <c r="C24" s="3" t="s">
        <v>24</v>
      </c>
      <c r="D24" s="3" t="s">
        <v>29</v>
      </c>
      <c r="E24" s="4" t="s">
        <v>180</v>
      </c>
      <c r="F24" s="3"/>
      <c r="G24" s="3" t="s">
        <v>181</v>
      </c>
      <c r="H24" s="35" t="s">
        <v>65</v>
      </c>
      <c r="I24" s="6">
        <v>555</v>
      </c>
      <c r="J24" s="35" t="s">
        <v>162</v>
      </c>
      <c r="N24" s="27" t="s">
        <v>54</v>
      </c>
      <c r="O24" s="28">
        <f>SUMIFS(I20:I121,A20:A121,"Fonctionnement")</f>
        <v>104374.83000000002</v>
      </c>
    </row>
    <row r="25" spans="1:15" x14ac:dyDescent="0.25">
      <c r="A25" s="3" t="s">
        <v>20</v>
      </c>
      <c r="B25" s="3">
        <v>2023</v>
      </c>
      <c r="C25" s="3" t="s">
        <v>24</v>
      </c>
      <c r="D25" s="3" t="s">
        <v>29</v>
      </c>
      <c r="E25" s="4" t="s">
        <v>182</v>
      </c>
      <c r="F25" s="3"/>
      <c r="G25" s="3" t="s">
        <v>423</v>
      </c>
      <c r="H25" s="35" t="s">
        <v>65</v>
      </c>
      <c r="I25" s="6">
        <v>17565</v>
      </c>
      <c r="J25" s="35" t="s">
        <v>162</v>
      </c>
      <c r="N25" s="43" t="s">
        <v>128</v>
      </c>
      <c r="O25" s="30">
        <f>SUMIFS(I20:I120,A20:A120,"Investissement")</f>
        <v>1772.61</v>
      </c>
    </row>
    <row r="26" spans="1:15" x14ac:dyDescent="0.25">
      <c r="A26" s="3" t="s">
        <v>20</v>
      </c>
      <c r="B26" s="3">
        <v>2023</v>
      </c>
      <c r="C26" s="3" t="s">
        <v>23</v>
      </c>
      <c r="D26" s="3" t="s">
        <v>183</v>
      </c>
      <c r="E26" s="4" t="s">
        <v>184</v>
      </c>
      <c r="F26" s="3"/>
      <c r="G26" s="3" t="s">
        <v>185</v>
      </c>
      <c r="H26" s="35" t="s">
        <v>68</v>
      </c>
      <c r="I26" s="6">
        <v>78.63</v>
      </c>
      <c r="J26" s="35" t="s">
        <v>162</v>
      </c>
      <c r="N26" s="29" t="s">
        <v>55</v>
      </c>
      <c r="O26" s="30">
        <f>SUMIFS(I21:I120,A21:A120,"Personnel")</f>
        <v>70676.61</v>
      </c>
    </row>
    <row r="27" spans="1:15" ht="16.5" thickBot="1" x14ac:dyDescent="0.3">
      <c r="A27" s="3" t="s">
        <v>20</v>
      </c>
      <c r="B27" s="3">
        <v>2023</v>
      </c>
      <c r="C27" s="3" t="s">
        <v>23</v>
      </c>
      <c r="D27" s="3"/>
      <c r="E27" s="4" t="s">
        <v>186</v>
      </c>
      <c r="F27" s="3"/>
      <c r="G27" s="3"/>
      <c r="H27" s="35" t="s">
        <v>68</v>
      </c>
      <c r="I27" s="6">
        <v>375.76</v>
      </c>
      <c r="J27" s="35"/>
      <c r="N27" s="31" t="s">
        <v>58</v>
      </c>
      <c r="O27" s="32">
        <f>O24+O26</f>
        <v>175051.44</v>
      </c>
    </row>
    <row r="28" spans="1:15" ht="28.5" x14ac:dyDescent="0.25">
      <c r="A28" s="3" t="s">
        <v>20</v>
      </c>
      <c r="B28" s="3">
        <v>2023</v>
      </c>
      <c r="C28" s="3" t="s">
        <v>26</v>
      </c>
      <c r="D28" s="3" t="s">
        <v>187</v>
      </c>
      <c r="E28" s="4" t="s">
        <v>188</v>
      </c>
      <c r="F28" s="3"/>
      <c r="G28" s="3" t="s">
        <v>189</v>
      </c>
      <c r="H28" s="35" t="s">
        <v>68</v>
      </c>
      <c r="I28" s="6">
        <v>464.1</v>
      </c>
      <c r="J28" s="35" t="s">
        <v>162</v>
      </c>
    </row>
    <row r="29" spans="1:15" ht="28.5" x14ac:dyDescent="0.25">
      <c r="A29" s="3" t="s">
        <v>20</v>
      </c>
      <c r="B29" s="3">
        <v>2023</v>
      </c>
      <c r="C29" s="3" t="s">
        <v>26</v>
      </c>
      <c r="D29" s="3" t="s">
        <v>187</v>
      </c>
      <c r="E29" s="4" t="s">
        <v>635</v>
      </c>
      <c r="F29" s="3"/>
      <c r="G29" s="3" t="s">
        <v>636</v>
      </c>
      <c r="H29" s="35" t="s">
        <v>68</v>
      </c>
      <c r="I29" s="6">
        <v>546</v>
      </c>
      <c r="J29" s="35" t="s">
        <v>162</v>
      </c>
    </row>
    <row r="30" spans="1:15" ht="28.5" x14ac:dyDescent="0.25">
      <c r="A30" s="3" t="s">
        <v>20</v>
      </c>
      <c r="B30" s="3">
        <v>2023</v>
      </c>
      <c r="C30" s="3" t="s">
        <v>26</v>
      </c>
      <c r="D30" s="3" t="s">
        <v>187</v>
      </c>
      <c r="E30" s="4" t="s">
        <v>190</v>
      </c>
      <c r="F30" s="3"/>
      <c r="G30" s="3" t="s">
        <v>191</v>
      </c>
      <c r="H30" s="35" t="s">
        <v>68</v>
      </c>
      <c r="I30" s="6">
        <v>623.70000000000005</v>
      </c>
      <c r="J30" s="35" t="s">
        <v>162</v>
      </c>
    </row>
    <row r="31" spans="1:15" ht="28.5" x14ac:dyDescent="0.25">
      <c r="A31" s="3" t="s">
        <v>20</v>
      </c>
      <c r="B31" s="3">
        <v>2023</v>
      </c>
      <c r="C31" s="3" t="s">
        <v>26</v>
      </c>
      <c r="D31" s="3" t="s">
        <v>192</v>
      </c>
      <c r="E31" s="4" t="s">
        <v>190</v>
      </c>
      <c r="F31" s="3"/>
      <c r="G31" s="3" t="s">
        <v>193</v>
      </c>
      <c r="H31" s="35" t="s">
        <v>68</v>
      </c>
      <c r="I31" s="6">
        <v>481.95</v>
      </c>
      <c r="J31" s="35" t="s">
        <v>162</v>
      </c>
    </row>
    <row r="32" spans="1:15" ht="28.5" x14ac:dyDescent="0.25">
      <c r="A32" s="3" t="s">
        <v>20</v>
      </c>
      <c r="B32" s="3">
        <v>2023</v>
      </c>
      <c r="C32" s="3" t="s">
        <v>26</v>
      </c>
      <c r="D32" s="3" t="s">
        <v>192</v>
      </c>
      <c r="E32" s="4" t="s">
        <v>194</v>
      </c>
      <c r="F32" s="3"/>
      <c r="G32" s="3" t="s">
        <v>195</v>
      </c>
      <c r="H32" s="35" t="s">
        <v>68</v>
      </c>
      <c r="I32" s="6">
        <v>567</v>
      </c>
      <c r="J32" s="35" t="s">
        <v>162</v>
      </c>
    </row>
    <row r="33" spans="1:10" ht="28.5" x14ac:dyDescent="0.25">
      <c r="A33" s="3" t="s">
        <v>20</v>
      </c>
      <c r="B33" s="3">
        <v>2023</v>
      </c>
      <c r="C33" s="3" t="s">
        <v>26</v>
      </c>
      <c r="D33" s="3" t="s">
        <v>196</v>
      </c>
      <c r="E33" s="4" t="s">
        <v>190</v>
      </c>
      <c r="F33" s="3"/>
      <c r="G33" s="3" t="s">
        <v>197</v>
      </c>
      <c r="H33" s="35" t="s">
        <v>68</v>
      </c>
      <c r="I33" s="6">
        <v>226.8</v>
      </c>
      <c r="J33" s="35" t="s">
        <v>162</v>
      </c>
    </row>
    <row r="34" spans="1:10" ht="28.5" x14ac:dyDescent="0.25">
      <c r="A34" s="3" t="s">
        <v>20</v>
      </c>
      <c r="B34" s="3">
        <v>2023</v>
      </c>
      <c r="C34" s="3" t="s">
        <v>26</v>
      </c>
      <c r="D34" s="3" t="s">
        <v>422</v>
      </c>
      <c r="E34" s="4" t="s">
        <v>190</v>
      </c>
      <c r="F34" s="3"/>
      <c r="G34" s="3" t="s">
        <v>198</v>
      </c>
      <c r="H34" s="35" t="s">
        <v>68</v>
      </c>
      <c r="I34" s="6">
        <v>198.45</v>
      </c>
      <c r="J34" s="35" t="s">
        <v>162</v>
      </c>
    </row>
    <row r="35" spans="1:10" ht="28.5" x14ac:dyDescent="0.25">
      <c r="A35" s="3" t="s">
        <v>20</v>
      </c>
      <c r="B35" s="3">
        <v>2023</v>
      </c>
      <c r="C35" s="3" t="s">
        <v>26</v>
      </c>
      <c r="D35" s="3" t="s">
        <v>196</v>
      </c>
      <c r="E35" s="4" t="s">
        <v>194</v>
      </c>
      <c r="F35" s="3"/>
      <c r="G35" s="3" t="s">
        <v>199</v>
      </c>
      <c r="H35" s="35" t="s">
        <v>68</v>
      </c>
      <c r="I35" s="6">
        <v>567</v>
      </c>
      <c r="J35" s="35" t="s">
        <v>162</v>
      </c>
    </row>
    <row r="36" spans="1:10" ht="28.5" x14ac:dyDescent="0.25">
      <c r="A36" s="3" t="s">
        <v>20</v>
      </c>
      <c r="B36" s="3">
        <v>2023</v>
      </c>
      <c r="C36" s="3" t="s">
        <v>26</v>
      </c>
      <c r="D36" s="3" t="s">
        <v>422</v>
      </c>
      <c r="E36" s="4" t="s">
        <v>194</v>
      </c>
      <c r="F36" s="3"/>
      <c r="G36" s="3" t="s">
        <v>200</v>
      </c>
      <c r="H36" s="35" t="s">
        <v>68</v>
      </c>
      <c r="I36" s="6">
        <v>567</v>
      </c>
      <c r="J36" s="35" t="s">
        <v>162</v>
      </c>
    </row>
    <row r="37" spans="1:10" ht="28.5" x14ac:dyDescent="0.25">
      <c r="A37" s="3" t="s">
        <v>20</v>
      </c>
      <c r="B37" s="3">
        <v>2023</v>
      </c>
      <c r="C37" s="3" t="s">
        <v>26</v>
      </c>
      <c r="D37" s="3" t="s">
        <v>196</v>
      </c>
      <c r="E37" s="4" t="s">
        <v>201</v>
      </c>
      <c r="F37" s="3"/>
      <c r="G37" s="3" t="s">
        <v>202</v>
      </c>
      <c r="H37" s="35" t="s">
        <v>68</v>
      </c>
      <c r="I37" s="6">
        <v>396.9</v>
      </c>
      <c r="J37" s="35" t="s">
        <v>162</v>
      </c>
    </row>
    <row r="38" spans="1:10" ht="28.5" x14ac:dyDescent="0.25">
      <c r="A38" s="3" t="s">
        <v>20</v>
      </c>
      <c r="B38" s="3">
        <v>2023</v>
      </c>
      <c r="C38" s="3" t="s">
        <v>26</v>
      </c>
      <c r="D38" s="3" t="s">
        <v>192</v>
      </c>
      <c r="E38" s="4" t="s">
        <v>201</v>
      </c>
      <c r="F38" s="3"/>
      <c r="G38" s="3" t="s">
        <v>203</v>
      </c>
      <c r="H38" s="35" t="s">
        <v>68</v>
      </c>
      <c r="I38" s="6">
        <v>368.55</v>
      </c>
      <c r="J38" s="35" t="s">
        <v>162</v>
      </c>
    </row>
    <row r="39" spans="1:10" ht="28.5" x14ac:dyDescent="0.25">
      <c r="A39" s="3" t="s">
        <v>20</v>
      </c>
      <c r="B39" s="3">
        <v>2023</v>
      </c>
      <c r="C39" s="3" t="s">
        <v>26</v>
      </c>
      <c r="D39" s="3" t="s">
        <v>422</v>
      </c>
      <c r="E39" s="4" t="s">
        <v>201</v>
      </c>
      <c r="F39" s="3"/>
      <c r="G39" s="3" t="s">
        <v>204</v>
      </c>
      <c r="H39" s="35" t="s">
        <v>68</v>
      </c>
      <c r="I39" s="6">
        <v>368.55</v>
      </c>
      <c r="J39" s="35" t="s">
        <v>162</v>
      </c>
    </row>
    <row r="40" spans="1:10" ht="28.5" x14ac:dyDescent="0.25">
      <c r="A40" s="3" t="s">
        <v>20</v>
      </c>
      <c r="B40" s="3">
        <v>2023</v>
      </c>
      <c r="C40" s="3" t="s">
        <v>26</v>
      </c>
      <c r="D40" s="3" t="s">
        <v>205</v>
      </c>
      <c r="E40" s="4" t="s">
        <v>209</v>
      </c>
      <c r="F40" s="3"/>
      <c r="G40" s="3" t="s">
        <v>420</v>
      </c>
      <c r="H40" s="35" t="s">
        <v>68</v>
      </c>
      <c r="I40" s="6">
        <v>623.70000000000005</v>
      </c>
      <c r="J40" s="35" t="s">
        <v>162</v>
      </c>
    </row>
    <row r="41" spans="1:10" x14ac:dyDescent="0.25">
      <c r="A41" s="3" t="s">
        <v>21</v>
      </c>
      <c r="B41" s="3">
        <v>2024</v>
      </c>
      <c r="C41" s="3" t="s">
        <v>23</v>
      </c>
      <c r="D41" s="3" t="s">
        <v>206</v>
      </c>
      <c r="E41" s="4" t="s">
        <v>208</v>
      </c>
      <c r="F41" s="3"/>
      <c r="G41" s="3" t="s">
        <v>207</v>
      </c>
      <c r="H41" s="35" t="s">
        <v>68</v>
      </c>
      <c r="I41" s="6">
        <v>805.3</v>
      </c>
      <c r="J41" s="35" t="s">
        <v>162</v>
      </c>
    </row>
    <row r="42" spans="1:10" ht="28.5" x14ac:dyDescent="0.25">
      <c r="A42" s="3" t="s">
        <v>20</v>
      </c>
      <c r="B42" s="3">
        <v>2023</v>
      </c>
      <c r="C42" s="3" t="s">
        <v>26</v>
      </c>
      <c r="D42" s="3" t="s">
        <v>205</v>
      </c>
      <c r="E42" s="4" t="s">
        <v>210</v>
      </c>
      <c r="F42" s="3"/>
      <c r="G42" s="3" t="s">
        <v>421</v>
      </c>
      <c r="H42" s="35" t="s">
        <v>68</v>
      </c>
      <c r="I42" s="6">
        <v>538.65</v>
      </c>
      <c r="J42" s="35" t="s">
        <v>162</v>
      </c>
    </row>
    <row r="43" spans="1:10" x14ac:dyDescent="0.25">
      <c r="A43" s="3" t="s">
        <v>20</v>
      </c>
      <c r="B43" s="3">
        <v>2023</v>
      </c>
      <c r="C43" s="3" t="s">
        <v>23</v>
      </c>
      <c r="D43" s="3" t="s">
        <v>183</v>
      </c>
      <c r="E43" s="4" t="s">
        <v>184</v>
      </c>
      <c r="F43" s="3"/>
      <c r="G43" s="3" t="s">
        <v>211</v>
      </c>
      <c r="H43" s="35" t="s">
        <v>68</v>
      </c>
      <c r="I43" s="6">
        <v>278.93</v>
      </c>
      <c r="J43" s="35" t="s">
        <v>162</v>
      </c>
    </row>
    <row r="44" spans="1:10" ht="28.5" x14ac:dyDescent="0.25">
      <c r="A44" s="3" t="s">
        <v>20</v>
      </c>
      <c r="B44" s="3">
        <v>2024</v>
      </c>
      <c r="C44" s="3" t="s">
        <v>25</v>
      </c>
      <c r="D44" s="3" t="s">
        <v>343</v>
      </c>
      <c r="E44" s="4" t="s">
        <v>465</v>
      </c>
      <c r="F44" s="3">
        <v>60591</v>
      </c>
      <c r="G44" s="3"/>
      <c r="H44" s="35" t="s">
        <v>66</v>
      </c>
      <c r="I44" s="6">
        <v>149.68</v>
      </c>
      <c r="J44" s="35" t="s">
        <v>374</v>
      </c>
    </row>
    <row r="45" spans="1:10" ht="28.5" x14ac:dyDescent="0.25">
      <c r="A45" s="3" t="s">
        <v>20</v>
      </c>
      <c r="B45" s="3">
        <v>2024</v>
      </c>
      <c r="C45" s="3" t="s">
        <v>25</v>
      </c>
      <c r="D45" s="3" t="s">
        <v>343</v>
      </c>
      <c r="E45" s="4" t="s">
        <v>466</v>
      </c>
      <c r="F45" s="3">
        <v>60592</v>
      </c>
      <c r="G45" s="3"/>
      <c r="H45" s="35" t="s">
        <v>66</v>
      </c>
      <c r="I45" s="6">
        <v>209.68</v>
      </c>
      <c r="J45" s="35" t="s">
        <v>374</v>
      </c>
    </row>
    <row r="46" spans="1:10" ht="28.5" x14ac:dyDescent="0.25">
      <c r="A46" s="3" t="s">
        <v>20</v>
      </c>
      <c r="B46" s="3">
        <v>2024</v>
      </c>
      <c r="C46" s="3" t="s">
        <v>25</v>
      </c>
      <c r="D46" s="3" t="s">
        <v>343</v>
      </c>
      <c r="E46" s="4" t="s">
        <v>467</v>
      </c>
      <c r="F46" s="3">
        <v>60593</v>
      </c>
      <c r="G46" s="3"/>
      <c r="H46" s="35" t="s">
        <v>66</v>
      </c>
      <c r="I46" s="6">
        <v>209.68</v>
      </c>
      <c r="J46" s="35" t="s">
        <v>374</v>
      </c>
    </row>
    <row r="47" spans="1:10" ht="28.5" x14ac:dyDescent="0.25">
      <c r="A47" s="3" t="s">
        <v>20</v>
      </c>
      <c r="B47" s="3">
        <v>2024</v>
      </c>
      <c r="C47" s="3" t="s">
        <v>25</v>
      </c>
      <c r="D47" s="3" t="s">
        <v>343</v>
      </c>
      <c r="E47" s="4" t="s">
        <v>468</v>
      </c>
      <c r="F47" s="3">
        <v>60594</v>
      </c>
      <c r="G47" s="3"/>
      <c r="H47" s="35" t="s">
        <v>66</v>
      </c>
      <c r="I47" s="6">
        <v>129.68</v>
      </c>
      <c r="J47" s="35" t="s">
        <v>374</v>
      </c>
    </row>
    <row r="48" spans="1:10" ht="28.5" x14ac:dyDescent="0.25">
      <c r="A48" s="3" t="s">
        <v>20</v>
      </c>
      <c r="B48" s="3">
        <v>2024</v>
      </c>
      <c r="C48" s="3" t="s">
        <v>25</v>
      </c>
      <c r="D48" s="3" t="s">
        <v>343</v>
      </c>
      <c r="E48" s="4" t="s">
        <v>469</v>
      </c>
      <c r="F48" s="3">
        <v>60595</v>
      </c>
      <c r="G48" s="3"/>
      <c r="H48" s="35" t="s">
        <v>66</v>
      </c>
      <c r="I48" s="6">
        <v>199.68</v>
      </c>
      <c r="J48" s="35" t="s">
        <v>374</v>
      </c>
    </row>
    <row r="49" spans="1:10" ht="28.5" x14ac:dyDescent="0.25">
      <c r="A49" s="3" t="s">
        <v>22</v>
      </c>
      <c r="B49" s="3">
        <v>2021</v>
      </c>
      <c r="C49" s="3" t="s">
        <v>26</v>
      </c>
      <c r="D49" s="3" t="s">
        <v>589</v>
      </c>
      <c r="E49" s="4" t="s">
        <v>590</v>
      </c>
      <c r="F49" s="3"/>
      <c r="G49" s="3"/>
      <c r="H49" s="35"/>
      <c r="I49" s="6">
        <v>10343.209999999999</v>
      </c>
      <c r="J49" s="35" t="s">
        <v>162</v>
      </c>
    </row>
    <row r="50" spans="1:10" ht="28.5" x14ac:dyDescent="0.25">
      <c r="A50" s="3" t="s">
        <v>22</v>
      </c>
      <c r="B50" s="3">
        <v>2021</v>
      </c>
      <c r="C50" s="3" t="s">
        <v>26</v>
      </c>
      <c r="D50" s="3" t="s">
        <v>133</v>
      </c>
      <c r="E50" s="4" t="s">
        <v>591</v>
      </c>
      <c r="F50" s="3"/>
      <c r="G50" s="3"/>
      <c r="H50" s="35"/>
      <c r="I50" s="6">
        <v>47669.35</v>
      </c>
      <c r="J50" s="35" t="s">
        <v>162</v>
      </c>
    </row>
    <row r="51" spans="1:10" ht="28.5" x14ac:dyDescent="0.25">
      <c r="A51" s="3" t="s">
        <v>22</v>
      </c>
      <c r="B51" s="3">
        <v>2021</v>
      </c>
      <c r="C51" s="3" t="s">
        <v>26</v>
      </c>
      <c r="D51" s="3" t="s">
        <v>140</v>
      </c>
      <c r="E51" s="4" t="s">
        <v>592</v>
      </c>
      <c r="F51" s="3"/>
      <c r="G51" s="3"/>
      <c r="H51" s="35"/>
      <c r="I51" s="6">
        <v>7452.17</v>
      </c>
      <c r="J51" s="35" t="s">
        <v>162</v>
      </c>
    </row>
    <row r="52" spans="1:10" ht="28.5" x14ac:dyDescent="0.25">
      <c r="A52" s="3" t="s">
        <v>22</v>
      </c>
      <c r="B52" s="3">
        <v>2022</v>
      </c>
      <c r="C52" s="3" t="s">
        <v>26</v>
      </c>
      <c r="D52" s="3" t="s">
        <v>593</v>
      </c>
      <c r="E52" s="4" t="s">
        <v>594</v>
      </c>
      <c r="F52" s="3"/>
      <c r="G52" s="3"/>
      <c r="H52" s="35"/>
      <c r="I52" s="6">
        <v>5211.88</v>
      </c>
      <c r="J52" s="35" t="s">
        <v>162</v>
      </c>
    </row>
    <row r="53" spans="1:10" ht="28.5" x14ac:dyDescent="0.25">
      <c r="A53" s="3" t="s">
        <v>20</v>
      </c>
      <c r="B53" s="3">
        <v>2023</v>
      </c>
      <c r="C53" s="3" t="s">
        <v>25</v>
      </c>
      <c r="D53" s="3" t="s">
        <v>343</v>
      </c>
      <c r="E53" s="4" t="s">
        <v>344</v>
      </c>
      <c r="F53" s="69">
        <v>56340</v>
      </c>
      <c r="G53" s="3"/>
      <c r="H53" s="35" t="s">
        <v>66</v>
      </c>
      <c r="I53" s="6">
        <v>410.85</v>
      </c>
      <c r="J53" s="35" t="s">
        <v>162</v>
      </c>
    </row>
    <row r="54" spans="1:10" ht="28.5" x14ac:dyDescent="0.25">
      <c r="A54" s="3" t="s">
        <v>20</v>
      </c>
      <c r="B54" s="3">
        <v>2023</v>
      </c>
      <c r="C54" s="3" t="s">
        <v>25</v>
      </c>
      <c r="D54" s="3" t="s">
        <v>343</v>
      </c>
      <c r="E54" s="4" t="s">
        <v>345</v>
      </c>
      <c r="F54" s="69">
        <v>56342</v>
      </c>
      <c r="G54" s="3"/>
      <c r="H54" s="35" t="s">
        <v>66</v>
      </c>
      <c r="I54" s="6">
        <v>395.85</v>
      </c>
      <c r="J54" s="35" t="s">
        <v>162</v>
      </c>
    </row>
    <row r="55" spans="1:10" ht="28.5" x14ac:dyDescent="0.25">
      <c r="A55" s="3" t="s">
        <v>20</v>
      </c>
      <c r="B55" s="3">
        <v>2023</v>
      </c>
      <c r="C55" s="3" t="s">
        <v>25</v>
      </c>
      <c r="D55" s="3" t="s">
        <v>346</v>
      </c>
      <c r="E55" s="4" t="s">
        <v>347</v>
      </c>
      <c r="F55" s="69">
        <v>56766</v>
      </c>
      <c r="G55" s="3"/>
      <c r="H55" s="35" t="s">
        <v>66</v>
      </c>
      <c r="I55" s="6">
        <v>1143.31</v>
      </c>
      <c r="J55" s="35" t="s">
        <v>162</v>
      </c>
    </row>
    <row r="56" spans="1:10" ht="28.5" x14ac:dyDescent="0.25">
      <c r="A56" s="3" t="s">
        <v>20</v>
      </c>
      <c r="B56" s="3">
        <v>2023</v>
      </c>
      <c r="C56" s="3" t="s">
        <v>25</v>
      </c>
      <c r="D56" s="3" t="s">
        <v>343</v>
      </c>
      <c r="E56" s="4" t="s">
        <v>348</v>
      </c>
      <c r="F56" s="69">
        <v>56343</v>
      </c>
      <c r="G56" s="3"/>
      <c r="H56" s="35" t="s">
        <v>66</v>
      </c>
      <c r="I56" s="6">
        <v>104.8</v>
      </c>
      <c r="J56" s="35" t="s">
        <v>162</v>
      </c>
    </row>
    <row r="57" spans="1:10" ht="28.5" x14ac:dyDescent="0.25">
      <c r="A57" s="3" t="s">
        <v>20</v>
      </c>
      <c r="B57" s="3">
        <v>2023</v>
      </c>
      <c r="C57" s="3" t="s">
        <v>25</v>
      </c>
      <c r="D57" s="3" t="s">
        <v>343</v>
      </c>
      <c r="E57" s="4" t="s">
        <v>349</v>
      </c>
      <c r="F57" s="69">
        <v>56344</v>
      </c>
      <c r="G57" s="3"/>
      <c r="H57" s="35" t="s">
        <v>66</v>
      </c>
      <c r="I57" s="6">
        <v>380.35</v>
      </c>
      <c r="J57" s="35" t="s">
        <v>162</v>
      </c>
    </row>
    <row r="58" spans="1:10" ht="28.5" x14ac:dyDescent="0.25">
      <c r="A58" s="3" t="s">
        <v>20</v>
      </c>
      <c r="B58" s="3">
        <v>2023</v>
      </c>
      <c r="C58" s="3" t="s">
        <v>25</v>
      </c>
      <c r="D58" s="3" t="s">
        <v>343</v>
      </c>
      <c r="E58" s="4" t="s">
        <v>350</v>
      </c>
      <c r="F58" s="69">
        <v>56345</v>
      </c>
      <c r="G58" s="3"/>
      <c r="H58" s="35" t="s">
        <v>66</v>
      </c>
      <c r="I58" s="6">
        <v>365.35</v>
      </c>
      <c r="J58" s="35" t="s">
        <v>162</v>
      </c>
    </row>
    <row r="59" spans="1:10" ht="28.5" x14ac:dyDescent="0.25">
      <c r="A59" s="3" t="s">
        <v>20</v>
      </c>
      <c r="B59" s="3">
        <v>2023</v>
      </c>
      <c r="C59" s="3" t="s">
        <v>25</v>
      </c>
      <c r="D59" s="3" t="s">
        <v>343</v>
      </c>
      <c r="E59" s="4" t="s">
        <v>351</v>
      </c>
      <c r="F59" s="69">
        <v>57204</v>
      </c>
      <c r="G59" s="3"/>
      <c r="H59" s="35" t="s">
        <v>66</v>
      </c>
      <c r="I59" s="6">
        <v>710.36</v>
      </c>
      <c r="J59" s="35" t="s">
        <v>162</v>
      </c>
    </row>
    <row r="60" spans="1:10" ht="28.5" x14ac:dyDescent="0.25">
      <c r="A60" s="3" t="s">
        <v>20</v>
      </c>
      <c r="B60" s="3">
        <v>2023</v>
      </c>
      <c r="C60" s="3" t="s">
        <v>25</v>
      </c>
      <c r="D60" s="3" t="s">
        <v>343</v>
      </c>
      <c r="E60" s="4" t="s">
        <v>352</v>
      </c>
      <c r="F60" s="69">
        <v>57159</v>
      </c>
      <c r="G60" s="3"/>
      <c r="H60" s="35" t="s">
        <v>66</v>
      </c>
      <c r="I60" s="6">
        <v>489.07</v>
      </c>
      <c r="J60" s="35" t="s">
        <v>162</v>
      </c>
    </row>
    <row r="61" spans="1:10" ht="28.5" x14ac:dyDescent="0.25">
      <c r="A61" s="3" t="s">
        <v>20</v>
      </c>
      <c r="B61" s="3">
        <v>2023</v>
      </c>
      <c r="C61" s="3" t="s">
        <v>25</v>
      </c>
      <c r="D61" s="3" t="s">
        <v>283</v>
      </c>
      <c r="E61" s="4" t="s">
        <v>353</v>
      </c>
      <c r="F61" s="69">
        <v>57388</v>
      </c>
      <c r="G61" s="3"/>
      <c r="H61" s="35" t="s">
        <v>68</v>
      </c>
      <c r="I61" s="6">
        <v>205.4</v>
      </c>
      <c r="J61" s="35" t="s">
        <v>162</v>
      </c>
    </row>
    <row r="62" spans="1:10" ht="28.5" x14ac:dyDescent="0.25">
      <c r="A62" s="3" t="s">
        <v>20</v>
      </c>
      <c r="B62" s="3">
        <v>2023</v>
      </c>
      <c r="C62" s="3" t="s">
        <v>25</v>
      </c>
      <c r="D62" s="3" t="s">
        <v>343</v>
      </c>
      <c r="E62" s="4" t="s">
        <v>354</v>
      </c>
      <c r="F62" s="69">
        <v>57163</v>
      </c>
      <c r="G62" s="3"/>
      <c r="H62" s="35" t="s">
        <v>66</v>
      </c>
      <c r="I62" s="6">
        <v>474.95</v>
      </c>
      <c r="J62" s="35" t="s">
        <v>162</v>
      </c>
    </row>
    <row r="63" spans="1:10" ht="28.5" x14ac:dyDescent="0.25">
      <c r="A63" s="3" t="s">
        <v>20</v>
      </c>
      <c r="B63" s="3">
        <v>2023</v>
      </c>
      <c r="C63" s="3" t="s">
        <v>25</v>
      </c>
      <c r="D63" s="3" t="s">
        <v>355</v>
      </c>
      <c r="E63" s="4" t="s">
        <v>356</v>
      </c>
      <c r="F63" s="69">
        <v>57390</v>
      </c>
      <c r="G63" s="3"/>
      <c r="H63" s="35" t="s">
        <v>68</v>
      </c>
      <c r="I63" s="6">
        <v>204</v>
      </c>
      <c r="J63" s="35" t="s">
        <v>162</v>
      </c>
    </row>
    <row r="64" spans="1:10" ht="28.5" x14ac:dyDescent="0.25">
      <c r="A64" s="3" t="s">
        <v>20</v>
      </c>
      <c r="B64" s="3">
        <v>2023</v>
      </c>
      <c r="C64" s="3" t="s">
        <v>25</v>
      </c>
      <c r="D64" s="3" t="s">
        <v>343</v>
      </c>
      <c r="E64" s="4" t="s">
        <v>357</v>
      </c>
      <c r="F64" s="69">
        <v>57165</v>
      </c>
      <c r="G64" s="3"/>
      <c r="H64" s="35" t="s">
        <v>66</v>
      </c>
      <c r="I64" s="6">
        <v>479.87</v>
      </c>
      <c r="J64" s="35" t="s">
        <v>162</v>
      </c>
    </row>
    <row r="65" spans="1:10" ht="28.5" x14ac:dyDescent="0.25">
      <c r="A65" s="3" t="s">
        <v>20</v>
      </c>
      <c r="B65" s="3">
        <v>2023</v>
      </c>
      <c r="C65" s="3" t="s">
        <v>25</v>
      </c>
      <c r="D65" s="3" t="s">
        <v>343</v>
      </c>
      <c r="E65" s="4" t="s">
        <v>358</v>
      </c>
      <c r="F65" s="69">
        <v>57166</v>
      </c>
      <c r="G65" s="3"/>
      <c r="H65" s="35" t="s">
        <v>66</v>
      </c>
      <c r="I65" s="6">
        <v>494.05</v>
      </c>
      <c r="J65" s="35" t="s">
        <v>162</v>
      </c>
    </row>
    <row r="66" spans="1:10" ht="42.75" x14ac:dyDescent="0.25">
      <c r="A66" s="3" t="s">
        <v>20</v>
      </c>
      <c r="B66" s="3">
        <v>2023</v>
      </c>
      <c r="C66" s="3" t="s">
        <v>25</v>
      </c>
      <c r="D66" s="3" t="s">
        <v>346</v>
      </c>
      <c r="E66" s="4" t="s">
        <v>359</v>
      </c>
      <c r="F66" s="69">
        <v>57407</v>
      </c>
      <c r="G66" s="3"/>
      <c r="H66" s="35" t="s">
        <v>66</v>
      </c>
      <c r="I66" s="6">
        <v>648.4</v>
      </c>
      <c r="J66" s="35" t="s">
        <v>162</v>
      </c>
    </row>
    <row r="67" spans="1:10" ht="28.5" x14ac:dyDescent="0.25">
      <c r="A67" s="3" t="s">
        <v>20</v>
      </c>
      <c r="B67" s="3">
        <v>2023</v>
      </c>
      <c r="C67" s="3" t="s">
        <v>25</v>
      </c>
      <c r="D67" s="3" t="s">
        <v>343</v>
      </c>
      <c r="E67" s="4" t="s">
        <v>360</v>
      </c>
      <c r="F67" s="69">
        <v>57179</v>
      </c>
      <c r="G67" s="3"/>
      <c r="H67" s="35" t="s">
        <v>66</v>
      </c>
      <c r="I67" s="6">
        <v>324.39999999999998</v>
      </c>
      <c r="J67" s="35" t="s">
        <v>162</v>
      </c>
    </row>
    <row r="68" spans="1:10" ht="42.75" x14ac:dyDescent="0.25">
      <c r="A68" s="3" t="s">
        <v>20</v>
      </c>
      <c r="B68" s="3">
        <v>2023</v>
      </c>
      <c r="C68" s="3" t="s">
        <v>25</v>
      </c>
      <c r="D68" s="3" t="s">
        <v>361</v>
      </c>
      <c r="E68" s="4" t="s">
        <v>362</v>
      </c>
      <c r="F68" s="3">
        <v>57394</v>
      </c>
      <c r="G68" s="3"/>
      <c r="H68" s="35" t="s">
        <v>66</v>
      </c>
      <c r="I68" s="6">
        <v>1509.92</v>
      </c>
      <c r="J68" s="35" t="s">
        <v>374</v>
      </c>
    </row>
    <row r="69" spans="1:10" ht="28.5" x14ac:dyDescent="0.25">
      <c r="A69" s="3" t="s">
        <v>20</v>
      </c>
      <c r="B69" s="3">
        <v>2023</v>
      </c>
      <c r="C69" s="3" t="s">
        <v>25</v>
      </c>
      <c r="D69" s="3" t="s">
        <v>260</v>
      </c>
      <c r="E69" s="4" t="s">
        <v>363</v>
      </c>
      <c r="F69" s="69">
        <v>57590</v>
      </c>
      <c r="G69" s="3"/>
      <c r="H69" s="35" t="s">
        <v>68</v>
      </c>
      <c r="I69" s="6">
        <v>329.87</v>
      </c>
      <c r="J69" s="35" t="s">
        <v>162</v>
      </c>
    </row>
    <row r="70" spans="1:10" ht="28.5" x14ac:dyDescent="0.25">
      <c r="A70" s="3" t="s">
        <v>20</v>
      </c>
      <c r="B70" s="3">
        <v>2023</v>
      </c>
      <c r="C70" s="3" t="s">
        <v>25</v>
      </c>
      <c r="D70" s="3" t="s">
        <v>343</v>
      </c>
      <c r="E70" s="4" t="s">
        <v>364</v>
      </c>
      <c r="F70" s="69">
        <v>57180</v>
      </c>
      <c r="G70" s="3"/>
      <c r="H70" s="35" t="s">
        <v>66</v>
      </c>
      <c r="I70" s="6">
        <v>199.4</v>
      </c>
      <c r="J70" s="35" t="s">
        <v>162</v>
      </c>
    </row>
    <row r="71" spans="1:10" ht="28.5" x14ac:dyDescent="0.25">
      <c r="A71" s="3" t="s">
        <v>20</v>
      </c>
      <c r="B71" s="3">
        <v>2023</v>
      </c>
      <c r="C71" s="3" t="s">
        <v>25</v>
      </c>
      <c r="D71" s="3" t="s">
        <v>365</v>
      </c>
      <c r="E71" s="4" t="s">
        <v>366</v>
      </c>
      <c r="F71" s="3">
        <v>57910</v>
      </c>
      <c r="G71" s="3"/>
      <c r="H71" s="35" t="s">
        <v>66</v>
      </c>
      <c r="I71" s="6">
        <v>609.6</v>
      </c>
      <c r="J71" s="35" t="s">
        <v>374</v>
      </c>
    </row>
    <row r="72" spans="1:10" ht="28.5" x14ac:dyDescent="0.25">
      <c r="A72" s="3" t="s">
        <v>20</v>
      </c>
      <c r="B72" s="3">
        <v>2023</v>
      </c>
      <c r="C72" s="3" t="s">
        <v>25</v>
      </c>
      <c r="D72" s="3" t="s">
        <v>365</v>
      </c>
      <c r="E72" s="4" t="s">
        <v>367</v>
      </c>
      <c r="F72" s="69">
        <v>57709</v>
      </c>
      <c r="G72" s="3"/>
      <c r="H72" s="35" t="s">
        <v>66</v>
      </c>
      <c r="I72" s="6">
        <v>481.4</v>
      </c>
      <c r="J72" s="35" t="s">
        <v>162</v>
      </c>
    </row>
    <row r="73" spans="1:10" ht="28.5" x14ac:dyDescent="0.25">
      <c r="A73" s="3" t="s">
        <v>20</v>
      </c>
      <c r="B73" s="3">
        <v>2023</v>
      </c>
      <c r="C73" s="3" t="s">
        <v>25</v>
      </c>
      <c r="D73" s="3" t="s">
        <v>346</v>
      </c>
      <c r="E73" s="4" t="s">
        <v>368</v>
      </c>
      <c r="F73" s="3">
        <v>58742</v>
      </c>
      <c r="G73" s="3"/>
      <c r="H73" s="35" t="s">
        <v>66</v>
      </c>
      <c r="I73" s="6">
        <v>4702.03</v>
      </c>
      <c r="J73" s="35" t="s">
        <v>162</v>
      </c>
    </row>
    <row r="74" spans="1:10" ht="28.5" x14ac:dyDescent="0.25">
      <c r="A74" s="3" t="s">
        <v>20</v>
      </c>
      <c r="B74" s="3">
        <v>2023</v>
      </c>
      <c r="C74" s="3" t="s">
        <v>25</v>
      </c>
      <c r="D74" s="3" t="s">
        <v>343</v>
      </c>
      <c r="E74" s="4" t="s">
        <v>369</v>
      </c>
      <c r="F74" s="69">
        <v>58542</v>
      </c>
      <c r="G74" s="3"/>
      <c r="H74" s="35" t="s">
        <v>66</v>
      </c>
      <c r="I74" s="6">
        <v>189.4</v>
      </c>
      <c r="J74" s="35" t="s">
        <v>162</v>
      </c>
    </row>
    <row r="75" spans="1:10" ht="28.5" x14ac:dyDescent="0.25">
      <c r="A75" s="3" t="s">
        <v>20</v>
      </c>
      <c r="B75" s="3">
        <v>2023</v>
      </c>
      <c r="C75" s="3" t="s">
        <v>25</v>
      </c>
      <c r="D75" s="3" t="s">
        <v>116</v>
      </c>
      <c r="E75" s="4" t="s">
        <v>370</v>
      </c>
      <c r="F75" s="69">
        <v>58528</v>
      </c>
      <c r="G75" s="3"/>
      <c r="H75" s="35" t="s">
        <v>66</v>
      </c>
      <c r="I75" s="6">
        <v>944.67</v>
      </c>
      <c r="J75" s="35" t="s">
        <v>162</v>
      </c>
    </row>
    <row r="76" spans="1:10" ht="28.5" x14ac:dyDescent="0.25">
      <c r="A76" s="3" t="s">
        <v>20</v>
      </c>
      <c r="B76" s="3">
        <v>2023</v>
      </c>
      <c r="C76" s="3" t="s">
        <v>25</v>
      </c>
      <c r="D76" s="3" t="s">
        <v>127</v>
      </c>
      <c r="E76" s="4" t="s">
        <v>371</v>
      </c>
      <c r="F76" s="3">
        <v>58388</v>
      </c>
      <c r="G76" s="3"/>
      <c r="H76" s="35" t="s">
        <v>66</v>
      </c>
      <c r="I76" s="6">
        <v>159.69999999999999</v>
      </c>
      <c r="J76" s="35" t="s">
        <v>162</v>
      </c>
    </row>
    <row r="77" spans="1:10" ht="28.5" x14ac:dyDescent="0.25">
      <c r="A77" s="3" t="s">
        <v>20</v>
      </c>
      <c r="B77" s="3">
        <v>2023</v>
      </c>
      <c r="C77" s="3" t="s">
        <v>25</v>
      </c>
      <c r="D77" s="3" t="s">
        <v>365</v>
      </c>
      <c r="E77" s="4" t="s">
        <v>372</v>
      </c>
      <c r="F77" s="3">
        <v>57444</v>
      </c>
      <c r="G77" s="3"/>
      <c r="H77" s="35" t="s">
        <v>66</v>
      </c>
      <c r="I77" s="6">
        <v>370.6</v>
      </c>
      <c r="J77" s="35" t="s">
        <v>162</v>
      </c>
    </row>
    <row r="78" spans="1:10" ht="42.75" x14ac:dyDescent="0.25">
      <c r="A78" s="3" t="s">
        <v>20</v>
      </c>
      <c r="B78" s="3">
        <v>2023</v>
      </c>
      <c r="C78" s="3" t="s">
        <v>25</v>
      </c>
      <c r="D78" s="3" t="s">
        <v>361</v>
      </c>
      <c r="E78" s="4" t="s">
        <v>373</v>
      </c>
      <c r="F78" s="3">
        <v>58729</v>
      </c>
      <c r="G78" s="3"/>
      <c r="H78" s="35" t="s">
        <v>66</v>
      </c>
      <c r="I78" s="6">
        <v>2425.44</v>
      </c>
      <c r="J78" s="35" t="s">
        <v>374</v>
      </c>
    </row>
    <row r="79" spans="1:10" ht="28.5" x14ac:dyDescent="0.25">
      <c r="A79" s="3" t="s">
        <v>20</v>
      </c>
      <c r="B79" s="3">
        <v>2023</v>
      </c>
      <c r="C79" s="3" t="s">
        <v>25</v>
      </c>
      <c r="D79" s="3" t="s">
        <v>365</v>
      </c>
      <c r="E79" s="4" t="s">
        <v>375</v>
      </c>
      <c r="F79" s="3">
        <v>58901</v>
      </c>
      <c r="G79" s="3"/>
      <c r="H79" s="35" t="s">
        <v>66</v>
      </c>
      <c r="I79" s="6">
        <v>496.69</v>
      </c>
      <c r="J79" s="35" t="s">
        <v>374</v>
      </c>
    </row>
    <row r="80" spans="1:10" ht="28.5" x14ac:dyDescent="0.25">
      <c r="A80" s="3" t="s">
        <v>20</v>
      </c>
      <c r="B80" s="3">
        <v>2023</v>
      </c>
      <c r="C80" s="3" t="s">
        <v>25</v>
      </c>
      <c r="D80" s="3" t="s">
        <v>365</v>
      </c>
      <c r="E80" s="4" t="s">
        <v>376</v>
      </c>
      <c r="F80" s="69">
        <v>58723</v>
      </c>
      <c r="G80" s="3"/>
      <c r="H80" s="35" t="s">
        <v>66</v>
      </c>
      <c r="I80" s="6">
        <v>392.14</v>
      </c>
      <c r="J80" s="35" t="s">
        <v>162</v>
      </c>
    </row>
    <row r="81" spans="1:10" ht="42.75" x14ac:dyDescent="0.25">
      <c r="A81" s="3" t="s">
        <v>20</v>
      </c>
      <c r="B81" s="3">
        <v>2023</v>
      </c>
      <c r="C81" s="3" t="s">
        <v>25</v>
      </c>
      <c r="D81" s="3" t="s">
        <v>346</v>
      </c>
      <c r="E81" s="4" t="s">
        <v>464</v>
      </c>
      <c r="F81" s="3">
        <v>60261</v>
      </c>
      <c r="G81" s="3"/>
      <c r="H81" s="35" t="s">
        <v>66</v>
      </c>
      <c r="I81" s="6"/>
      <c r="J81" s="35" t="s">
        <v>374</v>
      </c>
    </row>
    <row r="82" spans="1:10" ht="28.5" x14ac:dyDescent="0.25">
      <c r="A82" s="3" t="s">
        <v>20</v>
      </c>
      <c r="B82" s="3">
        <v>2022</v>
      </c>
      <c r="C82" s="3" t="s">
        <v>25</v>
      </c>
      <c r="D82" s="3" t="s">
        <v>336</v>
      </c>
      <c r="E82" s="4" t="s">
        <v>436</v>
      </c>
      <c r="F82" s="69">
        <v>56633</v>
      </c>
      <c r="G82" s="3"/>
      <c r="H82" s="35" t="s">
        <v>66</v>
      </c>
      <c r="I82" s="6">
        <v>0</v>
      </c>
      <c r="J82" s="35" t="s">
        <v>162</v>
      </c>
    </row>
    <row r="83" spans="1:10" ht="42.75" x14ac:dyDescent="0.25">
      <c r="A83" s="3" t="s">
        <v>20</v>
      </c>
      <c r="B83" s="3">
        <v>2022</v>
      </c>
      <c r="C83" s="3" t="s">
        <v>25</v>
      </c>
      <c r="D83" s="3" t="s">
        <v>427</v>
      </c>
      <c r="E83" s="4" t="s">
        <v>437</v>
      </c>
      <c r="F83" s="69">
        <v>53236</v>
      </c>
      <c r="G83" s="3"/>
      <c r="H83" s="35" t="s">
        <v>66</v>
      </c>
      <c r="I83" s="6">
        <v>3650.3</v>
      </c>
      <c r="J83" s="35" t="s">
        <v>162</v>
      </c>
    </row>
    <row r="84" spans="1:10" ht="28.5" x14ac:dyDescent="0.25">
      <c r="A84" s="3" t="s">
        <v>20</v>
      </c>
      <c r="B84" s="3">
        <v>2022</v>
      </c>
      <c r="C84" s="3" t="s">
        <v>25</v>
      </c>
      <c r="D84" s="3" t="s">
        <v>343</v>
      </c>
      <c r="E84" s="4" t="s">
        <v>438</v>
      </c>
      <c r="F84" s="69">
        <v>53472</v>
      </c>
      <c r="G84" s="3"/>
      <c r="H84" s="35" t="s">
        <v>66</v>
      </c>
      <c r="I84" s="6">
        <v>195.3</v>
      </c>
      <c r="J84" s="35" t="s">
        <v>162</v>
      </c>
    </row>
    <row r="85" spans="1:10" ht="28.5" x14ac:dyDescent="0.25">
      <c r="A85" s="3" t="s">
        <v>20</v>
      </c>
      <c r="B85" s="3">
        <v>2022</v>
      </c>
      <c r="C85" s="3" t="s">
        <v>25</v>
      </c>
      <c r="D85" s="3" t="s">
        <v>428</v>
      </c>
      <c r="E85" s="4" t="s">
        <v>439</v>
      </c>
      <c r="F85" s="69">
        <v>53697</v>
      </c>
      <c r="G85" s="3"/>
      <c r="H85" s="35" t="s">
        <v>66</v>
      </c>
      <c r="I85" s="6">
        <v>245.08</v>
      </c>
      <c r="J85" s="35" t="s">
        <v>162</v>
      </c>
    </row>
    <row r="86" spans="1:10" ht="28.5" x14ac:dyDescent="0.25">
      <c r="A86" s="3" t="s">
        <v>20</v>
      </c>
      <c r="B86" s="3">
        <v>2022</v>
      </c>
      <c r="C86" s="3" t="s">
        <v>25</v>
      </c>
      <c r="D86" s="3" t="s">
        <v>365</v>
      </c>
      <c r="E86" s="4" t="s">
        <v>440</v>
      </c>
      <c r="F86" s="69">
        <v>53477</v>
      </c>
      <c r="G86" s="3"/>
      <c r="H86" s="35" t="s">
        <v>66</v>
      </c>
      <c r="I86" s="6">
        <v>1842.87</v>
      </c>
      <c r="J86" s="35" t="s">
        <v>162</v>
      </c>
    </row>
    <row r="87" spans="1:10" ht="57" x14ac:dyDescent="0.25">
      <c r="A87" s="3" t="s">
        <v>20</v>
      </c>
      <c r="B87" s="3">
        <v>2022</v>
      </c>
      <c r="C87" s="3" t="s">
        <v>25</v>
      </c>
      <c r="D87" s="3" t="s">
        <v>343</v>
      </c>
      <c r="E87" s="4" t="s">
        <v>441</v>
      </c>
      <c r="F87" s="69">
        <v>53638</v>
      </c>
      <c r="G87" s="3"/>
      <c r="H87" s="35" t="s">
        <v>66</v>
      </c>
      <c r="I87" s="6">
        <v>476.57</v>
      </c>
      <c r="J87" s="35" t="s">
        <v>162</v>
      </c>
    </row>
    <row r="88" spans="1:10" ht="57" x14ac:dyDescent="0.25">
      <c r="A88" s="3" t="s">
        <v>20</v>
      </c>
      <c r="B88" s="3">
        <v>2022</v>
      </c>
      <c r="C88" s="3" t="s">
        <v>25</v>
      </c>
      <c r="D88" s="3" t="s">
        <v>361</v>
      </c>
      <c r="E88" s="4" t="s">
        <v>442</v>
      </c>
      <c r="F88" s="69">
        <v>53303</v>
      </c>
      <c r="G88" s="3"/>
      <c r="H88" s="35" t="s">
        <v>66</v>
      </c>
      <c r="I88" s="6">
        <v>1681.92</v>
      </c>
      <c r="J88" s="35" t="s">
        <v>162</v>
      </c>
    </row>
    <row r="89" spans="1:10" ht="42.75" x14ac:dyDescent="0.25">
      <c r="A89" s="3" t="s">
        <v>20</v>
      </c>
      <c r="B89" s="3">
        <v>2022</v>
      </c>
      <c r="C89" s="3" t="s">
        <v>25</v>
      </c>
      <c r="D89" s="3" t="s">
        <v>346</v>
      </c>
      <c r="E89" s="4" t="s">
        <v>443</v>
      </c>
      <c r="F89" s="69">
        <v>54263</v>
      </c>
      <c r="G89" s="3"/>
      <c r="H89" s="35" t="s">
        <v>66</v>
      </c>
      <c r="I89" s="6">
        <v>3863.81</v>
      </c>
      <c r="J89" s="35" t="s">
        <v>162</v>
      </c>
    </row>
    <row r="90" spans="1:10" ht="28.5" x14ac:dyDescent="0.25">
      <c r="A90" s="3" t="s">
        <v>20</v>
      </c>
      <c r="B90" s="3">
        <v>2022</v>
      </c>
      <c r="C90" s="3" t="s">
        <v>25</v>
      </c>
      <c r="D90" s="3" t="s">
        <v>149</v>
      </c>
      <c r="E90" s="4" t="s">
        <v>444</v>
      </c>
      <c r="F90" s="69">
        <v>54217</v>
      </c>
      <c r="G90" s="3"/>
      <c r="H90" s="35" t="s">
        <v>66</v>
      </c>
      <c r="I90" s="6">
        <v>123.3</v>
      </c>
      <c r="J90" s="35" t="s">
        <v>162</v>
      </c>
    </row>
    <row r="91" spans="1:10" ht="28.5" x14ac:dyDescent="0.25">
      <c r="A91" s="3" t="s">
        <v>20</v>
      </c>
      <c r="B91" s="3">
        <v>2022</v>
      </c>
      <c r="C91" s="3" t="s">
        <v>25</v>
      </c>
      <c r="D91" s="3" t="s">
        <v>429</v>
      </c>
      <c r="E91" s="4" t="s">
        <v>445</v>
      </c>
      <c r="F91" s="69">
        <v>54410</v>
      </c>
      <c r="G91" s="3"/>
      <c r="H91" s="35" t="s">
        <v>66</v>
      </c>
      <c r="I91" s="6">
        <v>1373.42</v>
      </c>
      <c r="J91" s="35" t="s">
        <v>162</v>
      </c>
    </row>
    <row r="92" spans="1:10" ht="28.5" x14ac:dyDescent="0.25">
      <c r="A92" s="3" t="s">
        <v>20</v>
      </c>
      <c r="B92" s="3">
        <v>2022</v>
      </c>
      <c r="C92" s="3" t="s">
        <v>25</v>
      </c>
      <c r="D92" s="3" t="s">
        <v>259</v>
      </c>
      <c r="E92" s="4" t="s">
        <v>446</v>
      </c>
      <c r="F92" s="69">
        <v>54194</v>
      </c>
      <c r="G92" s="3"/>
      <c r="H92" s="35" t="s">
        <v>66</v>
      </c>
      <c r="I92" s="6">
        <v>101.3</v>
      </c>
      <c r="J92" s="35" t="s">
        <v>162</v>
      </c>
    </row>
    <row r="93" spans="1:10" ht="28.5" x14ac:dyDescent="0.25">
      <c r="A93" s="3" t="s">
        <v>20</v>
      </c>
      <c r="B93" s="3">
        <v>2022</v>
      </c>
      <c r="C93" s="3" t="s">
        <v>25</v>
      </c>
      <c r="D93" s="3" t="s">
        <v>430</v>
      </c>
      <c r="E93" s="4" t="s">
        <v>447</v>
      </c>
      <c r="F93" s="69">
        <v>54136</v>
      </c>
      <c r="G93" s="3"/>
      <c r="H93" s="35" t="s">
        <v>66</v>
      </c>
      <c r="I93" s="6">
        <v>1368.39</v>
      </c>
      <c r="J93" s="35" t="s">
        <v>162</v>
      </c>
    </row>
    <row r="94" spans="1:10" ht="28.5" x14ac:dyDescent="0.25">
      <c r="A94" s="3" t="s">
        <v>20</v>
      </c>
      <c r="B94" s="3">
        <v>2022</v>
      </c>
      <c r="C94" s="3" t="s">
        <v>25</v>
      </c>
      <c r="D94" s="3" t="s">
        <v>431</v>
      </c>
      <c r="E94" s="4" t="s">
        <v>448</v>
      </c>
      <c r="F94" s="69">
        <v>53933</v>
      </c>
      <c r="G94" s="3"/>
      <c r="H94" s="35" t="s">
        <v>66</v>
      </c>
      <c r="I94" s="6">
        <v>2594.96</v>
      </c>
      <c r="J94" s="35" t="s">
        <v>162</v>
      </c>
    </row>
    <row r="95" spans="1:10" ht="28.5" x14ac:dyDescent="0.25">
      <c r="A95" s="3" t="s">
        <v>20</v>
      </c>
      <c r="B95" s="3">
        <v>2022</v>
      </c>
      <c r="C95" s="3" t="s">
        <v>25</v>
      </c>
      <c r="D95" s="3" t="s">
        <v>365</v>
      </c>
      <c r="E95" s="4" t="s">
        <v>449</v>
      </c>
      <c r="F95" s="69">
        <v>54949</v>
      </c>
      <c r="G95" s="3"/>
      <c r="H95" s="35" t="s">
        <v>66</v>
      </c>
      <c r="I95" s="6">
        <v>644.78</v>
      </c>
      <c r="J95" s="35" t="s">
        <v>162</v>
      </c>
    </row>
    <row r="96" spans="1:10" ht="28.5" x14ac:dyDescent="0.25">
      <c r="A96" s="3" t="s">
        <v>20</v>
      </c>
      <c r="B96" s="3">
        <v>2022</v>
      </c>
      <c r="C96" s="3" t="s">
        <v>25</v>
      </c>
      <c r="D96" s="3" t="s">
        <v>431</v>
      </c>
      <c r="E96" s="4" t="s">
        <v>450</v>
      </c>
      <c r="F96" s="69">
        <v>54930</v>
      </c>
      <c r="G96" s="3"/>
      <c r="H96" s="35" t="s">
        <v>66</v>
      </c>
      <c r="I96" s="6">
        <v>447.73</v>
      </c>
      <c r="J96" s="35" t="s">
        <v>162</v>
      </c>
    </row>
    <row r="97" spans="1:11" ht="28.5" x14ac:dyDescent="0.25">
      <c r="A97" s="3" t="s">
        <v>20</v>
      </c>
      <c r="B97" s="3">
        <v>2022</v>
      </c>
      <c r="C97" s="3" t="s">
        <v>25</v>
      </c>
      <c r="D97" s="3" t="s">
        <v>361</v>
      </c>
      <c r="E97" s="4" t="s">
        <v>451</v>
      </c>
      <c r="F97" s="69">
        <v>55016</v>
      </c>
      <c r="G97" s="3"/>
      <c r="H97" s="35" t="s">
        <v>66</v>
      </c>
      <c r="I97" s="6">
        <v>5757.51</v>
      </c>
      <c r="J97" s="35" t="s">
        <v>162</v>
      </c>
    </row>
    <row r="98" spans="1:11" ht="28.5" x14ac:dyDescent="0.25">
      <c r="A98" s="3" t="s">
        <v>20</v>
      </c>
      <c r="B98" s="3">
        <v>2022</v>
      </c>
      <c r="C98" s="3" t="s">
        <v>25</v>
      </c>
      <c r="D98" s="3" t="s">
        <v>430</v>
      </c>
      <c r="E98" s="4" t="s">
        <v>452</v>
      </c>
      <c r="F98" s="69">
        <v>55174</v>
      </c>
      <c r="G98" s="3"/>
      <c r="H98" s="35" t="s">
        <v>66</v>
      </c>
      <c r="I98" s="6">
        <v>1616.44</v>
      </c>
      <c r="J98" s="35" t="s">
        <v>162</v>
      </c>
    </row>
    <row r="99" spans="1:11" ht="28.5" x14ac:dyDescent="0.25">
      <c r="A99" s="3" t="s">
        <v>20</v>
      </c>
      <c r="B99" s="3">
        <v>2022</v>
      </c>
      <c r="C99" s="3" t="s">
        <v>25</v>
      </c>
      <c r="D99" s="3" t="s">
        <v>343</v>
      </c>
      <c r="E99" s="4" t="s">
        <v>453</v>
      </c>
      <c r="F99" s="69">
        <v>55505</v>
      </c>
      <c r="G99" s="3"/>
      <c r="H99" s="35" t="s">
        <v>66</v>
      </c>
      <c r="I99" s="6">
        <v>220.77</v>
      </c>
      <c r="J99" s="35" t="s">
        <v>162</v>
      </c>
    </row>
    <row r="100" spans="1:11" ht="28.5" x14ac:dyDescent="0.25">
      <c r="A100" s="3" t="s">
        <v>20</v>
      </c>
      <c r="B100" s="3">
        <v>2022</v>
      </c>
      <c r="C100" s="3" t="s">
        <v>25</v>
      </c>
      <c r="D100" s="3" t="s">
        <v>432</v>
      </c>
      <c r="E100" s="4" t="s">
        <v>454</v>
      </c>
      <c r="F100" s="69">
        <v>55815</v>
      </c>
      <c r="G100" s="3"/>
      <c r="H100" s="35" t="s">
        <v>66</v>
      </c>
      <c r="I100" s="6">
        <v>936.16</v>
      </c>
      <c r="J100" s="35" t="s">
        <v>162</v>
      </c>
    </row>
    <row r="101" spans="1:11" ht="28.5" x14ac:dyDescent="0.25">
      <c r="A101" s="3" t="s">
        <v>20</v>
      </c>
      <c r="B101" s="3">
        <v>2022</v>
      </c>
      <c r="C101" s="3" t="s">
        <v>25</v>
      </c>
      <c r="D101" s="3" t="s">
        <v>343</v>
      </c>
      <c r="E101" s="4" t="s">
        <v>455</v>
      </c>
      <c r="F101" s="69">
        <v>55675</v>
      </c>
      <c r="G101" s="3"/>
      <c r="H101" s="35" t="s">
        <v>66</v>
      </c>
      <c r="I101" s="6">
        <v>195.3</v>
      </c>
      <c r="J101" s="35" t="s">
        <v>162</v>
      </c>
    </row>
    <row r="102" spans="1:11" ht="28.5" x14ac:dyDescent="0.25">
      <c r="A102" s="3" t="s">
        <v>20</v>
      </c>
      <c r="B102" s="3">
        <v>2022</v>
      </c>
      <c r="C102" s="3" t="s">
        <v>25</v>
      </c>
      <c r="D102" s="3" t="s">
        <v>343</v>
      </c>
      <c r="E102" s="4" t="s">
        <v>456</v>
      </c>
      <c r="F102" s="69">
        <v>55807</v>
      </c>
      <c r="G102" s="3"/>
      <c r="H102" s="35" t="s">
        <v>66</v>
      </c>
      <c r="I102" s="6">
        <v>315.3</v>
      </c>
      <c r="J102" s="35" t="s">
        <v>162</v>
      </c>
    </row>
    <row r="103" spans="1:11" ht="28.5" x14ac:dyDescent="0.25">
      <c r="A103" s="3" t="s">
        <v>20</v>
      </c>
      <c r="B103" s="3">
        <v>2022</v>
      </c>
      <c r="C103" s="3" t="s">
        <v>25</v>
      </c>
      <c r="D103" s="3" t="s">
        <v>343</v>
      </c>
      <c r="E103" s="4" t="s">
        <v>457</v>
      </c>
      <c r="F103" s="69">
        <v>55812</v>
      </c>
      <c r="G103" s="3"/>
      <c r="H103" s="35" t="s">
        <v>66</v>
      </c>
      <c r="I103" s="6">
        <v>290.3</v>
      </c>
      <c r="J103" s="35" t="s">
        <v>162</v>
      </c>
    </row>
    <row r="104" spans="1:11" ht="28.5" x14ac:dyDescent="0.25">
      <c r="A104" s="3" t="s">
        <v>20</v>
      </c>
      <c r="B104" s="3">
        <v>2022</v>
      </c>
      <c r="C104" s="3" t="s">
        <v>25</v>
      </c>
      <c r="D104" s="3" t="s">
        <v>433</v>
      </c>
      <c r="E104" s="4" t="s">
        <v>458</v>
      </c>
      <c r="F104" s="69">
        <v>56129</v>
      </c>
      <c r="G104" s="3"/>
      <c r="H104" s="35" t="s">
        <v>66</v>
      </c>
      <c r="I104" s="6">
        <v>819.84</v>
      </c>
      <c r="J104" s="35" t="s">
        <v>162</v>
      </c>
    </row>
    <row r="105" spans="1:11" ht="42.75" x14ac:dyDescent="0.25">
      <c r="A105" s="3" t="s">
        <v>20</v>
      </c>
      <c r="B105" s="3">
        <v>2022</v>
      </c>
      <c r="C105" s="3" t="s">
        <v>25</v>
      </c>
      <c r="D105" s="3" t="s">
        <v>427</v>
      </c>
      <c r="E105" s="4" t="s">
        <v>459</v>
      </c>
      <c r="F105" s="69">
        <v>56054</v>
      </c>
      <c r="G105" s="3"/>
      <c r="H105" s="35" t="s">
        <v>66</v>
      </c>
      <c r="I105" s="6">
        <v>623.29</v>
      </c>
      <c r="J105" s="35" t="s">
        <v>162</v>
      </c>
    </row>
    <row r="106" spans="1:11" ht="28.5" x14ac:dyDescent="0.25">
      <c r="A106" s="3" t="s">
        <v>20</v>
      </c>
      <c r="B106" s="3">
        <v>2022</v>
      </c>
      <c r="C106" s="3" t="s">
        <v>25</v>
      </c>
      <c r="D106" s="3" t="s">
        <v>343</v>
      </c>
      <c r="E106" s="4" t="s">
        <v>460</v>
      </c>
      <c r="F106" s="69">
        <v>55813</v>
      </c>
      <c r="G106" s="3"/>
      <c r="H106" s="35" t="s">
        <v>66</v>
      </c>
      <c r="I106" s="6">
        <v>135.30000000000001</v>
      </c>
      <c r="J106" s="35" t="s">
        <v>162</v>
      </c>
    </row>
    <row r="107" spans="1:11" ht="28.5" x14ac:dyDescent="0.25">
      <c r="A107" s="3" t="s">
        <v>20</v>
      </c>
      <c r="B107" s="3">
        <v>2022</v>
      </c>
      <c r="C107" s="3" t="s">
        <v>25</v>
      </c>
      <c r="D107" s="3" t="s">
        <v>259</v>
      </c>
      <c r="E107" s="4" t="s">
        <v>461</v>
      </c>
      <c r="F107" s="69">
        <v>56050</v>
      </c>
      <c r="G107" s="3"/>
      <c r="H107" s="35" t="s">
        <v>66</v>
      </c>
      <c r="I107" s="6">
        <v>2496.33</v>
      </c>
      <c r="J107" s="35" t="s">
        <v>162</v>
      </c>
    </row>
    <row r="108" spans="1:11" ht="28.5" x14ac:dyDescent="0.25">
      <c r="A108" s="3" t="s">
        <v>20</v>
      </c>
      <c r="B108" s="3">
        <v>2022</v>
      </c>
      <c r="C108" s="3" t="s">
        <v>25</v>
      </c>
      <c r="D108" s="3" t="s">
        <v>343</v>
      </c>
      <c r="E108" s="4" t="s">
        <v>462</v>
      </c>
      <c r="F108" s="69">
        <v>55814</v>
      </c>
      <c r="G108" s="3"/>
      <c r="H108" s="35" t="s">
        <v>66</v>
      </c>
      <c r="I108" s="6">
        <v>135.30000000000001</v>
      </c>
      <c r="J108" s="35" t="s">
        <v>162</v>
      </c>
    </row>
    <row r="109" spans="1:11" ht="28.5" x14ac:dyDescent="0.25">
      <c r="A109" s="3" t="s">
        <v>20</v>
      </c>
      <c r="B109" s="3">
        <v>2022</v>
      </c>
      <c r="C109" s="3" t="s">
        <v>25</v>
      </c>
      <c r="D109" s="3" t="s">
        <v>430</v>
      </c>
      <c r="E109" s="4" t="s">
        <v>463</v>
      </c>
      <c r="F109" s="69">
        <v>56321</v>
      </c>
      <c r="G109" s="3"/>
      <c r="H109" s="35" t="s">
        <v>68</v>
      </c>
      <c r="I109" s="6">
        <v>2043.77</v>
      </c>
      <c r="J109" s="35" t="s">
        <v>162</v>
      </c>
    </row>
    <row r="110" spans="1:11" ht="28.5" x14ac:dyDescent="0.25">
      <c r="A110" s="3" t="s">
        <v>20</v>
      </c>
      <c r="B110" s="3">
        <v>2023</v>
      </c>
      <c r="C110" s="3" t="s">
        <v>26</v>
      </c>
      <c r="D110" s="3" t="s">
        <v>627</v>
      </c>
      <c r="E110" s="4" t="s">
        <v>628</v>
      </c>
      <c r="F110" s="3"/>
      <c r="G110" s="4" t="s">
        <v>630</v>
      </c>
      <c r="H110" s="35" t="s">
        <v>65</v>
      </c>
      <c r="I110" s="6">
        <f>573.3*2</f>
        <v>1146.5999999999999</v>
      </c>
      <c r="J110" s="35" t="s">
        <v>162</v>
      </c>
      <c r="K110" t="s">
        <v>629</v>
      </c>
    </row>
    <row r="111" spans="1:11" ht="42.75" x14ac:dyDescent="0.25">
      <c r="A111" s="3" t="s">
        <v>20</v>
      </c>
      <c r="B111" s="3">
        <v>2022</v>
      </c>
      <c r="C111" s="3" t="s">
        <v>26</v>
      </c>
      <c r="D111" s="3" t="s">
        <v>631</v>
      </c>
      <c r="E111" s="4" t="s">
        <v>632</v>
      </c>
      <c r="F111" s="3"/>
      <c r="G111" s="4" t="s">
        <v>638</v>
      </c>
      <c r="H111" s="35" t="s">
        <v>65</v>
      </c>
      <c r="I111" s="6">
        <v>1992.9</v>
      </c>
      <c r="J111" s="35" t="s">
        <v>162</v>
      </c>
    </row>
    <row r="112" spans="1:11" ht="28.5" x14ac:dyDescent="0.25">
      <c r="A112" s="3" t="s">
        <v>20</v>
      </c>
      <c r="B112" s="3">
        <v>2022</v>
      </c>
      <c r="C112" s="3" t="s">
        <v>26</v>
      </c>
      <c r="D112" s="3" t="s">
        <v>633</v>
      </c>
      <c r="E112" s="4" t="s">
        <v>634</v>
      </c>
      <c r="F112" s="3"/>
      <c r="G112" s="4" t="s">
        <v>637</v>
      </c>
      <c r="H112" s="35" t="s">
        <v>65</v>
      </c>
      <c r="I112" s="6">
        <v>1173.9000000000001</v>
      </c>
      <c r="J112" s="35" t="s">
        <v>162</v>
      </c>
    </row>
    <row r="113" spans="1:10" x14ac:dyDescent="0.25">
      <c r="A113" s="3" t="s">
        <v>20</v>
      </c>
      <c r="B113" s="3">
        <v>2022</v>
      </c>
      <c r="C113" s="3" t="s">
        <v>23</v>
      </c>
      <c r="D113" s="3" t="s">
        <v>183</v>
      </c>
      <c r="E113" s="4" t="s">
        <v>184</v>
      </c>
      <c r="F113" s="3"/>
      <c r="G113" s="3" t="s">
        <v>639</v>
      </c>
      <c r="H113" s="35" t="s">
        <v>68</v>
      </c>
      <c r="I113" s="6">
        <v>246.4</v>
      </c>
      <c r="J113" s="35" t="s">
        <v>162</v>
      </c>
    </row>
    <row r="114" spans="1:10" x14ac:dyDescent="0.25">
      <c r="A114" s="3" t="s">
        <v>20</v>
      </c>
      <c r="B114" s="3">
        <v>2022</v>
      </c>
      <c r="C114" s="3" t="s">
        <v>23</v>
      </c>
      <c r="D114" s="3" t="s">
        <v>175</v>
      </c>
      <c r="E114" s="4" t="s">
        <v>640</v>
      </c>
      <c r="F114" s="3"/>
      <c r="G114" s="3" t="s">
        <v>641</v>
      </c>
      <c r="H114" s="35" t="s">
        <v>68</v>
      </c>
      <c r="I114" s="6">
        <v>360</v>
      </c>
      <c r="J114" s="35" t="s">
        <v>162</v>
      </c>
    </row>
    <row r="115" spans="1:10" x14ac:dyDescent="0.25">
      <c r="A115" s="3" t="s">
        <v>20</v>
      </c>
      <c r="B115" s="3">
        <v>2022</v>
      </c>
      <c r="C115" s="3" t="s">
        <v>24</v>
      </c>
      <c r="D115" s="3" t="s">
        <v>29</v>
      </c>
      <c r="E115" s="4" t="s">
        <v>642</v>
      </c>
      <c r="F115" s="3"/>
      <c r="G115" s="3" t="s">
        <v>643</v>
      </c>
      <c r="H115" s="35" t="s">
        <v>68</v>
      </c>
      <c r="I115" s="6">
        <v>420</v>
      </c>
      <c r="J115" s="35" t="s">
        <v>162</v>
      </c>
    </row>
    <row r="116" spans="1:10" x14ac:dyDescent="0.25">
      <c r="A116" s="3" t="s">
        <v>20</v>
      </c>
      <c r="B116" s="3">
        <v>2023</v>
      </c>
      <c r="C116" s="3" t="s">
        <v>23</v>
      </c>
      <c r="D116" s="3" t="s">
        <v>27</v>
      </c>
      <c r="E116" s="4"/>
      <c r="F116" s="3"/>
      <c r="G116" s="3" t="s">
        <v>418</v>
      </c>
      <c r="H116" s="35"/>
      <c r="I116" s="6">
        <v>120.55</v>
      </c>
      <c r="J116" s="35" t="s">
        <v>162</v>
      </c>
    </row>
    <row r="117" spans="1:10" x14ac:dyDescent="0.25">
      <c r="A117" s="3" t="s">
        <v>20</v>
      </c>
      <c r="B117" s="3">
        <v>2023</v>
      </c>
      <c r="C117" s="3" t="s">
        <v>23</v>
      </c>
      <c r="D117" s="3" t="s">
        <v>171</v>
      </c>
      <c r="E117" s="4" t="s">
        <v>644</v>
      </c>
      <c r="F117" s="3"/>
      <c r="G117" s="3" t="s">
        <v>645</v>
      </c>
      <c r="H117" s="35"/>
      <c r="I117" s="6">
        <v>146.88</v>
      </c>
      <c r="J117" s="35" t="s">
        <v>162</v>
      </c>
    </row>
    <row r="118" spans="1:10" x14ac:dyDescent="0.25">
      <c r="A118" s="3" t="s">
        <v>21</v>
      </c>
      <c r="B118" s="3">
        <v>2023</v>
      </c>
      <c r="C118" s="3" t="s">
        <v>23</v>
      </c>
      <c r="D118" s="3" t="s">
        <v>206</v>
      </c>
      <c r="E118" s="4" t="s">
        <v>830</v>
      </c>
      <c r="F118" s="3"/>
      <c r="G118" s="3" t="s">
        <v>831</v>
      </c>
      <c r="H118" s="35"/>
      <c r="I118" s="6">
        <v>967.31</v>
      </c>
      <c r="J118" s="35" t="s">
        <v>162</v>
      </c>
    </row>
    <row r="119" spans="1:10" x14ac:dyDescent="0.25">
      <c r="A119" s="3" t="s">
        <v>20</v>
      </c>
      <c r="B119" s="3">
        <v>2021</v>
      </c>
      <c r="C119" s="3" t="s">
        <v>24</v>
      </c>
      <c r="D119" s="3" t="s">
        <v>832</v>
      </c>
      <c r="E119" s="4" t="s">
        <v>833</v>
      </c>
      <c r="F119" s="3"/>
      <c r="G119" s="3"/>
      <c r="H119" s="35"/>
      <c r="I119" s="6">
        <v>15976.92</v>
      </c>
      <c r="J119" s="35" t="s">
        <v>162</v>
      </c>
    </row>
    <row r="120" spans="1:10" ht="42.75" x14ac:dyDescent="0.25">
      <c r="A120" s="3" t="s">
        <v>20</v>
      </c>
      <c r="B120" s="3">
        <v>2023</v>
      </c>
      <c r="C120" s="3" t="s">
        <v>25</v>
      </c>
      <c r="D120" s="3" t="s">
        <v>343</v>
      </c>
      <c r="E120" s="4" t="s">
        <v>646</v>
      </c>
      <c r="F120" s="69">
        <v>60828</v>
      </c>
      <c r="G120" s="3"/>
      <c r="H120" s="35" t="s">
        <v>66</v>
      </c>
      <c r="I120" s="6">
        <v>966.4</v>
      </c>
      <c r="J120" s="35" t="s">
        <v>162</v>
      </c>
    </row>
    <row r="125" spans="1:10" ht="16.5" x14ac:dyDescent="0.3">
      <c r="B125" s="89" t="s">
        <v>20</v>
      </c>
      <c r="C125" s="89"/>
    </row>
    <row r="126" spans="1:10" ht="16.5" x14ac:dyDescent="0.3">
      <c r="B126" s="33" t="s">
        <v>58</v>
      </c>
      <c r="C126" s="34">
        <f>O24</f>
        <v>104374.83000000002</v>
      </c>
    </row>
    <row r="127" spans="1:10" ht="16.5" x14ac:dyDescent="0.3">
      <c r="B127" s="33" t="s">
        <v>213</v>
      </c>
      <c r="C127" s="34">
        <f>F10</f>
        <v>65870.219999999972</v>
      </c>
    </row>
    <row r="129" spans="2:3" ht="16.5" x14ac:dyDescent="0.3">
      <c r="B129" s="89" t="s">
        <v>22</v>
      </c>
      <c r="C129" s="89"/>
    </row>
    <row r="130" spans="2:3" ht="16.5" x14ac:dyDescent="0.3">
      <c r="B130" s="33" t="s">
        <v>58</v>
      </c>
      <c r="C130" s="34">
        <f>O26</f>
        <v>70676.61</v>
      </c>
    </row>
    <row r="131" spans="2:3" ht="16.5" x14ac:dyDescent="0.3">
      <c r="B131" s="33" t="s">
        <v>213</v>
      </c>
      <c r="C131" s="34">
        <f>F12</f>
        <v>6888.3399999999965</v>
      </c>
    </row>
    <row r="133" spans="2:3" ht="16.5" x14ac:dyDescent="0.3">
      <c r="B133" s="89" t="s">
        <v>21</v>
      </c>
      <c r="C133" s="89"/>
    </row>
    <row r="134" spans="2:3" ht="16.5" x14ac:dyDescent="0.3">
      <c r="B134" s="33" t="s">
        <v>58</v>
      </c>
      <c r="C134" s="34">
        <f>O25</f>
        <v>1772.61</v>
      </c>
    </row>
    <row r="135" spans="2:3" ht="16.5" x14ac:dyDescent="0.3">
      <c r="B135" s="33" t="s">
        <v>213</v>
      </c>
      <c r="C135" s="34">
        <f>F11</f>
        <v>227.3900000000001</v>
      </c>
    </row>
  </sheetData>
  <autoFilter ref="A19:J120" xr:uid="{00000000-0009-0000-0000-000012000000}"/>
  <mergeCells count="5">
    <mergeCell ref="B5:G5"/>
    <mergeCell ref="C8:D8"/>
    <mergeCell ref="B125:C125"/>
    <mergeCell ref="B129:C129"/>
    <mergeCell ref="B133:C133"/>
  </mergeCells>
  <conditionalFormatting sqref="F20:F40 F42:F43">
    <cfRule type="containsBlanks" dxfId="18" priority="3">
      <formula>LEN(TRIM(F20))=0</formula>
    </cfRule>
  </conditionalFormatting>
  <conditionalFormatting sqref="F110:F119">
    <cfRule type="containsBlanks" dxfId="17" priority="1">
      <formula>LEN(TRIM(F110))=0</formula>
    </cfRule>
  </conditionalFormatting>
  <conditionalFormatting sqref="J1:J1048576">
    <cfRule type="containsText" dxfId="16" priority="2" operator="containsText" text="OK">
      <formula>NOT(ISERROR(SEARCH("OK",J1)))</formula>
    </cfRule>
  </conditionalFormatting>
  <pageMargins left="0.7" right="0.7" top="0.75" bottom="0.75" header="0.3" footer="0.3"/>
  <pageSetup paperSize="9" scale="39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1200-000000000000}">
          <x14:formula1>
            <xm:f>DATA!$H$6:$H$14</xm:f>
          </x14:formula1>
          <xm:sqref>H20 H116:H119</xm:sqref>
        </x14:dataValidation>
        <x14:dataValidation type="list" allowBlank="1" showInputMessage="1" showErrorMessage="1" xr:uid="{00000000-0002-0000-1200-000001000000}">
          <x14:formula1>
            <xm:f>DATA!$A$6:$A$8</xm:f>
          </x14:formula1>
          <xm:sqref>A110:A112 A20:A42 A114:A119</xm:sqref>
        </x14:dataValidation>
        <x14:dataValidation type="list" allowBlank="1" showInputMessage="1" showErrorMessage="1" xr:uid="{00000000-0002-0000-1200-000002000000}">
          <x14:formula1>
            <xm:f>DATA!$D$6:$D$11</xm:f>
          </x14:formula1>
          <xm:sqref>B20:B119</xm:sqref>
        </x14:dataValidation>
        <x14:dataValidation type="list" allowBlank="1" showInputMessage="1" showErrorMessage="1" xr:uid="{00000000-0002-0000-1200-000003000000}">
          <x14:formula1>
            <xm:f>DATA!$F$6:$F$9</xm:f>
          </x14:formula1>
          <xm:sqref>C20:C119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6"/>
  <sheetViews>
    <sheetView showGridLines="0" topLeftCell="E1" zoomScale="120" zoomScaleNormal="120" zoomScalePageLayoutView="40" workbookViewId="0">
      <selection activeCell="A19" sqref="A19:J28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45314</v>
      </c>
      <c r="D1" s="1"/>
      <c r="E1" s="1"/>
      <c r="F1" s="1"/>
      <c r="G1" s="1"/>
    </row>
    <row r="2" spans="1:7" ht="17.25" x14ac:dyDescent="0.35">
      <c r="A2" s="1"/>
      <c r="B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256</v>
      </c>
      <c r="D6" s="19"/>
      <c r="E6" s="20" t="s">
        <v>4</v>
      </c>
      <c r="F6" s="19" t="s">
        <v>257</v>
      </c>
      <c r="G6" s="21"/>
    </row>
    <row r="7" spans="1:7" ht="17.25" x14ac:dyDescent="0.35">
      <c r="A7" s="1"/>
      <c r="B7" s="22"/>
      <c r="G7" s="12"/>
    </row>
    <row r="8" spans="1:7" ht="34.5" x14ac:dyDescent="0.35">
      <c r="A8" s="1"/>
      <c r="B8" s="24" t="s">
        <v>5</v>
      </c>
      <c r="C8" s="88" t="s">
        <v>619</v>
      </c>
      <c r="D8" s="88"/>
      <c r="E8" s="23" t="s">
        <v>56</v>
      </c>
      <c r="F8" s="41" t="s">
        <v>263</v>
      </c>
      <c r="G8" s="12"/>
    </row>
    <row r="9" spans="1:7" ht="17.25" x14ac:dyDescent="0.35">
      <c r="A9" s="1"/>
      <c r="B9" s="24" t="s">
        <v>7</v>
      </c>
      <c r="C9" s="39" t="s">
        <v>264</v>
      </c>
      <c r="D9" s="42"/>
      <c r="E9" s="9" t="s">
        <v>10</v>
      </c>
      <c r="F9" s="36">
        <f>C10-O27</f>
        <v>41188.270000000004</v>
      </c>
      <c r="G9" s="12"/>
    </row>
    <row r="10" spans="1:7" ht="17.25" x14ac:dyDescent="0.35">
      <c r="A10" s="1"/>
      <c r="B10" s="13" t="s">
        <v>9</v>
      </c>
      <c r="C10" s="36">
        <f>C11+C12</f>
        <v>48000</v>
      </c>
      <c r="D10" s="10"/>
      <c r="E10" s="11" t="s">
        <v>20</v>
      </c>
      <c r="F10" s="36">
        <f>C11-O24</f>
        <v>29162.71</v>
      </c>
      <c r="G10" s="12"/>
    </row>
    <row r="11" spans="1:7" ht="17.25" x14ac:dyDescent="0.35">
      <c r="A11" s="1"/>
      <c r="B11" s="14" t="s">
        <v>20</v>
      </c>
      <c r="C11" s="36">
        <v>33000</v>
      </c>
      <c r="D11" s="10"/>
      <c r="E11" s="11" t="s">
        <v>21</v>
      </c>
      <c r="F11" s="44">
        <f>C12-O25</f>
        <v>12025.56</v>
      </c>
      <c r="G11" s="12"/>
    </row>
    <row r="12" spans="1:7" ht="17.25" x14ac:dyDescent="0.35">
      <c r="A12" s="1"/>
      <c r="B12" s="14" t="s">
        <v>21</v>
      </c>
      <c r="C12" s="36">
        <v>15000</v>
      </c>
      <c r="D12" s="10"/>
      <c r="E12" s="11" t="s">
        <v>22</v>
      </c>
      <c r="F12" s="37">
        <f>C13-O26</f>
        <v>0</v>
      </c>
      <c r="G12" s="12"/>
    </row>
    <row r="13" spans="1:7" ht="18" thickBot="1" x14ac:dyDescent="0.4">
      <c r="A13" s="1"/>
      <c r="B13" s="15" t="s">
        <v>22</v>
      </c>
      <c r="C13" s="38">
        <v>0</v>
      </c>
      <c r="D13" s="16"/>
      <c r="E13" s="16"/>
      <c r="F13" s="16"/>
      <c r="G13" s="17"/>
    </row>
    <row r="19" spans="1:15" ht="28.5" x14ac:dyDescent="0.25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x14ac:dyDescent="0.25">
      <c r="A20" s="3" t="s">
        <v>21</v>
      </c>
      <c r="B20" s="3">
        <v>2024</v>
      </c>
      <c r="C20" s="3" t="s">
        <v>23</v>
      </c>
      <c r="D20" s="3" t="s">
        <v>258</v>
      </c>
      <c r="E20" s="4" t="s">
        <v>616</v>
      </c>
      <c r="F20" s="3"/>
      <c r="G20" s="3" t="s">
        <v>808</v>
      </c>
      <c r="H20" s="3"/>
      <c r="I20" s="6">
        <v>2974.44</v>
      </c>
      <c r="J20" s="35" t="s">
        <v>162</v>
      </c>
    </row>
    <row r="21" spans="1:15" x14ac:dyDescent="0.25">
      <c r="A21" s="3" t="s">
        <v>20</v>
      </c>
      <c r="B21" s="3">
        <v>2024</v>
      </c>
      <c r="C21" s="3" t="s">
        <v>23</v>
      </c>
      <c r="D21" s="3" t="s">
        <v>258</v>
      </c>
      <c r="E21" s="4" t="s">
        <v>617</v>
      </c>
      <c r="F21" s="3"/>
      <c r="G21" s="3" t="s">
        <v>808</v>
      </c>
      <c r="H21" s="3"/>
      <c r="I21" s="6">
        <v>82.32</v>
      </c>
      <c r="J21" s="35" t="s">
        <v>162</v>
      </c>
    </row>
    <row r="22" spans="1:15" x14ac:dyDescent="0.25">
      <c r="A22" s="3" t="s">
        <v>20</v>
      </c>
      <c r="B22" s="3">
        <v>2024</v>
      </c>
      <c r="C22" s="3" t="s">
        <v>23</v>
      </c>
      <c r="D22" s="3" t="s">
        <v>29</v>
      </c>
      <c r="E22" s="4" t="s">
        <v>618</v>
      </c>
      <c r="F22" s="3"/>
      <c r="G22" s="3" t="s">
        <v>800</v>
      </c>
      <c r="H22" s="3"/>
      <c r="I22" s="6">
        <v>407</v>
      </c>
      <c r="J22" s="35" t="s">
        <v>162</v>
      </c>
    </row>
    <row r="23" spans="1:15" ht="16.5" thickBot="1" x14ac:dyDescent="0.3">
      <c r="A23" s="3" t="s">
        <v>20</v>
      </c>
      <c r="B23" s="3">
        <v>2024</v>
      </c>
      <c r="C23" s="3" t="s">
        <v>24</v>
      </c>
      <c r="D23" s="3" t="s">
        <v>794</v>
      </c>
      <c r="E23" s="4" t="s">
        <v>795</v>
      </c>
      <c r="F23" s="3">
        <v>60377</v>
      </c>
      <c r="G23" s="3" t="s">
        <v>796</v>
      </c>
      <c r="H23" s="3"/>
      <c r="I23" s="6">
        <v>1509.7</v>
      </c>
      <c r="J23" s="35" t="s">
        <v>162</v>
      </c>
    </row>
    <row r="24" spans="1:15" ht="28.5" x14ac:dyDescent="0.25">
      <c r="A24" s="3" t="s">
        <v>20</v>
      </c>
      <c r="B24" s="3">
        <v>2024</v>
      </c>
      <c r="C24" s="3" t="s">
        <v>24</v>
      </c>
      <c r="D24" s="3" t="s">
        <v>403</v>
      </c>
      <c r="E24" s="4" t="s">
        <v>797</v>
      </c>
      <c r="F24" s="3"/>
      <c r="G24" s="3" t="s">
        <v>798</v>
      </c>
      <c r="H24" s="3"/>
      <c r="I24" s="6">
        <v>135.31</v>
      </c>
      <c r="J24" s="35" t="s">
        <v>162</v>
      </c>
      <c r="N24" s="27" t="s">
        <v>54</v>
      </c>
      <c r="O24" s="28">
        <f>SUMIFS(I20:I27,A20:A27,"Fonctionnement")</f>
        <v>3837.2899999999995</v>
      </c>
    </row>
    <row r="25" spans="1:15" ht="42.75" x14ac:dyDescent="0.25">
      <c r="A25" s="3" t="s">
        <v>20</v>
      </c>
      <c r="B25" s="3">
        <v>2024</v>
      </c>
      <c r="C25" s="3" t="s">
        <v>25</v>
      </c>
      <c r="D25" s="3" t="s">
        <v>382</v>
      </c>
      <c r="E25" s="4" t="s">
        <v>383</v>
      </c>
      <c r="F25" s="69">
        <v>57607</v>
      </c>
      <c r="G25" s="3" t="s">
        <v>803</v>
      </c>
      <c r="H25" s="3"/>
      <c r="I25" s="6">
        <f>269.95+229.53</f>
        <v>499.48</v>
      </c>
      <c r="J25" s="35" t="s">
        <v>162</v>
      </c>
      <c r="K25" s="4" t="s">
        <v>799</v>
      </c>
      <c r="N25" s="43" t="s">
        <v>128</v>
      </c>
      <c r="O25" s="30">
        <f>SUMIFS(I20:I27,A20:A27,"Investissement")</f>
        <v>2974.44</v>
      </c>
    </row>
    <row r="26" spans="1:15" ht="28.5" x14ac:dyDescent="0.25">
      <c r="A26" s="3" t="s">
        <v>20</v>
      </c>
      <c r="B26" s="3">
        <v>2024</v>
      </c>
      <c r="C26" s="3" t="s">
        <v>25</v>
      </c>
      <c r="D26" s="3" t="s">
        <v>259</v>
      </c>
      <c r="E26" s="4" t="s">
        <v>801</v>
      </c>
      <c r="F26" s="3">
        <v>58205</v>
      </c>
      <c r="G26" s="3" t="s">
        <v>802</v>
      </c>
      <c r="H26" s="3"/>
      <c r="I26" s="6">
        <v>618.29999999999995</v>
      </c>
      <c r="J26" s="35" t="s">
        <v>162</v>
      </c>
      <c r="N26" s="29" t="s">
        <v>55</v>
      </c>
      <c r="O26" s="30">
        <f>SUMIFS(I21:I27,A21:A27,"Personnel")</f>
        <v>0</v>
      </c>
    </row>
    <row r="27" spans="1:15" ht="29.25" thickBot="1" x14ac:dyDescent="0.3">
      <c r="A27" s="3" t="s">
        <v>20</v>
      </c>
      <c r="B27" s="3">
        <v>2024</v>
      </c>
      <c r="C27" s="3" t="s">
        <v>25</v>
      </c>
      <c r="D27" s="3" t="s">
        <v>804</v>
      </c>
      <c r="E27" s="4" t="s">
        <v>805</v>
      </c>
      <c r="F27" s="3">
        <v>59405</v>
      </c>
      <c r="G27" s="3"/>
      <c r="H27" s="3"/>
      <c r="I27" s="6">
        <v>585.17999999999995</v>
      </c>
      <c r="J27" s="35" t="s">
        <v>162</v>
      </c>
      <c r="N27" s="31" t="s">
        <v>58</v>
      </c>
      <c r="O27" s="32">
        <f>O24+O25</f>
        <v>6811.73</v>
      </c>
    </row>
    <row r="28" spans="1:15" x14ac:dyDescent="0.25">
      <c r="A28" s="3" t="s">
        <v>20</v>
      </c>
      <c r="B28" s="3">
        <v>2024</v>
      </c>
      <c r="C28" s="3" t="s">
        <v>23</v>
      </c>
      <c r="D28" s="3" t="s">
        <v>258</v>
      </c>
      <c r="E28" s="4" t="s">
        <v>806</v>
      </c>
      <c r="F28" s="3"/>
      <c r="G28" s="3" t="s">
        <v>807</v>
      </c>
      <c r="H28" s="3"/>
      <c r="I28" s="6">
        <v>120.58</v>
      </c>
      <c r="J28" s="35" t="s">
        <v>162</v>
      </c>
    </row>
    <row r="29" spans="1:15" ht="42.75" x14ac:dyDescent="0.25">
      <c r="A29" s="3" t="s">
        <v>20</v>
      </c>
      <c r="B29" s="3">
        <v>2024</v>
      </c>
      <c r="C29" s="3" t="s">
        <v>25</v>
      </c>
      <c r="D29" s="3" t="s">
        <v>430</v>
      </c>
      <c r="E29" s="4" t="s">
        <v>809</v>
      </c>
      <c r="F29" s="3">
        <v>60140</v>
      </c>
      <c r="G29" s="3"/>
      <c r="H29" s="3"/>
      <c r="I29" s="6">
        <v>166.4</v>
      </c>
      <c r="J29" s="35" t="s">
        <v>162</v>
      </c>
    </row>
    <row r="30" spans="1:15" ht="28.5" x14ac:dyDescent="0.25">
      <c r="A30" s="3" t="s">
        <v>20</v>
      </c>
      <c r="B30" s="3">
        <v>2024</v>
      </c>
      <c r="C30" s="3" t="s">
        <v>25</v>
      </c>
      <c r="D30" s="3" t="s">
        <v>675</v>
      </c>
      <c r="E30" s="4" t="s">
        <v>810</v>
      </c>
      <c r="F30" s="3">
        <v>58638</v>
      </c>
      <c r="G30" s="3"/>
      <c r="H30" s="3"/>
      <c r="I30" s="6">
        <v>94.7</v>
      </c>
      <c r="J30" s="35" t="s">
        <v>162</v>
      </c>
    </row>
    <row r="31" spans="1:15" ht="42.75" x14ac:dyDescent="0.25">
      <c r="A31" s="3" t="s">
        <v>20</v>
      </c>
      <c r="B31" s="3">
        <v>2024</v>
      </c>
      <c r="C31" s="3" t="s">
        <v>25</v>
      </c>
      <c r="D31" s="3" t="s">
        <v>261</v>
      </c>
      <c r="E31" s="4" t="s">
        <v>811</v>
      </c>
      <c r="F31" s="3">
        <v>60091</v>
      </c>
      <c r="G31" s="3"/>
      <c r="H31" s="3"/>
      <c r="I31" s="6">
        <v>199.4</v>
      </c>
      <c r="J31" s="35" t="s">
        <v>162</v>
      </c>
    </row>
    <row r="32" spans="1:15" ht="28.5" x14ac:dyDescent="0.25">
      <c r="A32" s="3" t="s">
        <v>20</v>
      </c>
      <c r="B32" s="3">
        <v>2024</v>
      </c>
      <c r="C32" s="3" t="s">
        <v>25</v>
      </c>
      <c r="D32" s="3" t="s">
        <v>38</v>
      </c>
      <c r="E32" s="4" t="s">
        <v>824</v>
      </c>
      <c r="F32" s="3">
        <v>60910</v>
      </c>
      <c r="G32" s="3"/>
      <c r="H32" s="3"/>
      <c r="I32" s="6">
        <v>334.06</v>
      </c>
      <c r="J32" s="35" t="s">
        <v>162</v>
      </c>
    </row>
    <row r="33" spans="1:10" x14ac:dyDescent="0.25">
      <c r="A33" s="3" t="s">
        <v>20</v>
      </c>
      <c r="B33" s="3">
        <v>2024</v>
      </c>
      <c r="C33" s="3" t="s">
        <v>23</v>
      </c>
      <c r="D33" s="3" t="s">
        <v>826</v>
      </c>
      <c r="E33" s="4" t="s">
        <v>827</v>
      </c>
      <c r="F33" s="3"/>
      <c r="G33" s="3" t="s">
        <v>828</v>
      </c>
      <c r="H33" s="3"/>
      <c r="I33" s="6">
        <v>160</v>
      </c>
      <c r="J33" s="35" t="s">
        <v>162</v>
      </c>
    </row>
    <row r="36" spans="1:10" ht="16.5" x14ac:dyDescent="0.3">
      <c r="B36" s="89" t="s">
        <v>20</v>
      </c>
      <c r="C36" s="89"/>
    </row>
    <row r="37" spans="1:10" ht="16.5" x14ac:dyDescent="0.3">
      <c r="B37" s="33" t="s">
        <v>58</v>
      </c>
      <c r="C37" s="34">
        <f>O24</f>
        <v>3837.2899999999995</v>
      </c>
    </row>
    <row r="38" spans="1:10" ht="16.5" x14ac:dyDescent="0.3">
      <c r="B38" s="33" t="s">
        <v>213</v>
      </c>
      <c r="C38" s="34">
        <f>F10</f>
        <v>29162.71</v>
      </c>
    </row>
    <row r="40" spans="1:10" ht="16.5" x14ac:dyDescent="0.3">
      <c r="B40" s="89" t="s">
        <v>22</v>
      </c>
      <c r="C40" s="89"/>
    </row>
    <row r="41" spans="1:10" ht="16.5" x14ac:dyDescent="0.3">
      <c r="B41" s="33" t="s">
        <v>58</v>
      </c>
      <c r="C41" s="34">
        <f>O26</f>
        <v>0</v>
      </c>
    </row>
    <row r="42" spans="1:10" ht="16.5" x14ac:dyDescent="0.3">
      <c r="B42" s="33" t="s">
        <v>213</v>
      </c>
      <c r="C42" s="34">
        <f>F12</f>
        <v>0</v>
      </c>
    </row>
    <row r="44" spans="1:10" ht="16.5" x14ac:dyDescent="0.3">
      <c r="B44" s="89" t="s">
        <v>21</v>
      </c>
      <c r="C44" s="89"/>
    </row>
    <row r="45" spans="1:10" ht="16.5" x14ac:dyDescent="0.3">
      <c r="B45" s="33" t="s">
        <v>58</v>
      </c>
      <c r="C45" s="34">
        <f>O25</f>
        <v>2974.44</v>
      </c>
    </row>
    <row r="46" spans="1:10" ht="16.5" x14ac:dyDescent="0.3">
      <c r="B46" s="33" t="s">
        <v>213</v>
      </c>
      <c r="C46" s="34">
        <f>F11</f>
        <v>12025.56</v>
      </c>
    </row>
  </sheetData>
  <autoFilter ref="A19:J28" xr:uid="{00000000-0009-0000-0000-000001000000}"/>
  <mergeCells count="5">
    <mergeCell ref="B5:G5"/>
    <mergeCell ref="C8:D8"/>
    <mergeCell ref="B36:C36"/>
    <mergeCell ref="B40:C40"/>
    <mergeCell ref="B44:C44"/>
  </mergeCells>
  <conditionalFormatting sqref="F20:F24 F26:F33 H818413:H1048576">
    <cfRule type="containsBlanks" dxfId="77" priority="22">
      <formula>LEN(TRIM(F20))=0</formula>
    </cfRule>
  </conditionalFormatting>
  <conditionalFormatting sqref="G25">
    <cfRule type="containsBlanks" dxfId="76" priority="1">
      <formula>LEN(TRIM(G25))=0</formula>
    </cfRule>
  </conditionalFormatting>
  <conditionalFormatting sqref="H20:H33">
    <cfRule type="containsBlanks" dxfId="75" priority="2">
      <formula>LEN(TRIM(H20))=0</formula>
    </cfRule>
  </conditionalFormatting>
  <conditionalFormatting sqref="J1:J24 J26:J33 J35:J1048576">
    <cfRule type="containsText" dxfId="74" priority="20" operator="containsText" text="Non">
      <formula>NOT(ISERROR(SEARCH("Non",J1)))</formula>
    </cfRule>
    <cfRule type="containsText" dxfId="73" priority="21" operator="containsText" text="OK">
      <formula>NOT(ISERROR(SEARCH("OK",J1)))</formula>
    </cfRule>
  </conditionalFormatting>
  <conditionalFormatting sqref="J25">
    <cfRule type="containsText" dxfId="72" priority="3" operator="containsText" text="OK">
      <formula>NOT(ISERROR(SEARCH("OK",J25)))</formula>
    </cfRule>
  </conditionalFormatting>
  <pageMargins left="0.25" right="0.25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DATA!$A$6:$A$8</xm:f>
          </x14:formula1>
          <xm:sqref>A26:A33 A20:A24</xm:sqref>
        </x14:dataValidation>
        <x14:dataValidation type="list" allowBlank="1" showInputMessage="1" showErrorMessage="1" xr:uid="{00000000-0002-0000-0100-000001000000}">
          <x14:formula1>
            <xm:f>DATA!$D$6:$D$11</xm:f>
          </x14:formula1>
          <xm:sqref>B26:B33 B20:B24</xm:sqref>
        </x14:dataValidation>
        <x14:dataValidation type="list" allowBlank="1" showInputMessage="1" showErrorMessage="1" xr:uid="{00000000-0002-0000-0100-000002000000}">
          <x14:formula1>
            <xm:f>DATA!$F$6:$F$9</xm:f>
          </x14:formula1>
          <xm:sqref>C26:C33 C20:C24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7"/>
  <sheetViews>
    <sheetView showGridLines="0" topLeftCell="A4" zoomScale="140" zoomScaleNormal="140" workbookViewId="0">
      <selection activeCell="G25" sqref="G25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style="59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45280</v>
      </c>
      <c r="D1" s="1"/>
      <c r="E1" s="1"/>
      <c r="F1" s="1"/>
      <c r="G1" s="1"/>
    </row>
    <row r="2" spans="1:7" ht="17.25" x14ac:dyDescent="0.35">
      <c r="A2" s="1"/>
      <c r="B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168</v>
      </c>
      <c r="D6" s="19"/>
      <c r="E6" s="20" t="s">
        <v>4</v>
      </c>
      <c r="F6" s="19" t="s">
        <v>163</v>
      </c>
      <c r="G6" s="21"/>
    </row>
    <row r="7" spans="1:7" ht="17.25" x14ac:dyDescent="0.35">
      <c r="A7" s="1"/>
      <c r="B7" s="22"/>
      <c r="G7" s="12"/>
    </row>
    <row r="8" spans="1:7" ht="17.25" x14ac:dyDescent="0.35">
      <c r="A8" s="1"/>
      <c r="B8" s="24" t="s">
        <v>5</v>
      </c>
      <c r="C8" s="88" t="s">
        <v>169</v>
      </c>
      <c r="D8" s="88"/>
      <c r="E8" s="23" t="s">
        <v>56</v>
      </c>
      <c r="F8" s="41" t="s">
        <v>95</v>
      </c>
      <c r="G8" s="12"/>
    </row>
    <row r="9" spans="1:7" ht="17.25" x14ac:dyDescent="0.35">
      <c r="A9" s="1"/>
      <c r="B9" s="24" t="s">
        <v>7</v>
      </c>
      <c r="C9" s="39"/>
      <c r="D9" s="42"/>
      <c r="E9" s="9" t="s">
        <v>10</v>
      </c>
      <c r="F9" s="36">
        <f>C10-O27</f>
        <v>79100.899999999994</v>
      </c>
      <c r="G9" s="12"/>
    </row>
    <row r="10" spans="1:7" ht="17.25" x14ac:dyDescent="0.35">
      <c r="A10" s="1"/>
      <c r="B10" s="13" t="s">
        <v>9</v>
      </c>
      <c r="C10" s="36">
        <v>84000</v>
      </c>
      <c r="D10" s="10"/>
      <c r="E10" s="11" t="s">
        <v>20</v>
      </c>
      <c r="F10" s="36">
        <f>C11-O24</f>
        <v>3100.8999999999996</v>
      </c>
      <c r="G10" s="12"/>
    </row>
    <row r="11" spans="1:7" ht="17.25" x14ac:dyDescent="0.35">
      <c r="A11" s="1"/>
      <c r="B11" s="14" t="s">
        <v>20</v>
      </c>
      <c r="C11" s="36">
        <v>8000</v>
      </c>
      <c r="D11" s="10"/>
      <c r="E11" s="11" t="s">
        <v>21</v>
      </c>
      <c r="F11" s="44">
        <f>C12-O25</f>
        <v>0</v>
      </c>
      <c r="G11" s="12"/>
    </row>
    <row r="12" spans="1:7" ht="17.25" x14ac:dyDescent="0.35">
      <c r="A12" s="1"/>
      <c r="B12" s="14" t="s">
        <v>21</v>
      </c>
      <c r="C12" s="36"/>
      <c r="D12" s="10"/>
      <c r="E12" s="11" t="s">
        <v>22</v>
      </c>
      <c r="F12" s="37">
        <f>C13-O26</f>
        <v>76000</v>
      </c>
      <c r="G12" s="12"/>
    </row>
    <row r="13" spans="1:7" ht="18" thickBot="1" x14ac:dyDescent="0.4">
      <c r="A13" s="1"/>
      <c r="B13" s="15" t="s">
        <v>22</v>
      </c>
      <c r="C13" s="38">
        <v>76000</v>
      </c>
      <c r="D13" s="16"/>
      <c r="E13" s="16"/>
      <c r="F13" s="16"/>
      <c r="G13" s="17"/>
    </row>
    <row r="19" spans="1:15" ht="28.5" x14ac:dyDescent="0.25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42.75" x14ac:dyDescent="0.25">
      <c r="A20" s="3" t="s">
        <v>20</v>
      </c>
      <c r="B20" s="3">
        <v>2023</v>
      </c>
      <c r="C20" s="3" t="s">
        <v>25</v>
      </c>
      <c r="D20" s="3" t="s">
        <v>164</v>
      </c>
      <c r="E20" s="4" t="s">
        <v>165</v>
      </c>
      <c r="F20" s="69">
        <v>57933</v>
      </c>
      <c r="G20" s="3"/>
      <c r="H20" s="35" t="s">
        <v>66</v>
      </c>
      <c r="I20" s="6">
        <v>2575.4</v>
      </c>
      <c r="J20" s="35" t="s">
        <v>162</v>
      </c>
    </row>
    <row r="21" spans="1:15" ht="42.75" x14ac:dyDescent="0.25">
      <c r="A21" s="3" t="s">
        <v>20</v>
      </c>
      <c r="B21" s="3">
        <v>2023</v>
      </c>
      <c r="C21" s="3" t="s">
        <v>25</v>
      </c>
      <c r="D21" s="3" t="s">
        <v>164</v>
      </c>
      <c r="E21" s="4" t="s">
        <v>166</v>
      </c>
      <c r="F21" s="69">
        <v>57934</v>
      </c>
      <c r="G21" s="3"/>
      <c r="H21" s="35" t="s">
        <v>66</v>
      </c>
      <c r="I21" s="6">
        <v>1878.79</v>
      </c>
      <c r="J21" s="35" t="s">
        <v>162</v>
      </c>
    </row>
    <row r="22" spans="1:15" ht="42.75" x14ac:dyDescent="0.25">
      <c r="A22" s="3" t="s">
        <v>20</v>
      </c>
      <c r="B22" s="3">
        <v>2023</v>
      </c>
      <c r="C22" s="3" t="s">
        <v>25</v>
      </c>
      <c r="D22" s="3" t="s">
        <v>164</v>
      </c>
      <c r="E22" s="4" t="s">
        <v>167</v>
      </c>
      <c r="F22" s="69">
        <v>57997</v>
      </c>
      <c r="G22" s="3"/>
      <c r="H22" s="35" t="s">
        <v>66</v>
      </c>
      <c r="I22" s="6">
        <v>444.91</v>
      </c>
      <c r="J22" s="35" t="s">
        <v>162</v>
      </c>
    </row>
    <row r="23" spans="1:15" ht="16.5" thickBot="1" x14ac:dyDescent="0.3">
      <c r="A23" s="3"/>
      <c r="B23" s="3"/>
      <c r="C23" s="3"/>
      <c r="D23" s="3"/>
      <c r="E23" s="4"/>
      <c r="F23" s="3"/>
      <c r="G23" s="3"/>
      <c r="H23" s="35"/>
      <c r="I23" s="6"/>
      <c r="J23" s="35"/>
    </row>
    <row r="24" spans="1:15" x14ac:dyDescent="0.25">
      <c r="A24" s="3"/>
      <c r="B24" s="3"/>
      <c r="C24" s="3"/>
      <c r="D24" s="3"/>
      <c r="E24" s="4"/>
      <c r="F24" s="3"/>
      <c r="G24" s="3"/>
      <c r="H24" s="35"/>
      <c r="I24" s="6"/>
      <c r="J24" s="35"/>
      <c r="N24" s="27" t="s">
        <v>54</v>
      </c>
      <c r="O24" s="28">
        <f>SUMIFS(I20:I51,A20:A51,"Fonctionnement")</f>
        <v>4899.1000000000004</v>
      </c>
    </row>
    <row r="25" spans="1:15" x14ac:dyDescent="0.25">
      <c r="A25" s="3"/>
      <c r="B25" s="3"/>
      <c r="C25" s="3"/>
      <c r="D25" s="3"/>
      <c r="E25" s="4"/>
      <c r="F25" s="3"/>
      <c r="G25" s="3"/>
      <c r="H25" s="35"/>
      <c r="I25" s="6"/>
      <c r="J25" s="35"/>
      <c r="N25" s="43" t="s">
        <v>128</v>
      </c>
      <c r="O25" s="30">
        <f>SUMIFS(I20:I51,A20:A51,"Investissement")</f>
        <v>0</v>
      </c>
    </row>
    <row r="26" spans="1:15" x14ac:dyDescent="0.25">
      <c r="A26" s="3"/>
      <c r="B26" s="3"/>
      <c r="C26" s="3"/>
      <c r="D26" s="3"/>
      <c r="E26" s="4"/>
      <c r="F26" s="3"/>
      <c r="G26" s="3"/>
      <c r="H26" s="35"/>
      <c r="I26" s="6"/>
      <c r="J26" s="35"/>
      <c r="N26" s="29" t="s">
        <v>55</v>
      </c>
      <c r="O26" s="30">
        <f>SUMIFS(I21:I52,A21:A52,"Personnel")</f>
        <v>0</v>
      </c>
    </row>
    <row r="27" spans="1:15" ht="16.5" thickBot="1" x14ac:dyDescent="0.3">
      <c r="A27" s="3"/>
      <c r="B27" s="3"/>
      <c r="C27" s="3"/>
      <c r="D27" s="3"/>
      <c r="E27" s="4"/>
      <c r="F27" s="3"/>
      <c r="G27" s="3"/>
      <c r="H27" s="35"/>
      <c r="I27" s="6"/>
      <c r="J27" s="35"/>
      <c r="N27" s="31" t="s">
        <v>58</v>
      </c>
      <c r="O27" s="32">
        <f>O24+O26</f>
        <v>4899.1000000000004</v>
      </c>
    </row>
    <row r="28" spans="1:15" x14ac:dyDescent="0.25">
      <c r="A28" s="3"/>
      <c r="B28" s="3"/>
      <c r="C28" s="3"/>
      <c r="D28" s="3"/>
      <c r="E28" s="4"/>
      <c r="F28" s="3"/>
      <c r="G28" s="3"/>
      <c r="H28" s="35"/>
      <c r="I28" s="6"/>
      <c r="J28" s="35"/>
    </row>
    <row r="29" spans="1:15" x14ac:dyDescent="0.25">
      <c r="A29" s="3"/>
      <c r="B29" s="3"/>
      <c r="C29" s="3"/>
      <c r="D29" s="3"/>
      <c r="E29" s="4"/>
      <c r="F29" s="3"/>
      <c r="G29" s="3"/>
      <c r="H29" s="35"/>
      <c r="I29" s="6"/>
      <c r="J29" s="35"/>
    </row>
    <row r="30" spans="1:15" x14ac:dyDescent="0.2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 x14ac:dyDescent="0.2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 x14ac:dyDescent="0.2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 x14ac:dyDescent="0.25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 x14ac:dyDescent="0.25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 x14ac:dyDescent="0.25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 x14ac:dyDescent="0.25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 x14ac:dyDescent="0.25">
      <c r="A37" s="3"/>
      <c r="B37" s="3"/>
      <c r="C37" s="3"/>
      <c r="D37" s="3"/>
      <c r="E37" s="4"/>
      <c r="F37" s="3"/>
      <c r="G37" s="3"/>
      <c r="H37" s="3"/>
      <c r="I37" s="6"/>
      <c r="J37" s="35"/>
    </row>
    <row r="38" spans="1:10" x14ac:dyDescent="0.25">
      <c r="A38" s="3"/>
      <c r="B38" s="3"/>
      <c r="C38" s="3"/>
      <c r="D38" s="3"/>
      <c r="E38" s="4"/>
      <c r="F38" s="3"/>
      <c r="G38" s="3"/>
      <c r="H38" s="3"/>
      <c r="I38" s="6"/>
      <c r="J38" s="35"/>
    </row>
    <row r="39" spans="1:10" x14ac:dyDescent="0.25">
      <c r="A39" s="3"/>
      <c r="B39" s="3"/>
      <c r="C39" s="3"/>
      <c r="D39" s="3"/>
      <c r="E39" s="4"/>
      <c r="F39" s="3"/>
      <c r="G39" s="3"/>
      <c r="H39" s="3"/>
      <c r="I39" s="6"/>
      <c r="J39" s="35"/>
    </row>
    <row r="40" spans="1:10" x14ac:dyDescent="0.25">
      <c r="A40" s="3"/>
      <c r="B40" s="3"/>
      <c r="C40" s="3"/>
      <c r="D40" s="3"/>
      <c r="E40" s="4"/>
      <c r="F40" s="3"/>
      <c r="G40" s="3"/>
      <c r="H40" s="3"/>
      <c r="I40" s="6"/>
      <c r="J40" s="35"/>
    </row>
    <row r="41" spans="1:10" x14ac:dyDescent="0.25">
      <c r="A41" s="3"/>
      <c r="B41" s="3"/>
      <c r="C41" s="3"/>
      <c r="D41" s="3"/>
      <c r="E41" s="4"/>
      <c r="F41" s="3"/>
      <c r="G41" s="3"/>
      <c r="H41" s="3"/>
      <c r="I41" s="6"/>
      <c r="J41" s="35"/>
    </row>
    <row r="42" spans="1:10" x14ac:dyDescent="0.25">
      <c r="A42" s="3"/>
      <c r="B42" s="3"/>
      <c r="C42" s="3"/>
      <c r="D42" s="3"/>
      <c r="E42" s="4"/>
      <c r="F42" s="3"/>
      <c r="G42" s="3"/>
      <c r="H42" s="3"/>
      <c r="I42" s="6"/>
      <c r="J42" s="35"/>
    </row>
    <row r="43" spans="1:10" x14ac:dyDescent="0.25">
      <c r="A43" s="3"/>
      <c r="B43" s="3"/>
      <c r="C43" s="3"/>
      <c r="D43" s="3"/>
      <c r="E43" s="4"/>
      <c r="F43" s="3"/>
      <c r="G43" s="3"/>
      <c r="H43" s="3"/>
      <c r="I43" s="6"/>
      <c r="J43" s="35"/>
    </row>
    <row r="44" spans="1:10" x14ac:dyDescent="0.25">
      <c r="A44" s="3"/>
      <c r="B44" s="3"/>
      <c r="C44" s="3"/>
      <c r="D44" s="3"/>
      <c r="E44" s="4"/>
      <c r="F44" s="3"/>
      <c r="G44" s="3"/>
      <c r="H44" s="3"/>
      <c r="I44" s="6"/>
      <c r="J44" s="35"/>
    </row>
    <row r="45" spans="1:10" x14ac:dyDescent="0.25">
      <c r="A45" s="3"/>
      <c r="B45" s="3"/>
      <c r="C45" s="3"/>
      <c r="D45" s="3"/>
      <c r="E45" s="4"/>
      <c r="F45" s="3"/>
      <c r="G45" s="3"/>
      <c r="H45" s="3"/>
      <c r="I45" s="6"/>
      <c r="J45" s="35"/>
    </row>
    <row r="57" spans="2:3" ht="16.5" x14ac:dyDescent="0.3">
      <c r="B57" s="89" t="s">
        <v>20</v>
      </c>
      <c r="C57" s="89"/>
    </row>
    <row r="58" spans="2:3" ht="16.5" x14ac:dyDescent="0.3">
      <c r="B58" s="33" t="s">
        <v>58</v>
      </c>
      <c r="C58" s="34">
        <f>O24</f>
        <v>4899.1000000000004</v>
      </c>
    </row>
    <row r="59" spans="2:3" ht="16.5" x14ac:dyDescent="0.3">
      <c r="B59" s="33" t="s">
        <v>213</v>
      </c>
      <c r="C59" s="34">
        <f>F10</f>
        <v>3100.8999999999996</v>
      </c>
    </row>
    <row r="61" spans="2:3" ht="16.5" x14ac:dyDescent="0.3">
      <c r="B61" s="89" t="s">
        <v>22</v>
      </c>
      <c r="C61" s="89"/>
    </row>
    <row r="62" spans="2:3" ht="16.5" x14ac:dyDescent="0.3">
      <c r="B62" s="33" t="s">
        <v>58</v>
      </c>
      <c r="C62" s="34">
        <f>O26</f>
        <v>0</v>
      </c>
    </row>
    <row r="63" spans="2:3" ht="16.5" x14ac:dyDescent="0.3">
      <c r="B63" s="33" t="s">
        <v>213</v>
      </c>
      <c r="C63" s="34">
        <f>F12</f>
        <v>76000</v>
      </c>
    </row>
    <row r="65" spans="2:3" ht="16.5" x14ac:dyDescent="0.3">
      <c r="B65" s="89" t="s">
        <v>21</v>
      </c>
      <c r="C65" s="89"/>
    </row>
    <row r="66" spans="2:3" ht="16.5" x14ac:dyDescent="0.3">
      <c r="B66" s="33" t="s">
        <v>58</v>
      </c>
      <c r="C66" s="34">
        <f>O25</f>
        <v>0</v>
      </c>
    </row>
    <row r="67" spans="2:3" ht="16.5" x14ac:dyDescent="0.3">
      <c r="B67" s="33" t="s">
        <v>213</v>
      </c>
      <c r="C67" s="34">
        <f>C12</f>
        <v>0</v>
      </c>
    </row>
  </sheetData>
  <autoFilter ref="A19:J19" xr:uid="{00000000-0009-0000-0000-000013000000}"/>
  <mergeCells count="5">
    <mergeCell ref="B5:G5"/>
    <mergeCell ref="C8:D8"/>
    <mergeCell ref="B57:C57"/>
    <mergeCell ref="B61:C61"/>
    <mergeCell ref="B65:C65"/>
  </mergeCells>
  <conditionalFormatting sqref="F20:F28">
    <cfRule type="containsBlanks" dxfId="15" priority="3">
      <formula>LEN(TRIM(F20))=0</formula>
    </cfRule>
  </conditionalFormatting>
  <conditionalFormatting sqref="G20:G22">
    <cfRule type="containsBlanks" dxfId="14" priority="1">
      <formula>LEN(TRIM(G20))=0</formula>
    </cfRule>
  </conditionalFormatting>
  <conditionalFormatting sqref="J1:J1048576">
    <cfRule type="containsText" dxfId="13" priority="2" operator="containsText" text="OK">
      <formula>NOT(ISERROR(SEARCH("OK",J1)))</formula>
    </cfRule>
  </conditionalFormatting>
  <pageMargins left="0.7" right="0.7" top="0.75" bottom="0.75" header="0.3" footer="0.3"/>
  <pageSetup paperSize="9" scale="30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1300-000000000000}">
          <x14:formula1>
            <xm:f>DATA!$A$6:$A$8</xm:f>
          </x14:formula1>
          <xm:sqref>A20:A42</xm:sqref>
        </x14:dataValidation>
        <x14:dataValidation type="list" allowBlank="1" showInputMessage="1" showErrorMessage="1" xr:uid="{00000000-0002-0000-1300-000001000000}">
          <x14:formula1>
            <xm:f>DATA!$D$6:$D$11</xm:f>
          </x14:formula1>
          <xm:sqref>B20:B43</xm:sqref>
        </x14:dataValidation>
        <x14:dataValidation type="list" allowBlank="1" showInputMessage="1" showErrorMessage="1" xr:uid="{00000000-0002-0000-1300-000002000000}">
          <x14:formula1>
            <xm:f>DATA!$F$6:$F$9</xm:f>
          </x14:formula1>
          <xm:sqref>C20:C45</xm:sqref>
        </x14:dataValidation>
        <x14:dataValidation type="list" allowBlank="1" showInputMessage="1" showErrorMessage="1" xr:uid="{00000000-0002-0000-1300-000003000000}">
          <x14:formula1>
            <xm:f>DATA!$H$6:$H$14</xm:f>
          </x14:formula1>
          <xm:sqref>H20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filterMode="1"/>
  <dimension ref="A1:O73"/>
  <sheetViews>
    <sheetView showGridLines="0" topLeftCell="A10" zoomScale="90" zoomScaleNormal="90" workbookViewId="0">
      <selection activeCell="J51" sqref="A51:J51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style="59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45343</v>
      </c>
      <c r="D1" s="1"/>
      <c r="E1" s="1"/>
      <c r="F1" s="1"/>
      <c r="G1" s="1"/>
    </row>
    <row r="2" spans="1:7" ht="17.25" x14ac:dyDescent="0.35">
      <c r="A2" s="1"/>
      <c r="B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125</v>
      </c>
      <c r="D6" s="19"/>
      <c r="E6" s="20" t="s">
        <v>4</v>
      </c>
      <c r="F6" s="19">
        <v>3088</v>
      </c>
      <c r="G6" s="21"/>
    </row>
    <row r="7" spans="1:7" ht="17.25" x14ac:dyDescent="0.35">
      <c r="A7" s="1"/>
      <c r="B7" s="22"/>
      <c r="G7" s="12"/>
    </row>
    <row r="8" spans="1:7" ht="17.25" x14ac:dyDescent="0.35">
      <c r="A8" s="1"/>
      <c r="B8" s="24" t="s">
        <v>5</v>
      </c>
      <c r="C8" s="88" t="s">
        <v>126</v>
      </c>
      <c r="D8" s="88"/>
      <c r="E8" s="23" t="s">
        <v>56</v>
      </c>
      <c r="F8" s="41" t="s">
        <v>95</v>
      </c>
      <c r="G8" s="12"/>
    </row>
    <row r="9" spans="1:7" ht="17.25" x14ac:dyDescent="0.35">
      <c r="A9" s="1"/>
      <c r="B9" s="24" t="s">
        <v>7</v>
      </c>
      <c r="C9" s="39" t="s">
        <v>127</v>
      </c>
      <c r="D9" s="42"/>
      <c r="E9" s="9" t="s">
        <v>10</v>
      </c>
      <c r="F9" s="36">
        <f>C10-O27</f>
        <v>82833.890000000014</v>
      </c>
      <c r="G9" s="12"/>
    </row>
    <row r="10" spans="1:7" ht="17.25" x14ac:dyDescent="0.35">
      <c r="A10" s="1"/>
      <c r="B10" s="13" t="s">
        <v>9</v>
      </c>
      <c r="C10" s="36">
        <v>299160</v>
      </c>
      <c r="D10" s="10"/>
      <c r="E10" s="11" t="s">
        <v>20</v>
      </c>
      <c r="F10" s="36">
        <f>C11-O24</f>
        <v>23075.86</v>
      </c>
      <c r="G10" s="12"/>
    </row>
    <row r="11" spans="1:7" ht="17.25" x14ac:dyDescent="0.35">
      <c r="A11" s="1"/>
      <c r="B11" s="14" t="s">
        <v>20</v>
      </c>
      <c r="C11" s="36">
        <f>12020.2+39308.49</f>
        <v>51328.69</v>
      </c>
      <c r="D11" s="10"/>
      <c r="E11" s="11" t="s">
        <v>21</v>
      </c>
      <c r="F11" s="44">
        <f>C12-O25</f>
        <v>6048.05</v>
      </c>
      <c r="G11" s="12"/>
    </row>
    <row r="12" spans="1:7" ht="17.25" x14ac:dyDescent="0.35">
      <c r="A12" s="1"/>
      <c r="B12" s="14" t="s">
        <v>21</v>
      </c>
      <c r="C12" s="36">
        <v>6048.05</v>
      </c>
      <c r="D12" s="10"/>
      <c r="E12" s="11" t="s">
        <v>22</v>
      </c>
      <c r="F12" s="37">
        <f>C13-O26</f>
        <v>3926.7200000000012</v>
      </c>
      <c r="G12" s="12"/>
    </row>
    <row r="13" spans="1:7" ht="18" thickBot="1" x14ac:dyDescent="0.4">
      <c r="A13" s="1"/>
      <c r="B13" s="15" t="s">
        <v>22</v>
      </c>
      <c r="C13" s="38">
        <v>192000</v>
      </c>
      <c r="D13" s="16"/>
      <c r="E13" s="16"/>
      <c r="F13" s="16"/>
      <c r="G13" s="17"/>
    </row>
    <row r="19" spans="1:15" ht="28.5" x14ac:dyDescent="0.25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28.5" hidden="1" x14ac:dyDescent="0.25">
      <c r="A20" s="3" t="s">
        <v>22</v>
      </c>
      <c r="B20" s="3">
        <v>2022</v>
      </c>
      <c r="C20" s="3" t="s">
        <v>26</v>
      </c>
      <c r="D20" s="3" t="s">
        <v>129</v>
      </c>
      <c r="E20" s="4" t="s">
        <v>588</v>
      </c>
      <c r="F20" s="3"/>
      <c r="G20" s="3"/>
      <c r="H20" s="3"/>
      <c r="I20" s="6">
        <f>2735.6*3</f>
        <v>8206.7999999999993</v>
      </c>
      <c r="J20" s="35" t="s">
        <v>162</v>
      </c>
    </row>
    <row r="21" spans="1:15" ht="28.5" hidden="1" x14ac:dyDescent="0.25">
      <c r="A21" s="3" t="s">
        <v>22</v>
      </c>
      <c r="B21" s="3">
        <v>2021</v>
      </c>
      <c r="C21" s="3" t="s">
        <v>26</v>
      </c>
      <c r="D21" s="3" t="s">
        <v>130</v>
      </c>
      <c r="E21" s="4" t="s">
        <v>542</v>
      </c>
      <c r="F21" s="3"/>
      <c r="G21" s="3"/>
      <c r="H21" s="3"/>
      <c r="I21" s="6">
        <v>34110.28</v>
      </c>
      <c r="J21" s="35" t="s">
        <v>162</v>
      </c>
    </row>
    <row r="22" spans="1:15" ht="28.5" hidden="1" x14ac:dyDescent="0.25">
      <c r="A22" s="3" t="s">
        <v>22</v>
      </c>
      <c r="B22" s="3">
        <v>2021</v>
      </c>
      <c r="C22" s="3" t="s">
        <v>26</v>
      </c>
      <c r="D22" s="3" t="s">
        <v>131</v>
      </c>
      <c r="E22" s="4" t="s">
        <v>543</v>
      </c>
      <c r="F22" s="3"/>
      <c r="G22" s="3"/>
      <c r="H22" s="3"/>
      <c r="I22" s="6">
        <v>26957.55</v>
      </c>
      <c r="J22" s="35" t="s">
        <v>162</v>
      </c>
    </row>
    <row r="23" spans="1:15" ht="28.5" hidden="1" x14ac:dyDescent="0.25">
      <c r="A23" s="3" t="s">
        <v>22</v>
      </c>
      <c r="B23" s="3">
        <v>2022</v>
      </c>
      <c r="C23" s="3" t="s">
        <v>26</v>
      </c>
      <c r="D23" s="3" t="s">
        <v>132</v>
      </c>
      <c r="E23" s="4" t="s">
        <v>544</v>
      </c>
      <c r="F23" s="3"/>
      <c r="G23" s="3"/>
      <c r="H23" s="3"/>
      <c r="I23" s="6">
        <v>5798.65</v>
      </c>
      <c r="J23" s="35" t="s">
        <v>162</v>
      </c>
    </row>
    <row r="24" spans="1:15" ht="28.5" hidden="1" x14ac:dyDescent="0.25">
      <c r="A24" s="3" t="s">
        <v>22</v>
      </c>
      <c r="B24" s="3">
        <v>2022</v>
      </c>
      <c r="C24" s="3" t="s">
        <v>26</v>
      </c>
      <c r="D24" s="3" t="s">
        <v>133</v>
      </c>
      <c r="E24" s="4" t="s">
        <v>545</v>
      </c>
      <c r="F24" s="3"/>
      <c r="G24" s="3"/>
      <c r="H24" s="3"/>
      <c r="I24" s="6">
        <v>113000</v>
      </c>
      <c r="J24" s="35" t="s">
        <v>162</v>
      </c>
      <c r="N24" s="27" t="s">
        <v>54</v>
      </c>
      <c r="O24" s="28">
        <f>SUMIFS(I20:I52,A20:A52,"Fonctionnement")</f>
        <v>28252.83</v>
      </c>
    </row>
    <row r="25" spans="1:15" ht="28.5" hidden="1" x14ac:dyDescent="0.25">
      <c r="A25" s="3" t="s">
        <v>20</v>
      </c>
      <c r="B25" s="3">
        <v>2021</v>
      </c>
      <c r="C25" s="3" t="s">
        <v>26</v>
      </c>
      <c r="D25" s="3" t="s">
        <v>134</v>
      </c>
      <c r="E25" s="4" t="s">
        <v>135</v>
      </c>
      <c r="F25" s="3"/>
      <c r="G25" s="3"/>
      <c r="H25" s="3"/>
      <c r="I25" s="6">
        <v>1965.6</v>
      </c>
      <c r="J25" s="35" t="s">
        <v>162</v>
      </c>
      <c r="N25" s="43" t="s">
        <v>128</v>
      </c>
      <c r="O25" s="30">
        <f>SUMIFS(I20:I52,A20:A52,"Investissement")</f>
        <v>0</v>
      </c>
    </row>
    <row r="26" spans="1:15" ht="28.5" hidden="1" x14ac:dyDescent="0.25">
      <c r="A26" s="3" t="s">
        <v>20</v>
      </c>
      <c r="B26" s="3">
        <v>2021</v>
      </c>
      <c r="C26" s="3" t="s">
        <v>26</v>
      </c>
      <c r="D26" s="3" t="s">
        <v>136</v>
      </c>
      <c r="E26" s="4" t="s">
        <v>135</v>
      </c>
      <c r="F26" s="3"/>
      <c r="G26" s="3"/>
      <c r="H26" s="3"/>
      <c r="I26" s="6">
        <v>1747.2</v>
      </c>
      <c r="J26" s="35" t="s">
        <v>162</v>
      </c>
      <c r="N26" s="29" t="s">
        <v>55</v>
      </c>
      <c r="O26" s="30">
        <f>SUMIFS(I20:I57,A20:A57,"Personnel")</f>
        <v>188073.28</v>
      </c>
    </row>
    <row r="27" spans="1:15" ht="29.25" hidden="1" thickBot="1" x14ac:dyDescent="0.3">
      <c r="A27" s="3" t="s">
        <v>20</v>
      </c>
      <c r="B27" s="3">
        <v>2022</v>
      </c>
      <c r="C27" s="3" t="s">
        <v>26</v>
      </c>
      <c r="D27" s="3" t="s">
        <v>512</v>
      </c>
      <c r="E27" s="4" t="s">
        <v>137</v>
      </c>
      <c r="F27" s="3"/>
      <c r="G27" s="3"/>
      <c r="H27" s="3"/>
      <c r="I27" s="6">
        <v>1801.8</v>
      </c>
      <c r="J27" s="35" t="s">
        <v>162</v>
      </c>
      <c r="N27" s="31" t="s">
        <v>58</v>
      </c>
      <c r="O27" s="32">
        <f>O24+O26</f>
        <v>216326.11</v>
      </c>
    </row>
    <row r="28" spans="1:15" hidden="1" x14ac:dyDescent="0.25">
      <c r="A28" s="3" t="s">
        <v>20</v>
      </c>
      <c r="B28" s="3">
        <v>2022</v>
      </c>
      <c r="C28" s="3" t="s">
        <v>24</v>
      </c>
      <c r="D28" s="3" t="s">
        <v>29</v>
      </c>
      <c r="E28" s="4" t="s">
        <v>138</v>
      </c>
      <c r="F28" s="3"/>
      <c r="G28" s="3"/>
      <c r="H28" s="3"/>
      <c r="I28" s="6">
        <v>8412</v>
      </c>
      <c r="J28" s="35" t="s">
        <v>162</v>
      </c>
    </row>
    <row r="29" spans="1:15" ht="28.5" hidden="1" x14ac:dyDescent="0.25">
      <c r="A29" s="3" t="s">
        <v>20</v>
      </c>
      <c r="B29" s="3">
        <v>2022</v>
      </c>
      <c r="C29" s="3" t="s">
        <v>25</v>
      </c>
      <c r="D29" s="3" t="s">
        <v>113</v>
      </c>
      <c r="E29" s="4" t="s">
        <v>139</v>
      </c>
      <c r="F29" s="69">
        <v>52386</v>
      </c>
      <c r="G29" s="3"/>
      <c r="H29" s="3"/>
      <c r="I29" s="6">
        <v>496.1</v>
      </c>
      <c r="J29" s="35" t="s">
        <v>162</v>
      </c>
    </row>
    <row r="30" spans="1:15" ht="28.5" hidden="1" x14ac:dyDescent="0.25">
      <c r="A30" s="3" t="s">
        <v>20</v>
      </c>
      <c r="B30" s="3">
        <v>2022</v>
      </c>
      <c r="C30" s="3" t="s">
        <v>25</v>
      </c>
      <c r="D30" s="3" t="s">
        <v>127</v>
      </c>
      <c r="E30" s="4" t="s">
        <v>143</v>
      </c>
      <c r="F30" s="69">
        <v>53390</v>
      </c>
      <c r="G30" s="3"/>
      <c r="H30" s="3"/>
      <c r="I30" s="6">
        <v>687.4</v>
      </c>
      <c r="J30" s="35" t="s">
        <v>162</v>
      </c>
    </row>
    <row r="31" spans="1:15" ht="28.5" hidden="1" x14ac:dyDescent="0.25">
      <c r="A31" s="3" t="s">
        <v>20</v>
      </c>
      <c r="B31" s="3">
        <v>2022</v>
      </c>
      <c r="C31" s="3" t="s">
        <v>25</v>
      </c>
      <c r="D31" s="3" t="s">
        <v>140</v>
      </c>
      <c r="E31" s="4" t="s">
        <v>142</v>
      </c>
      <c r="F31" s="69">
        <v>53640</v>
      </c>
      <c r="G31" s="3"/>
      <c r="H31" s="3"/>
      <c r="I31" s="6">
        <v>2572.4899999999998</v>
      </c>
      <c r="J31" s="35" t="s">
        <v>162</v>
      </c>
    </row>
    <row r="32" spans="1:15" ht="28.5" hidden="1" x14ac:dyDescent="0.25">
      <c r="A32" s="3" t="s">
        <v>20</v>
      </c>
      <c r="B32" s="3">
        <v>2022</v>
      </c>
      <c r="C32" s="3" t="s">
        <v>25</v>
      </c>
      <c r="D32" s="3" t="s">
        <v>127</v>
      </c>
      <c r="E32" s="4" t="s">
        <v>141</v>
      </c>
      <c r="F32" s="69">
        <v>53928</v>
      </c>
      <c r="G32" s="3"/>
      <c r="H32" s="3"/>
      <c r="I32" s="6">
        <v>0</v>
      </c>
      <c r="J32" s="35" t="s">
        <v>162</v>
      </c>
    </row>
    <row r="33" spans="1:11" ht="28.5" hidden="1" x14ac:dyDescent="0.25">
      <c r="A33" s="3" t="s">
        <v>20</v>
      </c>
      <c r="B33" s="3">
        <v>2022</v>
      </c>
      <c r="C33" s="3" t="s">
        <v>25</v>
      </c>
      <c r="D33" s="3" t="s">
        <v>127</v>
      </c>
      <c r="E33" s="4" t="s">
        <v>144</v>
      </c>
      <c r="F33" s="3">
        <v>53929</v>
      </c>
      <c r="G33" s="3"/>
      <c r="H33" s="3"/>
      <c r="I33" s="6">
        <v>223.15</v>
      </c>
      <c r="J33" s="35"/>
    </row>
    <row r="34" spans="1:11" ht="28.5" hidden="1" x14ac:dyDescent="0.25">
      <c r="A34" s="3" t="s">
        <v>20</v>
      </c>
      <c r="B34" s="3">
        <v>2022</v>
      </c>
      <c r="C34" s="3" t="s">
        <v>25</v>
      </c>
      <c r="D34" s="3" t="s">
        <v>127</v>
      </c>
      <c r="E34" s="4" t="s">
        <v>144</v>
      </c>
      <c r="F34" s="69">
        <v>56170</v>
      </c>
      <c r="G34" s="3"/>
      <c r="H34" s="3"/>
      <c r="I34" s="6">
        <v>0</v>
      </c>
      <c r="J34" s="35" t="s">
        <v>162</v>
      </c>
    </row>
    <row r="35" spans="1:11" ht="28.5" hidden="1" x14ac:dyDescent="0.25">
      <c r="A35" s="3" t="s">
        <v>20</v>
      </c>
      <c r="B35" s="3">
        <v>2022</v>
      </c>
      <c r="C35" s="3" t="s">
        <v>25</v>
      </c>
      <c r="D35" s="3" t="s">
        <v>127</v>
      </c>
      <c r="E35" s="4" t="s">
        <v>145</v>
      </c>
      <c r="F35" s="69">
        <v>53931</v>
      </c>
      <c r="G35" s="3"/>
      <c r="H35" s="3"/>
      <c r="I35" s="6">
        <v>0</v>
      </c>
      <c r="J35" s="35" t="s">
        <v>162</v>
      </c>
    </row>
    <row r="36" spans="1:11" ht="28.5" hidden="1" x14ac:dyDescent="0.25">
      <c r="A36" s="3" t="s">
        <v>20</v>
      </c>
      <c r="B36" s="3">
        <v>2022</v>
      </c>
      <c r="C36" s="3" t="s">
        <v>25</v>
      </c>
      <c r="D36" s="3" t="s">
        <v>127</v>
      </c>
      <c r="E36" s="4" t="s">
        <v>145</v>
      </c>
      <c r="F36" s="69">
        <v>56172</v>
      </c>
      <c r="G36" s="3"/>
      <c r="H36" s="3"/>
      <c r="I36" s="6">
        <v>0</v>
      </c>
      <c r="J36" s="35" t="s">
        <v>162</v>
      </c>
    </row>
    <row r="37" spans="1:11" ht="28.5" hidden="1" x14ac:dyDescent="0.25">
      <c r="A37" s="3" t="s">
        <v>20</v>
      </c>
      <c r="B37" s="3">
        <v>2022</v>
      </c>
      <c r="C37" s="3" t="s">
        <v>25</v>
      </c>
      <c r="D37" s="3" t="s">
        <v>146</v>
      </c>
      <c r="E37" s="4" t="s">
        <v>147</v>
      </c>
      <c r="F37" s="69">
        <v>54711</v>
      </c>
      <c r="G37" s="3"/>
      <c r="H37" s="3"/>
      <c r="I37" s="6">
        <v>0</v>
      </c>
      <c r="J37" s="35" t="s">
        <v>162</v>
      </c>
    </row>
    <row r="38" spans="1:11" ht="42.75" hidden="1" x14ac:dyDescent="0.25">
      <c r="A38" s="3" t="s">
        <v>20</v>
      </c>
      <c r="B38" s="3">
        <v>2022</v>
      </c>
      <c r="C38" s="3" t="s">
        <v>25</v>
      </c>
      <c r="D38" s="3" t="s">
        <v>127</v>
      </c>
      <c r="E38" s="4" t="s">
        <v>148</v>
      </c>
      <c r="F38" s="69">
        <v>54716</v>
      </c>
      <c r="G38" s="3"/>
      <c r="H38" s="3"/>
      <c r="I38" s="6">
        <v>2496.62</v>
      </c>
      <c r="J38" s="35" t="s">
        <v>162</v>
      </c>
    </row>
    <row r="39" spans="1:11" ht="28.5" hidden="1" x14ac:dyDescent="0.25">
      <c r="A39" s="3" t="s">
        <v>20</v>
      </c>
      <c r="B39" s="3">
        <v>2022</v>
      </c>
      <c r="C39" s="3" t="s">
        <v>25</v>
      </c>
      <c r="D39" s="3" t="s">
        <v>149</v>
      </c>
      <c r="E39" s="4" t="s">
        <v>150</v>
      </c>
      <c r="F39" s="69">
        <v>55231</v>
      </c>
      <c r="G39" s="3"/>
      <c r="H39" s="3"/>
      <c r="I39" s="6">
        <v>189.3</v>
      </c>
      <c r="J39" s="35" t="s">
        <v>162</v>
      </c>
    </row>
    <row r="40" spans="1:11" ht="28.5" hidden="1" x14ac:dyDescent="0.25">
      <c r="A40" s="3" t="s">
        <v>20</v>
      </c>
      <c r="B40" s="3">
        <v>2022</v>
      </c>
      <c r="C40" s="3" t="s">
        <v>25</v>
      </c>
      <c r="D40" s="3" t="s">
        <v>113</v>
      </c>
      <c r="E40" s="4" t="s">
        <v>150</v>
      </c>
      <c r="F40" s="69">
        <v>55351</v>
      </c>
      <c r="G40" s="3"/>
      <c r="H40" s="3"/>
      <c r="I40" s="6">
        <v>472.19</v>
      </c>
      <c r="J40" s="35" t="s">
        <v>162</v>
      </c>
    </row>
    <row r="41" spans="1:11" ht="28.5" hidden="1" x14ac:dyDescent="0.25">
      <c r="A41" s="3" t="s">
        <v>20</v>
      </c>
      <c r="B41" s="3">
        <v>2022</v>
      </c>
      <c r="C41" s="3" t="s">
        <v>25</v>
      </c>
      <c r="D41" s="3" t="s">
        <v>151</v>
      </c>
      <c r="E41" s="4" t="s">
        <v>152</v>
      </c>
      <c r="F41" s="3">
        <v>55993</v>
      </c>
      <c r="G41" s="3"/>
      <c r="H41" s="3"/>
      <c r="I41" s="6">
        <v>1192.75</v>
      </c>
      <c r="J41" s="35"/>
      <c r="K41" s="70" t="s">
        <v>622</v>
      </c>
    </row>
    <row r="42" spans="1:11" ht="28.5" hidden="1" x14ac:dyDescent="0.25">
      <c r="A42" s="3" t="s">
        <v>20</v>
      </c>
      <c r="B42" s="3">
        <v>2022</v>
      </c>
      <c r="C42" s="3" t="s">
        <v>25</v>
      </c>
      <c r="D42" s="3" t="s">
        <v>127</v>
      </c>
      <c r="E42" s="4" t="s">
        <v>153</v>
      </c>
      <c r="F42" s="3">
        <v>56014</v>
      </c>
      <c r="G42" s="3"/>
      <c r="H42" s="3"/>
      <c r="I42" s="6">
        <f>95.1+217.56+420.42</f>
        <v>733.07999999999993</v>
      </c>
      <c r="J42" s="35" t="s">
        <v>162</v>
      </c>
      <c r="K42" s="70"/>
    </row>
    <row r="43" spans="1:11" ht="28.5" hidden="1" x14ac:dyDescent="0.25">
      <c r="A43" s="3" t="s">
        <v>20</v>
      </c>
      <c r="B43" s="3">
        <v>2022</v>
      </c>
      <c r="C43" s="3" t="s">
        <v>25</v>
      </c>
      <c r="D43" s="3" t="s">
        <v>154</v>
      </c>
      <c r="E43" s="4" t="s">
        <v>155</v>
      </c>
      <c r="F43" s="69">
        <v>56152</v>
      </c>
      <c r="G43" s="3"/>
      <c r="H43" s="3"/>
      <c r="I43" s="6">
        <v>53.3</v>
      </c>
      <c r="J43" s="35" t="s">
        <v>162</v>
      </c>
      <c r="K43" s="70"/>
    </row>
    <row r="44" spans="1:11" ht="28.5" hidden="1" x14ac:dyDescent="0.25">
      <c r="A44" s="3" t="s">
        <v>20</v>
      </c>
      <c r="B44" s="3">
        <v>2022</v>
      </c>
      <c r="C44" s="3" t="s">
        <v>25</v>
      </c>
      <c r="D44" s="3" t="s">
        <v>156</v>
      </c>
      <c r="E44" s="4" t="s">
        <v>155</v>
      </c>
      <c r="F44" s="3">
        <v>56158</v>
      </c>
      <c r="G44" s="3"/>
      <c r="H44" s="3"/>
      <c r="I44" s="6">
        <v>50.34</v>
      </c>
      <c r="J44" s="35"/>
      <c r="K44" s="70" t="s">
        <v>623</v>
      </c>
    </row>
    <row r="45" spans="1:11" ht="28.5" hidden="1" x14ac:dyDescent="0.25">
      <c r="A45" s="3" t="s">
        <v>20</v>
      </c>
      <c r="B45" s="3">
        <v>2022</v>
      </c>
      <c r="C45" s="3" t="s">
        <v>25</v>
      </c>
      <c r="D45" s="3" t="s">
        <v>157</v>
      </c>
      <c r="E45" s="4" t="s">
        <v>155</v>
      </c>
      <c r="F45" s="69">
        <v>56153</v>
      </c>
      <c r="G45" s="3"/>
      <c r="H45" s="3"/>
      <c r="I45" s="6">
        <v>127.95</v>
      </c>
      <c r="J45" s="35" t="s">
        <v>162</v>
      </c>
      <c r="K45" s="70"/>
    </row>
    <row r="46" spans="1:11" ht="28.5" hidden="1" x14ac:dyDescent="0.25">
      <c r="A46" s="3" t="s">
        <v>20</v>
      </c>
      <c r="B46" s="3">
        <v>2023</v>
      </c>
      <c r="C46" s="3" t="s">
        <v>25</v>
      </c>
      <c r="D46" s="3" t="s">
        <v>127</v>
      </c>
      <c r="E46" s="4" t="s">
        <v>158</v>
      </c>
      <c r="F46" s="69">
        <v>56967</v>
      </c>
      <c r="G46" s="3"/>
      <c r="H46" s="3"/>
      <c r="I46" s="6">
        <v>234.65</v>
      </c>
      <c r="J46" s="35" t="s">
        <v>162</v>
      </c>
      <c r="K46" s="70"/>
    </row>
    <row r="47" spans="1:11" ht="42.75" hidden="1" x14ac:dyDescent="0.25">
      <c r="A47" s="3" t="s">
        <v>20</v>
      </c>
      <c r="B47" s="3">
        <v>2023</v>
      </c>
      <c r="C47" s="3" t="s">
        <v>25</v>
      </c>
      <c r="D47" s="3" t="s">
        <v>113</v>
      </c>
      <c r="E47" s="4" t="s">
        <v>114</v>
      </c>
      <c r="F47" s="69">
        <v>56634</v>
      </c>
      <c r="G47" s="3"/>
      <c r="H47" s="3"/>
      <c r="I47" s="6">
        <v>2253.84</v>
      </c>
      <c r="J47" s="35" t="s">
        <v>162</v>
      </c>
      <c r="K47" s="70"/>
    </row>
    <row r="48" spans="1:11" ht="28.5" hidden="1" x14ac:dyDescent="0.25">
      <c r="A48" s="3" t="s">
        <v>20</v>
      </c>
      <c r="B48" s="3">
        <v>2023</v>
      </c>
      <c r="C48" s="3" t="s">
        <v>25</v>
      </c>
      <c r="D48" s="3" t="s">
        <v>377</v>
      </c>
      <c r="E48" s="4" t="s">
        <v>379</v>
      </c>
      <c r="F48" s="69">
        <v>57574</v>
      </c>
      <c r="G48" s="3"/>
      <c r="H48" s="3"/>
      <c r="I48" s="6">
        <v>222.56</v>
      </c>
      <c r="J48" s="35" t="s">
        <v>162</v>
      </c>
      <c r="K48" s="70"/>
    </row>
    <row r="49" spans="1:11" ht="28.5" hidden="1" x14ac:dyDescent="0.25">
      <c r="A49" s="3" t="s">
        <v>20</v>
      </c>
      <c r="B49" s="3">
        <v>2023</v>
      </c>
      <c r="C49" s="3" t="s">
        <v>25</v>
      </c>
      <c r="D49" s="3" t="s">
        <v>127</v>
      </c>
      <c r="E49" s="4" t="s">
        <v>378</v>
      </c>
      <c r="F49" s="3">
        <v>58182</v>
      </c>
      <c r="G49" s="3"/>
      <c r="H49" s="3"/>
      <c r="I49" s="6">
        <v>909.86</v>
      </c>
      <c r="J49" s="35"/>
      <c r="K49" s="70"/>
    </row>
    <row r="50" spans="1:11" ht="28.5" hidden="1" x14ac:dyDescent="0.25">
      <c r="A50" s="3" t="s">
        <v>20</v>
      </c>
      <c r="B50" s="3">
        <v>2023</v>
      </c>
      <c r="C50" s="3" t="s">
        <v>25</v>
      </c>
      <c r="D50" s="3" t="s">
        <v>380</v>
      </c>
      <c r="E50" s="4" t="s">
        <v>381</v>
      </c>
      <c r="F50" s="69">
        <v>58119</v>
      </c>
      <c r="G50" s="3"/>
      <c r="H50" s="3"/>
      <c r="I50" s="6">
        <v>438.66</v>
      </c>
      <c r="J50" s="35" t="s">
        <v>162</v>
      </c>
      <c r="K50" s="70"/>
    </row>
    <row r="51" spans="1:11" ht="28.5" x14ac:dyDescent="0.25">
      <c r="A51" s="3" t="s">
        <v>20</v>
      </c>
      <c r="B51" s="3">
        <v>2023</v>
      </c>
      <c r="C51" s="3" t="s">
        <v>25</v>
      </c>
      <c r="D51" s="3" t="s">
        <v>382</v>
      </c>
      <c r="E51" s="4" t="s">
        <v>383</v>
      </c>
      <c r="F51" s="69">
        <v>57607</v>
      </c>
      <c r="G51" s="3"/>
      <c r="H51" s="3"/>
      <c r="I51" s="6">
        <f>269.95+229.53</f>
        <v>499.48</v>
      </c>
      <c r="J51" s="35"/>
      <c r="K51" s="70" t="s">
        <v>623</v>
      </c>
    </row>
    <row r="52" spans="1:11" ht="42.75" hidden="1" x14ac:dyDescent="0.25">
      <c r="A52" s="3" t="s">
        <v>20</v>
      </c>
      <c r="B52" s="3">
        <v>2023</v>
      </c>
      <c r="C52" s="3" t="s">
        <v>25</v>
      </c>
      <c r="D52" s="3" t="s">
        <v>127</v>
      </c>
      <c r="E52" s="4" t="s">
        <v>384</v>
      </c>
      <c r="F52" s="3">
        <v>57443</v>
      </c>
      <c r="G52" s="3"/>
      <c r="H52" s="3"/>
      <c r="I52" s="6">
        <v>472.51</v>
      </c>
      <c r="J52" s="35" t="s">
        <v>162</v>
      </c>
    </row>
    <row r="53" spans="1:11" ht="28.5" hidden="1" x14ac:dyDescent="0.25">
      <c r="A53" s="3" t="s">
        <v>20</v>
      </c>
      <c r="B53" s="3">
        <v>2023</v>
      </c>
      <c r="C53" s="3" t="s">
        <v>25</v>
      </c>
      <c r="D53" s="3" t="s">
        <v>127</v>
      </c>
      <c r="E53" s="4" t="s">
        <v>385</v>
      </c>
      <c r="F53" s="3">
        <v>59597</v>
      </c>
      <c r="G53" s="3"/>
      <c r="H53" s="3"/>
      <c r="I53" s="6">
        <v>3517.01</v>
      </c>
      <c r="J53" s="35"/>
    </row>
    <row r="54" spans="1:11" ht="28.5" hidden="1" x14ac:dyDescent="0.25">
      <c r="A54" s="3" t="s">
        <v>20</v>
      </c>
      <c r="B54" s="3">
        <v>2023</v>
      </c>
      <c r="C54" s="3" t="s">
        <v>25</v>
      </c>
      <c r="D54" s="3" t="s">
        <v>386</v>
      </c>
      <c r="E54" s="4" t="s">
        <v>387</v>
      </c>
      <c r="F54" s="69">
        <v>59761</v>
      </c>
      <c r="G54" s="3"/>
      <c r="H54" s="3"/>
      <c r="I54" s="6">
        <v>113.4</v>
      </c>
      <c r="J54" s="35" t="s">
        <v>162</v>
      </c>
    </row>
    <row r="55" spans="1:11" ht="28.5" hidden="1" x14ac:dyDescent="0.25">
      <c r="A55" s="3" t="s">
        <v>20</v>
      </c>
      <c r="B55" s="3">
        <v>2023</v>
      </c>
      <c r="C55" s="3" t="s">
        <v>25</v>
      </c>
      <c r="D55" s="3" t="s">
        <v>388</v>
      </c>
      <c r="E55" s="4" t="s">
        <v>387</v>
      </c>
      <c r="F55" s="69">
        <v>59760</v>
      </c>
      <c r="G55" s="3"/>
      <c r="H55" s="3"/>
      <c r="I55" s="6">
        <v>113.4</v>
      </c>
      <c r="J55" s="35" t="s">
        <v>162</v>
      </c>
    </row>
    <row r="56" spans="1:11" ht="28.5" hidden="1" x14ac:dyDescent="0.25">
      <c r="A56" s="3" t="s">
        <v>20</v>
      </c>
      <c r="B56" s="3">
        <v>2022</v>
      </c>
      <c r="C56" s="3" t="s">
        <v>25</v>
      </c>
      <c r="D56" s="3" t="s">
        <v>424</v>
      </c>
      <c r="E56" s="4" t="s">
        <v>425</v>
      </c>
      <c r="F56" s="69">
        <v>52365</v>
      </c>
      <c r="G56" s="3"/>
      <c r="H56" s="3"/>
      <c r="I56" s="6">
        <v>1496.66</v>
      </c>
      <c r="J56" s="35" t="s">
        <v>162</v>
      </c>
    </row>
    <row r="57" spans="1:11" ht="28.5" hidden="1" x14ac:dyDescent="0.25">
      <c r="A57" s="3" t="s">
        <v>20</v>
      </c>
      <c r="B57" s="3">
        <v>2024</v>
      </c>
      <c r="C57" s="3" t="s">
        <v>25</v>
      </c>
      <c r="D57" s="3" t="s">
        <v>149</v>
      </c>
      <c r="E57" s="4" t="s">
        <v>426</v>
      </c>
      <c r="F57" s="3">
        <v>60521</v>
      </c>
      <c r="G57" s="3"/>
      <c r="H57" s="3"/>
      <c r="I57" s="6"/>
      <c r="J57" s="35"/>
    </row>
    <row r="58" spans="1:11" ht="28.5" hidden="1" x14ac:dyDescent="0.25">
      <c r="A58" s="3" t="s">
        <v>20</v>
      </c>
      <c r="B58" s="3">
        <v>2023</v>
      </c>
      <c r="C58" s="3" t="s">
        <v>25</v>
      </c>
      <c r="D58" s="3" t="s">
        <v>127</v>
      </c>
      <c r="E58" s="4" t="s">
        <v>620</v>
      </c>
      <c r="F58" s="69">
        <v>57591</v>
      </c>
      <c r="G58" s="3"/>
      <c r="H58" s="3"/>
      <c r="I58" s="6">
        <v>583.80999999999995</v>
      </c>
      <c r="J58" s="35" t="s">
        <v>162</v>
      </c>
    </row>
    <row r="59" spans="1:11" ht="28.5" hidden="1" x14ac:dyDescent="0.25">
      <c r="A59" s="3" t="s">
        <v>20</v>
      </c>
      <c r="B59" s="3">
        <v>2023</v>
      </c>
      <c r="C59" s="3" t="s">
        <v>25</v>
      </c>
      <c r="D59" s="3" t="s">
        <v>140</v>
      </c>
      <c r="E59" s="4" t="s">
        <v>621</v>
      </c>
      <c r="F59" s="69">
        <v>56108</v>
      </c>
      <c r="G59" s="3"/>
      <c r="H59" s="3"/>
      <c r="I59" s="6">
        <v>2486.9699999999998</v>
      </c>
      <c r="J59" s="35" t="s">
        <v>162</v>
      </c>
    </row>
    <row r="60" spans="1:11" hidden="1" x14ac:dyDescent="0.25">
      <c r="A60" s="3" t="s">
        <v>20</v>
      </c>
      <c r="B60" s="3">
        <v>2023</v>
      </c>
      <c r="C60" s="3" t="s">
        <v>24</v>
      </c>
      <c r="D60" s="3" t="s">
        <v>624</v>
      </c>
      <c r="E60" s="4" t="s">
        <v>625</v>
      </c>
      <c r="F60" s="3"/>
      <c r="G60" s="3" t="s">
        <v>626</v>
      </c>
      <c r="H60" s="3"/>
      <c r="I60" s="6">
        <v>479.1</v>
      </c>
      <c r="J60" s="35" t="s">
        <v>162</v>
      </c>
    </row>
    <row r="61" spans="1:11" ht="28.5" hidden="1" x14ac:dyDescent="0.25">
      <c r="A61" s="3" t="s">
        <v>20</v>
      </c>
      <c r="B61" s="3">
        <v>2023</v>
      </c>
      <c r="C61" s="3" t="s">
        <v>25</v>
      </c>
      <c r="D61" s="3" t="s">
        <v>307</v>
      </c>
      <c r="E61" s="4" t="s">
        <v>785</v>
      </c>
      <c r="F61" s="3">
        <v>57760</v>
      </c>
      <c r="G61" s="3"/>
      <c r="H61" s="3"/>
      <c r="I61" s="6">
        <v>229.53</v>
      </c>
      <c r="J61" s="71" t="s">
        <v>786</v>
      </c>
    </row>
    <row r="63" spans="1:11" ht="16.5" x14ac:dyDescent="0.3">
      <c r="B63" s="89" t="s">
        <v>20</v>
      </c>
      <c r="C63" s="89"/>
    </row>
    <row r="64" spans="1:11" ht="16.5" x14ac:dyDescent="0.3">
      <c r="B64" s="33" t="s">
        <v>58</v>
      </c>
      <c r="C64" s="34">
        <f>O24</f>
        <v>28252.83</v>
      </c>
    </row>
    <row r="65" spans="2:3" ht="16.5" x14ac:dyDescent="0.3">
      <c r="B65" s="33" t="s">
        <v>213</v>
      </c>
      <c r="C65" s="34">
        <f>F10</f>
        <v>23075.86</v>
      </c>
    </row>
    <row r="67" spans="2:3" ht="16.5" x14ac:dyDescent="0.3">
      <c r="B67" s="89" t="s">
        <v>22</v>
      </c>
      <c r="C67" s="89"/>
    </row>
    <row r="68" spans="2:3" ht="16.5" x14ac:dyDescent="0.3">
      <c r="B68" s="33" t="s">
        <v>58</v>
      </c>
      <c r="C68" s="34">
        <f>O26</f>
        <v>188073.28</v>
      </c>
    </row>
    <row r="69" spans="2:3" ht="16.5" x14ac:dyDescent="0.3">
      <c r="B69" s="33" t="s">
        <v>213</v>
      </c>
      <c r="C69" s="34">
        <f>F12</f>
        <v>3926.7200000000012</v>
      </c>
    </row>
    <row r="71" spans="2:3" ht="16.5" x14ac:dyDescent="0.3">
      <c r="B71" s="89" t="s">
        <v>21</v>
      </c>
      <c r="C71" s="89"/>
    </row>
    <row r="72" spans="2:3" ht="16.5" x14ac:dyDescent="0.3">
      <c r="B72" s="33" t="s">
        <v>58</v>
      </c>
      <c r="C72" s="34">
        <f>O25</f>
        <v>0</v>
      </c>
    </row>
    <row r="73" spans="2:3" ht="16.5" x14ac:dyDescent="0.3">
      <c r="B73" s="33" t="s">
        <v>213</v>
      </c>
      <c r="C73" s="34">
        <f>F11</f>
        <v>6048.05</v>
      </c>
    </row>
  </sheetData>
  <autoFilter ref="A19:J61" xr:uid="{00000000-0009-0000-0000-000014000000}">
    <filterColumn colId="5">
      <filters>
        <filter val="57607"/>
      </filters>
    </filterColumn>
  </autoFilter>
  <mergeCells count="5">
    <mergeCell ref="B5:G5"/>
    <mergeCell ref="C8:D8"/>
    <mergeCell ref="B63:C63"/>
    <mergeCell ref="B67:C67"/>
    <mergeCell ref="B71:C71"/>
  </mergeCells>
  <conditionalFormatting sqref="F12">
    <cfRule type="cellIs" dxfId="12" priority="5" operator="lessThan">
      <formula>0</formula>
    </cfRule>
  </conditionalFormatting>
  <conditionalFormatting sqref="F20:F28">
    <cfRule type="containsBlanks" dxfId="11" priority="9">
      <formula>LEN(TRIM(F20))=0</formula>
    </cfRule>
  </conditionalFormatting>
  <conditionalFormatting sqref="F60:F61">
    <cfRule type="containsBlanks" dxfId="10" priority="1">
      <formula>LEN(TRIM(F60))=0</formula>
    </cfRule>
  </conditionalFormatting>
  <conditionalFormatting sqref="G29:G61">
    <cfRule type="containsBlanks" dxfId="9" priority="6">
      <formula>LEN(TRIM(G29))=0</formula>
    </cfRule>
  </conditionalFormatting>
  <conditionalFormatting sqref="H20:H61">
    <cfRule type="containsBlanks" dxfId="8" priority="7">
      <formula>LEN(TRIM(H20))=0</formula>
    </cfRule>
  </conditionalFormatting>
  <conditionalFormatting sqref="J1:J1048576">
    <cfRule type="containsText" dxfId="7" priority="8" operator="containsText" text="OK">
      <formula>NOT(ISERROR(SEARCH("OK",J1)))</formula>
    </cfRule>
  </conditionalFormatting>
  <pageMargins left="0.7" right="0.7" top="0.75" bottom="0.75" header="0.3" footer="0.3"/>
  <pageSetup paperSize="9" scale="30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400-000000000000}">
          <x14:formula1>
            <xm:f>DATA!$F$6:$F$9</xm:f>
          </x14:formula1>
          <xm:sqref>C20:C46</xm:sqref>
        </x14:dataValidation>
        <x14:dataValidation type="list" allowBlank="1" showInputMessage="1" showErrorMessage="1" xr:uid="{00000000-0002-0000-1400-000001000000}">
          <x14:formula1>
            <xm:f>DATA!$D$6:$D$11</xm:f>
          </x14:formula1>
          <xm:sqref>B20:B44</xm:sqref>
        </x14:dataValidation>
        <x14:dataValidation type="list" allowBlank="1" showInputMessage="1" showErrorMessage="1" xr:uid="{00000000-0002-0000-1400-000002000000}">
          <x14:formula1>
            <xm:f>DATA!$A$6:$A$8</xm:f>
          </x14:formula1>
          <xm:sqref>A20:A43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showGridLines="0" topLeftCell="C15" zoomScale="140" zoomScaleNormal="140" workbookViewId="0">
      <selection activeCell="I29" sqref="I29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style="59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45280</v>
      </c>
      <c r="D1" s="1"/>
      <c r="E1" s="1"/>
      <c r="F1" s="1"/>
      <c r="G1" s="1"/>
    </row>
    <row r="2" spans="1:7" ht="17.25" x14ac:dyDescent="0.35">
      <c r="A2" s="1"/>
      <c r="B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103</v>
      </c>
      <c r="D6" s="19"/>
      <c r="E6" s="20" t="s">
        <v>4</v>
      </c>
      <c r="F6" s="19">
        <v>3357</v>
      </c>
      <c r="G6" s="21"/>
    </row>
    <row r="7" spans="1:7" ht="17.25" x14ac:dyDescent="0.35">
      <c r="A7" s="1"/>
      <c r="B7" s="22"/>
      <c r="G7" s="12"/>
    </row>
    <row r="8" spans="1:7" ht="17.25" x14ac:dyDescent="0.35">
      <c r="A8" s="1"/>
      <c r="B8" s="24" t="s">
        <v>5</v>
      </c>
      <c r="C8" s="88" t="s">
        <v>104</v>
      </c>
      <c r="D8" s="88"/>
      <c r="E8" s="23" t="s">
        <v>56</v>
      </c>
      <c r="F8" s="41" t="s">
        <v>95</v>
      </c>
      <c r="G8" s="12"/>
    </row>
    <row r="9" spans="1:7" ht="17.25" x14ac:dyDescent="0.35">
      <c r="A9" s="1"/>
      <c r="B9" s="24" t="s">
        <v>7</v>
      </c>
      <c r="C9" s="39" t="s">
        <v>105</v>
      </c>
      <c r="D9" s="42"/>
      <c r="E9" s="9" t="s">
        <v>10</v>
      </c>
      <c r="F9" s="36">
        <f>C10-O24</f>
        <v>3898.6399999999994</v>
      </c>
      <c r="G9" s="12"/>
    </row>
    <row r="10" spans="1:7" ht="17.25" x14ac:dyDescent="0.35">
      <c r="A10" s="1"/>
      <c r="B10" s="13" t="s">
        <v>9</v>
      </c>
      <c r="C10" s="36">
        <v>50000</v>
      </c>
      <c r="D10" s="10"/>
      <c r="E10" s="11" t="s">
        <v>20</v>
      </c>
      <c r="F10" s="36">
        <f>C11-O22</f>
        <v>3898.6399999999994</v>
      </c>
      <c r="G10" s="12"/>
    </row>
    <row r="11" spans="1:7" ht="17.25" x14ac:dyDescent="0.35">
      <c r="A11" s="1"/>
      <c r="B11" s="14" t="s">
        <v>20</v>
      </c>
      <c r="C11" s="36">
        <f>11490.13+38509.87</f>
        <v>50000</v>
      </c>
      <c r="D11" s="10"/>
      <c r="E11" s="11" t="s">
        <v>22</v>
      </c>
      <c r="F11" s="37">
        <f>C12-O23</f>
        <v>0</v>
      </c>
      <c r="G11" s="12"/>
    </row>
    <row r="12" spans="1:7" ht="18" thickBot="1" x14ac:dyDescent="0.4">
      <c r="A12" s="1"/>
      <c r="B12" s="15" t="s">
        <v>22</v>
      </c>
      <c r="C12" s="38">
        <v>0</v>
      </c>
      <c r="D12" s="16"/>
      <c r="E12" s="16"/>
      <c r="F12" s="16"/>
      <c r="G12" s="17"/>
    </row>
    <row r="18" spans="1:15" ht="28.5" x14ac:dyDescent="0.25">
      <c r="A18" s="5" t="s">
        <v>11</v>
      </c>
      <c r="B18" s="5" t="s">
        <v>12</v>
      </c>
      <c r="C18" s="5" t="s">
        <v>13</v>
      </c>
      <c r="D18" s="5" t="s">
        <v>14</v>
      </c>
      <c r="E18" s="5" t="s">
        <v>15</v>
      </c>
      <c r="F18" s="5" t="s">
        <v>16</v>
      </c>
      <c r="G18" s="5" t="s">
        <v>17</v>
      </c>
      <c r="H18" s="5" t="s">
        <v>18</v>
      </c>
      <c r="I18" s="5" t="s">
        <v>19</v>
      </c>
      <c r="J18" s="5" t="s">
        <v>59</v>
      </c>
    </row>
    <row r="19" spans="1:15" x14ac:dyDescent="0.25">
      <c r="A19" s="3" t="s">
        <v>20</v>
      </c>
      <c r="B19" s="3">
        <v>2023</v>
      </c>
      <c r="C19" s="3" t="s">
        <v>24</v>
      </c>
      <c r="D19" s="3" t="s">
        <v>29</v>
      </c>
      <c r="E19" s="4" t="s">
        <v>106</v>
      </c>
      <c r="F19" s="3"/>
      <c r="G19" s="3" t="s">
        <v>107</v>
      </c>
      <c r="H19" s="35" t="s">
        <v>66</v>
      </c>
      <c r="I19" s="6">
        <v>6282</v>
      </c>
      <c r="J19" s="35" t="s">
        <v>162</v>
      </c>
    </row>
    <row r="20" spans="1:15" x14ac:dyDescent="0.25">
      <c r="A20" s="3" t="s">
        <v>20</v>
      </c>
      <c r="B20" s="3">
        <v>2023</v>
      </c>
      <c r="C20" s="3" t="s">
        <v>23</v>
      </c>
      <c r="D20" s="3" t="s">
        <v>108</v>
      </c>
      <c r="E20" s="4" t="s">
        <v>109</v>
      </c>
      <c r="F20" s="3"/>
      <c r="G20" s="3" t="s">
        <v>110</v>
      </c>
      <c r="H20" s="35" t="s">
        <v>66</v>
      </c>
      <c r="I20" s="6">
        <v>654.79999999999995</v>
      </c>
      <c r="J20" s="35" t="s">
        <v>162</v>
      </c>
    </row>
    <row r="21" spans="1:15" ht="29.25" thickBot="1" x14ac:dyDescent="0.3">
      <c r="A21" s="3" t="s">
        <v>20</v>
      </c>
      <c r="B21" s="3">
        <v>2023</v>
      </c>
      <c r="C21" s="3" t="s">
        <v>24</v>
      </c>
      <c r="D21" s="3" t="s">
        <v>29</v>
      </c>
      <c r="E21" s="4" t="s">
        <v>111</v>
      </c>
      <c r="F21" s="3"/>
      <c r="G21" s="3" t="s">
        <v>112</v>
      </c>
      <c r="H21" s="35" t="s">
        <v>66</v>
      </c>
      <c r="I21" s="6">
        <v>2555</v>
      </c>
      <c r="J21" s="35" t="s">
        <v>162</v>
      </c>
    </row>
    <row r="22" spans="1:15" ht="42.75" x14ac:dyDescent="0.25">
      <c r="A22" s="3" t="s">
        <v>20</v>
      </c>
      <c r="B22" s="3">
        <v>2023</v>
      </c>
      <c r="C22" s="3" t="s">
        <v>25</v>
      </c>
      <c r="D22" s="3" t="s">
        <v>113</v>
      </c>
      <c r="E22" s="4" t="s">
        <v>114</v>
      </c>
      <c r="F22" s="3">
        <v>56634</v>
      </c>
      <c r="G22" s="3"/>
      <c r="H22" s="35" t="s">
        <v>65</v>
      </c>
      <c r="I22" s="6">
        <v>3973.2</v>
      </c>
      <c r="J22" s="35" t="s">
        <v>162</v>
      </c>
      <c r="N22" s="27" t="s">
        <v>54</v>
      </c>
      <c r="O22" s="28">
        <f>SUMIFS(I19:I48,A19:A48,"Fonctionnement")</f>
        <v>46101.36</v>
      </c>
    </row>
    <row r="23" spans="1:15" ht="28.5" x14ac:dyDescent="0.25">
      <c r="A23" s="3" t="s">
        <v>20</v>
      </c>
      <c r="B23" s="3">
        <v>2023</v>
      </c>
      <c r="C23" s="3" t="s">
        <v>25</v>
      </c>
      <c r="D23" s="3" t="s">
        <v>115</v>
      </c>
      <c r="E23" s="4" t="s">
        <v>118</v>
      </c>
      <c r="F23" s="3">
        <v>58116</v>
      </c>
      <c r="G23" s="3"/>
      <c r="H23" s="35" t="s">
        <v>66</v>
      </c>
      <c r="I23" s="6">
        <v>655.64</v>
      </c>
      <c r="J23" s="35" t="s">
        <v>162</v>
      </c>
      <c r="N23" s="29" t="s">
        <v>55</v>
      </c>
      <c r="O23" s="30">
        <f>SUMIFS(I20:I49,A20:A49,"Personnel")</f>
        <v>0</v>
      </c>
    </row>
    <row r="24" spans="1:15" ht="29.25" thickBot="1" x14ac:dyDescent="0.3">
      <c r="A24" s="3" t="s">
        <v>20</v>
      </c>
      <c r="B24" s="3">
        <v>2023</v>
      </c>
      <c r="C24" s="3" t="s">
        <v>25</v>
      </c>
      <c r="D24" s="3" t="s">
        <v>116</v>
      </c>
      <c r="E24" s="4" t="s">
        <v>119</v>
      </c>
      <c r="F24" s="3">
        <v>58531</v>
      </c>
      <c r="G24" s="3"/>
      <c r="H24" s="35" t="s">
        <v>66</v>
      </c>
      <c r="I24" s="6">
        <v>709.75</v>
      </c>
      <c r="J24" s="35" t="s">
        <v>162</v>
      </c>
      <c r="N24" s="31" t="s">
        <v>58</v>
      </c>
      <c r="O24" s="32">
        <f>O22+O23</f>
        <v>46101.36</v>
      </c>
    </row>
    <row r="25" spans="1:15" ht="28.5" x14ac:dyDescent="0.25">
      <c r="A25" s="3" t="s">
        <v>20</v>
      </c>
      <c r="B25" s="3">
        <v>2023</v>
      </c>
      <c r="C25" s="3" t="s">
        <v>25</v>
      </c>
      <c r="D25" s="3" t="s">
        <v>116</v>
      </c>
      <c r="E25" s="4" t="s">
        <v>120</v>
      </c>
      <c r="F25" s="3">
        <v>58389</v>
      </c>
      <c r="G25" s="3"/>
      <c r="H25" s="35" t="s">
        <v>65</v>
      </c>
      <c r="I25" s="6">
        <v>1793.86</v>
      </c>
      <c r="J25" s="35" t="s">
        <v>162</v>
      </c>
    </row>
    <row r="26" spans="1:15" ht="28.5" x14ac:dyDescent="0.25">
      <c r="A26" s="3" t="s">
        <v>20</v>
      </c>
      <c r="B26" s="3">
        <v>2023</v>
      </c>
      <c r="C26" s="3" t="s">
        <v>25</v>
      </c>
      <c r="D26" s="3" t="s">
        <v>117</v>
      </c>
      <c r="E26" s="4" t="s">
        <v>121</v>
      </c>
      <c r="F26" s="3">
        <v>58137</v>
      </c>
      <c r="G26" s="3"/>
      <c r="H26" s="35" t="s">
        <v>66</v>
      </c>
      <c r="I26" s="6">
        <v>1554.32</v>
      </c>
      <c r="J26" s="35" t="s">
        <v>661</v>
      </c>
    </row>
    <row r="27" spans="1:15" ht="28.5" x14ac:dyDescent="0.25">
      <c r="A27" s="3" t="s">
        <v>20</v>
      </c>
      <c r="B27" s="3">
        <v>2023</v>
      </c>
      <c r="C27" s="3" t="s">
        <v>25</v>
      </c>
      <c r="D27" s="3" t="s">
        <v>116</v>
      </c>
      <c r="E27" s="4" t="s">
        <v>389</v>
      </c>
      <c r="F27" s="3">
        <v>59028</v>
      </c>
      <c r="G27" s="3"/>
      <c r="H27" s="35" t="s">
        <v>66</v>
      </c>
      <c r="I27" s="6">
        <v>197.1</v>
      </c>
      <c r="J27" s="35" t="s">
        <v>162</v>
      </c>
    </row>
    <row r="28" spans="1:15" ht="42.75" x14ac:dyDescent="0.25">
      <c r="A28" s="3" t="s">
        <v>20</v>
      </c>
      <c r="B28" s="3">
        <v>2023</v>
      </c>
      <c r="C28" s="3" t="s">
        <v>25</v>
      </c>
      <c r="D28" s="3" t="s">
        <v>115</v>
      </c>
      <c r="E28" s="4" t="s">
        <v>122</v>
      </c>
      <c r="F28" s="3">
        <v>55205</v>
      </c>
      <c r="G28" s="3"/>
      <c r="H28" s="35" t="s">
        <v>65</v>
      </c>
      <c r="I28" s="6">
        <f>3767.76+11490.13</f>
        <v>15257.89</v>
      </c>
      <c r="J28" s="35" t="s">
        <v>162</v>
      </c>
    </row>
    <row r="29" spans="1:15" ht="28.5" x14ac:dyDescent="0.25">
      <c r="A29" s="3" t="s">
        <v>20</v>
      </c>
      <c r="B29" s="3">
        <v>2023</v>
      </c>
      <c r="C29" s="3" t="s">
        <v>25</v>
      </c>
      <c r="D29" s="3" t="s">
        <v>123</v>
      </c>
      <c r="E29" s="4" t="s">
        <v>124</v>
      </c>
      <c r="F29" s="3">
        <v>55344</v>
      </c>
      <c r="G29" s="3"/>
      <c r="H29" s="35" t="s">
        <v>65</v>
      </c>
      <c r="I29" s="6">
        <v>8148.44</v>
      </c>
      <c r="J29" s="35" t="s">
        <v>162</v>
      </c>
    </row>
    <row r="30" spans="1:15" x14ac:dyDescent="0.25">
      <c r="A30" s="3" t="s">
        <v>20</v>
      </c>
      <c r="B30" s="3">
        <v>2024</v>
      </c>
      <c r="C30" s="3" t="s">
        <v>24</v>
      </c>
      <c r="D30" s="3" t="s">
        <v>29</v>
      </c>
      <c r="E30" s="4" t="s">
        <v>673</v>
      </c>
      <c r="F30" s="3"/>
      <c r="G30" s="3" t="s">
        <v>674</v>
      </c>
      <c r="H30" s="35" t="s">
        <v>66</v>
      </c>
      <c r="I30" s="6">
        <v>1260</v>
      </c>
      <c r="J30" s="35" t="s">
        <v>162</v>
      </c>
    </row>
    <row r="31" spans="1:15" ht="28.5" x14ac:dyDescent="0.25">
      <c r="A31" s="3" t="s">
        <v>20</v>
      </c>
      <c r="B31" s="3">
        <v>2023</v>
      </c>
      <c r="C31" s="3" t="s">
        <v>25</v>
      </c>
      <c r="D31" s="3" t="s">
        <v>675</v>
      </c>
      <c r="E31" s="4" t="s">
        <v>676</v>
      </c>
      <c r="F31" s="3">
        <v>58638</v>
      </c>
      <c r="G31" s="3"/>
      <c r="H31" s="35" t="s">
        <v>66</v>
      </c>
      <c r="I31" s="6">
        <f>3003.66+55.7</f>
        <v>3059.3599999999997</v>
      </c>
      <c r="J31" s="35" t="s">
        <v>162</v>
      </c>
    </row>
    <row r="32" spans="1:15" x14ac:dyDescent="0.2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 x14ac:dyDescent="0.25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6"/>
      <c r="J34" s="35"/>
    </row>
    <row r="35" spans="1:10" x14ac:dyDescent="0.25">
      <c r="A35" s="3"/>
      <c r="B35" s="3"/>
      <c r="C35" s="3"/>
      <c r="D35" s="3"/>
      <c r="E35" s="3"/>
      <c r="F35" s="3"/>
      <c r="G35" s="3"/>
      <c r="H35" s="3"/>
      <c r="I35" s="6"/>
      <c r="J35" s="35"/>
    </row>
    <row r="36" spans="1:10" x14ac:dyDescent="0.25">
      <c r="A36" s="3"/>
      <c r="B36" s="3"/>
      <c r="C36" s="3"/>
      <c r="D36" s="3"/>
      <c r="E36" s="3"/>
      <c r="F36" s="3"/>
      <c r="G36" s="3"/>
      <c r="H36" s="3"/>
      <c r="I36" s="6"/>
      <c r="J36" s="35"/>
    </row>
    <row r="37" spans="1:10" x14ac:dyDescent="0.25">
      <c r="A37" s="3"/>
      <c r="B37" s="3"/>
      <c r="C37" s="3"/>
      <c r="D37" s="3"/>
      <c r="E37" s="3"/>
      <c r="F37" s="3"/>
      <c r="G37" s="3"/>
      <c r="H37" s="3"/>
      <c r="I37" s="6"/>
      <c r="J37" s="35"/>
    </row>
    <row r="38" spans="1:10" x14ac:dyDescent="0.25">
      <c r="A38" s="3"/>
      <c r="B38" s="3"/>
      <c r="C38" s="3"/>
      <c r="D38" s="3"/>
      <c r="E38" s="3"/>
      <c r="F38" s="3"/>
      <c r="G38" s="3"/>
      <c r="H38" s="3"/>
      <c r="I38" s="6"/>
      <c r="J38" s="35"/>
    </row>
    <row r="39" spans="1:10" x14ac:dyDescent="0.25">
      <c r="A39" s="3"/>
      <c r="B39" s="3"/>
      <c r="C39" s="3"/>
      <c r="D39" s="3"/>
      <c r="E39" s="3"/>
      <c r="F39" s="3"/>
      <c r="G39" s="3"/>
      <c r="H39" s="3"/>
      <c r="I39" s="6"/>
      <c r="J39" s="35"/>
    </row>
    <row r="40" spans="1:10" x14ac:dyDescent="0.25">
      <c r="A40" s="3"/>
      <c r="B40" s="3"/>
      <c r="C40" s="3"/>
      <c r="D40" s="3"/>
      <c r="E40" s="3"/>
      <c r="F40" s="3"/>
      <c r="G40" s="3"/>
      <c r="H40" s="3"/>
      <c r="I40" s="6"/>
      <c r="J40" s="35"/>
    </row>
    <row r="41" spans="1:10" x14ac:dyDescent="0.25">
      <c r="A41" s="3"/>
      <c r="B41" s="3"/>
      <c r="C41" s="3"/>
      <c r="D41" s="3"/>
      <c r="E41" s="3"/>
      <c r="F41" s="3"/>
      <c r="G41" s="3"/>
      <c r="H41" s="3"/>
      <c r="I41" s="6"/>
      <c r="J41" s="35"/>
    </row>
    <row r="42" spans="1:10" x14ac:dyDescent="0.25">
      <c r="A42" s="3"/>
      <c r="B42" s="3"/>
      <c r="C42" s="3"/>
      <c r="D42" s="3"/>
      <c r="E42" s="3"/>
      <c r="F42" s="3"/>
      <c r="G42" s="3"/>
      <c r="H42" s="3"/>
      <c r="I42" s="6"/>
      <c r="J42" s="35"/>
    </row>
    <row r="54" spans="2:3" ht="16.5" x14ac:dyDescent="0.3">
      <c r="B54" s="89" t="s">
        <v>20</v>
      </c>
      <c r="C54" s="89"/>
    </row>
    <row r="55" spans="2:3" ht="16.5" x14ac:dyDescent="0.3">
      <c r="B55" s="33" t="s">
        <v>58</v>
      </c>
      <c r="C55" s="34">
        <f>O22</f>
        <v>46101.36</v>
      </c>
    </row>
    <row r="56" spans="2:3" ht="16.5" x14ac:dyDescent="0.3">
      <c r="B56" s="33" t="s">
        <v>213</v>
      </c>
      <c r="C56" s="34">
        <f>F10</f>
        <v>3898.6399999999994</v>
      </c>
    </row>
    <row r="58" spans="2:3" ht="16.5" x14ac:dyDescent="0.3">
      <c r="B58" s="89" t="s">
        <v>22</v>
      </c>
      <c r="C58" s="89"/>
    </row>
    <row r="59" spans="2:3" ht="16.5" x14ac:dyDescent="0.3">
      <c r="B59" s="33" t="s">
        <v>58</v>
      </c>
      <c r="C59" s="34">
        <f>O23</f>
        <v>0</v>
      </c>
    </row>
    <row r="60" spans="2:3" ht="16.5" x14ac:dyDescent="0.3">
      <c r="B60" s="33" t="s">
        <v>213</v>
      </c>
      <c r="C60" s="34">
        <f>F11</f>
        <v>0</v>
      </c>
    </row>
  </sheetData>
  <autoFilter ref="A18:J29" xr:uid="{00000000-0009-0000-0000-000015000000}"/>
  <mergeCells count="4">
    <mergeCell ref="B5:G5"/>
    <mergeCell ref="C8:D8"/>
    <mergeCell ref="B54:C54"/>
    <mergeCell ref="B58:C58"/>
  </mergeCells>
  <conditionalFormatting sqref="F19:F26">
    <cfRule type="containsBlanks" dxfId="6" priority="4">
      <formula>LEN(TRIM(F19))=0</formula>
    </cfRule>
  </conditionalFormatting>
  <conditionalFormatting sqref="F30">
    <cfRule type="containsBlanks" dxfId="5" priority="1">
      <formula>LEN(TRIM(F30))=0</formula>
    </cfRule>
  </conditionalFormatting>
  <conditionalFormatting sqref="J1:J1048576">
    <cfRule type="containsText" dxfId="4" priority="2" operator="containsText" text="OK">
      <formula>NOT(ISERROR(SEARCH("OK",J1)))</formula>
    </cfRule>
  </conditionalFormatting>
  <pageMargins left="0.7" right="0.7" top="0.75" bottom="0.75" header="0.3" footer="0.3"/>
  <pageSetup paperSize="9" scale="30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1500-000000000000}">
          <x14:formula1>
            <xm:f>DATA!$H$6:$H$14</xm:f>
          </x14:formula1>
          <xm:sqref>H19</xm:sqref>
        </x14:dataValidation>
        <x14:dataValidation type="list" allowBlank="1" showInputMessage="1" showErrorMessage="1" xr:uid="{00000000-0002-0000-1500-000001000000}">
          <x14:formula1>
            <xm:f>DATA!$A$6:$A$8</xm:f>
          </x14:formula1>
          <xm:sqref>A19:A39</xm:sqref>
        </x14:dataValidation>
        <x14:dataValidation type="list" allowBlank="1" showInputMessage="1" showErrorMessage="1" xr:uid="{00000000-0002-0000-1500-000002000000}">
          <x14:formula1>
            <xm:f>DATA!$D$6:$D$11</xm:f>
          </x14:formula1>
          <xm:sqref>B19:B40</xm:sqref>
        </x14:dataValidation>
        <x14:dataValidation type="list" allowBlank="1" showInputMessage="1" showErrorMessage="1" xr:uid="{00000000-0002-0000-1500-000003000000}">
          <x14:formula1>
            <xm:f>DATA!$F$6:$F$9</xm:f>
          </x14:formula1>
          <xm:sqref>C19:C42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2"/>
  <sheetViews>
    <sheetView showGridLines="0" topLeftCell="A20" zoomScaleNormal="100" workbookViewId="0">
      <selection activeCell="J36" sqref="J36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style="59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45343</v>
      </c>
      <c r="D1" s="1"/>
      <c r="E1" s="1"/>
      <c r="F1" s="1"/>
      <c r="G1" s="1"/>
    </row>
    <row r="2" spans="1:7" ht="17.25" x14ac:dyDescent="0.35">
      <c r="A2" s="1"/>
      <c r="B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60</v>
      </c>
      <c r="D6" s="19"/>
      <c r="E6" s="20" t="s">
        <v>4</v>
      </c>
      <c r="F6" s="19">
        <v>3286</v>
      </c>
      <c r="G6" s="21"/>
    </row>
    <row r="7" spans="1:7" ht="17.25" x14ac:dyDescent="0.35">
      <c r="A7" s="1"/>
      <c r="B7" s="22"/>
      <c r="G7" s="12"/>
    </row>
    <row r="8" spans="1:7" ht="17.25" x14ac:dyDescent="0.35">
      <c r="A8" s="1"/>
      <c r="B8" s="24" t="s">
        <v>5</v>
      </c>
      <c r="C8" s="88" t="s">
        <v>61</v>
      </c>
      <c r="D8" s="88"/>
      <c r="E8" s="23" t="s">
        <v>56</v>
      </c>
      <c r="F8" s="41" t="s">
        <v>95</v>
      </c>
      <c r="G8" s="12"/>
    </row>
    <row r="9" spans="1:7" ht="17.25" x14ac:dyDescent="0.35">
      <c r="A9" s="1"/>
      <c r="B9" s="13" t="s">
        <v>7</v>
      </c>
      <c r="C9" s="40" t="s">
        <v>62</v>
      </c>
      <c r="D9" s="8"/>
      <c r="E9" s="9" t="s">
        <v>10</v>
      </c>
      <c r="F9" s="36">
        <f>C10-O25</f>
        <v>31711.45</v>
      </c>
      <c r="G9" s="12"/>
    </row>
    <row r="10" spans="1:7" ht="17.25" x14ac:dyDescent="0.35">
      <c r="A10" s="1"/>
      <c r="B10" s="13" t="s">
        <v>9</v>
      </c>
      <c r="C10" s="36">
        <v>47000</v>
      </c>
      <c r="D10" s="10"/>
      <c r="E10" s="11" t="s">
        <v>20</v>
      </c>
      <c r="F10" s="36">
        <f>C11-O23</f>
        <v>21711.45</v>
      </c>
      <c r="G10" s="12"/>
    </row>
    <row r="11" spans="1:7" ht="17.25" x14ac:dyDescent="0.35">
      <c r="A11" s="1"/>
      <c r="B11" s="14" t="s">
        <v>20</v>
      </c>
      <c r="C11" s="36">
        <v>37000</v>
      </c>
      <c r="D11" s="10"/>
      <c r="E11" s="11" t="s">
        <v>22</v>
      </c>
      <c r="F11" s="37">
        <f>C12-O24</f>
        <v>10000</v>
      </c>
      <c r="G11" s="12"/>
    </row>
    <row r="12" spans="1:7" ht="18" thickBot="1" x14ac:dyDescent="0.4">
      <c r="A12" s="1"/>
      <c r="B12" s="15" t="s">
        <v>22</v>
      </c>
      <c r="C12" s="38">
        <v>10000</v>
      </c>
      <c r="D12" s="16"/>
      <c r="E12" s="16"/>
      <c r="F12" s="16"/>
      <c r="G12" s="17"/>
    </row>
    <row r="18" spans="1:15" ht="28.5" x14ac:dyDescent="0.25">
      <c r="A18" s="5" t="s">
        <v>11</v>
      </c>
      <c r="B18" s="5" t="s">
        <v>12</v>
      </c>
      <c r="C18" s="5" t="s">
        <v>13</v>
      </c>
      <c r="D18" s="5" t="s">
        <v>14</v>
      </c>
      <c r="E18" s="5" t="s">
        <v>15</v>
      </c>
      <c r="F18" s="5" t="s">
        <v>16</v>
      </c>
      <c r="G18" s="5" t="s">
        <v>17</v>
      </c>
      <c r="H18" s="5" t="s">
        <v>18</v>
      </c>
      <c r="I18" s="5" t="s">
        <v>19</v>
      </c>
      <c r="J18" s="5" t="s">
        <v>59</v>
      </c>
    </row>
    <row r="19" spans="1:15" x14ac:dyDescent="0.25">
      <c r="A19" s="3" t="s">
        <v>20</v>
      </c>
      <c r="B19" s="3">
        <v>2022</v>
      </c>
      <c r="C19" s="3" t="s">
        <v>24</v>
      </c>
      <c r="D19" s="3" t="s">
        <v>29</v>
      </c>
      <c r="E19" s="4" t="s">
        <v>63</v>
      </c>
      <c r="F19" s="3"/>
      <c r="G19" s="3" t="s">
        <v>64</v>
      </c>
      <c r="H19" s="35" t="s">
        <v>73</v>
      </c>
      <c r="I19" s="6">
        <v>420</v>
      </c>
      <c r="J19" s="35" t="s">
        <v>162</v>
      </c>
    </row>
    <row r="20" spans="1:15" ht="42.75" x14ac:dyDescent="0.25">
      <c r="A20" s="3" t="s">
        <v>20</v>
      </c>
      <c r="B20" s="3">
        <v>2022</v>
      </c>
      <c r="C20" s="3" t="s">
        <v>25</v>
      </c>
      <c r="D20" s="3" t="s">
        <v>74</v>
      </c>
      <c r="E20" s="4" t="s">
        <v>75</v>
      </c>
      <c r="F20" s="69">
        <v>53332</v>
      </c>
      <c r="G20" s="7"/>
      <c r="H20" s="35" t="s">
        <v>67</v>
      </c>
      <c r="I20" s="6">
        <v>542.63</v>
      </c>
      <c r="J20" s="35" t="s">
        <v>162</v>
      </c>
    </row>
    <row r="21" spans="1:15" ht="28.5" x14ac:dyDescent="0.25">
      <c r="A21" s="3" t="s">
        <v>20</v>
      </c>
      <c r="B21" s="3">
        <v>2022</v>
      </c>
      <c r="C21" s="3" t="s">
        <v>25</v>
      </c>
      <c r="D21" s="3" t="s">
        <v>76</v>
      </c>
      <c r="E21" s="4" t="s">
        <v>98</v>
      </c>
      <c r="F21" s="69">
        <v>55602</v>
      </c>
      <c r="G21" s="7"/>
      <c r="H21" s="35" t="s">
        <v>66</v>
      </c>
      <c r="I21" s="6">
        <v>1394.7</v>
      </c>
      <c r="J21" s="35" t="s">
        <v>162</v>
      </c>
    </row>
    <row r="22" spans="1:15" ht="29.25" thickBot="1" x14ac:dyDescent="0.3">
      <c r="A22" s="3" t="s">
        <v>20</v>
      </c>
      <c r="B22" s="3">
        <v>2022</v>
      </c>
      <c r="C22" s="3" t="s">
        <v>25</v>
      </c>
      <c r="D22" s="3" t="s">
        <v>77</v>
      </c>
      <c r="E22" s="4" t="s">
        <v>99</v>
      </c>
      <c r="F22" s="69">
        <v>55513</v>
      </c>
      <c r="G22" s="7"/>
      <c r="H22" s="35" t="s">
        <v>66</v>
      </c>
      <c r="I22" s="6">
        <f>341.25+625.66</f>
        <v>966.91</v>
      </c>
      <c r="J22" s="35" t="s">
        <v>162</v>
      </c>
    </row>
    <row r="23" spans="1:15" ht="28.5" x14ac:dyDescent="0.25">
      <c r="A23" s="3" t="s">
        <v>20</v>
      </c>
      <c r="B23" s="3">
        <v>2022</v>
      </c>
      <c r="C23" s="3" t="s">
        <v>25</v>
      </c>
      <c r="D23" s="3" t="s">
        <v>74</v>
      </c>
      <c r="E23" s="4" t="s">
        <v>78</v>
      </c>
      <c r="F23" s="69">
        <v>55926</v>
      </c>
      <c r="G23" s="7"/>
      <c r="H23" s="35" t="s">
        <v>67</v>
      </c>
      <c r="I23" s="6">
        <f>180+459.55+0.1</f>
        <v>639.65</v>
      </c>
      <c r="J23" s="35" t="s">
        <v>162</v>
      </c>
      <c r="N23" s="27" t="s">
        <v>54</v>
      </c>
      <c r="O23" s="28">
        <f>SUMIFS(I19:I50,A19:A50,"Fonctionnement")</f>
        <v>15288.55</v>
      </c>
    </row>
    <row r="24" spans="1:15" ht="42.75" x14ac:dyDescent="0.25">
      <c r="A24" s="3" t="s">
        <v>20</v>
      </c>
      <c r="B24" s="3">
        <v>2022</v>
      </c>
      <c r="C24" s="3" t="s">
        <v>25</v>
      </c>
      <c r="D24" s="3" t="s">
        <v>46</v>
      </c>
      <c r="E24" s="4" t="s">
        <v>79</v>
      </c>
      <c r="F24" s="69">
        <v>56156</v>
      </c>
      <c r="G24" s="7"/>
      <c r="H24" s="35" t="s">
        <v>66</v>
      </c>
      <c r="I24" s="6">
        <v>416.62</v>
      </c>
      <c r="J24" s="35" t="s">
        <v>162</v>
      </c>
      <c r="N24" s="29" t="s">
        <v>55</v>
      </c>
      <c r="O24" s="30">
        <f>SUMIFS(I20:I51,A20:A51,"Personnel")</f>
        <v>0</v>
      </c>
    </row>
    <row r="25" spans="1:15" ht="29.25" thickBot="1" x14ac:dyDescent="0.3">
      <c r="A25" s="3" t="s">
        <v>20</v>
      </c>
      <c r="B25" s="3">
        <v>2023</v>
      </c>
      <c r="C25" s="3" t="s">
        <v>25</v>
      </c>
      <c r="D25" s="3" t="s">
        <v>80</v>
      </c>
      <c r="E25" s="4" t="s">
        <v>81</v>
      </c>
      <c r="F25" s="69">
        <v>56371</v>
      </c>
      <c r="G25" s="7"/>
      <c r="H25" s="35" t="s">
        <v>66</v>
      </c>
      <c r="I25" s="6">
        <v>2535.48</v>
      </c>
      <c r="J25" s="35" t="s">
        <v>162</v>
      </c>
      <c r="N25" s="31" t="s">
        <v>58</v>
      </c>
      <c r="O25" s="32">
        <f>O23+O24</f>
        <v>15288.55</v>
      </c>
    </row>
    <row r="26" spans="1:15" ht="28.5" x14ac:dyDescent="0.25">
      <c r="A26" s="3" t="s">
        <v>20</v>
      </c>
      <c r="B26" s="3">
        <v>2022</v>
      </c>
      <c r="C26" s="3" t="s">
        <v>25</v>
      </c>
      <c r="D26" s="3" t="s">
        <v>82</v>
      </c>
      <c r="E26" s="4" t="s">
        <v>83</v>
      </c>
      <c r="F26" s="69">
        <v>56293</v>
      </c>
      <c r="G26" s="7"/>
      <c r="H26" s="35" t="s">
        <v>66</v>
      </c>
      <c r="I26" s="6">
        <f>53.4+79.64+212.26</f>
        <v>345.29999999999995</v>
      </c>
      <c r="J26" s="35" t="s">
        <v>162</v>
      </c>
    </row>
    <row r="27" spans="1:15" ht="28.5" x14ac:dyDescent="0.25">
      <c r="A27" s="3" t="s">
        <v>20</v>
      </c>
      <c r="B27" s="3">
        <v>2023</v>
      </c>
      <c r="C27" s="3" t="s">
        <v>26</v>
      </c>
      <c r="D27" s="3" t="s">
        <v>84</v>
      </c>
      <c r="E27" s="4" t="s">
        <v>85</v>
      </c>
      <c r="F27" s="3"/>
      <c r="G27" s="3" t="s">
        <v>86</v>
      </c>
      <c r="H27" s="35" t="s">
        <v>65</v>
      </c>
      <c r="I27" s="6">
        <v>340.2</v>
      </c>
      <c r="J27" s="35" t="s">
        <v>162</v>
      </c>
    </row>
    <row r="28" spans="1:15" ht="28.5" x14ac:dyDescent="0.25">
      <c r="A28" s="3" t="s">
        <v>20</v>
      </c>
      <c r="B28" s="3">
        <v>2023</v>
      </c>
      <c r="C28" s="3" t="s">
        <v>26</v>
      </c>
      <c r="D28" s="3" t="s">
        <v>87</v>
      </c>
      <c r="E28" s="4" t="s">
        <v>85</v>
      </c>
      <c r="F28" s="7"/>
      <c r="G28" s="3" t="s">
        <v>88</v>
      </c>
      <c r="H28" s="35" t="s">
        <v>65</v>
      </c>
      <c r="I28" s="6">
        <v>340.2</v>
      </c>
      <c r="J28" s="35" t="s">
        <v>162</v>
      </c>
    </row>
    <row r="29" spans="1:15" ht="28.5" x14ac:dyDescent="0.25">
      <c r="A29" s="3" t="s">
        <v>20</v>
      </c>
      <c r="B29" s="3">
        <v>2023</v>
      </c>
      <c r="C29" s="3" t="s">
        <v>26</v>
      </c>
      <c r="D29" s="3" t="s">
        <v>84</v>
      </c>
      <c r="E29" s="4" t="s">
        <v>89</v>
      </c>
      <c r="F29" s="7"/>
      <c r="G29" s="3" t="s">
        <v>90</v>
      </c>
      <c r="H29" s="35" t="s">
        <v>65</v>
      </c>
      <c r="I29" s="6">
        <v>567</v>
      </c>
      <c r="J29" s="35" t="s">
        <v>162</v>
      </c>
    </row>
    <row r="30" spans="1:15" ht="28.5" x14ac:dyDescent="0.25">
      <c r="A30" s="3" t="s">
        <v>20</v>
      </c>
      <c r="B30" s="3">
        <v>2023</v>
      </c>
      <c r="C30" s="3" t="s">
        <v>26</v>
      </c>
      <c r="D30" s="3" t="s">
        <v>87</v>
      </c>
      <c r="E30" s="4" t="s">
        <v>89</v>
      </c>
      <c r="F30" s="7"/>
      <c r="G30" s="3" t="s">
        <v>91</v>
      </c>
      <c r="H30" s="35" t="s">
        <v>65</v>
      </c>
      <c r="I30" s="6">
        <v>567</v>
      </c>
      <c r="J30" s="35" t="s">
        <v>162</v>
      </c>
    </row>
    <row r="31" spans="1:15" ht="28.5" x14ac:dyDescent="0.25">
      <c r="A31" s="3" t="s">
        <v>20</v>
      </c>
      <c r="B31" s="3">
        <v>2023</v>
      </c>
      <c r="C31" s="3" t="s">
        <v>26</v>
      </c>
      <c r="D31" s="3" t="s">
        <v>84</v>
      </c>
      <c r="E31" s="4" t="s">
        <v>92</v>
      </c>
      <c r="F31" s="7"/>
      <c r="G31" s="3" t="s">
        <v>93</v>
      </c>
      <c r="H31" s="35" t="s">
        <v>65</v>
      </c>
      <c r="I31" s="6">
        <v>368.55</v>
      </c>
      <c r="J31" s="35" t="s">
        <v>162</v>
      </c>
    </row>
    <row r="32" spans="1:15" ht="28.5" x14ac:dyDescent="0.25">
      <c r="A32" s="3" t="s">
        <v>20</v>
      </c>
      <c r="B32" s="3">
        <v>2023</v>
      </c>
      <c r="C32" s="3" t="s">
        <v>26</v>
      </c>
      <c r="D32" s="3" t="s">
        <v>87</v>
      </c>
      <c r="E32" s="4" t="s">
        <v>92</v>
      </c>
      <c r="F32" s="7"/>
      <c r="G32" s="3" t="s">
        <v>94</v>
      </c>
      <c r="H32" s="35" t="s">
        <v>65</v>
      </c>
      <c r="I32" s="6">
        <v>368.55</v>
      </c>
      <c r="J32" s="35" t="s">
        <v>162</v>
      </c>
    </row>
    <row r="33" spans="1:10" ht="28.5" x14ac:dyDescent="0.25">
      <c r="A33" s="3" t="s">
        <v>20</v>
      </c>
      <c r="B33" s="3">
        <v>2023</v>
      </c>
      <c r="C33" s="3" t="s">
        <v>25</v>
      </c>
      <c r="D33" s="3" t="s">
        <v>96</v>
      </c>
      <c r="E33" s="4" t="s">
        <v>100</v>
      </c>
      <c r="F33" s="69">
        <v>58895</v>
      </c>
      <c r="G33" s="7"/>
      <c r="H33" s="35" t="s">
        <v>66</v>
      </c>
      <c r="I33" s="6">
        <v>0</v>
      </c>
      <c r="J33" s="35" t="s">
        <v>162</v>
      </c>
    </row>
    <row r="34" spans="1:10" ht="28.5" x14ac:dyDescent="0.25">
      <c r="A34" s="3" t="s">
        <v>20</v>
      </c>
      <c r="B34" s="3">
        <v>2023</v>
      </c>
      <c r="C34" s="3" t="s">
        <v>25</v>
      </c>
      <c r="D34" s="3" t="s">
        <v>97</v>
      </c>
      <c r="E34" s="4" t="s">
        <v>101</v>
      </c>
      <c r="F34" s="3">
        <v>59056</v>
      </c>
      <c r="G34" s="7"/>
      <c r="H34" s="35" t="s">
        <v>66</v>
      </c>
      <c r="I34" s="6">
        <v>261.68</v>
      </c>
      <c r="J34" s="71" t="s">
        <v>660</v>
      </c>
    </row>
    <row r="35" spans="1:10" ht="28.5" x14ac:dyDescent="0.25">
      <c r="A35" s="3" t="s">
        <v>20</v>
      </c>
      <c r="B35" s="3">
        <v>2023</v>
      </c>
      <c r="C35" s="3" t="s">
        <v>25</v>
      </c>
      <c r="D35" s="3" t="s">
        <v>76</v>
      </c>
      <c r="E35" s="4" t="s">
        <v>102</v>
      </c>
      <c r="F35" s="3">
        <v>58900</v>
      </c>
      <c r="G35" s="7"/>
      <c r="H35" s="35" t="s">
        <v>66</v>
      </c>
      <c r="I35" s="6">
        <v>731.66</v>
      </c>
      <c r="J35" s="35" t="s">
        <v>162</v>
      </c>
    </row>
    <row r="36" spans="1:10" ht="28.5" x14ac:dyDescent="0.25">
      <c r="A36" s="3" t="s">
        <v>20</v>
      </c>
      <c r="B36" s="3">
        <v>2023</v>
      </c>
      <c r="C36" s="3" t="s">
        <v>25</v>
      </c>
      <c r="D36" s="3" t="s">
        <v>390</v>
      </c>
      <c r="E36" s="4" t="s">
        <v>391</v>
      </c>
      <c r="F36" s="69">
        <v>59582</v>
      </c>
      <c r="G36" s="7"/>
      <c r="H36" s="35" t="s">
        <v>71</v>
      </c>
      <c r="I36" s="6">
        <v>277.39999999999998</v>
      </c>
      <c r="J36" s="35" t="s">
        <v>162</v>
      </c>
    </row>
    <row r="37" spans="1:10" ht="28.5" x14ac:dyDescent="0.25">
      <c r="A37" s="3" t="s">
        <v>20</v>
      </c>
      <c r="B37" s="3">
        <v>2023</v>
      </c>
      <c r="C37" s="3" t="s">
        <v>25</v>
      </c>
      <c r="D37" s="3" t="s">
        <v>392</v>
      </c>
      <c r="E37" s="4" t="s">
        <v>393</v>
      </c>
      <c r="F37" s="69">
        <v>59576</v>
      </c>
      <c r="G37" s="7"/>
      <c r="H37" s="35" t="s">
        <v>71</v>
      </c>
      <c r="I37" s="6">
        <v>0</v>
      </c>
      <c r="J37" s="35" t="s">
        <v>162</v>
      </c>
    </row>
    <row r="38" spans="1:10" ht="28.5" x14ac:dyDescent="0.25">
      <c r="A38" s="3" t="s">
        <v>20</v>
      </c>
      <c r="B38" s="3">
        <v>2023</v>
      </c>
      <c r="C38" s="3" t="s">
        <v>25</v>
      </c>
      <c r="D38" s="3" t="s">
        <v>394</v>
      </c>
      <c r="E38" s="4" t="s">
        <v>391</v>
      </c>
      <c r="F38" s="69">
        <v>59583</v>
      </c>
      <c r="G38" s="7"/>
      <c r="H38" s="35" t="s">
        <v>71</v>
      </c>
      <c r="I38" s="6">
        <v>0</v>
      </c>
      <c r="J38" s="35" t="s">
        <v>162</v>
      </c>
    </row>
    <row r="39" spans="1:10" ht="28.5" x14ac:dyDescent="0.25">
      <c r="A39" s="3" t="s">
        <v>20</v>
      </c>
      <c r="B39" s="3">
        <v>2023</v>
      </c>
      <c r="C39" s="3" t="s">
        <v>25</v>
      </c>
      <c r="D39" s="3" t="s">
        <v>395</v>
      </c>
      <c r="E39" s="4" t="s">
        <v>391</v>
      </c>
      <c r="F39" s="69">
        <v>59581</v>
      </c>
      <c r="G39" s="7"/>
      <c r="H39" s="35" t="s">
        <v>71</v>
      </c>
      <c r="I39" s="6">
        <v>0</v>
      </c>
      <c r="J39" s="35" t="s">
        <v>162</v>
      </c>
    </row>
    <row r="40" spans="1:10" ht="28.5" x14ac:dyDescent="0.25">
      <c r="A40" s="3" t="s">
        <v>20</v>
      </c>
      <c r="B40" s="3">
        <v>2023</v>
      </c>
      <c r="C40" s="3" t="s">
        <v>25</v>
      </c>
      <c r="D40" s="3" t="s">
        <v>396</v>
      </c>
      <c r="E40" s="4" t="s">
        <v>397</v>
      </c>
      <c r="F40" s="69">
        <v>59580</v>
      </c>
      <c r="G40" s="7"/>
      <c r="H40" s="35" t="s">
        <v>71</v>
      </c>
      <c r="I40" s="6">
        <v>258.39999999999998</v>
      </c>
      <c r="J40" s="35" t="s">
        <v>162</v>
      </c>
    </row>
    <row r="41" spans="1:10" ht="28.5" x14ac:dyDescent="0.25">
      <c r="A41" s="3" t="s">
        <v>20</v>
      </c>
      <c r="B41" s="3">
        <v>2023</v>
      </c>
      <c r="C41" s="3" t="s">
        <v>23</v>
      </c>
      <c r="D41" s="3" t="s">
        <v>415</v>
      </c>
      <c r="E41" s="4" t="s">
        <v>416</v>
      </c>
      <c r="F41" s="3"/>
      <c r="G41" s="3" t="s">
        <v>417</v>
      </c>
      <c r="H41" s="35" t="s">
        <v>71</v>
      </c>
      <c r="I41" s="6">
        <v>1571.52</v>
      </c>
      <c r="J41" s="35" t="s">
        <v>162</v>
      </c>
    </row>
    <row r="42" spans="1:10" ht="28.5" x14ac:dyDescent="0.25">
      <c r="A42" s="3" t="s">
        <v>20</v>
      </c>
      <c r="B42" s="3">
        <v>2024</v>
      </c>
      <c r="C42" s="3" t="s">
        <v>26</v>
      </c>
      <c r="D42" s="3" t="s">
        <v>584</v>
      </c>
      <c r="E42" s="4" t="s">
        <v>812</v>
      </c>
      <c r="F42" s="3"/>
      <c r="G42" s="3" t="s">
        <v>813</v>
      </c>
      <c r="H42" s="35" t="s">
        <v>65</v>
      </c>
      <c r="I42" s="6">
        <v>639.45000000000005</v>
      </c>
      <c r="J42" s="35" t="s">
        <v>162</v>
      </c>
    </row>
    <row r="43" spans="1:10" ht="28.5" x14ac:dyDescent="0.25">
      <c r="A43" s="3" t="s">
        <v>20</v>
      </c>
      <c r="B43" s="3">
        <v>2024</v>
      </c>
      <c r="C43" s="3" t="s">
        <v>26</v>
      </c>
      <c r="D43" s="3" t="s">
        <v>586</v>
      </c>
      <c r="E43" s="4" t="s">
        <v>812</v>
      </c>
      <c r="F43" s="3"/>
      <c r="G43" s="3" t="s">
        <v>814</v>
      </c>
      <c r="H43" s="3" t="s">
        <v>65</v>
      </c>
      <c r="I43" s="6">
        <v>639.45000000000005</v>
      </c>
      <c r="J43" s="35" t="s">
        <v>162</v>
      </c>
    </row>
    <row r="44" spans="1:10" ht="28.5" x14ac:dyDescent="0.25">
      <c r="A44" s="3" t="s">
        <v>20</v>
      </c>
      <c r="B44" s="3">
        <v>2024</v>
      </c>
      <c r="C44" s="3" t="s">
        <v>26</v>
      </c>
      <c r="D44" s="3" t="s">
        <v>584</v>
      </c>
      <c r="E44" s="4" t="s">
        <v>815</v>
      </c>
      <c r="F44" s="3"/>
      <c r="G44" s="3" t="s">
        <v>816</v>
      </c>
      <c r="H44" s="3" t="s">
        <v>65</v>
      </c>
      <c r="I44" s="6">
        <v>548.1</v>
      </c>
      <c r="J44" s="35" t="s">
        <v>162</v>
      </c>
    </row>
    <row r="45" spans="1:10" ht="28.5" x14ac:dyDescent="0.25">
      <c r="A45" s="3" t="s">
        <v>20</v>
      </c>
      <c r="B45" s="3">
        <v>2024</v>
      </c>
      <c r="C45" s="3" t="s">
        <v>26</v>
      </c>
      <c r="D45" s="3" t="s">
        <v>586</v>
      </c>
      <c r="E45" s="4" t="s">
        <v>815</v>
      </c>
      <c r="F45" s="3"/>
      <c r="G45" s="3" t="s">
        <v>817</v>
      </c>
      <c r="H45" s="3" t="s">
        <v>65</v>
      </c>
      <c r="I45" s="6">
        <v>548.1</v>
      </c>
      <c r="J45" s="35" t="s">
        <v>162</v>
      </c>
    </row>
    <row r="56" spans="2:3" ht="16.5" x14ac:dyDescent="0.3">
      <c r="B56" s="89" t="s">
        <v>20</v>
      </c>
      <c r="C56" s="89"/>
    </row>
    <row r="57" spans="2:3" ht="16.5" x14ac:dyDescent="0.3">
      <c r="B57" s="33" t="s">
        <v>58</v>
      </c>
      <c r="C57" s="34">
        <f>O23</f>
        <v>15288.55</v>
      </c>
    </row>
    <row r="58" spans="2:3" ht="16.5" x14ac:dyDescent="0.3">
      <c r="B58" s="33" t="s">
        <v>213</v>
      </c>
      <c r="C58" s="34">
        <f>F10</f>
        <v>21711.45</v>
      </c>
    </row>
    <row r="60" spans="2:3" ht="16.5" x14ac:dyDescent="0.3">
      <c r="B60" s="89" t="s">
        <v>22</v>
      </c>
      <c r="C60" s="89"/>
    </row>
    <row r="61" spans="2:3" ht="16.5" x14ac:dyDescent="0.3">
      <c r="B61" s="33" t="s">
        <v>58</v>
      </c>
      <c r="C61" s="34">
        <f>O24</f>
        <v>0</v>
      </c>
    </row>
    <row r="62" spans="2:3" ht="16.5" x14ac:dyDescent="0.3">
      <c r="B62" s="33" t="s">
        <v>213</v>
      </c>
      <c r="C62" s="34">
        <f>F11</f>
        <v>10000</v>
      </c>
    </row>
  </sheetData>
  <autoFilter ref="A18:J42" xr:uid="{00000000-0009-0000-0000-000016000000}"/>
  <mergeCells count="4">
    <mergeCell ref="B5:G5"/>
    <mergeCell ref="C8:D8"/>
    <mergeCell ref="B56:C56"/>
    <mergeCell ref="B60:C60"/>
  </mergeCells>
  <conditionalFormatting sqref="F19:F27">
    <cfRule type="containsBlanks" dxfId="3" priority="2">
      <formula>LEN(TRIM(F19))=0</formula>
    </cfRule>
  </conditionalFormatting>
  <conditionalFormatting sqref="J1:J1048576">
    <cfRule type="containsText" dxfId="2" priority="1" operator="containsText" text="OK">
      <formula>NOT(ISERROR(SEARCH("OK",J1)))</formula>
    </cfRule>
  </conditionalFormatting>
  <pageMargins left="0.7" right="0.7" top="0.75" bottom="0.75" header="0.3" footer="0.3"/>
  <pageSetup paperSize="9" scale="30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1600-000002000000}">
          <x14:formula1>
            <xm:f>DATA!$A$6:$A$8</xm:f>
          </x14:formula1>
          <xm:sqref>A19:A41</xm:sqref>
        </x14:dataValidation>
        <x14:dataValidation type="list" allowBlank="1" showInputMessage="1" showErrorMessage="1" xr:uid="{00000000-0002-0000-1600-000003000000}">
          <x14:formula1>
            <xm:f>DATA!$H$6:$H$14</xm:f>
          </x14:formula1>
          <xm:sqref>H19</xm:sqref>
        </x14:dataValidation>
        <x14:dataValidation type="list" allowBlank="1" showInputMessage="1" showErrorMessage="1" xr:uid="{00000000-0002-0000-1600-000000000000}">
          <x14:formula1>
            <xm:f>DATA!$F$6:$F$9</xm:f>
          </x14:formula1>
          <xm:sqref>C19:C41 C43:C45</xm:sqref>
        </x14:dataValidation>
        <x14:dataValidation type="list" allowBlank="1" showInputMessage="1" showErrorMessage="1" xr:uid="{00000000-0002-0000-1600-000001000000}">
          <x14:formula1>
            <xm:f>DATA!$D$6:$D$11</xm:f>
          </x14:formula1>
          <xm:sqref>B19:B41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filterMode="1"/>
  <dimension ref="A1:O62"/>
  <sheetViews>
    <sheetView showGridLines="0" zoomScale="75" zoomScaleNormal="140" workbookViewId="0">
      <selection activeCell="K34" sqref="K34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style="59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45345</v>
      </c>
      <c r="D1" s="1"/>
      <c r="E1" s="1"/>
      <c r="F1" s="1"/>
      <c r="G1" s="1"/>
    </row>
    <row r="2" spans="1:7" ht="17.25" x14ac:dyDescent="0.35">
      <c r="A2" s="1"/>
      <c r="B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3</v>
      </c>
      <c r="D6" s="19"/>
      <c r="E6" s="20" t="s">
        <v>4</v>
      </c>
      <c r="F6" s="19">
        <v>3300</v>
      </c>
      <c r="G6" s="21"/>
    </row>
    <row r="7" spans="1:7" ht="17.25" x14ac:dyDescent="0.35">
      <c r="A7" s="1"/>
      <c r="B7" s="22"/>
      <c r="G7" s="12"/>
    </row>
    <row r="8" spans="1:7" ht="34.5" x14ac:dyDescent="0.35">
      <c r="A8" s="1"/>
      <c r="B8" s="24" t="s">
        <v>5</v>
      </c>
      <c r="C8" s="88" t="s">
        <v>6</v>
      </c>
      <c r="D8" s="88"/>
      <c r="E8" s="23" t="s">
        <v>56</v>
      </c>
      <c r="F8" s="41" t="s">
        <v>57</v>
      </c>
      <c r="G8" s="12"/>
    </row>
    <row r="9" spans="1:7" ht="17.25" x14ac:dyDescent="0.35">
      <c r="A9" s="1"/>
      <c r="B9" s="13" t="s">
        <v>7</v>
      </c>
      <c r="C9" s="11" t="s">
        <v>8</v>
      </c>
      <c r="D9" s="10"/>
      <c r="E9" s="9" t="s">
        <v>10</v>
      </c>
      <c r="F9" s="36">
        <f>C10-O25</f>
        <v>685773.99</v>
      </c>
      <c r="G9" s="12"/>
    </row>
    <row r="10" spans="1:7" ht="17.25" x14ac:dyDescent="0.35">
      <c r="A10" s="1"/>
      <c r="B10" s="13" t="s">
        <v>9</v>
      </c>
      <c r="C10" s="36">
        <v>1105303</v>
      </c>
      <c r="D10" s="10"/>
      <c r="E10" s="11" t="s">
        <v>20</v>
      </c>
      <c r="F10" s="36">
        <f>C11-O23</f>
        <v>127688.92</v>
      </c>
      <c r="G10" s="12"/>
    </row>
    <row r="11" spans="1:7" ht="17.25" x14ac:dyDescent="0.35">
      <c r="A11" s="1"/>
      <c r="B11" s="14" t="s">
        <v>20</v>
      </c>
      <c r="C11" s="36">
        <v>155279.4</v>
      </c>
      <c r="D11" s="10"/>
      <c r="E11" s="11" t="s">
        <v>22</v>
      </c>
      <c r="F11" s="37">
        <f>C12-O24</f>
        <v>337024.47</v>
      </c>
      <c r="G11" s="12"/>
    </row>
    <row r="12" spans="1:7" ht="18" thickBot="1" x14ac:dyDescent="0.4">
      <c r="A12" s="1"/>
      <c r="B12" s="15" t="s">
        <v>22</v>
      </c>
      <c r="C12" s="38">
        <v>728963</v>
      </c>
      <c r="D12" s="16"/>
      <c r="E12" s="16"/>
      <c r="F12" s="16"/>
      <c r="G12" s="17"/>
    </row>
    <row r="18" spans="1:15" ht="28.5" x14ac:dyDescent="0.25">
      <c r="A18" s="5" t="s">
        <v>11</v>
      </c>
      <c r="B18" s="5" t="s">
        <v>12</v>
      </c>
      <c r="C18" s="5" t="s">
        <v>13</v>
      </c>
      <c r="D18" s="5" t="s">
        <v>14</v>
      </c>
      <c r="E18" s="5" t="s">
        <v>15</v>
      </c>
      <c r="F18" s="5" t="s">
        <v>16</v>
      </c>
      <c r="G18" s="5" t="s">
        <v>17</v>
      </c>
      <c r="H18" s="5" t="s">
        <v>18</v>
      </c>
      <c r="I18" s="5" t="s">
        <v>19</v>
      </c>
      <c r="J18" s="5" t="s">
        <v>59</v>
      </c>
    </row>
    <row r="19" spans="1:15" ht="28.5" x14ac:dyDescent="0.25">
      <c r="A19" s="3" t="s">
        <v>20</v>
      </c>
      <c r="B19" s="3">
        <v>2022</v>
      </c>
      <c r="C19" s="3" t="s">
        <v>23</v>
      </c>
      <c r="D19" s="3" t="s">
        <v>27</v>
      </c>
      <c r="E19" s="4" t="s">
        <v>28</v>
      </c>
      <c r="F19" s="3"/>
      <c r="G19" s="3" t="s">
        <v>289</v>
      </c>
      <c r="H19" s="7"/>
      <c r="I19" s="6">
        <v>129.74</v>
      </c>
      <c r="J19" s="35" t="s">
        <v>162</v>
      </c>
    </row>
    <row r="20" spans="1:15" ht="28.5" x14ac:dyDescent="0.25">
      <c r="A20" s="3" t="s">
        <v>20</v>
      </c>
      <c r="B20" s="3">
        <v>2023</v>
      </c>
      <c r="C20" s="3" t="s">
        <v>24</v>
      </c>
      <c r="D20" s="3" t="s">
        <v>29</v>
      </c>
      <c r="E20" s="4" t="s">
        <v>30</v>
      </c>
      <c r="F20" s="3"/>
      <c r="G20" s="3" t="s">
        <v>31</v>
      </c>
      <c r="H20" s="7"/>
      <c r="I20" s="6">
        <v>5334</v>
      </c>
      <c r="J20" s="35" t="s">
        <v>162</v>
      </c>
    </row>
    <row r="21" spans="1:15" ht="28.5" x14ac:dyDescent="0.25">
      <c r="A21" s="3" t="s">
        <v>20</v>
      </c>
      <c r="B21" s="3">
        <v>2023</v>
      </c>
      <c r="C21" s="3" t="s">
        <v>23</v>
      </c>
      <c r="D21" s="3" t="s">
        <v>27</v>
      </c>
      <c r="E21" s="4" t="s">
        <v>32</v>
      </c>
      <c r="F21" s="3"/>
      <c r="G21" s="3" t="s">
        <v>418</v>
      </c>
      <c r="H21" s="7"/>
      <c r="I21" s="6">
        <v>120.55</v>
      </c>
      <c r="J21" s="35"/>
      <c r="K21" t="s">
        <v>670</v>
      </c>
    </row>
    <row r="22" spans="1:15" ht="28.5" x14ac:dyDescent="0.25">
      <c r="A22" s="3" t="s">
        <v>20</v>
      </c>
      <c r="B22" s="3">
        <v>2023</v>
      </c>
      <c r="C22" s="3" t="s">
        <v>23</v>
      </c>
      <c r="D22" s="3" t="s">
        <v>33</v>
      </c>
      <c r="E22" s="4" t="s">
        <v>34</v>
      </c>
      <c r="F22" s="3"/>
      <c r="G22" s="3" t="s">
        <v>35</v>
      </c>
      <c r="H22" s="7"/>
      <c r="I22" s="6">
        <v>2291</v>
      </c>
      <c r="J22" s="35" t="s">
        <v>162</v>
      </c>
    </row>
    <row r="23" spans="1:15" ht="28.5" hidden="1" x14ac:dyDescent="0.25">
      <c r="A23" s="3" t="s">
        <v>22</v>
      </c>
      <c r="B23" s="3">
        <v>2022</v>
      </c>
      <c r="C23" s="3" t="s">
        <v>26</v>
      </c>
      <c r="D23" s="3" t="s">
        <v>36</v>
      </c>
      <c r="E23" s="4" t="s">
        <v>37</v>
      </c>
      <c r="F23" s="3"/>
      <c r="G23" s="7"/>
      <c r="H23" s="7"/>
      <c r="I23" s="6">
        <v>42028.53</v>
      </c>
      <c r="J23" s="35"/>
      <c r="N23" s="27" t="s">
        <v>54</v>
      </c>
      <c r="O23" s="28">
        <f>SUMIFS(I19:I50,A19:A50,"Fonctionnement")</f>
        <v>27590.48</v>
      </c>
    </row>
    <row r="24" spans="1:15" ht="42.75" hidden="1" x14ac:dyDescent="0.25">
      <c r="A24" s="3" t="s">
        <v>22</v>
      </c>
      <c r="B24" s="3">
        <v>2022</v>
      </c>
      <c r="C24" s="3" t="s">
        <v>26</v>
      </c>
      <c r="D24" s="3" t="s">
        <v>38</v>
      </c>
      <c r="E24" s="4" t="s">
        <v>39</v>
      </c>
      <c r="F24" s="3"/>
      <c r="G24" s="7"/>
      <c r="H24" s="7"/>
      <c r="I24" s="6">
        <v>128040</v>
      </c>
      <c r="J24" s="35"/>
      <c r="N24" s="29" t="s">
        <v>55</v>
      </c>
      <c r="O24" s="30">
        <f>SUMIFS(I20:I51,A20:A51,"Personnel")</f>
        <v>391938.53</v>
      </c>
    </row>
    <row r="25" spans="1:15" ht="29.25" hidden="1" thickBot="1" x14ac:dyDescent="0.3">
      <c r="A25" s="3" t="s">
        <v>22</v>
      </c>
      <c r="B25" s="3">
        <v>2023</v>
      </c>
      <c r="C25" s="3" t="s">
        <v>26</v>
      </c>
      <c r="D25" s="3" t="s">
        <v>40</v>
      </c>
      <c r="E25" s="4" t="s">
        <v>41</v>
      </c>
      <c r="F25" s="3"/>
      <c r="G25" s="7"/>
      <c r="H25" s="7"/>
      <c r="I25" s="6">
        <v>45940</v>
      </c>
      <c r="J25" s="35"/>
      <c r="N25" s="31" t="s">
        <v>58</v>
      </c>
      <c r="O25" s="32">
        <f>O23+O24</f>
        <v>419529.01</v>
      </c>
    </row>
    <row r="26" spans="1:15" ht="28.5" hidden="1" x14ac:dyDescent="0.25">
      <c r="A26" s="3" t="s">
        <v>22</v>
      </c>
      <c r="B26" s="3">
        <v>2022</v>
      </c>
      <c r="C26" s="3" t="s">
        <v>26</v>
      </c>
      <c r="D26" s="3" t="s">
        <v>42</v>
      </c>
      <c r="E26" s="4" t="s">
        <v>43</v>
      </c>
      <c r="F26" s="3"/>
      <c r="G26" s="7"/>
      <c r="H26" s="7"/>
      <c r="I26" s="6">
        <v>122900</v>
      </c>
      <c r="J26" s="35"/>
    </row>
    <row r="27" spans="1:15" ht="28.5" hidden="1" x14ac:dyDescent="0.25">
      <c r="A27" s="3" t="s">
        <v>22</v>
      </c>
      <c r="B27" s="3">
        <v>2023</v>
      </c>
      <c r="C27" s="3" t="s">
        <v>26</v>
      </c>
      <c r="D27" s="3" t="s">
        <v>44</v>
      </c>
      <c r="E27" s="4" t="s">
        <v>45</v>
      </c>
      <c r="F27" s="3"/>
      <c r="G27" s="7"/>
      <c r="H27" s="7"/>
      <c r="I27" s="6">
        <v>53030</v>
      </c>
      <c r="J27" s="35"/>
    </row>
    <row r="28" spans="1:15" ht="28.5" x14ac:dyDescent="0.25">
      <c r="A28" s="3" t="s">
        <v>20</v>
      </c>
      <c r="B28" s="3">
        <v>2023</v>
      </c>
      <c r="C28" s="3" t="s">
        <v>25</v>
      </c>
      <c r="D28" s="3" t="s">
        <v>46</v>
      </c>
      <c r="E28" s="4" t="s">
        <v>47</v>
      </c>
      <c r="F28" s="3">
        <v>56156</v>
      </c>
      <c r="G28" s="7"/>
      <c r="H28" s="7"/>
      <c r="I28" s="6">
        <v>193.17</v>
      </c>
      <c r="J28" s="35" t="s">
        <v>162</v>
      </c>
    </row>
    <row r="29" spans="1:15" ht="28.5" x14ac:dyDescent="0.25">
      <c r="A29" s="3" t="s">
        <v>20</v>
      </c>
      <c r="B29" s="3">
        <v>2023</v>
      </c>
      <c r="C29" s="3" t="s">
        <v>25</v>
      </c>
      <c r="D29" s="3" t="s">
        <v>42</v>
      </c>
      <c r="E29" s="4" t="s">
        <v>48</v>
      </c>
      <c r="F29" s="3">
        <v>57363</v>
      </c>
      <c r="G29" s="7"/>
      <c r="H29" s="7"/>
      <c r="I29" s="6">
        <v>136.52000000000001</v>
      </c>
      <c r="J29" s="35" t="s">
        <v>162</v>
      </c>
    </row>
    <row r="30" spans="1:15" ht="28.5" x14ac:dyDescent="0.25">
      <c r="A30" s="3" t="s">
        <v>20</v>
      </c>
      <c r="B30" s="3">
        <v>2023</v>
      </c>
      <c r="C30" s="3" t="s">
        <v>25</v>
      </c>
      <c r="D30" s="3" t="s">
        <v>42</v>
      </c>
      <c r="E30" s="4" t="s">
        <v>49</v>
      </c>
      <c r="F30" s="3">
        <v>56792</v>
      </c>
      <c r="G30" s="7"/>
      <c r="H30" s="7"/>
      <c r="I30" s="6">
        <f>555.53+295.15</f>
        <v>850.68</v>
      </c>
      <c r="J30" s="35" t="s">
        <v>162</v>
      </c>
    </row>
    <row r="31" spans="1:15" ht="28.5" x14ac:dyDescent="0.25">
      <c r="A31" s="3" t="s">
        <v>20</v>
      </c>
      <c r="B31" s="3">
        <v>2023</v>
      </c>
      <c r="C31" s="3" t="s">
        <v>25</v>
      </c>
      <c r="D31" s="3" t="s">
        <v>42</v>
      </c>
      <c r="E31" s="4" t="s">
        <v>50</v>
      </c>
      <c r="F31" s="3">
        <v>58412</v>
      </c>
      <c r="G31" s="7"/>
      <c r="H31" s="7"/>
      <c r="I31" s="6">
        <v>12083.14</v>
      </c>
      <c r="J31" s="35" t="s">
        <v>661</v>
      </c>
      <c r="K31" t="s">
        <v>669</v>
      </c>
    </row>
    <row r="32" spans="1:15" ht="28.5" x14ac:dyDescent="0.25">
      <c r="A32" s="3" t="s">
        <v>20</v>
      </c>
      <c r="B32" s="3">
        <v>2023</v>
      </c>
      <c r="C32" s="3" t="s">
        <v>25</v>
      </c>
      <c r="D32" s="3" t="s">
        <v>51</v>
      </c>
      <c r="E32" s="4" t="s">
        <v>52</v>
      </c>
      <c r="F32" s="3">
        <v>57375</v>
      </c>
      <c r="G32" s="7"/>
      <c r="H32" s="7"/>
      <c r="I32" s="6">
        <f>481.56+1043.87</f>
        <v>1525.4299999999998</v>
      </c>
      <c r="J32" s="35" t="s">
        <v>162</v>
      </c>
    </row>
    <row r="33" spans="1:10" ht="28.5" x14ac:dyDescent="0.25">
      <c r="A33" s="3" t="s">
        <v>20</v>
      </c>
      <c r="B33" s="3">
        <v>2023</v>
      </c>
      <c r="C33" s="3" t="s">
        <v>25</v>
      </c>
      <c r="D33" s="3" t="s">
        <v>51</v>
      </c>
      <c r="E33" s="4" t="s">
        <v>53</v>
      </c>
      <c r="F33" s="3">
        <v>59636</v>
      </c>
      <c r="G33" s="7"/>
      <c r="H33" s="7"/>
      <c r="I33" s="6">
        <v>1111.25</v>
      </c>
      <c r="J33" s="35" t="s">
        <v>162</v>
      </c>
    </row>
    <row r="34" spans="1:10" ht="28.5" x14ac:dyDescent="0.25">
      <c r="A34" s="3" t="s">
        <v>20</v>
      </c>
      <c r="B34" s="3">
        <v>2023</v>
      </c>
      <c r="C34" s="3" t="s">
        <v>24</v>
      </c>
      <c r="D34" s="3" t="s">
        <v>159</v>
      </c>
      <c r="E34" s="4" t="s">
        <v>160</v>
      </c>
      <c r="F34" s="7"/>
      <c r="G34" s="3" t="s">
        <v>161</v>
      </c>
      <c r="H34" s="7"/>
      <c r="I34" s="6">
        <v>3815</v>
      </c>
      <c r="J34" s="35" t="s">
        <v>162</v>
      </c>
    </row>
    <row r="35" spans="1:10" x14ac:dyDescent="0.25">
      <c r="A35" s="3"/>
      <c r="B35" s="3"/>
      <c r="C35" s="3"/>
      <c r="D35" s="3"/>
      <c r="E35" s="3"/>
      <c r="F35" s="3"/>
      <c r="G35" s="3"/>
      <c r="H35" s="3"/>
      <c r="I35" s="6"/>
      <c r="J35" s="35"/>
    </row>
    <row r="36" spans="1:10" x14ac:dyDescent="0.25">
      <c r="A36" s="3"/>
      <c r="B36" s="3"/>
      <c r="C36" s="3"/>
      <c r="D36" s="3"/>
      <c r="E36" s="3"/>
      <c r="F36" s="3"/>
      <c r="G36" s="3"/>
      <c r="H36" s="3"/>
      <c r="I36" s="6"/>
      <c r="J36" s="35"/>
    </row>
    <row r="37" spans="1:10" x14ac:dyDescent="0.25">
      <c r="A37" s="3"/>
      <c r="B37" s="3"/>
      <c r="C37" s="3"/>
      <c r="D37" s="3"/>
      <c r="E37" s="3"/>
      <c r="F37" s="3"/>
      <c r="G37" s="3"/>
      <c r="H37" s="3"/>
      <c r="I37" s="6"/>
      <c r="J37" s="35"/>
    </row>
    <row r="38" spans="1:10" x14ac:dyDescent="0.25">
      <c r="A38" s="3"/>
      <c r="B38" s="3"/>
      <c r="C38" s="3"/>
      <c r="D38" s="3"/>
      <c r="E38" s="3"/>
      <c r="F38" s="3"/>
      <c r="G38" s="3"/>
      <c r="H38" s="3"/>
      <c r="I38" s="6"/>
      <c r="J38" s="35"/>
    </row>
    <row r="39" spans="1:10" x14ac:dyDescent="0.25">
      <c r="A39" s="3"/>
      <c r="B39" s="3"/>
      <c r="C39" s="3"/>
      <c r="D39" s="3"/>
      <c r="E39" s="3"/>
      <c r="F39" s="3"/>
      <c r="G39" s="3"/>
      <c r="H39" s="3"/>
      <c r="I39" s="6"/>
      <c r="J39" s="35"/>
    </row>
    <row r="40" spans="1:10" x14ac:dyDescent="0.25">
      <c r="A40" s="3"/>
      <c r="B40" s="3"/>
      <c r="C40" s="3"/>
      <c r="D40" s="3"/>
      <c r="E40" s="3"/>
      <c r="F40" s="3"/>
      <c r="G40" s="3"/>
      <c r="H40" s="3"/>
      <c r="I40" s="6"/>
      <c r="J40" s="35"/>
    </row>
    <row r="41" spans="1:10" x14ac:dyDescent="0.25">
      <c r="A41" s="3"/>
      <c r="B41" s="3"/>
      <c r="C41" s="3"/>
      <c r="D41" s="3"/>
      <c r="E41" s="3"/>
      <c r="F41" s="3"/>
      <c r="G41" s="3"/>
      <c r="H41" s="3"/>
      <c r="I41" s="6"/>
      <c r="J41" s="35"/>
    </row>
    <row r="42" spans="1:10" x14ac:dyDescent="0.25">
      <c r="A42" s="3"/>
      <c r="B42" s="3"/>
      <c r="C42" s="3"/>
      <c r="D42" s="3"/>
      <c r="E42" s="3"/>
      <c r="F42" s="3"/>
      <c r="G42" s="3"/>
      <c r="H42" s="3"/>
      <c r="I42" s="6"/>
      <c r="J42" s="35"/>
    </row>
    <row r="43" spans="1:10" x14ac:dyDescent="0.25">
      <c r="A43" s="3"/>
      <c r="B43" s="3"/>
      <c r="C43" s="3"/>
      <c r="D43" s="3"/>
      <c r="E43" s="3"/>
      <c r="F43" s="3"/>
      <c r="G43" s="3"/>
      <c r="H43" s="3"/>
      <c r="I43" s="6"/>
      <c r="J43" s="35"/>
    </row>
    <row r="44" spans="1:10" x14ac:dyDescent="0.25">
      <c r="A44" s="3"/>
      <c r="B44" s="3"/>
      <c r="C44" s="3"/>
      <c r="D44" s="3"/>
      <c r="E44" s="3"/>
      <c r="F44" s="3"/>
      <c r="G44" s="3"/>
      <c r="H44" s="3"/>
      <c r="I44" s="6"/>
      <c r="J44" s="35"/>
    </row>
    <row r="56" spans="2:3" ht="16.5" x14ac:dyDescent="0.3">
      <c r="B56" s="89" t="s">
        <v>20</v>
      </c>
      <c r="C56" s="89"/>
    </row>
    <row r="57" spans="2:3" ht="16.5" x14ac:dyDescent="0.3">
      <c r="B57" s="33" t="s">
        <v>58</v>
      </c>
      <c r="C57" s="34">
        <f>O23</f>
        <v>27590.48</v>
      </c>
    </row>
    <row r="58" spans="2:3" ht="16.5" x14ac:dyDescent="0.3">
      <c r="B58" s="33" t="s">
        <v>213</v>
      </c>
      <c r="C58" s="34">
        <f>F10</f>
        <v>127688.92</v>
      </c>
    </row>
    <row r="60" spans="2:3" ht="16.5" x14ac:dyDescent="0.3">
      <c r="B60" s="89" t="s">
        <v>22</v>
      </c>
      <c r="C60" s="89"/>
    </row>
    <row r="61" spans="2:3" ht="16.5" x14ac:dyDescent="0.3">
      <c r="B61" s="33" t="s">
        <v>58</v>
      </c>
      <c r="C61" s="34">
        <f>O24</f>
        <v>391938.53</v>
      </c>
    </row>
    <row r="62" spans="2:3" ht="16.5" x14ac:dyDescent="0.3">
      <c r="B62" s="33" t="s">
        <v>213</v>
      </c>
      <c r="C62" s="34">
        <f>F11</f>
        <v>337024.47</v>
      </c>
    </row>
  </sheetData>
  <autoFilter ref="A18:J34" xr:uid="{00000000-0009-0000-0000-000017000000}">
    <filterColumn colId="0">
      <filters>
        <filter val="Fonctionnement"/>
      </filters>
    </filterColumn>
  </autoFilter>
  <mergeCells count="4">
    <mergeCell ref="B5:G5"/>
    <mergeCell ref="C8:D8"/>
    <mergeCell ref="B56:C56"/>
    <mergeCell ref="B60:C60"/>
  </mergeCells>
  <conditionalFormatting sqref="F19:F27">
    <cfRule type="containsBlanks" dxfId="1" priority="3">
      <formula>LEN(TRIM(F19))=0</formula>
    </cfRule>
  </conditionalFormatting>
  <conditionalFormatting sqref="J1:J1048576">
    <cfRule type="containsText" dxfId="0" priority="1" operator="containsText" text="OK">
      <formula>NOT(ISERROR(SEARCH("OK",J1)))</formula>
    </cfRule>
  </conditionalFormatting>
  <pageMargins left="0.7" right="0.7" top="0.75" bottom="0.75" header="0.3" footer="0.3"/>
  <pageSetup paperSize="9" scale="30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700-000000000000}">
          <x14:formula1>
            <xm:f>DATA!$A$6:$A$8</xm:f>
          </x14:formula1>
          <xm:sqref>A19:A41</xm:sqref>
        </x14:dataValidation>
        <x14:dataValidation type="list" allowBlank="1" showInputMessage="1" showErrorMessage="1" xr:uid="{00000000-0002-0000-1700-000001000000}">
          <x14:formula1>
            <xm:f>DATA!$D$6:$D$11</xm:f>
          </x14:formula1>
          <xm:sqref>B19:B42</xm:sqref>
        </x14:dataValidation>
        <x14:dataValidation type="list" allowBlank="1" showInputMessage="1" showErrorMessage="1" xr:uid="{00000000-0002-0000-1700-000002000000}">
          <x14:formula1>
            <xm:f>DATA!$F$6:$F$9</xm:f>
          </x14:formula1>
          <xm:sqref>C19:C44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3:H14"/>
  <sheetViews>
    <sheetView workbookViewId="0">
      <selection activeCell="D20" sqref="D20"/>
    </sheetView>
  </sheetViews>
  <sheetFormatPr baseColWidth="10" defaultRowHeight="15.75" x14ac:dyDescent="0.25"/>
  <sheetData>
    <row r="3" spans="1:8" ht="16.5" x14ac:dyDescent="0.3">
      <c r="D3" s="2">
        <v>2017</v>
      </c>
    </row>
    <row r="4" spans="1:8" ht="16.5" x14ac:dyDescent="0.3">
      <c r="D4" s="2">
        <v>2018</v>
      </c>
    </row>
    <row r="5" spans="1:8" ht="16.5" x14ac:dyDescent="0.3">
      <c r="D5" s="2">
        <v>2019</v>
      </c>
    </row>
    <row r="6" spans="1:8" ht="16.5" x14ac:dyDescent="0.3">
      <c r="A6" s="2" t="s">
        <v>20</v>
      </c>
      <c r="B6" s="2"/>
      <c r="C6" s="2"/>
      <c r="D6" s="2">
        <v>2020</v>
      </c>
      <c r="E6" s="2"/>
      <c r="F6" s="2" t="s">
        <v>23</v>
      </c>
      <c r="H6" s="2" t="s">
        <v>65</v>
      </c>
    </row>
    <row r="7" spans="1:8" ht="16.5" x14ac:dyDescent="0.3">
      <c r="A7" s="2" t="s">
        <v>21</v>
      </c>
      <c r="B7" s="2"/>
      <c r="C7" s="2"/>
      <c r="D7" s="2">
        <v>2021</v>
      </c>
      <c r="E7" s="2"/>
      <c r="F7" s="2" t="s">
        <v>24</v>
      </c>
      <c r="H7" s="2" t="s">
        <v>66</v>
      </c>
    </row>
    <row r="8" spans="1:8" ht="16.5" x14ac:dyDescent="0.3">
      <c r="A8" s="2" t="s">
        <v>22</v>
      </c>
      <c r="B8" s="2"/>
      <c r="C8" s="2"/>
      <c r="D8" s="2">
        <v>2022</v>
      </c>
      <c r="E8" s="2"/>
      <c r="F8" s="2" t="s">
        <v>25</v>
      </c>
      <c r="H8" s="2" t="s">
        <v>67</v>
      </c>
    </row>
    <row r="9" spans="1:8" ht="16.5" x14ac:dyDescent="0.3">
      <c r="A9" s="2"/>
      <c r="B9" s="2"/>
      <c r="C9" s="2"/>
      <c r="D9" s="2">
        <v>2023</v>
      </c>
      <c r="E9" s="2"/>
      <c r="F9" s="2" t="s">
        <v>26</v>
      </c>
      <c r="H9" s="2" t="s">
        <v>68</v>
      </c>
    </row>
    <row r="10" spans="1:8" ht="16.5" x14ac:dyDescent="0.3">
      <c r="A10" s="2"/>
      <c r="B10" s="2"/>
      <c r="C10" s="2"/>
      <c r="D10" s="2">
        <v>2024</v>
      </c>
      <c r="E10" s="2"/>
      <c r="F10" s="2"/>
      <c r="H10" s="2" t="s">
        <v>69</v>
      </c>
    </row>
    <row r="11" spans="1:8" ht="16.5" x14ac:dyDescent="0.3">
      <c r="A11" s="2"/>
      <c r="B11" s="2"/>
      <c r="C11" s="2"/>
      <c r="D11" s="2">
        <v>2025</v>
      </c>
      <c r="E11" s="2"/>
      <c r="F11" s="2"/>
      <c r="H11" s="2" t="s">
        <v>70</v>
      </c>
    </row>
    <row r="12" spans="1:8" ht="16.5" x14ac:dyDescent="0.3">
      <c r="H12" s="2" t="s">
        <v>71</v>
      </c>
    </row>
    <row r="13" spans="1:8" ht="16.5" x14ac:dyDescent="0.3">
      <c r="H13" s="2" t="s">
        <v>72</v>
      </c>
    </row>
    <row r="14" spans="1:8" ht="16.5" x14ac:dyDescent="0.3">
      <c r="H14" s="2" t="s">
        <v>73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FD1CE-6F70-4629-AA27-1D58EAF1125A}">
  <dimension ref="A1:O67"/>
  <sheetViews>
    <sheetView showGridLines="0" zoomScale="140" zoomScaleNormal="140" workbookViewId="0">
      <selection activeCell="O24" sqref="O24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style="59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45307</v>
      </c>
      <c r="D1" s="1"/>
      <c r="E1" s="1"/>
      <c r="F1" s="1"/>
      <c r="G1" s="1"/>
    </row>
    <row r="2" spans="1:7" ht="17.25" x14ac:dyDescent="0.35">
      <c r="A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818</v>
      </c>
      <c r="D6" s="19"/>
      <c r="E6" s="20" t="s">
        <v>4</v>
      </c>
      <c r="F6" s="19" t="s">
        <v>820</v>
      </c>
      <c r="G6" s="21"/>
    </row>
    <row r="7" spans="1:7" ht="17.25" x14ac:dyDescent="0.35">
      <c r="A7" s="1"/>
      <c r="B7" s="22"/>
      <c r="G7" s="12"/>
    </row>
    <row r="8" spans="1:7" ht="17.25" x14ac:dyDescent="0.35">
      <c r="A8" s="1"/>
      <c r="B8" s="24" t="s">
        <v>5</v>
      </c>
      <c r="C8" s="88" t="s">
        <v>407</v>
      </c>
      <c r="D8" s="88"/>
      <c r="E8" s="23" t="s">
        <v>56</v>
      </c>
      <c r="F8" s="41"/>
      <c r="G8" s="12"/>
    </row>
    <row r="9" spans="1:7" ht="17.25" x14ac:dyDescent="0.35">
      <c r="A9" s="1"/>
      <c r="B9" s="24" t="s">
        <v>7</v>
      </c>
      <c r="C9" s="39" t="s">
        <v>819</v>
      </c>
      <c r="D9" s="42"/>
      <c r="E9" s="9" t="s">
        <v>10</v>
      </c>
      <c r="F9" s="36">
        <f>C10-O27</f>
        <v>152685</v>
      </c>
      <c r="G9" s="12"/>
    </row>
    <row r="10" spans="1:7" ht="17.25" x14ac:dyDescent="0.35">
      <c r="A10" s="1"/>
      <c r="B10" s="13" t="s">
        <v>9</v>
      </c>
      <c r="C10" s="36">
        <v>158000</v>
      </c>
      <c r="D10" s="10"/>
      <c r="E10" s="11" t="s">
        <v>20</v>
      </c>
      <c r="F10" s="36">
        <f>C11-O24</f>
        <v>32685</v>
      </c>
      <c r="G10" s="12"/>
    </row>
    <row r="11" spans="1:7" ht="17.25" x14ac:dyDescent="0.35">
      <c r="A11" s="1"/>
      <c r="B11" s="14" t="s">
        <v>20</v>
      </c>
      <c r="C11" s="36">
        <v>38000</v>
      </c>
      <c r="D11" s="74" t="s">
        <v>823</v>
      </c>
      <c r="E11" s="11" t="s">
        <v>21</v>
      </c>
      <c r="F11" s="44">
        <f>C12-O25</f>
        <v>0</v>
      </c>
      <c r="G11" s="12"/>
    </row>
    <row r="12" spans="1:7" ht="17.25" x14ac:dyDescent="0.35">
      <c r="A12" s="1"/>
      <c r="B12" s="14" t="s">
        <v>21</v>
      </c>
      <c r="C12" s="36">
        <v>0</v>
      </c>
      <c r="D12" s="10"/>
      <c r="E12" s="11" t="s">
        <v>22</v>
      </c>
      <c r="F12" s="37">
        <f>C13-O26</f>
        <v>120000</v>
      </c>
      <c r="G12" s="12"/>
    </row>
    <row r="13" spans="1:7" ht="18" thickBot="1" x14ac:dyDescent="0.4">
      <c r="A13" s="1"/>
      <c r="B13" s="15" t="s">
        <v>22</v>
      </c>
      <c r="C13" s="38">
        <v>120000</v>
      </c>
      <c r="D13" s="16"/>
      <c r="E13" s="16"/>
      <c r="F13" s="16"/>
      <c r="G13" s="17"/>
    </row>
    <row r="19" spans="1:15" ht="28.5" x14ac:dyDescent="0.25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x14ac:dyDescent="0.25">
      <c r="A20" s="3" t="s">
        <v>20</v>
      </c>
      <c r="B20" s="3">
        <v>2024</v>
      </c>
      <c r="C20" s="3" t="s">
        <v>23</v>
      </c>
      <c r="D20" s="4" t="s">
        <v>29</v>
      </c>
      <c r="E20" s="4" t="s">
        <v>821</v>
      </c>
      <c r="F20" s="3"/>
      <c r="G20" s="3" t="s">
        <v>822</v>
      </c>
      <c r="H20" s="35"/>
      <c r="I20" s="6">
        <v>5315</v>
      </c>
      <c r="J20" s="35" t="s">
        <v>162</v>
      </c>
    </row>
    <row r="21" spans="1:15" x14ac:dyDescent="0.25">
      <c r="A21" s="3"/>
      <c r="B21" s="3"/>
      <c r="C21" s="3"/>
      <c r="D21" s="3"/>
      <c r="E21" s="4"/>
      <c r="F21" s="3"/>
      <c r="G21" s="3"/>
      <c r="H21" s="35"/>
      <c r="I21" s="6"/>
      <c r="J21" s="35"/>
    </row>
    <row r="22" spans="1:15" x14ac:dyDescent="0.25">
      <c r="A22" s="3"/>
      <c r="B22" s="3"/>
      <c r="C22" s="3"/>
      <c r="D22" s="3"/>
      <c r="E22" s="4"/>
      <c r="F22" s="3"/>
      <c r="G22" s="3"/>
      <c r="H22" s="35"/>
      <c r="I22" s="6"/>
      <c r="J22" s="35"/>
    </row>
    <row r="23" spans="1:15" ht="16.5" thickBot="1" x14ac:dyDescent="0.3">
      <c r="A23" s="3"/>
      <c r="B23" s="3"/>
      <c r="C23" s="3"/>
      <c r="D23" s="3"/>
      <c r="E23" s="4"/>
      <c r="F23" s="3"/>
      <c r="G23" s="3"/>
      <c r="H23" s="35"/>
      <c r="I23" s="6"/>
      <c r="J23" s="35"/>
    </row>
    <row r="24" spans="1:15" x14ac:dyDescent="0.25">
      <c r="A24" s="3"/>
      <c r="B24" s="3"/>
      <c r="C24" s="3"/>
      <c r="D24" s="3"/>
      <c r="E24" s="4"/>
      <c r="F24" s="3"/>
      <c r="G24" s="3"/>
      <c r="H24" s="35"/>
      <c r="I24" s="6"/>
      <c r="J24" s="35"/>
      <c r="N24" s="27" t="s">
        <v>54</v>
      </c>
      <c r="O24" s="28">
        <f>SUMIFS(I20:I51,A20:A51,"Fonctionnement")</f>
        <v>5315</v>
      </c>
    </row>
    <row r="25" spans="1:15" x14ac:dyDescent="0.25">
      <c r="A25" s="3"/>
      <c r="B25" s="3"/>
      <c r="C25" s="3"/>
      <c r="D25" s="3"/>
      <c r="E25" s="4"/>
      <c r="F25" s="3"/>
      <c r="G25" s="3"/>
      <c r="H25" s="35"/>
      <c r="I25" s="6"/>
      <c r="J25" s="35"/>
      <c r="N25" s="43" t="s">
        <v>128</v>
      </c>
      <c r="O25" s="30">
        <f>SUMIFS(I20:I51,A20:A51,"Investissement")</f>
        <v>0</v>
      </c>
    </row>
    <row r="26" spans="1:15" x14ac:dyDescent="0.25">
      <c r="A26" s="3"/>
      <c r="B26" s="3"/>
      <c r="C26" s="3"/>
      <c r="D26" s="3"/>
      <c r="E26" s="4"/>
      <c r="F26" s="3"/>
      <c r="G26" s="3"/>
      <c r="H26" s="35"/>
      <c r="I26" s="6"/>
      <c r="J26" s="35"/>
      <c r="N26" s="29" t="s">
        <v>55</v>
      </c>
      <c r="O26" s="30">
        <f>SUMIFS(I20:I52,A20:A52,"Personnel")</f>
        <v>0</v>
      </c>
    </row>
    <row r="27" spans="1:15" ht="16.5" thickBot="1" x14ac:dyDescent="0.3">
      <c r="A27" s="3"/>
      <c r="B27" s="3"/>
      <c r="C27" s="3"/>
      <c r="D27" s="3"/>
      <c r="E27" s="4"/>
      <c r="F27" s="3"/>
      <c r="G27" s="3"/>
      <c r="H27" s="35"/>
      <c r="I27" s="6"/>
      <c r="J27" s="35"/>
      <c r="N27" s="31" t="s">
        <v>58</v>
      </c>
      <c r="O27" s="32">
        <f>O24+O26</f>
        <v>5315</v>
      </c>
    </row>
    <row r="28" spans="1:15" x14ac:dyDescent="0.25">
      <c r="A28" s="3"/>
      <c r="B28" s="3"/>
      <c r="C28" s="3"/>
      <c r="D28" s="3"/>
      <c r="E28" s="4"/>
      <c r="F28" s="3"/>
      <c r="G28" s="3"/>
      <c r="H28" s="35"/>
      <c r="I28" s="6"/>
      <c r="J28" s="35"/>
    </row>
    <row r="29" spans="1:15" x14ac:dyDescent="0.25">
      <c r="A29" s="45"/>
      <c r="B29" s="3"/>
      <c r="C29" s="46"/>
      <c r="D29" s="46"/>
      <c r="E29" s="47"/>
      <c r="F29" s="3"/>
      <c r="G29" s="3"/>
      <c r="H29" s="35"/>
      <c r="I29" s="6"/>
      <c r="J29" s="35"/>
    </row>
    <row r="30" spans="1:15" x14ac:dyDescent="0.2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 x14ac:dyDescent="0.2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 x14ac:dyDescent="0.2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 x14ac:dyDescent="0.25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 x14ac:dyDescent="0.25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 x14ac:dyDescent="0.25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 x14ac:dyDescent="0.25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 x14ac:dyDescent="0.25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 x14ac:dyDescent="0.25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 x14ac:dyDescent="0.25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 x14ac:dyDescent="0.25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 x14ac:dyDescent="0.25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 x14ac:dyDescent="0.25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 x14ac:dyDescent="0.25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 x14ac:dyDescent="0.25">
      <c r="A44" s="3"/>
      <c r="B44" s="3"/>
      <c r="C44" s="3"/>
      <c r="D44" s="3"/>
      <c r="E44" s="4"/>
      <c r="F44" s="3"/>
      <c r="G44" s="3"/>
      <c r="H44" s="35"/>
      <c r="I44" s="6"/>
      <c r="J44" s="35"/>
    </row>
    <row r="45" spans="1:10" x14ac:dyDescent="0.25">
      <c r="A45" s="3"/>
      <c r="B45" s="3"/>
      <c r="C45" s="3"/>
      <c r="D45" s="3"/>
      <c r="E45" s="4"/>
      <c r="F45" s="3"/>
      <c r="G45" s="3"/>
      <c r="H45" s="35"/>
      <c r="I45" s="6"/>
      <c r="J45" s="35"/>
    </row>
    <row r="46" spans="1:10" x14ac:dyDescent="0.25">
      <c r="A46" s="3"/>
      <c r="B46" s="3"/>
      <c r="C46" s="3"/>
      <c r="D46" s="3"/>
      <c r="E46" s="4"/>
      <c r="F46" s="3"/>
      <c r="G46" s="3"/>
      <c r="H46" s="35"/>
      <c r="I46" s="6"/>
      <c r="J46" s="35"/>
    </row>
    <row r="47" spans="1:10" x14ac:dyDescent="0.25">
      <c r="A47" s="3"/>
      <c r="B47" s="3"/>
      <c r="C47" s="3"/>
      <c r="D47" s="3"/>
      <c r="E47" s="4"/>
      <c r="F47" s="3"/>
      <c r="G47" s="3"/>
      <c r="H47" s="35"/>
      <c r="I47" s="6"/>
      <c r="J47" s="35"/>
    </row>
    <row r="48" spans="1:10" x14ac:dyDescent="0.25">
      <c r="A48" s="3"/>
      <c r="B48" s="3"/>
      <c r="C48" s="3"/>
      <c r="D48" s="3"/>
      <c r="E48" s="4"/>
      <c r="F48" s="3"/>
      <c r="G48" s="3"/>
      <c r="H48" s="35"/>
      <c r="I48" s="6"/>
      <c r="J48" s="35"/>
    </row>
    <row r="49" spans="1:10" x14ac:dyDescent="0.25">
      <c r="A49" s="3"/>
      <c r="B49" s="3"/>
      <c r="C49" s="3"/>
      <c r="D49" s="3"/>
      <c r="E49" s="4"/>
      <c r="F49" s="3"/>
      <c r="G49" s="3"/>
      <c r="H49" s="35"/>
      <c r="I49" s="6"/>
      <c r="J49" s="35"/>
    </row>
    <row r="57" spans="1:10" ht="16.5" x14ac:dyDescent="0.3">
      <c r="B57" s="89" t="s">
        <v>20</v>
      </c>
      <c r="C57" s="89"/>
    </row>
    <row r="58" spans="1:10" ht="16.5" x14ac:dyDescent="0.3">
      <c r="B58" s="33" t="s">
        <v>58</v>
      </c>
      <c r="C58" s="34">
        <f>O24</f>
        <v>5315</v>
      </c>
    </row>
    <row r="59" spans="1:10" ht="16.5" x14ac:dyDescent="0.3">
      <c r="B59" s="33" t="s">
        <v>213</v>
      </c>
      <c r="C59" s="34">
        <f>F10</f>
        <v>32685</v>
      </c>
    </row>
    <row r="61" spans="1:10" ht="16.5" x14ac:dyDescent="0.3">
      <c r="B61" s="89" t="s">
        <v>22</v>
      </c>
      <c r="C61" s="89"/>
    </row>
    <row r="62" spans="1:10" ht="16.5" x14ac:dyDescent="0.3">
      <c r="B62" s="33" t="s">
        <v>58</v>
      </c>
      <c r="C62" s="34">
        <f>O26</f>
        <v>0</v>
      </c>
    </row>
    <row r="63" spans="1:10" ht="16.5" x14ac:dyDescent="0.3">
      <c r="B63" s="33" t="s">
        <v>213</v>
      </c>
      <c r="C63" s="34">
        <f>F12</f>
        <v>120000</v>
      </c>
    </row>
    <row r="65" spans="2:3" ht="16.5" x14ac:dyDescent="0.3">
      <c r="B65" s="89" t="s">
        <v>21</v>
      </c>
      <c r="C65" s="89"/>
    </row>
    <row r="66" spans="2:3" ht="16.5" x14ac:dyDescent="0.3">
      <c r="B66" s="33" t="s">
        <v>58</v>
      </c>
      <c r="C66" s="34">
        <f>O25</f>
        <v>0</v>
      </c>
    </row>
    <row r="67" spans="2:3" ht="16.5" x14ac:dyDescent="0.3">
      <c r="B67" s="33" t="s">
        <v>213</v>
      </c>
      <c r="C67" s="34">
        <f>F11</f>
        <v>0</v>
      </c>
    </row>
  </sheetData>
  <autoFilter ref="A19:J48" xr:uid="{00000000-0009-0000-0000-00000A000000}"/>
  <mergeCells count="5">
    <mergeCell ref="B5:G5"/>
    <mergeCell ref="C8:D8"/>
    <mergeCell ref="B57:C57"/>
    <mergeCell ref="B61:C61"/>
    <mergeCell ref="B65:C65"/>
  </mergeCells>
  <conditionalFormatting sqref="A40">
    <cfRule type="cellIs" dxfId="71" priority="2" operator="equal">
      <formula>"OK$J:$J"</formula>
    </cfRule>
  </conditionalFormatting>
  <conditionalFormatting sqref="F20:F28">
    <cfRule type="containsBlanks" dxfId="70" priority="3">
      <formula>LEN(TRIM(F20))=0</formula>
    </cfRule>
  </conditionalFormatting>
  <conditionalFormatting sqref="J1:J1048576">
    <cfRule type="containsText" dxfId="69" priority="1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DA425C6-906C-471F-82DE-DA2808E2E6F6}">
          <x14:formula1>
            <xm:f>DATA!$H$6:$H$14</xm:f>
          </x14:formula1>
          <xm:sqref>H20</xm:sqref>
        </x14:dataValidation>
        <x14:dataValidation type="list" allowBlank="1" showInputMessage="1" showErrorMessage="1" xr:uid="{ECA2CA84-B635-4A97-A6C5-7E8457458588}">
          <x14:formula1>
            <xm:f>DATA!$A$6:$A$8</xm:f>
          </x14:formula1>
          <xm:sqref>A20:A28 A30:A41 A49</xm:sqref>
        </x14:dataValidation>
        <x14:dataValidation type="list" allowBlank="1" showInputMessage="1" showErrorMessage="1" xr:uid="{9625294B-06CE-4E13-A5F1-00EE1A7AEA3E}">
          <x14:formula1>
            <xm:f>DATA!$D$6:$D$11</xm:f>
          </x14:formula1>
          <xm:sqref>B20:B49</xm:sqref>
        </x14:dataValidation>
        <x14:dataValidation type="list" allowBlank="1" showInputMessage="1" showErrorMessage="1" xr:uid="{337DBA94-D891-4AB4-B24E-DB8FAD4180CC}">
          <x14:formula1>
            <xm:f>DATA!$F$6:$F$9</xm:f>
          </x14:formula1>
          <xm:sqref>C20:C28 C30:C45 C49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6"/>
  <sheetViews>
    <sheetView showGridLines="0" zoomScale="140" zoomScaleNormal="140" workbookViewId="0">
      <selection activeCell="F9" sqref="F9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style="59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45313</v>
      </c>
      <c r="D1" s="1"/>
      <c r="E1" s="1"/>
      <c r="F1" s="1"/>
      <c r="G1" s="1"/>
    </row>
    <row r="2" spans="1:7" ht="17.25" x14ac:dyDescent="0.35">
      <c r="A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606</v>
      </c>
      <c r="D6" s="19"/>
      <c r="E6" s="20" t="s">
        <v>4</v>
      </c>
      <c r="F6" s="19" t="s">
        <v>605</v>
      </c>
      <c r="G6" s="21"/>
    </row>
    <row r="7" spans="1:7" ht="17.25" x14ac:dyDescent="0.35">
      <c r="A7" s="1"/>
      <c r="B7" s="22"/>
      <c r="G7" s="12"/>
    </row>
    <row r="8" spans="1:7" ht="17.25" x14ac:dyDescent="0.35">
      <c r="A8" s="1"/>
      <c r="B8" s="24" t="s">
        <v>5</v>
      </c>
      <c r="C8" s="88" t="s">
        <v>607</v>
      </c>
      <c r="D8" s="88"/>
      <c r="E8" s="23" t="s">
        <v>56</v>
      </c>
      <c r="F8" s="41"/>
      <c r="G8" s="12"/>
    </row>
    <row r="9" spans="1:7" ht="17.25" x14ac:dyDescent="0.35">
      <c r="A9" s="1"/>
      <c r="B9" s="24" t="s">
        <v>7</v>
      </c>
      <c r="C9" s="39" t="s">
        <v>608</v>
      </c>
      <c r="D9" s="42"/>
      <c r="E9" s="9" t="s">
        <v>10</v>
      </c>
      <c r="F9" s="36">
        <f>C10-O26</f>
        <v>-466.47999999999593</v>
      </c>
      <c r="G9" s="12"/>
    </row>
    <row r="10" spans="1:7" ht="17.25" x14ac:dyDescent="0.35">
      <c r="A10" s="1"/>
      <c r="B10" s="13" t="s">
        <v>9</v>
      </c>
      <c r="C10" s="36">
        <v>128673.52</v>
      </c>
      <c r="D10" s="10"/>
      <c r="E10" s="11" t="s">
        <v>20</v>
      </c>
      <c r="F10" s="36">
        <f>C11-O23</f>
        <v>0</v>
      </c>
      <c r="G10" s="12"/>
    </row>
    <row r="11" spans="1:7" ht="17.25" x14ac:dyDescent="0.35">
      <c r="A11" s="1"/>
      <c r="B11" s="14" t="s">
        <v>20</v>
      </c>
      <c r="C11" s="36">
        <v>0</v>
      </c>
      <c r="D11" s="10"/>
      <c r="E11" s="11" t="s">
        <v>21</v>
      </c>
      <c r="F11" s="44">
        <f>C12-O24</f>
        <v>0</v>
      </c>
      <c r="G11" s="12"/>
    </row>
    <row r="12" spans="1:7" ht="17.25" x14ac:dyDescent="0.35">
      <c r="A12" s="1"/>
      <c r="B12" s="14" t="s">
        <v>21</v>
      </c>
      <c r="C12" s="36">
        <v>0</v>
      </c>
      <c r="D12" s="10"/>
      <c r="E12" s="11" t="s">
        <v>22</v>
      </c>
      <c r="F12" s="37">
        <f>C13-O25</f>
        <v>-466.47999999999593</v>
      </c>
      <c r="G12" s="12"/>
    </row>
    <row r="13" spans="1:7" ht="18" thickBot="1" x14ac:dyDescent="0.4">
      <c r="A13" s="1"/>
      <c r="B13" s="15" t="s">
        <v>22</v>
      </c>
      <c r="C13" s="38">
        <v>128673.52</v>
      </c>
      <c r="D13" s="63"/>
      <c r="E13" s="16"/>
      <c r="F13" s="16"/>
      <c r="G13" s="17"/>
    </row>
    <row r="19" spans="1:15" ht="28.5" x14ac:dyDescent="0.25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28.5" x14ac:dyDescent="0.25">
      <c r="A20" s="3" t="s">
        <v>22</v>
      </c>
      <c r="B20" s="3">
        <v>2022</v>
      </c>
      <c r="C20" s="3" t="s">
        <v>26</v>
      </c>
      <c r="D20" s="3" t="s">
        <v>608</v>
      </c>
      <c r="E20" s="4" t="s">
        <v>609</v>
      </c>
      <c r="F20" s="3"/>
      <c r="G20" s="3"/>
      <c r="H20" s="35"/>
      <c r="I20" s="6">
        <v>129140</v>
      </c>
      <c r="J20" s="35" t="s">
        <v>162</v>
      </c>
    </row>
    <row r="21" spans="1:15" x14ac:dyDescent="0.25">
      <c r="A21" s="3"/>
      <c r="B21" s="3"/>
      <c r="C21" s="3"/>
      <c r="D21" s="3"/>
      <c r="E21" s="4"/>
      <c r="F21" s="3"/>
      <c r="G21" s="3"/>
      <c r="H21" s="35"/>
      <c r="I21" s="6"/>
      <c r="J21" s="35"/>
    </row>
    <row r="22" spans="1:15" ht="16.5" thickBot="1" x14ac:dyDescent="0.3">
      <c r="A22" s="3"/>
      <c r="B22" s="3"/>
      <c r="C22" s="3"/>
      <c r="D22" s="3"/>
      <c r="E22" s="4"/>
      <c r="F22" s="3"/>
      <c r="G22" s="3"/>
      <c r="H22" s="35"/>
      <c r="I22" s="6"/>
      <c r="J22" s="35"/>
    </row>
    <row r="23" spans="1:15" x14ac:dyDescent="0.25">
      <c r="A23" s="3"/>
      <c r="B23" s="3"/>
      <c r="C23" s="3"/>
      <c r="D23" s="3"/>
      <c r="E23" s="4"/>
      <c r="F23" s="3"/>
      <c r="G23" s="3"/>
      <c r="H23" s="35"/>
      <c r="I23" s="6"/>
      <c r="J23" s="35"/>
      <c r="N23" s="27" t="s">
        <v>54</v>
      </c>
      <c r="O23" s="28">
        <f>SUMIFS(I20:I50,A20:A50,"Fonctionnement")</f>
        <v>0</v>
      </c>
    </row>
    <row r="24" spans="1:15" x14ac:dyDescent="0.25">
      <c r="A24" s="3"/>
      <c r="B24" s="3"/>
      <c r="C24" s="3"/>
      <c r="D24" s="3"/>
      <c r="E24" s="4"/>
      <c r="F24" s="3"/>
      <c r="G24" s="3"/>
      <c r="H24" s="35"/>
      <c r="I24" s="6"/>
      <c r="J24" s="35"/>
      <c r="N24" s="43" t="s">
        <v>128</v>
      </c>
      <c r="O24" s="30">
        <f>SUMIFS(I20:I50,A20:A50,"Investissement")</f>
        <v>0</v>
      </c>
    </row>
    <row r="25" spans="1:15" x14ac:dyDescent="0.25">
      <c r="A25" s="3"/>
      <c r="B25" s="3"/>
      <c r="C25" s="3"/>
      <c r="D25" s="3"/>
      <c r="E25" s="4"/>
      <c r="F25" s="3"/>
      <c r="G25" s="3"/>
      <c r="H25" s="35"/>
      <c r="I25" s="6"/>
      <c r="J25" s="35"/>
      <c r="N25" s="29" t="s">
        <v>55</v>
      </c>
      <c r="O25" s="30">
        <f>SUMIFS(I20:I51,A20:A51,"Personnel")</f>
        <v>129140</v>
      </c>
    </row>
    <row r="26" spans="1:15" ht="16.5" thickBot="1" x14ac:dyDescent="0.3">
      <c r="A26" s="3"/>
      <c r="B26" s="3"/>
      <c r="C26" s="3"/>
      <c r="D26" s="3"/>
      <c r="E26" s="4"/>
      <c r="F26" s="3"/>
      <c r="G26" s="3"/>
      <c r="H26" s="35"/>
      <c r="I26" s="6"/>
      <c r="J26" s="35"/>
      <c r="N26" s="31" t="s">
        <v>58</v>
      </c>
      <c r="O26" s="32">
        <f>O23+O25</f>
        <v>129140</v>
      </c>
    </row>
    <row r="27" spans="1:15" x14ac:dyDescent="0.25">
      <c r="A27" s="3"/>
      <c r="B27" s="3"/>
      <c r="C27" s="3"/>
      <c r="D27" s="3"/>
      <c r="E27" s="4"/>
      <c r="F27" s="3"/>
      <c r="G27" s="3"/>
      <c r="H27" s="35"/>
      <c r="I27" s="6"/>
      <c r="J27" s="35"/>
    </row>
    <row r="28" spans="1:15" x14ac:dyDescent="0.25">
      <c r="A28" s="45"/>
      <c r="B28" s="3"/>
      <c r="C28" s="46"/>
      <c r="D28" s="46"/>
      <c r="E28" s="47"/>
      <c r="F28" s="3"/>
      <c r="G28" s="3"/>
      <c r="H28" s="35"/>
      <c r="I28" s="6"/>
      <c r="J28" s="35"/>
    </row>
    <row r="29" spans="1:15" x14ac:dyDescent="0.25">
      <c r="A29" s="3"/>
      <c r="B29" s="3"/>
      <c r="C29" s="3"/>
      <c r="D29" s="3"/>
      <c r="E29" s="4"/>
      <c r="F29" s="3"/>
      <c r="G29" s="3"/>
      <c r="H29" s="35"/>
      <c r="I29" s="6"/>
      <c r="J29" s="35"/>
    </row>
    <row r="30" spans="1:15" x14ac:dyDescent="0.2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 x14ac:dyDescent="0.2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 x14ac:dyDescent="0.2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 x14ac:dyDescent="0.25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 x14ac:dyDescent="0.25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 x14ac:dyDescent="0.25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 x14ac:dyDescent="0.25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 x14ac:dyDescent="0.25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 x14ac:dyDescent="0.25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 x14ac:dyDescent="0.25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 x14ac:dyDescent="0.25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 x14ac:dyDescent="0.25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 x14ac:dyDescent="0.25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 x14ac:dyDescent="0.25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 x14ac:dyDescent="0.25">
      <c r="A44" s="3"/>
      <c r="B44" s="3"/>
      <c r="C44" s="3"/>
      <c r="D44" s="3"/>
      <c r="E44" s="4"/>
      <c r="F44" s="3"/>
      <c r="G44" s="3"/>
      <c r="H44" s="35"/>
      <c r="I44" s="6"/>
      <c r="J44" s="35"/>
    </row>
    <row r="45" spans="1:10" x14ac:dyDescent="0.25">
      <c r="A45" s="3"/>
      <c r="B45" s="3"/>
      <c r="C45" s="3"/>
      <c r="D45" s="3"/>
      <c r="E45" s="4"/>
      <c r="F45" s="3"/>
      <c r="G45" s="3"/>
      <c r="H45" s="35"/>
      <c r="I45" s="6"/>
      <c r="J45" s="35"/>
    </row>
    <row r="46" spans="1:10" x14ac:dyDescent="0.25">
      <c r="A46" s="3"/>
      <c r="B46" s="3"/>
      <c r="C46" s="3"/>
      <c r="D46" s="3"/>
      <c r="E46" s="4"/>
      <c r="F46" s="3"/>
      <c r="G46" s="3"/>
      <c r="H46" s="35"/>
      <c r="I46" s="6"/>
      <c r="J46" s="35"/>
    </row>
    <row r="47" spans="1:10" x14ac:dyDescent="0.25">
      <c r="A47" s="3"/>
      <c r="B47" s="3"/>
      <c r="C47" s="3"/>
      <c r="D47" s="3"/>
      <c r="E47" s="4"/>
      <c r="F47" s="3"/>
      <c r="G47" s="3"/>
      <c r="H47" s="35"/>
      <c r="I47" s="6"/>
      <c r="J47" s="35"/>
    </row>
    <row r="48" spans="1:10" x14ac:dyDescent="0.25">
      <c r="A48" s="3"/>
      <c r="B48" s="3"/>
      <c r="C48" s="3"/>
      <c r="D48" s="3"/>
      <c r="E48" s="4"/>
      <c r="F48" s="3"/>
      <c r="G48" s="3"/>
      <c r="H48" s="35"/>
      <c r="I48" s="6"/>
      <c r="J48" s="35"/>
    </row>
    <row r="56" spans="2:3" ht="16.5" x14ac:dyDescent="0.3">
      <c r="B56" s="89" t="s">
        <v>20</v>
      </c>
      <c r="C56" s="89"/>
    </row>
    <row r="57" spans="2:3" ht="16.5" x14ac:dyDescent="0.3">
      <c r="B57" s="33" t="s">
        <v>58</v>
      </c>
      <c r="C57" s="34">
        <f>O23</f>
        <v>0</v>
      </c>
    </row>
    <row r="58" spans="2:3" ht="16.5" x14ac:dyDescent="0.3">
      <c r="B58" s="33" t="s">
        <v>213</v>
      </c>
      <c r="C58" s="34">
        <f>F10</f>
        <v>0</v>
      </c>
    </row>
    <row r="60" spans="2:3" ht="16.5" x14ac:dyDescent="0.3">
      <c r="B60" s="89" t="s">
        <v>22</v>
      </c>
      <c r="C60" s="89"/>
    </row>
    <row r="61" spans="2:3" ht="16.5" x14ac:dyDescent="0.3">
      <c r="B61" s="33" t="s">
        <v>58</v>
      </c>
      <c r="C61" s="34">
        <f>O25</f>
        <v>129140</v>
      </c>
    </row>
    <row r="62" spans="2:3" ht="16.5" x14ac:dyDescent="0.3">
      <c r="B62" s="33" t="s">
        <v>213</v>
      </c>
      <c r="C62" s="34">
        <f>F12</f>
        <v>-466.47999999999593</v>
      </c>
    </row>
    <row r="64" spans="2:3" ht="16.5" x14ac:dyDescent="0.3">
      <c r="B64" s="89" t="s">
        <v>21</v>
      </c>
      <c r="C64" s="89"/>
    </row>
    <row r="65" spans="2:3" ht="16.5" x14ac:dyDescent="0.3">
      <c r="B65" s="33" t="s">
        <v>58</v>
      </c>
      <c r="C65" s="34">
        <f>O24</f>
        <v>0</v>
      </c>
    </row>
    <row r="66" spans="2:3" ht="16.5" x14ac:dyDescent="0.3">
      <c r="B66" s="33" t="s">
        <v>213</v>
      </c>
      <c r="C66" s="34">
        <f>F11</f>
        <v>0</v>
      </c>
    </row>
  </sheetData>
  <autoFilter ref="A19:J47" xr:uid="{00000000-0009-0000-0000-000003000000}"/>
  <mergeCells count="5">
    <mergeCell ref="B5:G5"/>
    <mergeCell ref="C8:D8"/>
    <mergeCell ref="B56:C56"/>
    <mergeCell ref="B60:C60"/>
    <mergeCell ref="B64:C64"/>
  </mergeCells>
  <conditionalFormatting sqref="A39">
    <cfRule type="cellIs" dxfId="68" priority="4" operator="equal">
      <formula>"OK$J:$J"</formula>
    </cfRule>
  </conditionalFormatting>
  <conditionalFormatting sqref="F9">
    <cfRule type="cellIs" dxfId="67" priority="2" operator="lessThan">
      <formula>0</formula>
    </cfRule>
  </conditionalFormatting>
  <conditionalFormatting sqref="F12">
    <cfRule type="cellIs" dxfId="66" priority="1" operator="lessThan">
      <formula>0</formula>
    </cfRule>
  </conditionalFormatting>
  <conditionalFormatting sqref="F20:F27">
    <cfRule type="containsBlanks" dxfId="65" priority="5">
      <formula>LEN(TRIM(F20))=0</formula>
    </cfRule>
  </conditionalFormatting>
  <conditionalFormatting sqref="J1:J1048576">
    <cfRule type="containsText" dxfId="64" priority="3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DATA!$D$6:$D$11</xm:f>
          </x14:formula1>
          <xm:sqref>B20:B48</xm:sqref>
        </x14:dataValidation>
        <x14:dataValidation type="list" allowBlank="1" showInputMessage="1" showErrorMessage="1" xr:uid="{00000000-0002-0000-0300-000001000000}">
          <x14:formula1>
            <xm:f>DATA!$A$6:$A$8</xm:f>
          </x14:formula1>
          <xm:sqref>A29:A40 A48 A20:A27</xm:sqref>
        </x14:dataValidation>
        <x14:dataValidation type="list" allowBlank="1" showInputMessage="1" showErrorMessage="1" xr:uid="{00000000-0002-0000-0300-000002000000}">
          <x14:formula1>
            <xm:f>DATA!$F$6:$F$9</xm:f>
          </x14:formula1>
          <xm:sqref>C29:C44 C48 C20:C27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6"/>
  <sheetViews>
    <sheetView showGridLines="0" zoomScale="115" zoomScaleNormal="140" workbookViewId="0">
      <selection activeCell="D25" sqref="D25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style="59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45345</v>
      </c>
      <c r="D1" s="1"/>
      <c r="E1" s="1"/>
      <c r="F1" s="1"/>
      <c r="G1" s="1"/>
    </row>
    <row r="2" spans="1:7" ht="17.25" x14ac:dyDescent="0.35">
      <c r="A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599</v>
      </c>
      <c r="D6" s="19"/>
      <c r="E6" s="20" t="s">
        <v>4</v>
      </c>
      <c r="F6" s="19">
        <v>3491</v>
      </c>
      <c r="G6" s="21"/>
    </row>
    <row r="7" spans="1:7" ht="17.25" x14ac:dyDescent="0.35">
      <c r="A7" s="1"/>
      <c r="B7" s="22"/>
      <c r="G7" s="12"/>
    </row>
    <row r="8" spans="1:7" ht="34.5" x14ac:dyDescent="0.35">
      <c r="A8" s="1"/>
      <c r="B8" s="24" t="s">
        <v>5</v>
      </c>
      <c r="C8" s="88" t="s">
        <v>600</v>
      </c>
      <c r="D8" s="88"/>
      <c r="E8" s="23" t="s">
        <v>56</v>
      </c>
      <c r="F8" s="41" t="s">
        <v>604</v>
      </c>
      <c r="G8" s="12"/>
    </row>
    <row r="9" spans="1:7" ht="17.25" x14ac:dyDescent="0.35">
      <c r="A9" s="1"/>
      <c r="B9" s="24" t="s">
        <v>7</v>
      </c>
      <c r="C9" s="39" t="s">
        <v>601</v>
      </c>
      <c r="D9" s="42"/>
      <c r="E9" s="9" t="s">
        <v>10</v>
      </c>
      <c r="F9" s="36">
        <f>C10-O26</f>
        <v>1420.6100000000006</v>
      </c>
      <c r="G9" s="12"/>
    </row>
    <row r="10" spans="1:7" ht="17.25" x14ac:dyDescent="0.35">
      <c r="A10" s="1"/>
      <c r="B10" s="13" t="s">
        <v>9</v>
      </c>
      <c r="C10" s="36">
        <v>14300</v>
      </c>
      <c r="D10" s="10"/>
      <c r="E10" s="11" t="s">
        <v>20</v>
      </c>
      <c r="F10" s="36">
        <f>C11-O23</f>
        <v>0</v>
      </c>
      <c r="G10" s="12"/>
    </row>
    <row r="11" spans="1:7" ht="17.25" x14ac:dyDescent="0.35">
      <c r="A11" s="1"/>
      <c r="B11" s="14" t="s">
        <v>20</v>
      </c>
      <c r="C11" s="36">
        <v>0</v>
      </c>
      <c r="D11" s="10"/>
      <c r="E11" s="11" t="s">
        <v>21</v>
      </c>
      <c r="F11" s="44">
        <f>C12-O24</f>
        <v>0</v>
      </c>
      <c r="G11" s="12"/>
    </row>
    <row r="12" spans="1:7" ht="17.25" x14ac:dyDescent="0.35">
      <c r="A12" s="1"/>
      <c r="B12" s="14" t="s">
        <v>21</v>
      </c>
      <c r="C12" s="36">
        <v>0</v>
      </c>
      <c r="D12" s="10"/>
      <c r="E12" s="11" t="s">
        <v>22</v>
      </c>
      <c r="F12" s="37">
        <f>C13-O25</f>
        <v>1420.6100000000006</v>
      </c>
      <c r="G12" s="12"/>
    </row>
    <row r="13" spans="1:7" ht="18" thickBot="1" x14ac:dyDescent="0.4">
      <c r="A13" s="1"/>
      <c r="B13" s="15" t="s">
        <v>22</v>
      </c>
      <c r="C13" s="38">
        <v>14300</v>
      </c>
      <c r="D13" s="63"/>
      <c r="E13" s="16"/>
      <c r="F13" s="16"/>
      <c r="G13" s="17"/>
    </row>
    <row r="19" spans="1:15" ht="28.5" x14ac:dyDescent="0.25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28.5" x14ac:dyDescent="0.25">
      <c r="A20" s="3" t="s">
        <v>22</v>
      </c>
      <c r="B20" s="3">
        <v>2023</v>
      </c>
      <c r="C20" s="3" t="s">
        <v>26</v>
      </c>
      <c r="D20" s="3" t="s">
        <v>602</v>
      </c>
      <c r="E20" s="4" t="s">
        <v>603</v>
      </c>
      <c r="F20" s="3"/>
      <c r="G20" s="3"/>
      <c r="H20" s="35"/>
      <c r="I20" s="6">
        <v>9079.39</v>
      </c>
      <c r="J20" s="35" t="s">
        <v>162</v>
      </c>
    </row>
    <row r="21" spans="1:15" x14ac:dyDescent="0.25">
      <c r="A21" s="3" t="s">
        <v>22</v>
      </c>
      <c r="B21" s="3">
        <v>2023</v>
      </c>
      <c r="C21" s="3" t="s">
        <v>26</v>
      </c>
      <c r="D21" s="3" t="s">
        <v>602</v>
      </c>
      <c r="E21" s="4" t="s">
        <v>678</v>
      </c>
      <c r="F21" s="3"/>
      <c r="G21" s="3"/>
      <c r="H21" s="35"/>
      <c r="I21" s="6">
        <v>3000</v>
      </c>
      <c r="J21" s="35" t="s">
        <v>162</v>
      </c>
    </row>
    <row r="22" spans="1:15" ht="16.5" thickBot="1" x14ac:dyDescent="0.3">
      <c r="A22" s="3" t="s">
        <v>22</v>
      </c>
      <c r="B22" s="3">
        <v>2023</v>
      </c>
      <c r="C22" s="3" t="s">
        <v>26</v>
      </c>
      <c r="D22" s="3" t="s">
        <v>602</v>
      </c>
      <c r="E22" s="4" t="s">
        <v>679</v>
      </c>
      <c r="F22" s="3"/>
      <c r="G22" s="3"/>
      <c r="H22" s="35"/>
      <c r="I22" s="6">
        <v>800</v>
      </c>
      <c r="J22" s="35" t="s">
        <v>162</v>
      </c>
    </row>
    <row r="23" spans="1:15" x14ac:dyDescent="0.25">
      <c r="A23" s="3"/>
      <c r="B23" s="3"/>
      <c r="C23" s="3"/>
      <c r="D23" s="3"/>
      <c r="E23" s="4"/>
      <c r="F23" s="3"/>
      <c r="G23" s="3"/>
      <c r="H23" s="35"/>
      <c r="I23" s="6">
        <v>500</v>
      </c>
      <c r="J23" s="35" t="s">
        <v>162</v>
      </c>
      <c r="N23" s="27" t="s">
        <v>54</v>
      </c>
      <c r="O23" s="28">
        <f>SUMIFS(I20:I50,A20:A50,"Fonctionnement")</f>
        <v>0</v>
      </c>
    </row>
    <row r="24" spans="1:15" x14ac:dyDescent="0.25">
      <c r="A24" s="3"/>
      <c r="B24" s="3"/>
      <c r="C24" s="3"/>
      <c r="D24" s="3"/>
      <c r="E24" s="4"/>
      <c r="F24" s="3"/>
      <c r="G24" s="3"/>
      <c r="H24" s="35"/>
      <c r="I24" s="6"/>
      <c r="J24" s="35"/>
      <c r="N24" s="43" t="s">
        <v>128</v>
      </c>
      <c r="O24" s="30">
        <f>SUMIFS(I20:I50,A20:A50,"Investissement")</f>
        <v>0</v>
      </c>
    </row>
    <row r="25" spans="1:15" x14ac:dyDescent="0.25">
      <c r="A25" s="3"/>
      <c r="B25" s="3"/>
      <c r="C25" s="3"/>
      <c r="D25" s="3"/>
      <c r="E25" s="4"/>
      <c r="F25" s="3"/>
      <c r="G25" s="3"/>
      <c r="H25" s="35"/>
      <c r="I25" s="6"/>
      <c r="J25" s="35"/>
      <c r="N25" s="29" t="s">
        <v>55</v>
      </c>
      <c r="O25" s="30">
        <f>SUMIFS(I20:I51,A20:A51,"Personnel")</f>
        <v>12879.39</v>
      </c>
    </row>
    <row r="26" spans="1:15" ht="16.5" thickBot="1" x14ac:dyDescent="0.3">
      <c r="A26" s="3"/>
      <c r="B26" s="3"/>
      <c r="C26" s="3"/>
      <c r="D26" s="3"/>
      <c r="E26" s="4"/>
      <c r="F26" s="3"/>
      <c r="G26" s="3"/>
      <c r="H26" s="35"/>
      <c r="I26" s="6"/>
      <c r="J26" s="35"/>
      <c r="N26" s="31" t="s">
        <v>58</v>
      </c>
      <c r="O26" s="32">
        <f>O23+O25</f>
        <v>12879.39</v>
      </c>
    </row>
    <row r="27" spans="1:15" x14ac:dyDescent="0.25">
      <c r="A27" s="3"/>
      <c r="B27" s="3"/>
      <c r="C27" s="3"/>
      <c r="D27" s="3"/>
      <c r="E27" s="4"/>
      <c r="F27" s="3"/>
      <c r="G27" s="3"/>
      <c r="H27" s="35"/>
      <c r="I27" s="6"/>
      <c r="J27" s="35"/>
    </row>
    <row r="28" spans="1:15" x14ac:dyDescent="0.25">
      <c r="A28" s="45"/>
      <c r="B28" s="3"/>
      <c r="C28" s="46"/>
      <c r="D28" s="46"/>
      <c r="E28" s="47"/>
      <c r="F28" s="3"/>
      <c r="G28" s="3"/>
      <c r="H28" s="35"/>
      <c r="I28" s="6"/>
      <c r="J28" s="35"/>
    </row>
    <row r="29" spans="1:15" x14ac:dyDescent="0.25">
      <c r="A29" s="3"/>
      <c r="B29" s="3"/>
      <c r="C29" s="3"/>
      <c r="D29" s="3"/>
      <c r="E29" s="4"/>
      <c r="F29" s="3"/>
      <c r="G29" s="3"/>
      <c r="H29" s="35"/>
      <c r="I29" s="6"/>
      <c r="J29" s="35"/>
    </row>
    <row r="30" spans="1:15" x14ac:dyDescent="0.2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 x14ac:dyDescent="0.2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 x14ac:dyDescent="0.2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 x14ac:dyDescent="0.25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 x14ac:dyDescent="0.25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 x14ac:dyDescent="0.25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 x14ac:dyDescent="0.25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 x14ac:dyDescent="0.25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 x14ac:dyDescent="0.25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 x14ac:dyDescent="0.25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 x14ac:dyDescent="0.25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 x14ac:dyDescent="0.25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 x14ac:dyDescent="0.25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 x14ac:dyDescent="0.25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 x14ac:dyDescent="0.25">
      <c r="A44" s="3"/>
      <c r="B44" s="3"/>
      <c r="C44" s="3"/>
      <c r="D44" s="3"/>
      <c r="E44" s="4"/>
      <c r="F44" s="3"/>
      <c r="G44" s="3"/>
      <c r="H44" s="35"/>
      <c r="I44" s="6"/>
      <c r="J44" s="35"/>
    </row>
    <row r="45" spans="1:10" x14ac:dyDescent="0.25">
      <c r="A45" s="3"/>
      <c r="B45" s="3"/>
      <c r="C45" s="3"/>
      <c r="D45" s="3"/>
      <c r="E45" s="4"/>
      <c r="F45" s="3"/>
      <c r="G45" s="3"/>
      <c r="H45" s="35"/>
      <c r="I45" s="6"/>
      <c r="J45" s="35"/>
    </row>
    <row r="46" spans="1:10" x14ac:dyDescent="0.25">
      <c r="A46" s="3"/>
      <c r="B46" s="3"/>
      <c r="C46" s="3"/>
      <c r="D46" s="3"/>
      <c r="E46" s="4"/>
      <c r="F46" s="3"/>
      <c r="G46" s="3"/>
      <c r="H46" s="35"/>
      <c r="I46" s="6"/>
      <c r="J46" s="35"/>
    </row>
    <row r="47" spans="1:10" x14ac:dyDescent="0.25">
      <c r="A47" s="3"/>
      <c r="B47" s="3"/>
      <c r="C47" s="3"/>
      <c r="D47" s="3"/>
      <c r="E47" s="4"/>
      <c r="F47" s="3"/>
      <c r="G47" s="3"/>
      <c r="H47" s="35"/>
      <c r="I47" s="6"/>
      <c r="J47" s="35"/>
    </row>
    <row r="48" spans="1:10" x14ac:dyDescent="0.25">
      <c r="A48" s="3"/>
      <c r="B48" s="3"/>
      <c r="C48" s="3"/>
      <c r="D48" s="3"/>
      <c r="E48" s="4"/>
      <c r="F48" s="3"/>
      <c r="G48" s="3"/>
      <c r="H48" s="35"/>
      <c r="I48" s="6"/>
      <c r="J48" s="35"/>
    </row>
    <row r="56" spans="2:3" ht="16.5" x14ac:dyDescent="0.3">
      <c r="B56" s="89" t="s">
        <v>20</v>
      </c>
      <c r="C56" s="89"/>
    </row>
    <row r="57" spans="2:3" ht="16.5" x14ac:dyDescent="0.3">
      <c r="B57" s="33" t="s">
        <v>58</v>
      </c>
      <c r="C57" s="34">
        <f>O23</f>
        <v>0</v>
      </c>
    </row>
    <row r="58" spans="2:3" ht="16.5" x14ac:dyDescent="0.3">
      <c r="B58" s="33" t="s">
        <v>213</v>
      </c>
      <c r="C58" s="34">
        <f>F10</f>
        <v>0</v>
      </c>
    </row>
    <row r="60" spans="2:3" ht="16.5" x14ac:dyDescent="0.3">
      <c r="B60" s="89" t="s">
        <v>22</v>
      </c>
      <c r="C60" s="89"/>
    </row>
    <row r="61" spans="2:3" ht="16.5" x14ac:dyDescent="0.3">
      <c r="B61" s="33" t="s">
        <v>58</v>
      </c>
      <c r="C61" s="34">
        <f>O25</f>
        <v>12879.39</v>
      </c>
    </row>
    <row r="62" spans="2:3" ht="16.5" x14ac:dyDescent="0.3">
      <c r="B62" s="33" t="s">
        <v>213</v>
      </c>
      <c r="C62" s="34">
        <f>F12</f>
        <v>1420.6100000000006</v>
      </c>
    </row>
    <row r="64" spans="2:3" ht="16.5" x14ac:dyDescent="0.3">
      <c r="B64" s="89" t="s">
        <v>21</v>
      </c>
      <c r="C64" s="89"/>
    </row>
    <row r="65" spans="2:3" ht="16.5" x14ac:dyDescent="0.3">
      <c r="B65" s="33" t="s">
        <v>58</v>
      </c>
      <c r="C65" s="34">
        <f>O24</f>
        <v>0</v>
      </c>
    </row>
    <row r="66" spans="2:3" ht="16.5" x14ac:dyDescent="0.3">
      <c r="B66" s="33" t="s">
        <v>213</v>
      </c>
      <c r="C66" s="34">
        <f>F11</f>
        <v>0</v>
      </c>
    </row>
  </sheetData>
  <autoFilter ref="A19:J47" xr:uid="{00000000-0009-0000-0000-000004000000}"/>
  <mergeCells count="5">
    <mergeCell ref="B5:G5"/>
    <mergeCell ref="C8:D8"/>
    <mergeCell ref="B56:C56"/>
    <mergeCell ref="B60:C60"/>
    <mergeCell ref="B64:C64"/>
  </mergeCells>
  <conditionalFormatting sqref="A39">
    <cfRule type="cellIs" dxfId="63" priority="2" operator="equal">
      <formula>"OK$J:$J"</formula>
    </cfRule>
  </conditionalFormatting>
  <conditionalFormatting sqref="F20:F27">
    <cfRule type="containsBlanks" dxfId="62" priority="3">
      <formula>LEN(TRIM(F20))=0</formula>
    </cfRule>
  </conditionalFormatting>
  <conditionalFormatting sqref="J1:J1048576">
    <cfRule type="containsText" dxfId="61" priority="1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DATA!$F$6:$F$9</xm:f>
          </x14:formula1>
          <xm:sqref>C29:C44 C48 C20:C27</xm:sqref>
        </x14:dataValidation>
        <x14:dataValidation type="list" allowBlank="1" showInputMessage="1" showErrorMessage="1" xr:uid="{00000000-0002-0000-0400-000001000000}">
          <x14:formula1>
            <xm:f>DATA!$A$6:$A$8</xm:f>
          </x14:formula1>
          <xm:sqref>A29:A40 A48 A20:A27</xm:sqref>
        </x14:dataValidation>
        <x14:dataValidation type="list" allowBlank="1" showInputMessage="1" showErrorMessage="1" xr:uid="{00000000-0002-0000-0400-000002000000}">
          <x14:formula1>
            <xm:f>DATA!$D$6:$D$11</xm:f>
          </x14:formula1>
          <xm:sqref>B20:B48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6"/>
  <sheetViews>
    <sheetView showGridLines="0" zoomScale="99" zoomScaleNormal="140" workbookViewId="0">
      <selection activeCell="E22" sqref="E22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style="59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45345</v>
      </c>
      <c r="D1" s="1"/>
      <c r="E1" s="1"/>
      <c r="F1" s="1"/>
      <c r="G1" s="1"/>
    </row>
    <row r="2" spans="1:7" ht="17.25" x14ac:dyDescent="0.35">
      <c r="A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597</v>
      </c>
      <c r="D6" s="19"/>
      <c r="E6" s="20" t="s">
        <v>4</v>
      </c>
      <c r="F6" s="19">
        <v>3325</v>
      </c>
      <c r="G6" s="21"/>
    </row>
    <row r="7" spans="1:7" ht="17.25" x14ac:dyDescent="0.35">
      <c r="A7" s="1"/>
      <c r="B7" s="22"/>
      <c r="G7" s="12"/>
    </row>
    <row r="8" spans="1:7" ht="51.75" x14ac:dyDescent="0.35">
      <c r="A8" s="1"/>
      <c r="B8" s="24" t="s">
        <v>5</v>
      </c>
      <c r="C8" s="88" t="s">
        <v>598</v>
      </c>
      <c r="D8" s="88"/>
      <c r="E8" s="23" t="s">
        <v>56</v>
      </c>
      <c r="F8" s="41" t="s">
        <v>596</v>
      </c>
      <c r="G8" s="12"/>
    </row>
    <row r="9" spans="1:7" ht="17.25" x14ac:dyDescent="0.35">
      <c r="A9" s="1"/>
      <c r="B9" s="24" t="s">
        <v>7</v>
      </c>
      <c r="C9" s="39"/>
      <c r="D9" s="42"/>
      <c r="E9" s="9" t="s">
        <v>10</v>
      </c>
      <c r="F9" s="36">
        <f>C10-O26</f>
        <v>0</v>
      </c>
      <c r="G9" s="12"/>
    </row>
    <row r="10" spans="1:7" ht="17.25" x14ac:dyDescent="0.35">
      <c r="A10" s="1"/>
      <c r="B10" s="13" t="s">
        <v>9</v>
      </c>
      <c r="C10" s="36">
        <f>C11+C13</f>
        <v>37369.46</v>
      </c>
      <c r="D10" s="10"/>
      <c r="E10" s="11" t="s">
        <v>20</v>
      </c>
      <c r="F10" s="36">
        <f>C11-O23</f>
        <v>0</v>
      </c>
      <c r="G10" s="12"/>
    </row>
    <row r="11" spans="1:7" ht="17.25" x14ac:dyDescent="0.35">
      <c r="A11" s="1"/>
      <c r="B11" s="14" t="s">
        <v>20</v>
      </c>
      <c r="C11" s="36">
        <v>1871.21</v>
      </c>
      <c r="D11" s="10"/>
      <c r="E11" s="11" t="s">
        <v>21</v>
      </c>
      <c r="F11" s="44">
        <f>C12-O24</f>
        <v>0</v>
      </c>
      <c r="G11" s="12"/>
    </row>
    <row r="12" spans="1:7" ht="17.25" x14ac:dyDescent="0.35">
      <c r="A12" s="1"/>
      <c r="B12" s="14" t="s">
        <v>21</v>
      </c>
      <c r="C12" s="36">
        <v>0</v>
      </c>
      <c r="D12" s="10"/>
      <c r="E12" s="11" t="s">
        <v>22</v>
      </c>
      <c r="F12" s="37">
        <f>C13-O25</f>
        <v>0</v>
      </c>
      <c r="G12" s="12"/>
    </row>
    <row r="13" spans="1:7" ht="18" thickBot="1" x14ac:dyDescent="0.4">
      <c r="A13" s="1"/>
      <c r="B13" s="15" t="s">
        <v>22</v>
      </c>
      <c r="C13" s="38">
        <v>35498.25</v>
      </c>
      <c r="D13" s="63"/>
      <c r="E13" s="16"/>
      <c r="F13" s="16"/>
      <c r="G13" s="17"/>
    </row>
    <row r="19" spans="1:15" ht="28.5" x14ac:dyDescent="0.25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28.5" x14ac:dyDescent="0.25">
      <c r="A20" s="3" t="s">
        <v>22</v>
      </c>
      <c r="B20" s="3">
        <v>2022</v>
      </c>
      <c r="C20" s="3" t="s">
        <v>26</v>
      </c>
      <c r="D20" s="3" t="s">
        <v>283</v>
      </c>
      <c r="E20" s="4" t="s">
        <v>595</v>
      </c>
      <c r="F20" s="3"/>
      <c r="G20" s="3"/>
      <c r="H20" s="35"/>
      <c r="I20" s="6">
        <v>35498.25</v>
      </c>
      <c r="J20" s="35" t="s">
        <v>162</v>
      </c>
    </row>
    <row r="21" spans="1:15" x14ac:dyDescent="0.25">
      <c r="A21" s="3" t="s">
        <v>20</v>
      </c>
      <c r="B21" s="3">
        <v>2022</v>
      </c>
      <c r="C21" s="3" t="s">
        <v>24</v>
      </c>
      <c r="D21" s="3" t="s">
        <v>596</v>
      </c>
      <c r="E21" s="4" t="s">
        <v>671</v>
      </c>
      <c r="F21" s="3"/>
      <c r="G21" s="3" t="s">
        <v>672</v>
      </c>
      <c r="H21" s="35"/>
      <c r="I21" s="6">
        <v>1871.21</v>
      </c>
      <c r="J21" s="35" t="s">
        <v>162</v>
      </c>
    </row>
    <row r="22" spans="1:15" ht="16.5" thickBot="1" x14ac:dyDescent="0.3">
      <c r="A22" s="3"/>
      <c r="B22" s="3"/>
      <c r="C22" s="3"/>
      <c r="D22" s="3"/>
      <c r="E22" s="4"/>
      <c r="F22" s="3"/>
      <c r="G22" s="3"/>
      <c r="H22" s="35"/>
      <c r="I22" s="6"/>
      <c r="J22" s="35"/>
    </row>
    <row r="23" spans="1:15" x14ac:dyDescent="0.25">
      <c r="A23" s="3"/>
      <c r="B23" s="3"/>
      <c r="C23" s="3"/>
      <c r="D23" s="3"/>
      <c r="E23" s="4"/>
      <c r="F23" s="3"/>
      <c r="G23" s="3"/>
      <c r="H23" s="35"/>
      <c r="I23" s="6"/>
      <c r="J23" s="35"/>
      <c r="N23" s="27" t="s">
        <v>54</v>
      </c>
      <c r="O23" s="28">
        <f>SUMIFS(I20:I50,A20:A50,"Fonctionnement")</f>
        <v>1871.21</v>
      </c>
    </row>
    <row r="24" spans="1:15" x14ac:dyDescent="0.25">
      <c r="A24" s="3"/>
      <c r="B24" s="3"/>
      <c r="C24" s="3"/>
      <c r="D24" s="3"/>
      <c r="E24" s="4"/>
      <c r="F24" s="3"/>
      <c r="G24" s="3"/>
      <c r="H24" s="35"/>
      <c r="I24" s="6"/>
      <c r="J24" s="35"/>
      <c r="N24" s="43" t="s">
        <v>128</v>
      </c>
      <c r="O24" s="30">
        <f>SUMIFS(I20:I50,A20:A50,"Investissement")</f>
        <v>0</v>
      </c>
    </row>
    <row r="25" spans="1:15" x14ac:dyDescent="0.25">
      <c r="A25" s="3"/>
      <c r="B25" s="3"/>
      <c r="C25" s="3"/>
      <c r="D25" s="3"/>
      <c r="E25" s="4"/>
      <c r="F25" s="3"/>
      <c r="G25" s="3"/>
      <c r="H25" s="35"/>
      <c r="I25" s="6"/>
      <c r="J25" s="35"/>
      <c r="N25" s="29" t="s">
        <v>55</v>
      </c>
      <c r="O25" s="30">
        <f>SUMIFS(I20:I51,A20:A51,"Personnel")</f>
        <v>35498.25</v>
      </c>
    </row>
    <row r="26" spans="1:15" ht="16.5" thickBot="1" x14ac:dyDescent="0.3">
      <c r="A26" s="3"/>
      <c r="B26" s="3"/>
      <c r="C26" s="3"/>
      <c r="D26" s="3"/>
      <c r="E26" s="4"/>
      <c r="F26" s="3"/>
      <c r="G26" s="3"/>
      <c r="H26" s="35"/>
      <c r="I26" s="6"/>
      <c r="J26" s="35"/>
      <c r="N26" s="31" t="s">
        <v>58</v>
      </c>
      <c r="O26" s="32">
        <f>O23+O25</f>
        <v>37369.46</v>
      </c>
    </row>
    <row r="27" spans="1:15" x14ac:dyDescent="0.25">
      <c r="A27" s="3"/>
      <c r="B27" s="3"/>
      <c r="C27" s="3"/>
      <c r="D27" s="3"/>
      <c r="E27" s="4"/>
      <c r="F27" s="3"/>
      <c r="G27" s="3"/>
      <c r="H27" s="35"/>
      <c r="I27" s="6"/>
      <c r="J27" s="35"/>
    </row>
    <row r="28" spans="1:15" x14ac:dyDescent="0.25">
      <c r="A28" s="45"/>
      <c r="B28" s="3"/>
      <c r="C28" s="46"/>
      <c r="D28" s="46"/>
      <c r="E28" s="47"/>
      <c r="F28" s="3"/>
      <c r="G28" s="3"/>
      <c r="H28" s="35"/>
      <c r="I28" s="6"/>
      <c r="J28" s="35"/>
    </row>
    <row r="29" spans="1:15" x14ac:dyDescent="0.25">
      <c r="A29" s="3"/>
      <c r="B29" s="3"/>
      <c r="C29" s="3"/>
      <c r="D29" s="3"/>
      <c r="E29" s="4"/>
      <c r="F29" s="3"/>
      <c r="G29" s="3"/>
      <c r="H29" s="35"/>
      <c r="I29" s="6"/>
      <c r="J29" s="35"/>
    </row>
    <row r="30" spans="1:15" x14ac:dyDescent="0.2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 x14ac:dyDescent="0.2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 x14ac:dyDescent="0.2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 x14ac:dyDescent="0.25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 x14ac:dyDescent="0.25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 x14ac:dyDescent="0.25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 x14ac:dyDescent="0.25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 x14ac:dyDescent="0.25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 x14ac:dyDescent="0.25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 x14ac:dyDescent="0.25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 x14ac:dyDescent="0.25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 x14ac:dyDescent="0.25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 x14ac:dyDescent="0.25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 x14ac:dyDescent="0.25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 x14ac:dyDescent="0.25">
      <c r="A44" s="3"/>
      <c r="B44" s="3"/>
      <c r="C44" s="3"/>
      <c r="D44" s="3"/>
      <c r="E44" s="4"/>
      <c r="F44" s="3"/>
      <c r="G44" s="3"/>
      <c r="H44" s="35"/>
      <c r="I44" s="6"/>
      <c r="J44" s="35"/>
    </row>
    <row r="45" spans="1:10" x14ac:dyDescent="0.25">
      <c r="A45" s="3"/>
      <c r="B45" s="3"/>
      <c r="C45" s="3"/>
      <c r="D45" s="3"/>
      <c r="E45" s="4"/>
      <c r="F45" s="3"/>
      <c r="G45" s="3"/>
      <c r="H45" s="35"/>
      <c r="I45" s="6"/>
      <c r="J45" s="35"/>
    </row>
    <row r="46" spans="1:10" x14ac:dyDescent="0.25">
      <c r="A46" s="3"/>
      <c r="B46" s="3"/>
      <c r="C46" s="3"/>
      <c r="D46" s="3"/>
      <c r="E46" s="4"/>
      <c r="F46" s="3"/>
      <c r="G46" s="3"/>
      <c r="H46" s="35"/>
      <c r="I46" s="6"/>
      <c r="J46" s="35"/>
    </row>
    <row r="47" spans="1:10" x14ac:dyDescent="0.25">
      <c r="A47" s="3"/>
      <c r="B47" s="3"/>
      <c r="C47" s="3"/>
      <c r="D47" s="3"/>
      <c r="E47" s="4"/>
      <c r="F47" s="3"/>
      <c r="G47" s="3"/>
      <c r="H47" s="35"/>
      <c r="I47" s="6"/>
      <c r="J47" s="35"/>
    </row>
    <row r="48" spans="1:10" x14ac:dyDescent="0.25">
      <c r="A48" s="3"/>
      <c r="B48" s="3"/>
      <c r="C48" s="3"/>
      <c r="D48" s="3"/>
      <c r="E48" s="4"/>
      <c r="F48" s="3"/>
      <c r="G48" s="3"/>
      <c r="H48" s="35"/>
      <c r="I48" s="6"/>
      <c r="J48" s="35"/>
    </row>
    <row r="56" spans="2:3" ht="16.5" x14ac:dyDescent="0.3">
      <c r="B56" s="89" t="s">
        <v>20</v>
      </c>
      <c r="C56" s="89"/>
    </row>
    <row r="57" spans="2:3" ht="16.5" x14ac:dyDescent="0.3">
      <c r="B57" s="33" t="s">
        <v>58</v>
      </c>
      <c r="C57" s="34">
        <f>O23</f>
        <v>1871.21</v>
      </c>
    </row>
    <row r="58" spans="2:3" ht="16.5" x14ac:dyDescent="0.3">
      <c r="B58" s="33" t="s">
        <v>213</v>
      </c>
      <c r="C58" s="34">
        <f>F10</f>
        <v>0</v>
      </c>
    </row>
    <row r="60" spans="2:3" ht="16.5" x14ac:dyDescent="0.3">
      <c r="B60" s="89" t="s">
        <v>22</v>
      </c>
      <c r="C60" s="89"/>
    </row>
    <row r="61" spans="2:3" ht="16.5" x14ac:dyDescent="0.3">
      <c r="B61" s="33" t="s">
        <v>58</v>
      </c>
      <c r="C61" s="34">
        <f>O25</f>
        <v>35498.25</v>
      </c>
    </row>
    <row r="62" spans="2:3" ht="16.5" x14ac:dyDescent="0.3">
      <c r="B62" s="33" t="s">
        <v>213</v>
      </c>
      <c r="C62" s="34">
        <f>F12</f>
        <v>0</v>
      </c>
    </row>
    <row r="64" spans="2:3" ht="16.5" x14ac:dyDescent="0.3">
      <c r="B64" s="89" t="s">
        <v>21</v>
      </c>
      <c r="C64" s="89"/>
    </row>
    <row r="65" spans="2:3" ht="16.5" x14ac:dyDescent="0.3">
      <c r="B65" s="33" t="s">
        <v>58</v>
      </c>
      <c r="C65" s="34">
        <f>O24</f>
        <v>0</v>
      </c>
    </row>
    <row r="66" spans="2:3" ht="16.5" x14ac:dyDescent="0.3">
      <c r="B66" s="33" t="s">
        <v>213</v>
      </c>
      <c r="C66" s="34">
        <f>F11</f>
        <v>0</v>
      </c>
    </row>
  </sheetData>
  <autoFilter ref="A19:J47" xr:uid="{00000000-0009-0000-0000-000005000000}"/>
  <mergeCells count="5">
    <mergeCell ref="B5:G5"/>
    <mergeCell ref="C8:D8"/>
    <mergeCell ref="B56:C56"/>
    <mergeCell ref="B60:C60"/>
    <mergeCell ref="B64:C64"/>
  </mergeCells>
  <conditionalFormatting sqref="A39">
    <cfRule type="cellIs" dxfId="60" priority="2" operator="equal">
      <formula>"OK$J:$J"</formula>
    </cfRule>
  </conditionalFormatting>
  <conditionalFormatting sqref="F20:F27">
    <cfRule type="containsBlanks" dxfId="59" priority="3">
      <formula>LEN(TRIM(F20))=0</formula>
    </cfRule>
  </conditionalFormatting>
  <conditionalFormatting sqref="J1:J1048576">
    <cfRule type="containsText" dxfId="58" priority="1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DATA!$D$6:$D$11</xm:f>
          </x14:formula1>
          <xm:sqref>B20:B48</xm:sqref>
        </x14:dataValidation>
        <x14:dataValidation type="list" allowBlank="1" showInputMessage="1" showErrorMessage="1" xr:uid="{00000000-0002-0000-0500-000001000000}">
          <x14:formula1>
            <xm:f>DATA!$A$6:$A$8</xm:f>
          </x14:formula1>
          <xm:sqref>A29:A40 A48 A20:A27</xm:sqref>
        </x14:dataValidation>
        <x14:dataValidation type="list" allowBlank="1" showInputMessage="1" showErrorMessage="1" xr:uid="{00000000-0002-0000-0500-000002000000}">
          <x14:formula1>
            <xm:f>DATA!$F$6:$F$9</xm:f>
          </x14:formula1>
          <xm:sqref>C29:C44 C48 C20:C27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6"/>
  <sheetViews>
    <sheetView showGridLines="0" zoomScale="140" zoomScaleNormal="140" workbookViewId="0">
      <selection activeCell="A20" sqref="A20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style="59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45313</v>
      </c>
      <c r="D1" s="1"/>
      <c r="E1" s="1"/>
      <c r="F1" s="1"/>
      <c r="G1" s="1"/>
    </row>
    <row r="2" spans="1:7" ht="17.25" x14ac:dyDescent="0.35">
      <c r="A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562</v>
      </c>
      <c r="D6" s="19"/>
      <c r="E6" s="20" t="s">
        <v>4</v>
      </c>
      <c r="F6" s="19">
        <v>3048</v>
      </c>
      <c r="G6" s="21"/>
    </row>
    <row r="7" spans="1:7" ht="17.25" x14ac:dyDescent="0.35">
      <c r="A7" s="1"/>
      <c r="B7" s="22"/>
      <c r="G7" s="12"/>
    </row>
    <row r="8" spans="1:7" ht="17.25" x14ac:dyDescent="0.35">
      <c r="A8" s="1"/>
      <c r="B8" s="24" t="s">
        <v>5</v>
      </c>
      <c r="C8" s="88" t="s">
        <v>569</v>
      </c>
      <c r="D8" s="88"/>
      <c r="E8" s="23" t="s">
        <v>56</v>
      </c>
      <c r="F8" s="41" t="s">
        <v>287</v>
      </c>
      <c r="G8" s="12"/>
    </row>
    <row r="9" spans="1:7" ht="17.25" x14ac:dyDescent="0.35">
      <c r="A9" s="1"/>
      <c r="B9" s="24" t="s">
        <v>7</v>
      </c>
      <c r="C9" s="39"/>
      <c r="D9" s="42"/>
      <c r="E9" s="9" t="s">
        <v>10</v>
      </c>
      <c r="F9" s="36">
        <f>C10-O26</f>
        <v>12789.50999999998</v>
      </c>
      <c r="G9" s="12"/>
    </row>
    <row r="10" spans="1:7" ht="17.25" x14ac:dyDescent="0.35">
      <c r="A10" s="1"/>
      <c r="B10" s="13" t="s">
        <v>9</v>
      </c>
      <c r="C10" s="36">
        <v>208000</v>
      </c>
      <c r="D10" s="10"/>
      <c r="E10" s="11" t="s">
        <v>20</v>
      </c>
      <c r="F10" s="36">
        <f>C11-O23</f>
        <v>0</v>
      </c>
      <c r="G10" s="12"/>
    </row>
    <row r="11" spans="1:7" ht="17.25" x14ac:dyDescent="0.35">
      <c r="A11" s="1"/>
      <c r="B11" s="14" t="s">
        <v>20</v>
      </c>
      <c r="C11" s="36">
        <v>0</v>
      </c>
      <c r="D11" s="10"/>
      <c r="E11" s="11" t="s">
        <v>21</v>
      </c>
      <c r="F11" s="44">
        <f>C12-O24</f>
        <v>0</v>
      </c>
      <c r="G11" s="12"/>
    </row>
    <row r="12" spans="1:7" ht="17.25" x14ac:dyDescent="0.35">
      <c r="A12" s="1"/>
      <c r="B12" s="14" t="s">
        <v>21</v>
      </c>
      <c r="C12" s="36">
        <v>0</v>
      </c>
      <c r="D12" s="10"/>
      <c r="E12" s="11" t="s">
        <v>22</v>
      </c>
      <c r="F12" s="37">
        <f>C13-O25</f>
        <v>4789.5099999999802</v>
      </c>
      <c r="G12" s="12"/>
    </row>
    <row r="13" spans="1:7" ht="18" thickBot="1" x14ac:dyDescent="0.4">
      <c r="A13" s="1"/>
      <c r="B13" s="15" t="s">
        <v>22</v>
      </c>
      <c r="C13" s="38">
        <v>200000</v>
      </c>
      <c r="D13" s="63"/>
      <c r="E13" s="16"/>
      <c r="F13" s="16"/>
      <c r="G13" s="17"/>
    </row>
    <row r="19" spans="1:15" ht="28.5" x14ac:dyDescent="0.25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28.5" x14ac:dyDescent="0.25">
      <c r="A20" s="3" t="s">
        <v>22</v>
      </c>
      <c r="B20" s="3">
        <v>2021</v>
      </c>
      <c r="C20" s="3" t="s">
        <v>26</v>
      </c>
      <c r="D20" s="3" t="s">
        <v>563</v>
      </c>
      <c r="E20" s="4" t="s">
        <v>564</v>
      </c>
      <c r="F20" s="3"/>
      <c r="G20" s="3"/>
      <c r="H20" s="35" t="s">
        <v>65</v>
      </c>
      <c r="I20" s="6">
        <v>25240.86</v>
      </c>
      <c r="J20" s="35" t="s">
        <v>162</v>
      </c>
    </row>
    <row r="21" spans="1:15" ht="28.5" x14ac:dyDescent="0.25">
      <c r="A21" s="3" t="s">
        <v>22</v>
      </c>
      <c r="B21" s="3">
        <v>2021</v>
      </c>
      <c r="C21" s="3" t="s">
        <v>26</v>
      </c>
      <c r="D21" s="3" t="s">
        <v>113</v>
      </c>
      <c r="E21" s="4" t="s">
        <v>565</v>
      </c>
      <c r="F21" s="3"/>
      <c r="G21" s="3"/>
      <c r="H21" s="35" t="s">
        <v>65</v>
      </c>
      <c r="I21" s="6">
        <v>101251.32</v>
      </c>
      <c r="J21" s="35" t="s">
        <v>162</v>
      </c>
    </row>
    <row r="22" spans="1:15" ht="29.25" thickBot="1" x14ac:dyDescent="0.3">
      <c r="A22" s="3" t="s">
        <v>22</v>
      </c>
      <c r="B22" s="3">
        <v>2023</v>
      </c>
      <c r="C22" s="3" t="s">
        <v>26</v>
      </c>
      <c r="D22" s="3" t="s">
        <v>566</v>
      </c>
      <c r="E22" s="4" t="s">
        <v>567</v>
      </c>
      <c r="F22" s="3"/>
      <c r="G22" s="3"/>
      <c r="H22" s="35" t="s">
        <v>65</v>
      </c>
      <c r="I22" s="6">
        <v>35079.47</v>
      </c>
      <c r="J22" s="35" t="s">
        <v>162</v>
      </c>
    </row>
    <row r="23" spans="1:15" ht="28.5" x14ac:dyDescent="0.25">
      <c r="A23" s="3" t="s">
        <v>22</v>
      </c>
      <c r="B23" s="3">
        <v>2022</v>
      </c>
      <c r="C23" s="3" t="s">
        <v>26</v>
      </c>
      <c r="D23" s="3" t="s">
        <v>116</v>
      </c>
      <c r="E23" s="4" t="s">
        <v>568</v>
      </c>
      <c r="F23" s="3"/>
      <c r="G23" s="3"/>
      <c r="H23" s="35" t="s">
        <v>65</v>
      </c>
      <c r="I23" s="6">
        <v>33638.839999999997</v>
      </c>
      <c r="J23" s="35" t="s">
        <v>162</v>
      </c>
      <c r="N23" s="27" t="s">
        <v>54</v>
      </c>
      <c r="O23" s="28">
        <f>SUMIFS(I20:I50,A20:A50,"Fonctionnement")</f>
        <v>0</v>
      </c>
    </row>
    <row r="24" spans="1:15" x14ac:dyDescent="0.25">
      <c r="A24" s="3"/>
      <c r="B24" s="3"/>
      <c r="C24" s="3"/>
      <c r="D24" s="3"/>
      <c r="E24" s="4"/>
      <c r="F24" s="3"/>
      <c r="G24" s="3"/>
      <c r="H24" s="35"/>
      <c r="I24" s="6"/>
      <c r="J24" s="35"/>
      <c r="N24" s="43" t="s">
        <v>128</v>
      </c>
      <c r="O24" s="30">
        <f>SUMIFS(I20:I50,A20:A50,"Investissement")</f>
        <v>0</v>
      </c>
    </row>
    <row r="25" spans="1:15" x14ac:dyDescent="0.25">
      <c r="A25" s="3"/>
      <c r="B25" s="3"/>
      <c r="C25" s="3"/>
      <c r="D25" s="3"/>
      <c r="E25" s="4"/>
      <c r="F25" s="3"/>
      <c r="G25" s="3"/>
      <c r="H25" s="35"/>
      <c r="I25" s="6"/>
      <c r="J25" s="35"/>
      <c r="N25" s="29" t="s">
        <v>55</v>
      </c>
      <c r="O25" s="30">
        <f>SUMIFS(I20:I51,A20:A51,"Personnel")</f>
        <v>195210.49000000002</v>
      </c>
    </row>
    <row r="26" spans="1:15" ht="16.5" thickBot="1" x14ac:dyDescent="0.3">
      <c r="A26" s="3"/>
      <c r="B26" s="3"/>
      <c r="C26" s="3"/>
      <c r="D26" s="3"/>
      <c r="E26" s="4"/>
      <c r="F26" s="3"/>
      <c r="G26" s="3"/>
      <c r="H26" s="35"/>
      <c r="I26" s="6"/>
      <c r="J26" s="35"/>
      <c r="N26" s="31" t="s">
        <v>58</v>
      </c>
      <c r="O26" s="32">
        <f>O23+O25</f>
        <v>195210.49000000002</v>
      </c>
    </row>
    <row r="27" spans="1:15" x14ac:dyDescent="0.25">
      <c r="A27" s="3"/>
      <c r="B27" s="3"/>
      <c r="C27" s="3"/>
      <c r="D27" s="3"/>
      <c r="E27" s="4"/>
      <c r="F27" s="3"/>
      <c r="G27" s="3"/>
      <c r="H27" s="35"/>
      <c r="I27" s="6"/>
      <c r="J27" s="35"/>
    </row>
    <row r="28" spans="1:15" x14ac:dyDescent="0.25">
      <c r="A28" s="45"/>
      <c r="B28" s="3"/>
      <c r="C28" s="46"/>
      <c r="D28" s="46"/>
      <c r="E28" s="47"/>
      <c r="F28" s="3"/>
      <c r="G28" s="3"/>
      <c r="H28" s="35"/>
      <c r="I28" s="6"/>
      <c r="J28" s="35"/>
    </row>
    <row r="29" spans="1:15" x14ac:dyDescent="0.25">
      <c r="A29" s="3"/>
      <c r="B29" s="3"/>
      <c r="C29" s="3"/>
      <c r="D29" s="3"/>
      <c r="E29" s="4"/>
      <c r="F29" s="3"/>
      <c r="G29" s="3"/>
      <c r="H29" s="35"/>
      <c r="I29" s="6"/>
      <c r="J29" s="35"/>
    </row>
    <row r="30" spans="1:15" x14ac:dyDescent="0.2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 x14ac:dyDescent="0.2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 x14ac:dyDescent="0.2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 x14ac:dyDescent="0.25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 x14ac:dyDescent="0.25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 x14ac:dyDescent="0.25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 x14ac:dyDescent="0.25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 x14ac:dyDescent="0.25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 x14ac:dyDescent="0.25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 x14ac:dyDescent="0.25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 x14ac:dyDescent="0.25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 x14ac:dyDescent="0.25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 x14ac:dyDescent="0.25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 x14ac:dyDescent="0.25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 x14ac:dyDescent="0.25">
      <c r="A44" s="3"/>
      <c r="B44" s="3"/>
      <c r="C44" s="3"/>
      <c r="D44" s="3"/>
      <c r="E44" s="4"/>
      <c r="F44" s="3"/>
      <c r="G44" s="3"/>
      <c r="H44" s="35"/>
      <c r="I44" s="6"/>
      <c r="J44" s="35"/>
    </row>
    <row r="45" spans="1:10" x14ac:dyDescent="0.25">
      <c r="A45" s="3"/>
      <c r="B45" s="3"/>
      <c r="C45" s="3"/>
      <c r="D45" s="3"/>
      <c r="E45" s="4"/>
      <c r="F45" s="3"/>
      <c r="G45" s="3"/>
      <c r="H45" s="35"/>
      <c r="I45" s="6"/>
      <c r="J45" s="35"/>
    </row>
    <row r="46" spans="1:10" x14ac:dyDescent="0.25">
      <c r="A46" s="3"/>
      <c r="B46" s="3"/>
      <c r="C46" s="3"/>
      <c r="D46" s="3"/>
      <c r="E46" s="4"/>
      <c r="F46" s="3"/>
      <c r="G46" s="3"/>
      <c r="H46" s="35"/>
      <c r="I46" s="6"/>
      <c r="J46" s="35"/>
    </row>
    <row r="47" spans="1:10" x14ac:dyDescent="0.25">
      <c r="A47" s="3"/>
      <c r="B47" s="3"/>
      <c r="C47" s="3"/>
      <c r="D47" s="3"/>
      <c r="E47" s="4"/>
      <c r="F47" s="3"/>
      <c r="G47" s="3"/>
      <c r="H47" s="35"/>
      <c r="I47" s="6"/>
      <c r="J47" s="35"/>
    </row>
    <row r="48" spans="1:10" x14ac:dyDescent="0.25">
      <c r="A48" s="3"/>
      <c r="B48" s="3"/>
      <c r="C48" s="3"/>
      <c r="D48" s="3"/>
      <c r="E48" s="4"/>
      <c r="F48" s="3"/>
      <c r="G48" s="3"/>
      <c r="H48" s="35"/>
      <c r="I48" s="6"/>
      <c r="J48" s="35"/>
    </row>
    <row r="56" spans="2:3" ht="16.5" x14ac:dyDescent="0.3">
      <c r="B56" s="89" t="s">
        <v>20</v>
      </c>
      <c r="C56" s="89"/>
    </row>
    <row r="57" spans="2:3" ht="16.5" x14ac:dyDescent="0.3">
      <c r="B57" s="33" t="s">
        <v>58</v>
      </c>
      <c r="C57" s="34">
        <f>O23</f>
        <v>0</v>
      </c>
    </row>
    <row r="58" spans="2:3" ht="16.5" x14ac:dyDescent="0.3">
      <c r="B58" s="33" t="s">
        <v>213</v>
      </c>
      <c r="C58" s="34">
        <f>F10</f>
        <v>0</v>
      </c>
    </row>
    <row r="60" spans="2:3" ht="16.5" x14ac:dyDescent="0.3">
      <c r="B60" s="89" t="s">
        <v>22</v>
      </c>
      <c r="C60" s="89"/>
    </row>
    <row r="61" spans="2:3" ht="16.5" x14ac:dyDescent="0.3">
      <c r="B61" s="33" t="s">
        <v>58</v>
      </c>
      <c r="C61" s="34">
        <f>O25</f>
        <v>195210.49000000002</v>
      </c>
    </row>
    <row r="62" spans="2:3" ht="16.5" x14ac:dyDescent="0.3">
      <c r="B62" s="33" t="s">
        <v>213</v>
      </c>
      <c r="C62" s="34">
        <f>F12</f>
        <v>4789.5099999999802</v>
      </c>
    </row>
    <row r="64" spans="2:3" ht="16.5" x14ac:dyDescent="0.3">
      <c r="B64" s="89" t="s">
        <v>21</v>
      </c>
      <c r="C64" s="89"/>
    </row>
    <row r="65" spans="2:3" ht="16.5" x14ac:dyDescent="0.3">
      <c r="B65" s="33" t="s">
        <v>58</v>
      </c>
      <c r="C65" s="34">
        <f>O24</f>
        <v>0</v>
      </c>
    </row>
    <row r="66" spans="2:3" ht="16.5" x14ac:dyDescent="0.3">
      <c r="B66" s="33" t="s">
        <v>213</v>
      </c>
      <c r="C66" s="34">
        <f>F11</f>
        <v>0</v>
      </c>
    </row>
  </sheetData>
  <autoFilter ref="A19:J47" xr:uid="{00000000-0009-0000-0000-000006000000}"/>
  <mergeCells count="5">
    <mergeCell ref="B5:G5"/>
    <mergeCell ref="C8:D8"/>
    <mergeCell ref="B56:C56"/>
    <mergeCell ref="B60:C60"/>
    <mergeCell ref="B64:C64"/>
  </mergeCells>
  <conditionalFormatting sqref="A39">
    <cfRule type="cellIs" dxfId="57" priority="2" operator="equal">
      <formula>"OK$J:$J"</formula>
    </cfRule>
  </conditionalFormatting>
  <conditionalFormatting sqref="F20:F27">
    <cfRule type="containsBlanks" dxfId="56" priority="3">
      <formula>LEN(TRIM(F20))=0</formula>
    </cfRule>
  </conditionalFormatting>
  <conditionalFormatting sqref="J1:J1048576">
    <cfRule type="containsText" dxfId="55" priority="1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600-000000000000}">
          <x14:formula1>
            <xm:f>DATA!$F$6:$F$9</xm:f>
          </x14:formula1>
          <xm:sqref>C29:C44 C48 C20:C27</xm:sqref>
        </x14:dataValidation>
        <x14:dataValidation type="list" allowBlank="1" showInputMessage="1" showErrorMessage="1" xr:uid="{00000000-0002-0000-0600-000001000000}">
          <x14:formula1>
            <xm:f>DATA!$A$6:$A$8</xm:f>
          </x14:formula1>
          <xm:sqref>A29:A40 A48 A20:A27</xm:sqref>
        </x14:dataValidation>
        <x14:dataValidation type="list" allowBlank="1" showInputMessage="1" showErrorMessage="1" xr:uid="{00000000-0002-0000-0600-000002000000}">
          <x14:formula1>
            <xm:f>DATA!$D$6:$D$11</xm:f>
          </x14:formula1>
          <xm:sqref>B20:B48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7"/>
  <sheetViews>
    <sheetView showGridLines="0" zoomScale="140" zoomScaleNormal="140" workbookViewId="0">
      <selection activeCell="B2" sqref="B2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style="59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45313</v>
      </c>
      <c r="D1" s="1"/>
      <c r="E1" s="1"/>
      <c r="F1" s="1"/>
      <c r="G1" s="1"/>
    </row>
    <row r="2" spans="1:7" ht="17.25" x14ac:dyDescent="0.35">
      <c r="A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552</v>
      </c>
      <c r="D6" s="19"/>
      <c r="E6" s="20" t="s">
        <v>4</v>
      </c>
      <c r="F6" s="19">
        <v>3180</v>
      </c>
      <c r="G6" s="21"/>
    </row>
    <row r="7" spans="1:7" ht="17.25" x14ac:dyDescent="0.35">
      <c r="A7" s="1"/>
      <c r="B7" s="22"/>
      <c r="G7" s="12"/>
    </row>
    <row r="8" spans="1:7" ht="17.25" x14ac:dyDescent="0.35">
      <c r="A8" s="1"/>
      <c r="B8" s="24" t="s">
        <v>5</v>
      </c>
      <c r="C8" s="88" t="s">
        <v>61</v>
      </c>
      <c r="D8" s="88"/>
      <c r="E8" s="23" t="s">
        <v>56</v>
      </c>
      <c r="F8" s="41" t="s">
        <v>287</v>
      </c>
      <c r="G8" s="12"/>
    </row>
    <row r="9" spans="1:7" ht="17.25" x14ac:dyDescent="0.35">
      <c r="A9" s="1"/>
      <c r="B9" s="24" t="s">
        <v>7</v>
      </c>
      <c r="C9" s="39"/>
      <c r="D9" s="42"/>
      <c r="E9" s="9" t="s">
        <v>10</v>
      </c>
      <c r="F9" s="36">
        <f>C10-O27</f>
        <v>440837.07</v>
      </c>
      <c r="G9" s="12"/>
    </row>
    <row r="10" spans="1:7" ht="17.25" x14ac:dyDescent="0.35">
      <c r="A10" s="1"/>
      <c r="B10" s="13" t="s">
        <v>9</v>
      </c>
      <c r="C10" s="36">
        <v>550000</v>
      </c>
      <c r="D10" s="10"/>
      <c r="E10" s="11" t="s">
        <v>20</v>
      </c>
      <c r="F10" s="36">
        <f>C11-O24</f>
        <v>10000</v>
      </c>
      <c r="G10" s="12"/>
    </row>
    <row r="11" spans="1:7" ht="17.25" x14ac:dyDescent="0.35">
      <c r="A11" s="1"/>
      <c r="B11" s="14" t="s">
        <v>20</v>
      </c>
      <c r="C11" s="36">
        <v>10000</v>
      </c>
      <c r="D11" s="10" t="s">
        <v>554</v>
      </c>
      <c r="E11" s="11" t="s">
        <v>21</v>
      </c>
      <c r="F11" s="44">
        <f>C12-O25</f>
        <v>0</v>
      </c>
      <c r="G11" s="12"/>
    </row>
    <row r="12" spans="1:7" ht="17.25" x14ac:dyDescent="0.35">
      <c r="A12" s="1"/>
      <c r="B12" s="14" t="s">
        <v>21</v>
      </c>
      <c r="C12" s="36">
        <v>0</v>
      </c>
      <c r="D12" s="10"/>
      <c r="E12" s="11" t="s">
        <v>22</v>
      </c>
      <c r="F12" s="37">
        <f>C13-O26</f>
        <v>430837.07</v>
      </c>
      <c r="G12" s="12"/>
    </row>
    <row r="13" spans="1:7" ht="18" thickBot="1" x14ac:dyDescent="0.4">
      <c r="A13" s="1"/>
      <c r="B13" s="15" t="s">
        <v>22</v>
      </c>
      <c r="C13" s="38">
        <f>108000+432000</f>
        <v>540000</v>
      </c>
      <c r="D13" s="63" t="s">
        <v>553</v>
      </c>
      <c r="E13" s="16"/>
      <c r="F13" s="16"/>
      <c r="G13" s="17"/>
    </row>
    <row r="19" spans="1:15" ht="28.5" x14ac:dyDescent="0.25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28.5" x14ac:dyDescent="0.25">
      <c r="A20" s="3" t="s">
        <v>22</v>
      </c>
      <c r="B20" s="3">
        <v>2021</v>
      </c>
      <c r="C20" s="3" t="s">
        <v>26</v>
      </c>
      <c r="D20" s="3" t="s">
        <v>555</v>
      </c>
      <c r="E20" s="4" t="s">
        <v>556</v>
      </c>
      <c r="F20" s="3"/>
      <c r="G20" s="3"/>
      <c r="H20" s="35" t="s">
        <v>65</v>
      </c>
      <c r="I20" s="6">
        <v>35520.559999999998</v>
      </c>
      <c r="J20" s="35" t="s">
        <v>162</v>
      </c>
    </row>
    <row r="21" spans="1:15" ht="28.5" x14ac:dyDescent="0.25">
      <c r="A21" s="3" t="s">
        <v>22</v>
      </c>
      <c r="B21" s="3">
        <v>2021</v>
      </c>
      <c r="C21" s="3" t="s">
        <v>26</v>
      </c>
      <c r="D21" s="3" t="s">
        <v>557</v>
      </c>
      <c r="E21" s="4" t="s">
        <v>558</v>
      </c>
      <c r="F21" s="3"/>
      <c r="G21" s="3"/>
      <c r="H21" s="35" t="s">
        <v>65</v>
      </c>
      <c r="I21" s="6">
        <v>35623.360000000001</v>
      </c>
      <c r="J21" s="35" t="s">
        <v>162</v>
      </c>
    </row>
    <row r="22" spans="1:15" ht="28.5" x14ac:dyDescent="0.25">
      <c r="A22" s="3" t="s">
        <v>22</v>
      </c>
      <c r="B22" s="3">
        <v>2021</v>
      </c>
      <c r="C22" s="3" t="s">
        <v>26</v>
      </c>
      <c r="D22" s="3" t="s">
        <v>559</v>
      </c>
      <c r="E22" s="4" t="s">
        <v>560</v>
      </c>
      <c r="F22" s="3"/>
      <c r="G22" s="3"/>
      <c r="H22" s="35" t="s">
        <v>65</v>
      </c>
      <c r="I22" s="6">
        <v>19009.009999999998</v>
      </c>
      <c r="J22" s="35" t="s">
        <v>162</v>
      </c>
    </row>
    <row r="23" spans="1:15" ht="29.25" thickBot="1" x14ac:dyDescent="0.3">
      <c r="A23" s="3" t="s">
        <v>22</v>
      </c>
      <c r="B23" s="3">
        <v>2023</v>
      </c>
      <c r="C23" s="3" t="s">
        <v>26</v>
      </c>
      <c r="D23" s="3" t="s">
        <v>123</v>
      </c>
      <c r="E23" s="4" t="s">
        <v>561</v>
      </c>
      <c r="F23" s="3"/>
      <c r="G23" s="3"/>
      <c r="H23" s="35" t="s">
        <v>65</v>
      </c>
      <c r="I23" s="6">
        <v>19010</v>
      </c>
      <c r="J23" s="35" t="s">
        <v>374</v>
      </c>
    </row>
    <row r="24" spans="1:15" x14ac:dyDescent="0.25">
      <c r="A24" s="3"/>
      <c r="B24" s="3"/>
      <c r="C24" s="3"/>
      <c r="D24" s="3"/>
      <c r="E24" s="4"/>
      <c r="F24" s="3"/>
      <c r="G24" s="3"/>
      <c r="H24" s="35"/>
      <c r="I24" s="6"/>
      <c r="J24" s="35"/>
      <c r="N24" s="27" t="s">
        <v>54</v>
      </c>
      <c r="O24" s="28">
        <f>SUMIFS(I20:I51,A20:A51,"Fonctionnement")</f>
        <v>0</v>
      </c>
    </row>
    <row r="25" spans="1:15" x14ac:dyDescent="0.25">
      <c r="A25" s="3"/>
      <c r="B25" s="3"/>
      <c r="C25" s="3"/>
      <c r="D25" s="3"/>
      <c r="E25" s="4"/>
      <c r="F25" s="3"/>
      <c r="G25" s="3"/>
      <c r="H25" s="35"/>
      <c r="I25" s="6"/>
      <c r="J25" s="35"/>
      <c r="N25" s="43" t="s">
        <v>128</v>
      </c>
      <c r="O25" s="30">
        <f>SUMIFS(I20:I51,A20:A51,"Investissement")</f>
        <v>0</v>
      </c>
    </row>
    <row r="26" spans="1:15" x14ac:dyDescent="0.25">
      <c r="A26" s="3"/>
      <c r="B26" s="3"/>
      <c r="C26" s="3"/>
      <c r="D26" s="3"/>
      <c r="E26" s="4"/>
      <c r="F26" s="3"/>
      <c r="G26" s="3"/>
      <c r="H26" s="35"/>
      <c r="I26" s="6"/>
      <c r="J26" s="35"/>
      <c r="N26" s="29" t="s">
        <v>55</v>
      </c>
      <c r="O26" s="30">
        <f>SUMIFS(I20:I52,A20:A52,"Personnel")</f>
        <v>109162.93</v>
      </c>
    </row>
    <row r="27" spans="1:15" ht="16.5" thickBot="1" x14ac:dyDescent="0.3">
      <c r="A27" s="3"/>
      <c r="B27" s="3"/>
      <c r="C27" s="3"/>
      <c r="D27" s="3"/>
      <c r="E27" s="4"/>
      <c r="F27" s="3"/>
      <c r="G27" s="3"/>
      <c r="H27" s="35"/>
      <c r="I27" s="6"/>
      <c r="J27" s="35"/>
      <c r="N27" s="31" t="s">
        <v>58</v>
      </c>
      <c r="O27" s="32">
        <f>O24+O26</f>
        <v>109162.93</v>
      </c>
    </row>
    <row r="28" spans="1:15" x14ac:dyDescent="0.25">
      <c r="A28" s="3"/>
      <c r="B28" s="3"/>
      <c r="C28" s="3"/>
      <c r="D28" s="3"/>
      <c r="E28" s="4"/>
      <c r="F28" s="3"/>
      <c r="G28" s="3"/>
      <c r="H28" s="35"/>
      <c r="I28" s="6"/>
      <c r="J28" s="35"/>
    </row>
    <row r="29" spans="1:15" x14ac:dyDescent="0.25">
      <c r="A29" s="45"/>
      <c r="B29" s="3"/>
      <c r="C29" s="46"/>
      <c r="D29" s="46"/>
      <c r="E29" s="47"/>
      <c r="F29" s="3"/>
      <c r="G29" s="3"/>
      <c r="H29" s="35"/>
      <c r="I29" s="6"/>
      <c r="J29" s="35"/>
    </row>
    <row r="30" spans="1:15" x14ac:dyDescent="0.2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 x14ac:dyDescent="0.2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 x14ac:dyDescent="0.2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 x14ac:dyDescent="0.25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 x14ac:dyDescent="0.25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 x14ac:dyDescent="0.25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 x14ac:dyDescent="0.25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 x14ac:dyDescent="0.25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 x14ac:dyDescent="0.25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 x14ac:dyDescent="0.25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 x14ac:dyDescent="0.25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 x14ac:dyDescent="0.25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 x14ac:dyDescent="0.25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 x14ac:dyDescent="0.25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 x14ac:dyDescent="0.25">
      <c r="A44" s="3"/>
      <c r="B44" s="3"/>
      <c r="C44" s="3"/>
      <c r="D44" s="3"/>
      <c r="E44" s="4"/>
      <c r="F44" s="3"/>
      <c r="G44" s="3"/>
      <c r="H44" s="35"/>
      <c r="I44" s="6"/>
      <c r="J44" s="35"/>
    </row>
    <row r="45" spans="1:10" x14ac:dyDescent="0.25">
      <c r="A45" s="3"/>
      <c r="B45" s="3"/>
      <c r="C45" s="3"/>
      <c r="D45" s="3"/>
      <c r="E45" s="4"/>
      <c r="F45" s="3"/>
      <c r="G45" s="3"/>
      <c r="H45" s="35"/>
      <c r="I45" s="6"/>
      <c r="J45" s="35"/>
    </row>
    <row r="46" spans="1:10" x14ac:dyDescent="0.25">
      <c r="A46" s="3"/>
      <c r="B46" s="3"/>
      <c r="C46" s="3"/>
      <c r="D46" s="3"/>
      <c r="E46" s="4"/>
      <c r="F46" s="3"/>
      <c r="G46" s="3"/>
      <c r="H46" s="35"/>
      <c r="I46" s="6"/>
      <c r="J46" s="35"/>
    </row>
    <row r="47" spans="1:10" x14ac:dyDescent="0.25">
      <c r="A47" s="3"/>
      <c r="B47" s="3"/>
      <c r="C47" s="3"/>
      <c r="D47" s="3"/>
      <c r="E47" s="4"/>
      <c r="F47" s="3"/>
      <c r="G47" s="3"/>
      <c r="H47" s="35"/>
      <c r="I47" s="6"/>
      <c r="J47" s="35"/>
    </row>
    <row r="48" spans="1:10" x14ac:dyDescent="0.25">
      <c r="A48" s="3"/>
      <c r="B48" s="3"/>
      <c r="C48" s="3"/>
      <c r="D48" s="3"/>
      <c r="E48" s="4"/>
      <c r="F48" s="3"/>
      <c r="G48" s="3"/>
      <c r="H48" s="35"/>
      <c r="I48" s="6"/>
      <c r="J48" s="35"/>
    </row>
    <row r="49" spans="1:10" x14ac:dyDescent="0.25">
      <c r="A49" s="3"/>
      <c r="B49" s="3"/>
      <c r="C49" s="3"/>
      <c r="D49" s="3"/>
      <c r="E49" s="4"/>
      <c r="F49" s="3"/>
      <c r="G49" s="3"/>
      <c r="H49" s="35"/>
      <c r="I49" s="6"/>
      <c r="J49" s="35"/>
    </row>
    <row r="57" spans="1:10" ht="16.5" x14ac:dyDescent="0.3">
      <c r="B57" s="89" t="s">
        <v>20</v>
      </c>
      <c r="C57" s="89"/>
    </row>
    <row r="58" spans="1:10" ht="16.5" x14ac:dyDescent="0.3">
      <c r="B58" s="33" t="s">
        <v>58</v>
      </c>
      <c r="C58" s="34">
        <f>O24</f>
        <v>0</v>
      </c>
    </row>
    <row r="59" spans="1:10" ht="16.5" x14ac:dyDescent="0.3">
      <c r="B59" s="33" t="s">
        <v>213</v>
      </c>
      <c r="C59" s="34">
        <f>F10</f>
        <v>10000</v>
      </c>
    </row>
    <row r="61" spans="1:10" ht="16.5" x14ac:dyDescent="0.3">
      <c r="B61" s="89" t="s">
        <v>22</v>
      </c>
      <c r="C61" s="89"/>
    </row>
    <row r="62" spans="1:10" ht="16.5" x14ac:dyDescent="0.3">
      <c r="B62" s="33" t="s">
        <v>58</v>
      </c>
      <c r="C62" s="34">
        <f>O26</f>
        <v>109162.93</v>
      </c>
    </row>
    <row r="63" spans="1:10" ht="16.5" x14ac:dyDescent="0.3">
      <c r="B63" s="33" t="s">
        <v>213</v>
      </c>
      <c r="C63" s="34">
        <f>F12</f>
        <v>430837.07</v>
      </c>
    </row>
    <row r="65" spans="2:3" ht="16.5" x14ac:dyDescent="0.3">
      <c r="B65" s="89" t="s">
        <v>21</v>
      </c>
      <c r="C65" s="89"/>
    </row>
    <row r="66" spans="2:3" ht="16.5" x14ac:dyDescent="0.3">
      <c r="B66" s="33" t="s">
        <v>58</v>
      </c>
      <c r="C66" s="34">
        <f>O25</f>
        <v>0</v>
      </c>
    </row>
    <row r="67" spans="2:3" ht="16.5" x14ac:dyDescent="0.3">
      <c r="B67" s="33" t="s">
        <v>213</v>
      </c>
      <c r="C67" s="34">
        <f>F11</f>
        <v>0</v>
      </c>
    </row>
  </sheetData>
  <autoFilter ref="A19:J48" xr:uid="{00000000-0009-0000-0000-000007000000}"/>
  <mergeCells count="5">
    <mergeCell ref="B5:G5"/>
    <mergeCell ref="C8:D8"/>
    <mergeCell ref="B57:C57"/>
    <mergeCell ref="B61:C61"/>
    <mergeCell ref="B65:C65"/>
  </mergeCells>
  <conditionalFormatting sqref="A40">
    <cfRule type="cellIs" dxfId="54" priority="2" operator="equal">
      <formula>"OK$J:$J"</formula>
    </cfRule>
  </conditionalFormatting>
  <conditionalFormatting sqref="F20:F28">
    <cfRule type="containsBlanks" dxfId="53" priority="3">
      <formula>LEN(TRIM(F20))=0</formula>
    </cfRule>
  </conditionalFormatting>
  <conditionalFormatting sqref="J1:J1048576">
    <cfRule type="containsText" dxfId="52" priority="1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0000000}">
          <x14:formula1>
            <xm:f>DATA!$H$6:$H$14</xm:f>
          </x14:formula1>
          <xm:sqref>H20</xm:sqref>
        </x14:dataValidation>
        <x14:dataValidation type="list" allowBlank="1" showInputMessage="1" showErrorMessage="1" xr:uid="{00000000-0002-0000-0700-000001000000}">
          <x14:formula1>
            <xm:f>DATA!$A$6:$A$8</xm:f>
          </x14:formula1>
          <xm:sqref>A20:A28 A30:A41 A49</xm:sqref>
        </x14:dataValidation>
        <x14:dataValidation type="list" allowBlank="1" showInputMessage="1" showErrorMessage="1" xr:uid="{00000000-0002-0000-0700-000002000000}">
          <x14:formula1>
            <xm:f>DATA!$D$6:$D$11</xm:f>
          </x14:formula1>
          <xm:sqref>B20:B49</xm:sqref>
        </x14:dataValidation>
        <x14:dataValidation type="list" allowBlank="1" showInputMessage="1" showErrorMessage="1" xr:uid="{00000000-0002-0000-0700-000003000000}">
          <x14:formula1>
            <xm:f>DATA!$F$6:$F$9</xm:f>
          </x14:formula1>
          <xm:sqref>C20:C28 C30:C45 C49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7"/>
  <sheetViews>
    <sheetView showGridLines="0" zoomScale="140" zoomScaleNormal="140" workbookViewId="0">
      <selection activeCell="B2" sqref="B2"/>
    </sheetView>
  </sheetViews>
  <sheetFormatPr baseColWidth="10" defaultRowHeight="15.75" x14ac:dyDescent="0.25"/>
  <cols>
    <col min="1" max="1" width="17.25" customWidth="1"/>
    <col min="2" max="2" width="16.75" customWidth="1"/>
    <col min="3" max="3" width="16.5" customWidth="1"/>
    <col min="4" max="4" width="20.5" customWidth="1"/>
    <col min="5" max="5" width="39.75" customWidth="1"/>
    <col min="6" max="6" width="14.25" customWidth="1"/>
    <col min="7" max="7" width="18" customWidth="1"/>
    <col min="8" max="8" width="14" customWidth="1"/>
    <col min="9" max="9" width="15.25" customWidth="1"/>
    <col min="10" max="10" width="17.25" style="59" customWidth="1"/>
    <col min="14" max="14" width="26.75" customWidth="1"/>
    <col min="15" max="15" width="18.5" customWidth="1"/>
  </cols>
  <sheetData>
    <row r="1" spans="1:7" ht="17.25" x14ac:dyDescent="0.35">
      <c r="A1" s="25" t="s">
        <v>0</v>
      </c>
      <c r="B1" s="26">
        <v>45313</v>
      </c>
      <c r="D1" s="1"/>
      <c r="E1" s="1"/>
      <c r="F1" s="1"/>
      <c r="G1" s="1"/>
    </row>
    <row r="2" spans="1:7" ht="17.25" x14ac:dyDescent="0.35">
      <c r="A2" s="1"/>
      <c r="C2" s="1"/>
      <c r="D2" s="1"/>
      <c r="E2" s="1"/>
      <c r="F2" s="1"/>
      <c r="G2" s="1"/>
    </row>
    <row r="3" spans="1:7" ht="17.25" x14ac:dyDescent="0.35">
      <c r="A3" s="1"/>
      <c r="B3" s="1"/>
      <c r="C3" s="1"/>
      <c r="D3" s="1"/>
      <c r="E3" s="1"/>
      <c r="F3" s="1"/>
      <c r="G3" s="1"/>
    </row>
    <row r="4" spans="1:7" ht="18" thickBot="1" x14ac:dyDescent="0.4">
      <c r="A4" s="1"/>
      <c r="B4" s="1"/>
      <c r="C4" s="1"/>
      <c r="D4" s="1"/>
      <c r="E4" s="1"/>
      <c r="F4" s="1"/>
      <c r="G4" s="1"/>
    </row>
    <row r="5" spans="1:7" ht="18" customHeight="1" thickBot="1" x14ac:dyDescent="0.4">
      <c r="A5" s="1"/>
      <c r="B5" s="85" t="s">
        <v>1</v>
      </c>
      <c r="C5" s="86"/>
      <c r="D5" s="86"/>
      <c r="E5" s="86"/>
      <c r="F5" s="86"/>
      <c r="G5" s="87"/>
    </row>
    <row r="6" spans="1:7" ht="17.25" x14ac:dyDescent="0.35">
      <c r="A6" s="1"/>
      <c r="B6" s="18" t="s">
        <v>2</v>
      </c>
      <c r="C6" s="19" t="s">
        <v>547</v>
      </c>
      <c r="D6" s="19"/>
      <c r="E6" s="20" t="s">
        <v>4</v>
      </c>
      <c r="F6" s="19" t="s">
        <v>546</v>
      </c>
      <c r="G6" s="21"/>
    </row>
    <row r="7" spans="1:7" ht="17.25" x14ac:dyDescent="0.35">
      <c r="A7" s="1"/>
      <c r="B7" s="22"/>
      <c r="G7" s="12"/>
    </row>
    <row r="8" spans="1:7" ht="17.25" x14ac:dyDescent="0.35">
      <c r="A8" s="1"/>
      <c r="B8" s="24" t="s">
        <v>5</v>
      </c>
      <c r="C8" s="88" t="s">
        <v>61</v>
      </c>
      <c r="D8" s="88"/>
      <c r="E8" s="23" t="s">
        <v>56</v>
      </c>
      <c r="F8" s="41" t="s">
        <v>287</v>
      </c>
      <c r="G8" s="12"/>
    </row>
    <row r="9" spans="1:7" ht="17.25" x14ac:dyDescent="0.35">
      <c r="A9" s="1"/>
      <c r="B9" s="24" t="s">
        <v>7</v>
      </c>
      <c r="C9" s="39"/>
      <c r="D9" s="42"/>
      <c r="E9" s="9" t="s">
        <v>10</v>
      </c>
      <c r="F9" s="36">
        <f>C10-O27</f>
        <v>1267.2900000000081</v>
      </c>
      <c r="G9" s="12"/>
    </row>
    <row r="10" spans="1:7" ht="17.25" x14ac:dyDescent="0.35">
      <c r="A10" s="1"/>
      <c r="B10" s="13" t="s">
        <v>9</v>
      </c>
      <c r="C10" s="36">
        <v>76000</v>
      </c>
      <c r="D10" s="10"/>
      <c r="E10" s="11" t="s">
        <v>20</v>
      </c>
      <c r="F10" s="36">
        <f>C11-O24</f>
        <v>8000</v>
      </c>
      <c r="G10" s="12"/>
    </row>
    <row r="11" spans="1:7" ht="17.25" x14ac:dyDescent="0.35">
      <c r="A11" s="1"/>
      <c r="B11" s="14" t="s">
        <v>20</v>
      </c>
      <c r="C11" s="36">
        <v>8000</v>
      </c>
      <c r="D11" s="10" t="s">
        <v>550</v>
      </c>
      <c r="E11" s="11" t="s">
        <v>21</v>
      </c>
      <c r="F11" s="44">
        <f>C12-O25</f>
        <v>0</v>
      </c>
      <c r="G11" s="12"/>
    </row>
    <row r="12" spans="1:7" ht="17.25" x14ac:dyDescent="0.35">
      <c r="A12" s="1"/>
      <c r="B12" s="14" t="s">
        <v>21</v>
      </c>
      <c r="C12" s="36">
        <v>0</v>
      </c>
      <c r="D12" s="10"/>
      <c r="E12" s="11" t="s">
        <v>22</v>
      </c>
      <c r="F12" s="37">
        <f>C13-O26</f>
        <v>1267.2900000000081</v>
      </c>
      <c r="G12" s="12"/>
    </row>
    <row r="13" spans="1:7" ht="18" thickBot="1" x14ac:dyDescent="0.4">
      <c r="A13" s="1"/>
      <c r="B13" s="15" t="s">
        <v>22</v>
      </c>
      <c r="C13" s="38">
        <v>76000</v>
      </c>
      <c r="D13" s="63" t="s">
        <v>65</v>
      </c>
      <c r="E13" s="16"/>
      <c r="F13" s="16"/>
      <c r="G13" s="17"/>
    </row>
    <row r="19" spans="1:15" ht="28.5" x14ac:dyDescent="0.25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28.5" x14ac:dyDescent="0.25">
      <c r="A20" s="3" t="s">
        <v>22</v>
      </c>
      <c r="B20" s="3">
        <v>2023</v>
      </c>
      <c r="C20" s="3" t="s">
        <v>26</v>
      </c>
      <c r="D20" s="3" t="s">
        <v>116</v>
      </c>
      <c r="E20" s="4" t="s">
        <v>548</v>
      </c>
      <c r="F20" s="3"/>
      <c r="G20" s="3"/>
      <c r="H20" s="35" t="s">
        <v>65</v>
      </c>
      <c r="I20" s="6">
        <v>28070</v>
      </c>
      <c r="J20" s="35" t="s">
        <v>374</v>
      </c>
    </row>
    <row r="21" spans="1:15" ht="28.5" x14ac:dyDescent="0.25">
      <c r="A21" s="3" t="s">
        <v>22</v>
      </c>
      <c r="B21" s="3">
        <v>2023</v>
      </c>
      <c r="C21" s="3" t="s">
        <v>26</v>
      </c>
      <c r="D21" s="3" t="s">
        <v>113</v>
      </c>
      <c r="E21" s="4" t="s">
        <v>549</v>
      </c>
      <c r="F21" s="3"/>
      <c r="G21" s="3"/>
      <c r="H21" s="35" t="s">
        <v>65</v>
      </c>
      <c r="I21" s="6">
        <v>37420</v>
      </c>
      <c r="J21" s="35" t="s">
        <v>374</v>
      </c>
    </row>
    <row r="22" spans="1:15" ht="28.5" x14ac:dyDescent="0.25">
      <c r="A22" s="3" t="s">
        <v>22</v>
      </c>
      <c r="B22" s="3">
        <v>2023</v>
      </c>
      <c r="C22" s="3" t="s">
        <v>26</v>
      </c>
      <c r="D22" s="3" t="s">
        <v>115</v>
      </c>
      <c r="E22" s="4" t="s">
        <v>551</v>
      </c>
      <c r="F22" s="3"/>
      <c r="G22" s="3"/>
      <c r="H22" s="35" t="s">
        <v>65</v>
      </c>
      <c r="I22" s="6">
        <v>9242.7099999999991</v>
      </c>
      <c r="J22" s="35" t="s">
        <v>162</v>
      </c>
    </row>
    <row r="23" spans="1:15" ht="16.5" thickBot="1" x14ac:dyDescent="0.3">
      <c r="A23" s="3"/>
      <c r="B23" s="3"/>
      <c r="C23" s="3"/>
      <c r="D23" s="3"/>
      <c r="E23" s="4"/>
      <c r="F23" s="3"/>
      <c r="G23" s="3"/>
      <c r="H23" s="35"/>
      <c r="I23" s="6"/>
      <c r="J23" s="35"/>
    </row>
    <row r="24" spans="1:15" x14ac:dyDescent="0.25">
      <c r="A24" s="3"/>
      <c r="B24" s="3"/>
      <c r="C24" s="3"/>
      <c r="D24" s="3"/>
      <c r="E24" s="4"/>
      <c r="F24" s="3"/>
      <c r="G24" s="3"/>
      <c r="H24" s="35"/>
      <c r="I24" s="6"/>
      <c r="J24" s="35"/>
      <c r="N24" s="27" t="s">
        <v>54</v>
      </c>
      <c r="O24" s="28">
        <f>SUMIFS(I20:I51,A20:A51,"Fonctionnement")</f>
        <v>0</v>
      </c>
    </row>
    <row r="25" spans="1:15" x14ac:dyDescent="0.25">
      <c r="A25" s="3"/>
      <c r="B25" s="3"/>
      <c r="C25" s="3"/>
      <c r="D25" s="3"/>
      <c r="E25" s="4"/>
      <c r="F25" s="3"/>
      <c r="G25" s="3"/>
      <c r="H25" s="35"/>
      <c r="I25" s="6"/>
      <c r="J25" s="35"/>
      <c r="N25" s="43" t="s">
        <v>128</v>
      </c>
      <c r="O25" s="30">
        <f>SUMIFS(I20:I51,A20:A51,"Investissement")</f>
        <v>0</v>
      </c>
    </row>
    <row r="26" spans="1:15" x14ac:dyDescent="0.25">
      <c r="A26" s="3"/>
      <c r="B26" s="3"/>
      <c r="C26" s="3"/>
      <c r="D26" s="3"/>
      <c r="E26" s="4"/>
      <c r="F26" s="3"/>
      <c r="G26" s="3"/>
      <c r="H26" s="35"/>
      <c r="I26" s="6"/>
      <c r="J26" s="35"/>
      <c r="N26" s="29" t="s">
        <v>55</v>
      </c>
      <c r="O26" s="30">
        <f>SUMIFS(I20:I52,A20:A52,"Personnel")</f>
        <v>74732.709999999992</v>
      </c>
    </row>
    <row r="27" spans="1:15" ht="16.5" thickBot="1" x14ac:dyDescent="0.3">
      <c r="A27" s="3"/>
      <c r="B27" s="3"/>
      <c r="C27" s="3"/>
      <c r="D27" s="3"/>
      <c r="E27" s="4"/>
      <c r="F27" s="3"/>
      <c r="G27" s="3"/>
      <c r="H27" s="35"/>
      <c r="I27" s="6"/>
      <c r="J27" s="35"/>
      <c r="N27" s="31" t="s">
        <v>58</v>
      </c>
      <c r="O27" s="32">
        <f>O24+O26</f>
        <v>74732.709999999992</v>
      </c>
    </row>
    <row r="28" spans="1:15" x14ac:dyDescent="0.25">
      <c r="A28" s="3"/>
      <c r="B28" s="3"/>
      <c r="C28" s="3"/>
      <c r="D28" s="3"/>
      <c r="E28" s="4"/>
      <c r="F28" s="3"/>
      <c r="G28" s="3"/>
      <c r="H28" s="35"/>
      <c r="I28" s="6"/>
      <c r="J28" s="35"/>
    </row>
    <row r="29" spans="1:15" x14ac:dyDescent="0.25">
      <c r="A29" s="45"/>
      <c r="B29" s="3"/>
      <c r="C29" s="46"/>
      <c r="D29" s="46"/>
      <c r="E29" s="47"/>
      <c r="F29" s="3"/>
      <c r="G29" s="3"/>
      <c r="H29" s="35"/>
      <c r="I29" s="6"/>
      <c r="J29" s="35"/>
    </row>
    <row r="30" spans="1:15" x14ac:dyDescent="0.2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 x14ac:dyDescent="0.2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 x14ac:dyDescent="0.2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 x14ac:dyDescent="0.25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 x14ac:dyDescent="0.25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 x14ac:dyDescent="0.25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 x14ac:dyDescent="0.25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 x14ac:dyDescent="0.25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 x14ac:dyDescent="0.25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 x14ac:dyDescent="0.25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 x14ac:dyDescent="0.25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 x14ac:dyDescent="0.25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 x14ac:dyDescent="0.25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 x14ac:dyDescent="0.25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 x14ac:dyDescent="0.25">
      <c r="A44" s="3"/>
      <c r="B44" s="3"/>
      <c r="C44" s="3"/>
      <c r="D44" s="3"/>
      <c r="E44" s="4"/>
      <c r="F44" s="3"/>
      <c r="G44" s="3"/>
      <c r="H44" s="35"/>
      <c r="I44" s="6"/>
      <c r="J44" s="35"/>
    </row>
    <row r="45" spans="1:10" x14ac:dyDescent="0.25">
      <c r="A45" s="3"/>
      <c r="B45" s="3"/>
      <c r="C45" s="3"/>
      <c r="D45" s="3"/>
      <c r="E45" s="4"/>
      <c r="F45" s="3"/>
      <c r="G45" s="3"/>
      <c r="H45" s="35"/>
      <c r="I45" s="6"/>
      <c r="J45" s="35"/>
    </row>
    <row r="46" spans="1:10" x14ac:dyDescent="0.25">
      <c r="A46" s="3"/>
      <c r="B46" s="3"/>
      <c r="C46" s="3"/>
      <c r="D46" s="3"/>
      <c r="E46" s="4"/>
      <c r="F46" s="3"/>
      <c r="G46" s="3"/>
      <c r="H46" s="35"/>
      <c r="I46" s="6"/>
      <c r="J46" s="35"/>
    </row>
    <row r="47" spans="1:10" x14ac:dyDescent="0.25">
      <c r="A47" s="3"/>
      <c r="B47" s="3"/>
      <c r="C47" s="3"/>
      <c r="D47" s="3"/>
      <c r="E47" s="4"/>
      <c r="F47" s="3"/>
      <c r="G47" s="3"/>
      <c r="H47" s="35"/>
      <c r="I47" s="6"/>
      <c r="J47" s="35"/>
    </row>
    <row r="48" spans="1:10" x14ac:dyDescent="0.25">
      <c r="A48" s="3"/>
      <c r="B48" s="3"/>
      <c r="C48" s="3"/>
      <c r="D48" s="3"/>
      <c r="E48" s="4"/>
      <c r="F48" s="3"/>
      <c r="G48" s="3"/>
      <c r="H48" s="35"/>
      <c r="I48" s="6"/>
      <c r="J48" s="35"/>
    </row>
    <row r="49" spans="1:10" x14ac:dyDescent="0.25">
      <c r="A49" s="3"/>
      <c r="B49" s="3"/>
      <c r="C49" s="3"/>
      <c r="D49" s="3"/>
      <c r="E49" s="4"/>
      <c r="F49" s="3"/>
      <c r="G49" s="3"/>
      <c r="H49" s="35"/>
      <c r="I49" s="6"/>
      <c r="J49" s="35"/>
    </row>
    <row r="57" spans="1:10" ht="16.5" x14ac:dyDescent="0.3">
      <c r="B57" s="89" t="s">
        <v>20</v>
      </c>
      <c r="C57" s="89"/>
    </row>
    <row r="58" spans="1:10" ht="16.5" x14ac:dyDescent="0.3">
      <c r="B58" s="33" t="s">
        <v>58</v>
      </c>
      <c r="C58" s="34">
        <f>O24</f>
        <v>0</v>
      </c>
    </row>
    <row r="59" spans="1:10" ht="16.5" x14ac:dyDescent="0.3">
      <c r="B59" s="33" t="s">
        <v>213</v>
      </c>
      <c r="C59" s="34">
        <f>F10</f>
        <v>8000</v>
      </c>
    </row>
    <row r="61" spans="1:10" ht="16.5" x14ac:dyDescent="0.3">
      <c r="B61" s="89" t="s">
        <v>22</v>
      </c>
      <c r="C61" s="89"/>
    </row>
    <row r="62" spans="1:10" ht="16.5" x14ac:dyDescent="0.3">
      <c r="B62" s="33" t="s">
        <v>58</v>
      </c>
      <c r="C62" s="34">
        <f>O26</f>
        <v>74732.709999999992</v>
      </c>
    </row>
    <row r="63" spans="1:10" ht="16.5" x14ac:dyDescent="0.3">
      <c r="B63" s="33" t="s">
        <v>213</v>
      </c>
      <c r="C63" s="34">
        <f>F12</f>
        <v>1267.2900000000081</v>
      </c>
    </row>
    <row r="65" spans="2:3" ht="16.5" x14ac:dyDescent="0.3">
      <c r="B65" s="89" t="s">
        <v>21</v>
      </c>
      <c r="C65" s="89"/>
    </row>
    <row r="66" spans="2:3" ht="16.5" x14ac:dyDescent="0.3">
      <c r="B66" s="33" t="s">
        <v>58</v>
      </c>
      <c r="C66" s="34">
        <f>O25</f>
        <v>0</v>
      </c>
    </row>
    <row r="67" spans="2:3" ht="16.5" x14ac:dyDescent="0.3">
      <c r="B67" s="33" t="s">
        <v>213</v>
      </c>
      <c r="C67" s="34">
        <f>F11</f>
        <v>0</v>
      </c>
    </row>
  </sheetData>
  <autoFilter ref="A19:J48" xr:uid="{00000000-0009-0000-0000-000008000000}"/>
  <mergeCells count="5">
    <mergeCell ref="B5:G5"/>
    <mergeCell ref="C8:D8"/>
    <mergeCell ref="B57:C57"/>
    <mergeCell ref="B61:C61"/>
    <mergeCell ref="B65:C65"/>
  </mergeCells>
  <conditionalFormatting sqref="A40">
    <cfRule type="cellIs" dxfId="51" priority="2" operator="equal">
      <formula>"OK$J:$J"</formula>
    </cfRule>
  </conditionalFormatting>
  <conditionalFormatting sqref="F20:F28">
    <cfRule type="containsBlanks" dxfId="50" priority="3">
      <formula>LEN(TRIM(F20))=0</formula>
    </cfRule>
  </conditionalFormatting>
  <conditionalFormatting sqref="J1:J1048576">
    <cfRule type="containsText" dxfId="49" priority="1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800-000000000000}">
          <x14:formula1>
            <xm:f>DATA!$F$6:$F$9</xm:f>
          </x14:formula1>
          <xm:sqref>C20:C28 C30:C45 C49</xm:sqref>
        </x14:dataValidation>
        <x14:dataValidation type="list" allowBlank="1" showInputMessage="1" showErrorMessage="1" xr:uid="{00000000-0002-0000-0800-000001000000}">
          <x14:formula1>
            <xm:f>DATA!$D$6:$D$11</xm:f>
          </x14:formula1>
          <xm:sqref>B20:B49</xm:sqref>
        </x14:dataValidation>
        <x14:dataValidation type="list" allowBlank="1" showInputMessage="1" showErrorMessage="1" xr:uid="{00000000-0002-0000-0800-000002000000}">
          <x14:formula1>
            <xm:f>DATA!$A$6:$A$8</xm:f>
          </x14:formula1>
          <xm:sqref>A20:A28 A30:A41 A49</xm:sqref>
        </x14:dataValidation>
        <x14:dataValidation type="list" allowBlank="1" showInputMessage="1" showErrorMessage="1" xr:uid="{00000000-0002-0000-0800-000003000000}">
          <x14:formula1>
            <xm:f>DATA!$H$6:$H$14</xm:f>
          </x14:formula1>
          <xm:sqref>H20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BILAN</vt:lpstr>
      <vt:lpstr>SUBVENTION</vt:lpstr>
      <vt:lpstr>L029</vt:lpstr>
      <vt:lpstr>R23E</vt:lpstr>
      <vt:lpstr>CNV 3491</vt:lpstr>
      <vt:lpstr>CNV 3325</vt:lpstr>
      <vt:lpstr>CNV 3048</vt:lpstr>
      <vt:lpstr>CNV 3180</vt:lpstr>
      <vt:lpstr>CNV 3355</vt:lpstr>
      <vt:lpstr>CNV 3378</vt:lpstr>
      <vt:lpstr>L036</vt:lpstr>
      <vt:lpstr>CIEDS 3479</vt:lpstr>
      <vt:lpstr>CHAIRE BB2B</vt:lpstr>
      <vt:lpstr>CNV 3464</vt:lpstr>
      <vt:lpstr>CNV 3287</vt:lpstr>
      <vt:lpstr>CNV 3182</vt:lpstr>
      <vt:lpstr>CNV 3181</vt:lpstr>
      <vt:lpstr>CNV 3177</vt:lpstr>
      <vt:lpstr>CNV 3141 RD 111</vt:lpstr>
      <vt:lpstr>CNV 3356 RD 122</vt:lpstr>
      <vt:lpstr>CNV 3088</vt:lpstr>
      <vt:lpstr>CNV 3357</vt:lpstr>
      <vt:lpstr>CNV 3286</vt:lpstr>
      <vt:lpstr>CNV 3300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DUCHENNE Tristan</dc:creator>
  <cp:lastModifiedBy>DUCHENNE Tristan</cp:lastModifiedBy>
  <cp:lastPrinted>2023-12-19T13:42:50Z</cp:lastPrinted>
  <dcterms:created xsi:type="dcterms:W3CDTF">2023-10-16T13:50:04Z</dcterms:created>
  <dcterms:modified xsi:type="dcterms:W3CDTF">2024-03-11T15:31:19Z</dcterms:modified>
</cp:coreProperties>
</file>