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 Cursos Clarify\Excel\"/>
    </mc:Choice>
  </mc:AlternateContent>
  <xr:revisionPtr revIDLastSave="0" documentId="13_ncr:1_{64DF0500-45E0-44B4-9CE4-36A0A23237BE}" xr6:coauthVersionLast="47" xr6:coauthVersionMax="47" xr10:uidLastSave="{00000000-0000-0000-0000-000000000000}"/>
  <bookViews>
    <workbookView xWindow="-108" yWindow="-108" windowWidth="16608" windowHeight="9432" tabRatio="935" firstSheet="10" activeTab="18" xr2:uid="{00000000-000D-0000-FFFF-FFFF00000000}"/>
  </bookViews>
  <sheets>
    <sheet name="Minha Primeira Planilha" sheetId="1" r:id="rId1"/>
    <sheet name="MicroCoffee" sheetId="2" r:id="rId2"/>
    <sheet name="Ordem de Cálculo e operadores" sheetId="3" r:id="rId3"/>
    <sheet name="Cotação Escolas" sheetId="4" r:id="rId4"/>
    <sheet name="Material Escolar" sheetId="7" r:id="rId5"/>
    <sheet name="Boletim Escolar" sheetId="5" r:id="rId6"/>
    <sheet name="Loja de Futebol" sheetId="6" r:id="rId7"/>
    <sheet name="Produtos Escolares" sheetId="8" r:id="rId8"/>
    <sheet name="teste extra" sheetId="23" r:id="rId9"/>
    <sheet name="Cantina" sheetId="10" r:id="rId10"/>
    <sheet name="Funções - Parte 1" sheetId="12" r:id="rId11"/>
    <sheet name="escola" sheetId="13" r:id="rId12"/>
    <sheet name="banco" sheetId="14" r:id="rId13"/>
    <sheet name="Funções - Parte 2" sheetId="17" r:id="rId14"/>
    <sheet name="Base1" sheetId="20" r:id="rId15"/>
    <sheet name="Base2" sheetId="21" r:id="rId16"/>
    <sheet name="VendasSCA" sheetId="24" r:id="rId17"/>
    <sheet name="RelatóriosSCA" sheetId="25" r:id="rId18"/>
    <sheet name="Impressão e Gráficos" sheetId="22" r:id="rId19"/>
  </sheets>
  <definedNames>
    <definedName name="_xlnm._FilterDatabase" localSheetId="9" hidden="1">Cantina!$A$2:$D$11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5" l="1"/>
  <c r="E4" i="25"/>
  <c r="E3" i="25"/>
  <c r="E12" i="25"/>
  <c r="E7" i="25"/>
  <c r="E2" i="25"/>
  <c r="B9" i="25"/>
  <c r="B8" i="25"/>
  <c r="B7" i="25"/>
  <c r="B4" i="25"/>
  <c r="B3" i="25"/>
  <c r="B2" i="25"/>
  <c r="D3" i="24"/>
  <c r="D4" i="24"/>
  <c r="D5" i="24"/>
  <c r="D6" i="24"/>
  <c r="D7" i="24"/>
  <c r="D8" i="24"/>
  <c r="D9" i="24"/>
  <c r="D10" i="24"/>
  <c r="D11" i="24"/>
  <c r="D12" i="24"/>
  <c r="G18" i="12"/>
  <c r="G17" i="12"/>
  <c r="B18" i="12"/>
  <c r="B17" i="12"/>
  <c r="B16" i="12"/>
  <c r="F7" i="12"/>
  <c r="F8" i="12"/>
  <c r="F9" i="12"/>
  <c r="F10" i="12"/>
  <c r="F11" i="12"/>
  <c r="F12" i="12"/>
  <c r="F13" i="12"/>
  <c r="F14" i="12"/>
  <c r="F6" i="12"/>
  <c r="G15" i="12"/>
  <c r="F5" i="5"/>
  <c r="F6" i="5"/>
  <c r="F7" i="5"/>
  <c r="F8" i="5"/>
  <c r="F9" i="5"/>
  <c r="F10" i="5"/>
  <c r="F11" i="5"/>
  <c r="F4" i="5"/>
  <c r="F11" i="2"/>
  <c r="F10" i="2"/>
  <c r="F6" i="2"/>
  <c r="F7" i="2"/>
  <c r="F8" i="2"/>
  <c r="F9" i="2"/>
  <c r="F5" i="2"/>
  <c r="D6" i="2"/>
  <c r="D7" i="2"/>
  <c r="D8" i="2"/>
  <c r="D9" i="2"/>
  <c r="D5" i="2"/>
  <c r="D13" i="22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D12" i="22"/>
  <c r="E12" i="22" s="1"/>
  <c r="F12" i="22" s="1"/>
  <c r="G12" i="22" s="1"/>
  <c r="H12" i="22" s="1"/>
  <c r="I12" i="22" s="1"/>
  <c r="J12" i="22" s="1"/>
  <c r="K12" i="22" s="1"/>
  <c r="L12" i="22" s="1"/>
  <c r="M12" i="22" s="1"/>
  <c r="N12" i="22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D10" i="22"/>
  <c r="E10" i="22" s="1"/>
  <c r="F10" i="22" s="1"/>
  <c r="G10" i="22" s="1"/>
  <c r="H10" i="22" s="1"/>
  <c r="I10" i="22" s="1"/>
  <c r="J10" i="22" s="1"/>
  <c r="K10" i="22" s="1"/>
  <c r="L10" i="22" s="1"/>
  <c r="M10" i="22" s="1"/>
  <c r="N10" i="22" s="1"/>
  <c r="D9" i="22"/>
  <c r="E9" i="22" s="1"/>
  <c r="F9" i="22" s="1"/>
  <c r="G9" i="22" s="1"/>
  <c r="H9" i="22" s="1"/>
  <c r="I9" i="22" s="1"/>
  <c r="J9" i="22" s="1"/>
  <c r="K9" i="22" s="1"/>
  <c r="L9" i="22" s="1"/>
  <c r="M9" i="22" s="1"/>
  <c r="N9" i="22" s="1"/>
  <c r="D8" i="22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D7" i="22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D6" i="22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D4" i="22"/>
  <c r="E4" i="22" s="1"/>
  <c r="F4" i="22" s="1"/>
  <c r="G4" i="22" s="1"/>
  <c r="H4" i="22" s="1"/>
  <c r="I4" i="22" s="1"/>
  <c r="J4" i="22" s="1"/>
  <c r="K4" i="22" s="1"/>
  <c r="L4" i="22" s="1"/>
  <c r="M4" i="22" s="1"/>
  <c r="N4" i="22" s="1"/>
  <c r="I15" i="20"/>
  <c r="D5" i="21"/>
  <c r="I18" i="20" s="1"/>
  <c r="D4" i="21"/>
  <c r="I17" i="20" s="1"/>
  <c r="D3" i="21"/>
  <c r="I16" i="20" s="1"/>
  <c r="D2" i="21"/>
  <c r="I12" i="20"/>
  <c r="I13" i="20"/>
  <c r="I11" i="20"/>
  <c r="I10" i="20"/>
  <c r="I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I8" i="20" s="1"/>
  <c r="G6" i="20"/>
  <c r="I7" i="20" s="1"/>
  <c r="G5" i="20"/>
  <c r="G4" i="20"/>
  <c r="I5" i="20" s="1"/>
  <c r="B15" i="17"/>
  <c r="B14" i="17"/>
  <c r="F11" i="17"/>
  <c r="F15" i="17"/>
  <c r="F16" i="17"/>
  <c r="F17" i="17"/>
  <c r="F14" i="17"/>
  <c r="F5" i="17"/>
  <c r="F6" i="17"/>
  <c r="D16" i="17" s="1"/>
  <c r="F7" i="17"/>
  <c r="F8" i="17"/>
  <c r="F9" i="17"/>
  <c r="D15" i="17" s="1"/>
  <c r="F10" i="17"/>
  <c r="F4" i="17"/>
  <c r="D14" i="17" s="1"/>
  <c r="B10" i="25" l="1"/>
  <c r="D17" i="17"/>
  <c r="F11" i="13" l="1"/>
  <c r="D11" i="13"/>
  <c r="G6" i="13"/>
  <c r="H6" i="13" s="1"/>
  <c r="G7" i="13"/>
  <c r="H7" i="13" s="1"/>
  <c r="G8" i="13"/>
  <c r="H8" i="13" s="1"/>
  <c r="G9" i="13"/>
  <c r="H9" i="13" s="1"/>
  <c r="G10" i="13"/>
  <c r="H10" i="13" s="1"/>
  <c r="G5" i="13"/>
  <c r="H5" i="13" s="1"/>
  <c r="H11" i="13" l="1"/>
  <c r="B10" i="7"/>
  <c r="D5" i="7"/>
  <c r="F5" i="7" s="1"/>
  <c r="D6" i="7"/>
  <c r="F6" i="7" s="1"/>
  <c r="D7" i="7"/>
  <c r="F7" i="7" s="1"/>
  <c r="D8" i="7"/>
  <c r="F8" i="7" s="1"/>
  <c r="D9" i="7"/>
  <c r="F9" i="7" s="1"/>
  <c r="D4" i="7"/>
  <c r="F4" i="7" s="1"/>
  <c r="K7" i="4"/>
  <c r="K8" i="4"/>
  <c r="K9" i="4"/>
  <c r="K6" i="4"/>
  <c r="I7" i="4"/>
  <c r="I8" i="4"/>
  <c r="H10" i="4" s="1"/>
  <c r="I9" i="4"/>
  <c r="I6" i="4"/>
  <c r="G7" i="4"/>
  <c r="G8" i="4"/>
  <c r="G9" i="4"/>
  <c r="G6" i="4"/>
  <c r="F10" i="4" s="1"/>
  <c r="E7" i="4"/>
  <c r="E8" i="4"/>
  <c r="E9" i="4"/>
  <c r="E6" i="4"/>
  <c r="B8" i="3"/>
  <c r="B7" i="3"/>
  <c r="B6" i="3"/>
  <c r="B5" i="3"/>
  <c r="B4" i="3"/>
  <c r="J10" i="4" l="1"/>
  <c r="D10" i="4"/>
  <c r="F10" i="7"/>
  <c r="B7" i="14"/>
  <c r="D5" i="14" s="1"/>
  <c r="F5" i="14" s="1"/>
  <c r="H5" i="14" s="1"/>
  <c r="B9" i="14"/>
  <c r="B11" i="14"/>
  <c r="D6" i="14" l="1"/>
  <c r="E6" i="14" l="1"/>
  <c r="F6" i="14" s="1"/>
  <c r="G6" i="14" l="1"/>
  <c r="H6" i="14"/>
  <c r="D7" i="14" l="1"/>
  <c r="E7" i="14" l="1"/>
  <c r="F7" i="14" s="1"/>
  <c r="G7" i="14" l="1"/>
  <c r="H7" i="14" s="1"/>
  <c r="D8" i="14" l="1"/>
  <c r="E8" i="14" l="1"/>
  <c r="F8" i="14" s="1"/>
  <c r="G8" i="14" l="1"/>
  <c r="H8" i="14" s="1"/>
  <c r="D9" i="14" l="1"/>
  <c r="E9" i="14" l="1"/>
  <c r="F9" i="14" s="1"/>
  <c r="G9" i="14" l="1"/>
  <c r="H9" i="14" s="1"/>
  <c r="D10" i="14" l="1"/>
  <c r="E10" i="14" l="1"/>
  <c r="F10" i="14" s="1"/>
  <c r="G10" i="14" l="1"/>
  <c r="H10" i="14" s="1"/>
  <c r="D11" i="14" s="1"/>
  <c r="E11" i="14" l="1"/>
  <c r="F11" i="14" s="1"/>
  <c r="G11" i="14" l="1"/>
  <c r="H11" i="14" s="1"/>
  <c r="D12" i="14" s="1"/>
  <c r="E12" i="14" l="1"/>
  <c r="F12" i="14" s="1"/>
  <c r="G12" i="14" l="1"/>
  <c r="H12" i="14"/>
  <c r="D13" i="14" s="1"/>
  <c r="E13" i="14" l="1"/>
  <c r="F13" i="14"/>
  <c r="G13" i="14" l="1"/>
  <c r="H13" i="14" s="1"/>
  <c r="D14" i="14" s="1"/>
  <c r="E14" i="14" l="1"/>
  <c r="F14" i="14"/>
  <c r="G14" i="14" l="1"/>
  <c r="H14" i="14" s="1"/>
  <c r="D15" i="14" s="1"/>
  <c r="E15" i="14" l="1"/>
  <c r="F15" i="14" s="1"/>
  <c r="G15" i="14" l="1"/>
  <c r="H15" i="14" s="1"/>
  <c r="D16" i="14" s="1"/>
  <c r="E16" i="14" l="1"/>
  <c r="F16" i="14" s="1"/>
  <c r="G16" i="14" l="1"/>
  <c r="H16" i="14"/>
  <c r="D17" i="14" s="1"/>
  <c r="E17" i="14" s="1"/>
  <c r="F17" i="14" s="1"/>
  <c r="G17" i="14" l="1"/>
  <c r="H17" i="14" s="1"/>
  <c r="D18" i="14" l="1"/>
  <c r="E18" i="14" s="1"/>
  <c r="F18" i="14" s="1"/>
  <c r="G18" i="14" l="1"/>
  <c r="H18" i="14"/>
  <c r="D19" i="14" l="1"/>
  <c r="E19" i="14" l="1"/>
  <c r="F19" i="14" s="1"/>
  <c r="G19" i="14" l="1"/>
  <c r="H19" i="14"/>
  <c r="D20" i="14" l="1"/>
  <c r="E20" i="14" s="1"/>
  <c r="F20" i="14" s="1"/>
  <c r="G20" i="14" s="1"/>
  <c r="H20" i="14" s="1"/>
  <c r="D21" i="14" s="1"/>
  <c r="E21" i="14" s="1"/>
  <c r="F21" i="14" s="1"/>
  <c r="G21" i="14" l="1"/>
  <c r="H21" i="14" s="1"/>
  <c r="D22" i="14" s="1"/>
  <c r="E22" i="14" s="1"/>
  <c r="F22" i="14" s="1"/>
  <c r="G22" i="14" s="1"/>
  <c r="H22" i="14" s="1"/>
  <c r="D23" i="14" s="1"/>
  <c r="E23" i="14" s="1"/>
  <c r="F23" i="14" s="1"/>
  <c r="G23" i="14" l="1"/>
  <c r="H23" i="14"/>
  <c r="D24" i="14" s="1"/>
  <c r="E24" i="14" l="1"/>
  <c r="F24" i="14"/>
  <c r="G24" i="14" s="1"/>
  <c r="H24" i="14" s="1"/>
  <c r="D25" i="14" s="1"/>
  <c r="E25" i="14" l="1"/>
  <c r="F25" i="14" s="1"/>
  <c r="G25" i="14" l="1"/>
  <c r="H25" i="14" s="1"/>
  <c r="D26" i="14" s="1"/>
  <c r="E26" i="14" s="1"/>
  <c r="F26" i="14" s="1"/>
  <c r="G26" i="14" s="1"/>
  <c r="H26" i="14" s="1"/>
  <c r="D27" i="14" s="1"/>
  <c r="E27" i="14" s="1"/>
  <c r="F27" i="14" s="1"/>
  <c r="G27" i="14" s="1"/>
  <c r="H27" i="14" s="1"/>
  <c r="D28" i="14" s="1"/>
  <c r="E28" i="14" l="1"/>
  <c r="F28" i="14"/>
  <c r="G28" i="14" s="1"/>
  <c r="H28" i="14" s="1"/>
  <c r="A20" i="14" l="1"/>
  <c r="A14" i="14"/>
</calcChain>
</file>

<file path=xl/sharedStrings.xml><?xml version="1.0" encoding="utf-8"?>
<sst xmlns="http://schemas.openxmlformats.org/spreadsheetml/2006/main" count="510" uniqueCount="318">
  <si>
    <t>LISTA DE ALUNOS QUE PARTICIPARÃO DA EXCURSÃO ESCOLAR</t>
  </si>
  <si>
    <t>Nome</t>
  </si>
  <si>
    <t>Endereço</t>
  </si>
  <si>
    <t>Nascimento</t>
  </si>
  <si>
    <t>Responsável</t>
  </si>
  <si>
    <t>Telefone</t>
  </si>
  <si>
    <t>André Pinheiro</t>
  </si>
  <si>
    <t>R. Rio de Ouro, 269</t>
  </si>
  <si>
    <t>Silvia N. Pinheiro</t>
  </si>
  <si>
    <t>Daniela Araújo</t>
  </si>
  <si>
    <t>R. L. Vasconcelos, 17</t>
  </si>
  <si>
    <t>Aroldo Araújo</t>
  </si>
  <si>
    <t>Pedro Ricardo</t>
  </si>
  <si>
    <t>Av. Diogo Feijó, 1220</t>
  </si>
  <si>
    <t>Patricia Ricardo</t>
  </si>
  <si>
    <t>Simone Ferla</t>
  </si>
  <si>
    <t>R. Campos Sales, 43</t>
  </si>
  <si>
    <t>Márcio Ferla</t>
  </si>
  <si>
    <t>Quantidade</t>
  </si>
  <si>
    <t>Descrição</t>
  </si>
  <si>
    <t>Valor Unitário</t>
  </si>
  <si>
    <t>Valor Parcial</t>
  </si>
  <si>
    <t>Taxas</t>
  </si>
  <si>
    <t>Total a Pagar</t>
  </si>
  <si>
    <t>Pacotes de Pães de Queijo</t>
  </si>
  <si>
    <t>Pacotes de Fruta Congelada</t>
  </si>
  <si>
    <t>Salgados Diversos</t>
  </si>
  <si>
    <t>Kilos de Café</t>
  </si>
  <si>
    <t>TOTAL PARCIAL</t>
  </si>
  <si>
    <t>TOTAL DA NOTA</t>
  </si>
  <si>
    <t>ICMS</t>
  </si>
  <si>
    <t>ORDEM DE CÁLCULO</t>
  </si>
  <si>
    <t>EQUAÇÃO</t>
  </si>
  <si>
    <t>RESULTADO</t>
  </si>
  <si>
    <t>9+3*2^2</t>
  </si>
  <si>
    <t>5+3-2+4-2</t>
  </si>
  <si>
    <t>3*(3+2)</t>
  </si>
  <si>
    <t>6*(3+3-4)/((2+3)*(2+4))</t>
  </si>
  <si>
    <t>2^(4+2-3)/(((6+5)*3)/2)</t>
  </si>
  <si>
    <t>COTAÇÃO ESCOLAS DE INFORMÁTICA</t>
  </si>
  <si>
    <t>Cursos</t>
  </si>
  <si>
    <t>Nº de Alunos</t>
  </si>
  <si>
    <t>Microcops</t>
  </si>
  <si>
    <t>Microlines</t>
  </si>
  <si>
    <t>MicroStars</t>
  </si>
  <si>
    <t>MicroWork</t>
  </si>
  <si>
    <t>Valor por Aluno</t>
  </si>
  <si>
    <t>Total do Curso</t>
  </si>
  <si>
    <t>TOTAL A SER INVESTIDO NOS 4 CURSOS</t>
  </si>
  <si>
    <t>MS Word</t>
  </si>
  <si>
    <t>MS Excel</t>
  </si>
  <si>
    <t>MS Power Point</t>
  </si>
  <si>
    <t>Ms Access</t>
  </si>
  <si>
    <t>Avaliações do Primeiro Trimestre de 2021</t>
  </si>
  <si>
    <t>PARTICIPAÇÃO</t>
  </si>
  <si>
    <t>TRABALHO</t>
  </si>
  <si>
    <t>AVALIAÇÃO I</t>
  </si>
  <si>
    <t>AVALIAÇÃO II</t>
  </si>
  <si>
    <t>MÉDIA</t>
  </si>
  <si>
    <t>MATEMÁTICA</t>
  </si>
  <si>
    <t>HISTÓRIA</t>
  </si>
  <si>
    <t>PORTUGUÊS</t>
  </si>
  <si>
    <t>GEOGRAFIA</t>
  </si>
  <si>
    <t>CIÊNCIAS</t>
  </si>
  <si>
    <t>ED. ARTÍSTICA</t>
  </si>
  <si>
    <t>ED. FÍSICA</t>
  </si>
  <si>
    <t>INFORMÁTICA</t>
  </si>
  <si>
    <t>OS 4 GRANDES SOCCER STORE</t>
  </si>
  <si>
    <t>RELAÇÃO DE COMPRAS</t>
  </si>
  <si>
    <t>CLIENTE</t>
  </si>
  <si>
    <t>MARCELO CARIOCA</t>
  </si>
  <si>
    <t>DATA</t>
  </si>
  <si>
    <t>DESCRIÇÃO</t>
  </si>
  <si>
    <t>QUANTIDADE</t>
  </si>
  <si>
    <t>VALOR UNITÁRIO</t>
  </si>
  <si>
    <t>VALOR TOTAL</t>
  </si>
  <si>
    <t>DESCONTO</t>
  </si>
  <si>
    <t>VALOR FINAL</t>
  </si>
  <si>
    <t>AGASALHO ED. FÍSICA</t>
  </si>
  <si>
    <t>MEIA LONGA FUTEBOL</t>
  </si>
  <si>
    <t>UNIFORME - CALÇÃO</t>
  </si>
  <si>
    <t>UNIFORME - CAMISA</t>
  </si>
  <si>
    <t>UNIFORME - CHUTEIRA</t>
  </si>
  <si>
    <t>MATERIAL - BOLA</t>
  </si>
  <si>
    <t>MATERIAL - LUVAS</t>
  </si>
  <si>
    <t>MATERIAL - BANDEIRAS</t>
  </si>
  <si>
    <t>TOTAL A PAGAR</t>
  </si>
  <si>
    <t>MATERIAL ESCOLAR</t>
  </si>
  <si>
    <t>ITEM</t>
  </si>
  <si>
    <t>PREÇO UNITÁRIO</t>
  </si>
  <si>
    <t>TOTAL</t>
  </si>
  <si>
    <t>LÍQUIDO</t>
  </si>
  <si>
    <t>LÁPIS</t>
  </si>
  <si>
    <t>CANETA</t>
  </si>
  <si>
    <t>BORRACHA</t>
  </si>
  <si>
    <t>RÉGUA</t>
  </si>
  <si>
    <t>CADERNO</t>
  </si>
  <si>
    <t>LIVRO</t>
  </si>
  <si>
    <t>Produtos Escolares</t>
  </si>
  <si>
    <t>Preço Unitário</t>
  </si>
  <si>
    <t>Data Cotação</t>
  </si>
  <si>
    <t>Apontador com depósito 25 unidades</t>
  </si>
  <si>
    <t>Caneta esferográfica 50 unidades</t>
  </si>
  <si>
    <t>Fichário - Unidade</t>
  </si>
  <si>
    <t>Mochila com Rodas</t>
  </si>
  <si>
    <t>Compasso</t>
  </si>
  <si>
    <t>Caderno Universitário</t>
  </si>
  <si>
    <t>Borracha unidade</t>
  </si>
  <si>
    <t>Lápis preto nº2</t>
  </si>
  <si>
    <t>Cola de bastão 6 unidades</t>
  </si>
  <si>
    <t>Lápis de cor - 48 unidades</t>
  </si>
  <si>
    <t>Agenda Diária</t>
  </si>
  <si>
    <t>Caneta hidrográfica - 12 cores</t>
  </si>
  <si>
    <t>Valor Combo</t>
  </si>
  <si>
    <t>Cheese Frango</t>
  </si>
  <si>
    <t>Pão, Frango, Queijo, Alface, Tomate</t>
  </si>
  <si>
    <t>Cheese Salada</t>
  </si>
  <si>
    <t>Lanche Natural</t>
  </si>
  <si>
    <t>Pão, Salame, Tomate, Cenoura, Maionese</t>
  </si>
  <si>
    <t>Pão, Hamburguer, Maionese, Alface, Tomate</t>
  </si>
  <si>
    <t>Bauru</t>
  </si>
  <si>
    <t>Pão, Maionese, Presunto, Queijo, Tomate</t>
  </si>
  <si>
    <t>Cheese Tudo</t>
  </si>
  <si>
    <t>Pão, Maionese, Filé, Queijo, Presunto, Alface, Tomate, Milho e Ervilha</t>
  </si>
  <si>
    <t>Cheese Burguer</t>
  </si>
  <si>
    <t>Pão, Maionese, Hamburguer e Queijo</t>
  </si>
  <si>
    <t>Cheese Picanha</t>
  </si>
  <si>
    <t>Pão, Maionese, Picanha, Queijo, Alface e Tomate</t>
  </si>
  <si>
    <t>Hot Dog Simples</t>
  </si>
  <si>
    <t>Pão, Maionese, Molho, Salsicha e Mostarda</t>
  </si>
  <si>
    <t>Dog Super</t>
  </si>
  <si>
    <t>Pão, Maionese, Molho, 2 Salsichas, ervilha, milho, Mostarda e Batata Palha</t>
  </si>
  <si>
    <t>ALUNO: JOSÉ DIAS</t>
  </si>
  <si>
    <t>AVALIAÇÃO PERIÓDICA</t>
  </si>
  <si>
    <t>AVALIAÇÃO FINAL</t>
  </si>
  <si>
    <t>N° DE FALTAS</t>
  </si>
  <si>
    <t>Disciplinas</t>
  </si>
  <si>
    <t>LÍNGUA PORTUGUESA</t>
  </si>
  <si>
    <t>EDUCAÇÃO ARTÍSTICA</t>
  </si>
  <si>
    <t>EDUCAÇÃO FÍSICA</t>
  </si>
  <si>
    <t>ENSINO RELIGIOSO</t>
  </si>
  <si>
    <t>TOTAL FALTAS</t>
  </si>
  <si>
    <t>MAIOR NOTA</t>
  </si>
  <si>
    <t>AULAS DADAS</t>
  </si>
  <si>
    <t>MENOR NOTA</t>
  </si>
  <si>
    <t>TOTAL FALTAS ( % )</t>
  </si>
  <si>
    <t>MÉDIA GERAL</t>
  </si>
  <si>
    <t>SITUAÇÃO</t>
  </si>
  <si>
    <t>SITUAÇÃO FINAL ALUNOS 1º ANO</t>
  </si>
  <si>
    <t xml:space="preserve">MÉDIAS DE TODAS AS MATÉRIAS </t>
  </si>
  <si>
    <t>NUMERO</t>
  </si>
  <si>
    <t>NOME</t>
  </si>
  <si>
    <t xml:space="preserve">MÉDIA FINAL </t>
  </si>
  <si>
    <t>SITUAÇÃO FINAL</t>
  </si>
  <si>
    <t xml:space="preserve">BÁRBARA GUERRA </t>
  </si>
  <si>
    <t>SAMANTA DIAS</t>
  </si>
  <si>
    <t>RESULTADOS</t>
  </si>
  <si>
    <t>RESULTADO DA SALA</t>
  </si>
  <si>
    <t>MAIOR</t>
  </si>
  <si>
    <t>MENOR</t>
  </si>
  <si>
    <t>MÉDIA SALA</t>
  </si>
  <si>
    <t/>
  </si>
  <si>
    <t>PARCELA MÉDIA</t>
  </si>
  <si>
    <t>MENOR PARCELA</t>
  </si>
  <si>
    <t>MAIOR PARCELA</t>
  </si>
  <si>
    <t>TOTAL FINANCIADO</t>
  </si>
  <si>
    <t>TAXAS</t>
  </si>
  <si>
    <t>JUROS</t>
  </si>
  <si>
    <t>VALOR INICIAL</t>
  </si>
  <si>
    <t>PARCELAS</t>
  </si>
  <si>
    <t>PARCELA</t>
  </si>
  <si>
    <t>VALOR</t>
  </si>
  <si>
    <t>EMPRÉSTIMO BANCARIO</t>
  </si>
  <si>
    <t>JOSÉ DIAS</t>
  </si>
  <si>
    <t>REGINALDO ROZZI</t>
  </si>
  <si>
    <t xml:space="preserve">SÁLVIO SANTOS </t>
  </si>
  <si>
    <t>ZULEIKA PIMENTA</t>
  </si>
  <si>
    <t>1ºTRIM</t>
  </si>
  <si>
    <t>2ºTRIM</t>
  </si>
  <si>
    <t>3ºTRIM</t>
  </si>
  <si>
    <t xml:space="preserve">VEÍCULO </t>
  </si>
  <si>
    <t>SETOR</t>
  </si>
  <si>
    <t xml:space="preserve">VENDEDOR </t>
  </si>
  <si>
    <t xml:space="preserve">MÊS </t>
  </si>
  <si>
    <t xml:space="preserve">VALOR </t>
  </si>
  <si>
    <t xml:space="preserve">COMISSÃO </t>
  </si>
  <si>
    <t>PALIO 1.0 4P</t>
  </si>
  <si>
    <t>USADOS</t>
  </si>
  <si>
    <t>MARCELO</t>
  </si>
  <si>
    <t>JANEIRO</t>
  </si>
  <si>
    <t>HB20 1.6 16V 4P</t>
  </si>
  <si>
    <t>0 KM</t>
  </si>
  <si>
    <t>PATRÍCIA</t>
  </si>
  <si>
    <t>CIVIC 2.0 2P</t>
  </si>
  <si>
    <t>PEDRO</t>
  </si>
  <si>
    <t>MARÇO</t>
  </si>
  <si>
    <t>MONTANA 2.0 4P</t>
  </si>
  <si>
    <t>RENATA</t>
  </si>
  <si>
    <t>ABRIL</t>
  </si>
  <si>
    <t>IX35 2.0 16V 4P</t>
  </si>
  <si>
    <t>PEUGEOT 206 1.4 4P</t>
  </si>
  <si>
    <t>ELANTRA 2.0 16V 4P</t>
  </si>
  <si>
    <t>MAIO</t>
  </si>
  <si>
    <t>BEATLE 2.0 16V 4P TURBO</t>
  </si>
  <si>
    <t>VENDAS DE VEÍCULOS DO PRIMEIRO SEMESTRE</t>
  </si>
  <si>
    <t>4ºTRIM</t>
  </si>
  <si>
    <t>CORREÇÕES</t>
  </si>
  <si>
    <t>MÉDIA DE VENDAS POR SETOR</t>
  </si>
  <si>
    <t xml:space="preserve">PREMIO DOS VENDEDORES </t>
  </si>
  <si>
    <t xml:space="preserve">VENDAS POR PERIODO </t>
  </si>
  <si>
    <t>Comissões</t>
  </si>
  <si>
    <t>VENDAS DE VEÍCULOS DO SEGUNDO SEMESTRE</t>
  </si>
  <si>
    <t>JULHO</t>
  </si>
  <si>
    <t>TOTAL COMISSÕES</t>
  </si>
  <si>
    <t>FERRARI F40 16V 2P TURBO</t>
  </si>
  <si>
    <t>AGOSTO</t>
  </si>
  <si>
    <t>IX35 2.0 16V 4P TRIO</t>
  </si>
  <si>
    <t>AUDI A4 16V 4P</t>
  </si>
  <si>
    <t>CAMARO 16V 4P TURBO</t>
  </si>
  <si>
    <t>TOTAL VENDAS</t>
  </si>
  <si>
    <t>ELANTRA 2.0 16V 4P TRIO</t>
  </si>
  <si>
    <t>SETEMBRO</t>
  </si>
  <si>
    <t>HB20 1.6 16V 4P AUTO TRIO</t>
  </si>
  <si>
    <t>OUTUBRO</t>
  </si>
  <si>
    <t>ATINGIU A META ?</t>
  </si>
  <si>
    <t>NOVEMBRO</t>
  </si>
  <si>
    <t>DEZEMBRO</t>
  </si>
  <si>
    <t>META DE VENDAS DO SEMESTRE</t>
  </si>
  <si>
    <t>ESTADO</t>
  </si>
  <si>
    <t>RJ</t>
  </si>
  <si>
    <t>SP</t>
  </si>
  <si>
    <t>MG</t>
  </si>
  <si>
    <t>ES</t>
  </si>
  <si>
    <t>UNIDADES VENDAS</t>
  </si>
  <si>
    <t xml:space="preserve"> Bônus de desempenho dado aos funcionários da empresa S/A em 2020</t>
  </si>
  <si>
    <t>DPTO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</si>
  <si>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</si>
  <si>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</si>
  <si>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</si>
  <si>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</si>
  <si>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</si>
  <si>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</si>
  <si>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</si>
  <si>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</si>
  <si>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</si>
  <si>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</si>
  <si>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</si>
  <si>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</si>
  <si>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</si>
  <si>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ALBERTO</t>
  </si>
  <si>
    <t>VENDAS</t>
  </si>
  <si>
    <t>FERNANDO</t>
  </si>
  <si>
    <t>JACIRA</t>
  </si>
  <si>
    <t>JOSÉ CARLOS</t>
  </si>
  <si>
    <t>TI</t>
  </si>
  <si>
    <t>MARTA</t>
  </si>
  <si>
    <t>MKT</t>
  </si>
  <si>
    <t>RAFAEL</t>
  </si>
  <si>
    <t>RICARDO</t>
  </si>
  <si>
    <t>RUTE</t>
  </si>
  <si>
    <t>APOIO</t>
  </si>
  <si>
    <t>VAGNER</t>
  </si>
  <si>
    <t>VALTER</t>
  </si>
  <si>
    <t>Tabela Acréscimo bônus mensal</t>
  </si>
  <si>
    <t>Copos de Chá Mate</t>
  </si>
  <si>
    <t>InfoCoffee Lan House</t>
  </si>
  <si>
    <t>HIERARQUIA</t>
  </si>
  <si>
    <t>SOMA OU SUBTRAÇÃO</t>
  </si>
  <si>
    <t>MULT OU DIVISÃO</t>
  </si>
  <si>
    <t xml:space="preserve"> ^EXPONENCIAÇÃO</t>
  </si>
  <si>
    <t>PORCENTAGEM%</t>
  </si>
  <si>
    <t>OPERADORES ARITMÉTICOS</t>
  </si>
  <si>
    <t>OPERADORES DE COMPARAÇÃO</t>
  </si>
  <si>
    <t>-SUBTRAÇÃO</t>
  </si>
  <si>
    <t>+SOMA</t>
  </si>
  <si>
    <t>/DIVISÃO</t>
  </si>
  <si>
    <t>*MULTIPLICAÇÃO</t>
  </si>
  <si>
    <t>^EXPONENCIAÇÃO</t>
  </si>
  <si>
    <t>%PORCENTAGEM</t>
  </si>
  <si>
    <t>=IGUAL</t>
  </si>
  <si>
    <t>&gt;MAIOR</t>
  </si>
  <si>
    <t>&lt;MENOR</t>
  </si>
  <si>
    <t>&gt;=MAIOR OU IGUAL</t>
  </si>
  <si>
    <t>&lt;=MENOR OU IGUAL</t>
  </si>
  <si>
    <t>&lt;&gt;DIFERENTE</t>
  </si>
  <si>
    <t>ANDRÉ PINHEIRO ___________________ DISCIPLINAS</t>
  </si>
  <si>
    <t>ESCOLA SEETECH DE ENSINO - 9º ANO FUNDAMENTAL</t>
  </si>
  <si>
    <t>Cantina Manggiare</t>
  </si>
  <si>
    <t>ESCOLA SEETECH - AVALIAÇÃO PRIMEIRO TRIMESTRE DE 2023</t>
  </si>
  <si>
    <t>VALOR DO PRÊMIO</t>
  </si>
  <si>
    <t>VENDEDOR</t>
  </si>
  <si>
    <t>DEPARTAMENTO</t>
  </si>
  <si>
    <t>VALOR DA VENDA (R$)</t>
  </si>
  <si>
    <t>COLOCAÇÃO</t>
  </si>
  <si>
    <t>CONCESSIONÁRIA SEU CARRO É AQUI</t>
  </si>
  <si>
    <t>MARLI VIEIRA</t>
  </si>
  <si>
    <t>ISENÇÕES</t>
  </si>
  <si>
    <t>HOMERO GAMBERIN</t>
  </si>
  <si>
    <t>MIRIAM HASHIMOTO</t>
  </si>
  <si>
    <t>ZERO KM</t>
  </si>
  <si>
    <t>LUCI PEREIRA</t>
  </si>
  <si>
    <t>MARCELA GIANOTTI</t>
  </si>
  <si>
    <t>ARLETE FARIAS</t>
  </si>
  <si>
    <t>BEATRIZ DOMINGUES</t>
  </si>
  <si>
    <t>CAMILA GONÇALVES</t>
  </si>
  <si>
    <t>ROGÉRIO HANIBAL JÚNIOR</t>
  </si>
  <si>
    <t>KATIA DOMENICA LIRA</t>
  </si>
  <si>
    <t>NÃO VENDERAM</t>
  </si>
  <si>
    <t>VENDERAM</t>
  </si>
  <si>
    <t>PREMIADOS</t>
  </si>
  <si>
    <t>NÚMERO DE VENDEDORES</t>
  </si>
  <si>
    <t>TOTAL VENDEDORES</t>
  </si>
  <si>
    <t>GANHADORES</t>
  </si>
  <si>
    <t>MÉDIA DE VENDAS</t>
  </si>
  <si>
    <t>MÉDIA NÃO GANHADORES</t>
  </si>
  <si>
    <t>&lt;=130000</t>
  </si>
  <si>
    <t>&gt;=130000</t>
  </si>
  <si>
    <t>SOMA VENDAS GANHADORES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</si>
</sst>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416]d\-mmm\-yy;@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9"/>
      <name val="Calibri"/>
      <family val="2"/>
      <scheme val="minor"/>
    </font>
    <font>
      <sz val="8"/>
      <color theme="9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Arial"/>
      <family val="2"/>
    </font>
    <font>
      <sz val="36"/>
      <color theme="1"/>
      <name val="Arial"/>
      <family val="2"/>
    </font>
    <font>
      <b/>
      <sz val="18"/>
      <color rgb="FF000000"/>
      <name val="Arial"/>
      <family val="2"/>
    </font>
    <font>
      <sz val="14"/>
      <color theme="0"/>
      <name val="Arial"/>
      <family val="2"/>
    </font>
    <font>
      <sz val="9"/>
      <color rgb="FF00000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BB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</cellStyleXfs>
  <cellXfs count="30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textRotation="45" wrapText="1"/>
    </xf>
    <xf numFmtId="0" fontId="0" fillId="0" borderId="12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textRotation="45" shrinkToFit="1"/>
    </xf>
    <xf numFmtId="0" fontId="0" fillId="0" borderId="17" xfId="0" applyBorder="1"/>
    <xf numFmtId="0" fontId="0" fillId="0" borderId="26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6" fillId="0" borderId="1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45" shrinkToFit="1"/>
    </xf>
    <xf numFmtId="0" fontId="0" fillId="0" borderId="35" xfId="0" applyBorder="1" applyAlignment="1">
      <alignment horizontal="center" vertical="center" textRotation="45" shrinkToFit="1"/>
    </xf>
    <xf numFmtId="0" fontId="0" fillId="0" borderId="0" xfId="0" applyAlignment="1">
      <alignment horizontal="center" vertical="center" textRotation="45" shrinkToFit="1"/>
    </xf>
    <xf numFmtId="0" fontId="0" fillId="0" borderId="36" xfId="0" applyBorder="1" applyAlignment="1">
      <alignment horizontal="center" vertical="center" textRotation="45" shrinkToFit="1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36" xfId="0" applyBorder="1"/>
    <xf numFmtId="164" fontId="0" fillId="0" borderId="25" xfId="0" applyNumberFormat="1" applyBorder="1"/>
    <xf numFmtId="165" fontId="0" fillId="0" borderId="31" xfId="0" applyNumberFormat="1" applyBorder="1"/>
    <xf numFmtId="165" fontId="0" fillId="0" borderId="27" xfId="0" applyNumberFormat="1" applyBorder="1"/>
    <xf numFmtId="165" fontId="0" fillId="0" borderId="16" xfId="0" applyNumberFormat="1" applyBorder="1"/>
    <xf numFmtId="164" fontId="0" fillId="0" borderId="16" xfId="0" applyNumberFormat="1" applyBorder="1"/>
    <xf numFmtId="165" fontId="0" fillId="0" borderId="23" xfId="0" applyNumberFormat="1" applyBorder="1"/>
    <xf numFmtId="0" fontId="0" fillId="0" borderId="23" xfId="0" applyBorder="1"/>
    <xf numFmtId="0" fontId="0" fillId="0" borderId="39" xfId="0" applyBorder="1"/>
    <xf numFmtId="164" fontId="0" fillId="0" borderId="24" xfId="0" applyNumberFormat="1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textRotation="55" shrinkToFit="1"/>
    </xf>
    <xf numFmtId="0" fontId="0" fillId="0" borderId="16" xfId="0" applyBorder="1" applyAlignment="1">
      <alignment textRotation="55" shrinkToFit="1"/>
    </xf>
    <xf numFmtId="0" fontId="0" fillId="0" borderId="42" xfId="0" applyBorder="1" applyAlignment="1">
      <alignment textRotation="55" shrinkToFit="1"/>
    </xf>
    <xf numFmtId="0" fontId="0" fillId="0" borderId="28" xfId="0" applyBorder="1" applyAlignment="1">
      <alignment textRotation="55"/>
    </xf>
    <xf numFmtId="165" fontId="0" fillId="0" borderId="32" xfId="0" applyNumberFormat="1" applyBorder="1"/>
    <xf numFmtId="165" fontId="0" fillId="0" borderId="26" xfId="0" applyNumberFormat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164" fontId="0" fillId="0" borderId="13" xfId="0" applyNumberFormat="1" applyBorder="1"/>
    <xf numFmtId="164" fontId="0" fillId="0" borderId="26" xfId="0" applyNumberFormat="1" applyBorder="1"/>
    <xf numFmtId="9" fontId="0" fillId="0" borderId="29" xfId="0" applyNumberFormat="1" applyBorder="1" applyAlignment="1">
      <alignment horizontal="center" vertical="center"/>
    </xf>
    <xf numFmtId="10" fontId="0" fillId="2" borderId="29" xfId="0" applyNumberFormat="1" applyFill="1" applyBorder="1"/>
    <xf numFmtId="10" fontId="0" fillId="0" borderId="29" xfId="0" applyNumberFormat="1" applyBorder="1" applyAlignment="1">
      <alignment horizontal="center" vertical="center"/>
    </xf>
    <xf numFmtId="0" fontId="8" fillId="0" borderId="0" xfId="0" applyFont="1"/>
    <xf numFmtId="0" fontId="9" fillId="6" borderId="8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0" fillId="0" borderId="1" xfId="0" applyBorder="1" applyAlignment="1">
      <alignment shrinkToFit="1"/>
    </xf>
    <xf numFmtId="0" fontId="0" fillId="0" borderId="4" xfId="0" applyBorder="1" applyAlignment="1">
      <alignment horizontal="center" vertical="center"/>
    </xf>
    <xf numFmtId="0" fontId="12" fillId="0" borderId="0" xfId="1"/>
    <xf numFmtId="0" fontId="12" fillId="5" borderId="1" xfId="1" applyFill="1" applyBorder="1" applyAlignment="1">
      <alignment horizontal="center" vertical="center"/>
    </xf>
    <xf numFmtId="0" fontId="12" fillId="0" borderId="1" xfId="1" applyBorder="1"/>
    <xf numFmtId="2" fontId="12" fillId="0" borderId="1" xfId="1" applyNumberFormat="1" applyBorder="1" applyAlignment="1">
      <alignment horizontal="center" vertical="center"/>
    </xf>
    <xf numFmtId="0" fontId="12" fillId="0" borderId="1" xfId="1" applyBorder="1" applyAlignment="1">
      <alignment horizontal="center" vertical="center"/>
    </xf>
    <xf numFmtId="10" fontId="12" fillId="0" borderId="1" xfId="1" applyNumberFormat="1" applyBorder="1" applyAlignment="1">
      <alignment horizontal="center" vertical="center"/>
    </xf>
    <xf numFmtId="0" fontId="12" fillId="9" borderId="1" xfId="1" applyFill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2" fontId="11" fillId="0" borderId="1" xfId="0" applyNumberFormat="1" applyFont="1" applyBorder="1"/>
    <xf numFmtId="0" fontId="0" fillId="0" borderId="0" xfId="0" quotePrefix="1"/>
    <xf numFmtId="0" fontId="11" fillId="0" borderId="0" xfId="0" applyFont="1"/>
    <xf numFmtId="2" fontId="12" fillId="0" borderId="0" xfId="1" applyNumberFormat="1"/>
    <xf numFmtId="0" fontId="0" fillId="12" borderId="0" xfId="0" applyFill="1"/>
    <xf numFmtId="10" fontId="0" fillId="0" borderId="9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2"/>
    <xf numFmtId="0" fontId="13" fillId="4" borderId="1" xfId="2" applyFill="1" applyBorder="1" applyAlignment="1">
      <alignment horizontal="center"/>
    </xf>
    <xf numFmtId="0" fontId="13" fillId="0" borderId="1" xfId="2" applyBorder="1"/>
    <xf numFmtId="0" fontId="13" fillId="0" borderId="1" xfId="2" applyBorder="1" applyAlignment="1">
      <alignment horizontal="center"/>
    </xf>
    <xf numFmtId="164" fontId="0" fillId="0" borderId="1" xfId="3" applyNumberFormat="1" applyFont="1" applyBorder="1"/>
    <xf numFmtId="164" fontId="13" fillId="0" borderId="1" xfId="2" applyNumberFormat="1" applyBorder="1"/>
    <xf numFmtId="164" fontId="0" fillId="15" borderId="1" xfId="3" applyNumberFormat="1" applyFont="1" applyFill="1" applyBorder="1" applyAlignment="1">
      <alignment horizontal="right"/>
    </xf>
    <xf numFmtId="10" fontId="13" fillId="15" borderId="1" xfId="2" applyNumberFormat="1" applyFill="1" applyBorder="1"/>
    <xf numFmtId="164" fontId="0" fillId="15" borderId="1" xfId="3" applyNumberFormat="1" applyFont="1" applyFill="1" applyBorder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13" fillId="7" borderId="1" xfId="2" applyFill="1" applyBorder="1" applyAlignment="1">
      <alignment horizontal="center"/>
    </xf>
    <xf numFmtId="0" fontId="13" fillId="17" borderId="1" xfId="2" applyFill="1" applyBorder="1" applyAlignment="1">
      <alignment horizontal="center"/>
    </xf>
    <xf numFmtId="0" fontId="13" fillId="18" borderId="1" xfId="2" applyFill="1" applyBorder="1" applyAlignment="1">
      <alignment horizontal="center"/>
    </xf>
    <xf numFmtId="164" fontId="13" fillId="7" borderId="1" xfId="2" applyNumberFormat="1" applyFill="1" applyBorder="1"/>
    <xf numFmtId="164" fontId="13" fillId="17" borderId="1" xfId="2" applyNumberFormat="1" applyFill="1" applyBorder="1"/>
    <xf numFmtId="164" fontId="13" fillId="18" borderId="1" xfId="2" applyNumberFormat="1" applyFill="1" applyBorder="1"/>
    <xf numFmtId="0" fontId="13" fillId="7" borderId="1" xfId="2" applyFill="1" applyBorder="1" applyAlignment="1">
      <alignment horizontal="center" vertical="center"/>
    </xf>
    <xf numFmtId="10" fontId="13" fillId="15" borderId="1" xfId="1" applyNumberFormat="1" applyFont="1" applyFill="1" applyBorder="1"/>
    <xf numFmtId="9" fontId="13" fillId="15" borderId="1" xfId="1" applyNumberFormat="1" applyFont="1" applyFill="1" applyBorder="1"/>
    <xf numFmtId="0" fontId="13" fillId="0" borderId="0" xfId="4"/>
    <xf numFmtId="0" fontId="13" fillId="0" borderId="1" xfId="4" applyBorder="1" applyAlignment="1">
      <alignment vertical="center"/>
    </xf>
    <xf numFmtId="164" fontId="13" fillId="15" borderId="1" xfId="3" applyNumberFormat="1" applyFont="1" applyFill="1" applyBorder="1" applyAlignment="1">
      <alignment horizontal="right"/>
    </xf>
    <xf numFmtId="164" fontId="13" fillId="15" borderId="1" xfId="3" applyNumberFormat="1" applyFont="1" applyFill="1" applyBorder="1"/>
    <xf numFmtId="164" fontId="13" fillId="15" borderId="1" xfId="1" applyNumberFormat="1" applyFont="1" applyFill="1" applyBorder="1"/>
    <xf numFmtId="0" fontId="12" fillId="0" borderId="1" xfId="1" applyBorder="1" applyAlignment="1">
      <alignment horizontal="center"/>
    </xf>
    <xf numFmtId="164" fontId="12" fillId="0" borderId="1" xfId="1" applyNumberFormat="1" applyBorder="1" applyAlignment="1">
      <alignment horizontal="center" vertical="center"/>
    </xf>
    <xf numFmtId="164" fontId="12" fillId="0" borderId="0" xfId="1" applyNumberFormat="1" applyAlignment="1">
      <alignment horizontal="center" vertical="center"/>
    </xf>
    <xf numFmtId="9" fontId="12" fillId="0" borderId="1" xfId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2" fontId="11" fillId="0" borderId="19" xfId="0" applyNumberFormat="1" applyFont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9" xfId="0" applyBorder="1" applyAlignment="1">
      <alignment shrinkToFit="1"/>
    </xf>
    <xf numFmtId="164" fontId="0" fillId="0" borderId="9" xfId="0" applyNumberFormat="1" applyBorder="1"/>
    <xf numFmtId="0" fontId="13" fillId="4" borderId="1" xfId="4" applyFill="1" applyBorder="1" applyAlignment="1">
      <alignment horizontal="center" shrinkToFit="1"/>
    </xf>
    <xf numFmtId="0" fontId="13" fillId="0" borderId="1" xfId="4" applyBorder="1" applyAlignment="1">
      <alignment shrinkToFit="1"/>
    </xf>
    <xf numFmtId="0" fontId="13" fillId="0" borderId="0" xfId="4" applyAlignment="1">
      <alignment shrinkToFit="1"/>
    </xf>
    <xf numFmtId="0" fontId="13" fillId="0" borderId="1" xfId="4" applyBorder="1" applyAlignment="1">
      <alignment horizontal="center" shrinkToFit="1"/>
    </xf>
    <xf numFmtId="0" fontId="13" fillId="0" borderId="1" xfId="4" applyBorder="1" applyAlignment="1">
      <alignment horizontal="center" vertical="center" shrinkToFit="1"/>
    </xf>
    <xf numFmtId="164" fontId="12" fillId="0" borderId="1" xfId="5" applyNumberFormat="1" applyFont="1" applyBorder="1" applyAlignment="1">
      <alignment horizontal="center" vertical="center" shrinkToFit="1"/>
    </xf>
    <xf numFmtId="164" fontId="15" fillId="0" borderId="1" xfId="4" applyNumberFormat="1" applyFont="1" applyBorder="1" applyAlignment="1">
      <alignment horizontal="center" vertical="center" shrinkToFit="1"/>
    </xf>
    <xf numFmtId="0" fontId="13" fillId="0" borderId="1" xfId="4" applyBorder="1" applyAlignment="1">
      <alignment vertical="center" shrinkToFit="1"/>
    </xf>
    <xf numFmtId="164" fontId="13" fillId="0" borderId="1" xfId="4" applyNumberFormat="1" applyBorder="1" applyAlignment="1">
      <alignment horizontal="center" vertical="center" shrinkToFit="1"/>
    </xf>
    <xf numFmtId="164" fontId="12" fillId="0" borderId="1" xfId="4" applyNumberFormat="1" applyFont="1" applyBorder="1" applyAlignment="1">
      <alignment horizontal="center" vertical="center" shrinkToFit="1"/>
    </xf>
    <xf numFmtId="0" fontId="13" fillId="0" borderId="9" xfId="4" applyBorder="1" applyAlignment="1">
      <alignment horizontal="center" vertical="center" shrinkToFit="1"/>
    </xf>
    <xf numFmtId="164" fontId="17" fillId="0" borderId="1" xfId="0" applyNumberFormat="1" applyFont="1" applyBorder="1" applyAlignment="1">
      <alignment horizontal="center" vertical="center" readingOrder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1" xfId="0" quotePrefix="1" applyBorder="1"/>
    <xf numFmtId="0" fontId="0" fillId="23" borderId="1" xfId="0" applyFill="1" applyBorder="1" applyAlignment="1">
      <alignment horizontal="center" vertical="center"/>
    </xf>
    <xf numFmtId="0" fontId="0" fillId="0" borderId="9" xfId="0" applyBorder="1" applyAlignment="1">
      <alignment textRotation="45" wrapText="1"/>
    </xf>
    <xf numFmtId="0" fontId="0" fillId="0" borderId="0" xfId="0" applyAlignment="1">
      <alignment textRotation="45" wrapText="1"/>
    </xf>
    <xf numFmtId="164" fontId="19" fillId="0" borderId="1" xfId="0" applyNumberFormat="1" applyFont="1" applyBorder="1" applyAlignment="1">
      <alignment horizontal="center" vertical="center" readingOrder="1"/>
    </xf>
    <xf numFmtId="0" fontId="21" fillId="0" borderId="4" xfId="0" applyFont="1" applyBorder="1"/>
    <xf numFmtId="164" fontId="21" fillId="0" borderId="1" xfId="0" applyNumberFormat="1" applyFont="1" applyBorder="1"/>
    <xf numFmtId="14" fontId="21" fillId="0" borderId="2" xfId="0" applyNumberFormat="1" applyFont="1" applyBorder="1"/>
    <xf numFmtId="164" fontId="4" fillId="0" borderId="1" xfId="0" applyNumberFormat="1" applyFont="1" applyBorder="1"/>
    <xf numFmtId="0" fontId="21" fillId="0" borderId="6" xfId="0" applyFont="1" applyBorder="1"/>
    <xf numFmtId="164" fontId="21" fillId="0" borderId="9" xfId="0" applyNumberFormat="1" applyFont="1" applyBorder="1"/>
    <xf numFmtId="14" fontId="21" fillId="0" borderId="5" xfId="0" applyNumberFormat="1" applyFont="1" applyBorder="1"/>
    <xf numFmtId="0" fontId="20" fillId="6" borderId="8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164" fontId="4" fillId="0" borderId="9" xfId="0" applyNumberFormat="1" applyFont="1" applyBorder="1"/>
    <xf numFmtId="0" fontId="0" fillId="0" borderId="8" xfId="0" applyBorder="1" applyAlignment="1">
      <alignment textRotation="45"/>
    </xf>
    <xf numFmtId="0" fontId="0" fillId="0" borderId="10" xfId="0" applyBorder="1" applyAlignment="1">
      <alignment textRotation="45"/>
    </xf>
    <xf numFmtId="0" fontId="0" fillId="0" borderId="7" xfId="0" applyBorder="1" applyAlignment="1">
      <alignment textRotation="45"/>
    </xf>
    <xf numFmtId="0" fontId="0" fillId="0" borderId="0" xfId="0" applyAlignment="1">
      <alignment textRotation="45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0" fillId="21" borderId="1" xfId="0" applyNumberFormat="1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/>
    </xf>
    <xf numFmtId="10" fontId="0" fillId="2" borderId="11" xfId="0" applyNumberFormat="1" applyFill="1" applyBorder="1" applyAlignment="1">
      <alignment horizontal="center"/>
    </xf>
    <xf numFmtId="10" fontId="0" fillId="2" borderId="10" xfId="0" applyNumberForma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shrinkToFit="1"/>
    </xf>
    <xf numFmtId="0" fontId="0" fillId="0" borderId="2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9" fontId="0" fillId="0" borderId="40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1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7" borderId="0" xfId="0" applyFill="1" applyAlignment="1">
      <alignment horizontal="center"/>
    </xf>
    <xf numFmtId="0" fontId="12" fillId="2" borderId="2" xfId="1" applyFill="1" applyBorder="1" applyAlignment="1">
      <alignment horizontal="center"/>
    </xf>
    <xf numFmtId="0" fontId="12" fillId="2" borderId="3" xfId="1" applyFill="1" applyBorder="1" applyAlignment="1">
      <alignment horizontal="center"/>
    </xf>
    <xf numFmtId="0" fontId="12" fillId="2" borderId="4" xfId="1" applyFill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4" xfId="1" applyBorder="1" applyAlignment="1">
      <alignment horizontal="center"/>
    </xf>
    <xf numFmtId="0" fontId="12" fillId="2" borderId="5" xfId="1" applyFill="1" applyBorder="1" applyAlignment="1">
      <alignment horizontal="center"/>
    </xf>
    <xf numFmtId="0" fontId="12" fillId="2" borderId="6" xfId="1" applyFill="1" applyBorder="1" applyAlignment="1">
      <alignment horizontal="center"/>
    </xf>
    <xf numFmtId="0" fontId="12" fillId="2" borderId="12" xfId="1" applyFill="1" applyBorder="1" applyAlignment="1">
      <alignment horizontal="center"/>
    </xf>
    <xf numFmtId="0" fontId="12" fillId="2" borderId="13" xfId="1" applyFill="1" applyBorder="1" applyAlignment="1">
      <alignment horizontal="center"/>
    </xf>
    <xf numFmtId="0" fontId="12" fillId="2" borderId="7" xfId="1" applyFill="1" applyBorder="1" applyAlignment="1">
      <alignment horizontal="center"/>
    </xf>
    <xf numFmtId="0" fontId="12" fillId="2" borderId="8" xfId="1" applyFill="1" applyBorder="1" applyAlignment="1">
      <alignment horizontal="center"/>
    </xf>
    <xf numFmtId="0" fontId="12" fillId="9" borderId="2" xfId="1" applyFill="1" applyBorder="1" applyAlignment="1">
      <alignment horizontal="center"/>
    </xf>
    <xf numFmtId="0" fontId="12" fillId="9" borderId="4" xfId="1" applyFill="1" applyBorder="1" applyAlignment="1">
      <alignment horizontal="center"/>
    </xf>
    <xf numFmtId="0" fontId="18" fillId="10" borderId="2" xfId="1" applyFont="1" applyFill="1" applyBorder="1" applyAlignment="1">
      <alignment horizontal="center"/>
    </xf>
    <xf numFmtId="0" fontId="18" fillId="10" borderId="4" xfId="1" applyFont="1" applyFill="1" applyBorder="1" applyAlignment="1">
      <alignment horizontal="center"/>
    </xf>
    <xf numFmtId="0" fontId="12" fillId="8" borderId="1" xfId="1" applyFill="1" applyBorder="1" applyAlignment="1">
      <alignment horizontal="center" vertical="center"/>
    </xf>
    <xf numFmtId="0" fontId="12" fillId="5" borderId="9" xfId="1" applyFill="1" applyBorder="1" applyAlignment="1">
      <alignment horizontal="center" textRotation="90" shrinkToFit="1"/>
    </xf>
    <xf numFmtId="0" fontId="12" fillId="5" borderId="11" xfId="1" applyFill="1" applyBorder="1" applyAlignment="1">
      <alignment horizontal="center" textRotation="90" shrinkToFit="1"/>
    </xf>
    <xf numFmtId="0" fontId="12" fillId="5" borderId="10" xfId="1" applyFill="1" applyBorder="1" applyAlignment="1">
      <alignment horizontal="center" textRotation="90" shrinkToFit="1"/>
    </xf>
    <xf numFmtId="0" fontId="12" fillId="5" borderId="1" xfId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2" fontId="10" fillId="11" borderId="9" xfId="0" applyNumberFormat="1" applyFont="1" applyFill="1" applyBorder="1" applyAlignment="1">
      <alignment horizontal="center" vertical="center"/>
    </xf>
    <xf numFmtId="2" fontId="10" fillId="11" borderId="10" xfId="0" applyNumberFormat="1" applyFon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0" fontId="13" fillId="2" borderId="5" xfId="2" applyFill="1" applyBorder="1" applyAlignment="1">
      <alignment horizontal="center"/>
    </xf>
    <xf numFmtId="0" fontId="13" fillId="2" borderId="14" xfId="2" applyFill="1" applyBorder="1" applyAlignment="1">
      <alignment horizontal="center"/>
    </xf>
    <xf numFmtId="0" fontId="0" fillId="5" borderId="1" xfId="2" applyFont="1" applyFill="1" applyBorder="1" applyAlignment="1">
      <alignment horizontal="center" vertical="center"/>
    </xf>
    <xf numFmtId="0" fontId="13" fillId="5" borderId="1" xfId="2" applyFill="1" applyBorder="1" applyAlignment="1">
      <alignment horizontal="center" vertical="center"/>
    </xf>
    <xf numFmtId="0" fontId="13" fillId="16" borderId="1" xfId="2" applyFill="1" applyBorder="1" applyAlignment="1">
      <alignment horizontal="center"/>
    </xf>
    <xf numFmtId="0" fontId="13" fillId="19" borderId="3" xfId="2" applyFill="1" applyBorder="1" applyAlignment="1">
      <alignment horizontal="center"/>
    </xf>
    <xf numFmtId="0" fontId="13" fillId="19" borderId="4" xfId="2" applyFill="1" applyBorder="1" applyAlignment="1">
      <alignment horizontal="center"/>
    </xf>
    <xf numFmtId="0" fontId="0" fillId="5" borderId="12" xfId="4" applyFont="1" applyFill="1" applyBorder="1" applyAlignment="1">
      <alignment horizontal="center" vertical="center" shrinkToFit="1"/>
    </xf>
    <xf numFmtId="0" fontId="0" fillId="5" borderId="0" xfId="4" applyFont="1" applyFill="1" applyAlignment="1">
      <alignment horizontal="center" vertical="center" shrinkToFit="1"/>
    </xf>
    <xf numFmtId="0" fontId="0" fillId="5" borderId="7" xfId="4" applyFont="1" applyFill="1" applyBorder="1" applyAlignment="1">
      <alignment horizontal="center" vertical="center" shrinkToFit="1"/>
    </xf>
    <xf numFmtId="0" fontId="0" fillId="5" borderId="15" xfId="4" applyFont="1" applyFill="1" applyBorder="1" applyAlignment="1">
      <alignment horizontal="center" vertical="center" shrinkToFit="1"/>
    </xf>
    <xf numFmtId="0" fontId="13" fillId="4" borderId="1" xfId="4" applyFill="1" applyBorder="1" applyAlignment="1">
      <alignment horizontal="center" vertical="center" shrinkToFit="1"/>
    </xf>
    <xf numFmtId="0" fontId="13" fillId="20" borderId="1" xfId="4" applyFill="1" applyBorder="1" applyAlignment="1">
      <alignment horizontal="center" vertical="center" shrinkToFit="1"/>
    </xf>
    <xf numFmtId="0" fontId="7" fillId="10" borderId="1" xfId="4" applyFont="1" applyFill="1" applyBorder="1" applyAlignment="1">
      <alignment horizontal="center" vertical="center" shrinkToFit="1"/>
    </xf>
    <xf numFmtId="0" fontId="13" fillId="19" borderId="1" xfId="2" applyFill="1" applyBorder="1" applyAlignment="1">
      <alignment horizontal="center"/>
    </xf>
    <xf numFmtId="0" fontId="13" fillId="20" borderId="1" xfId="4" applyFill="1" applyBorder="1" applyAlignment="1">
      <alignment horizontal="center" vertical="center"/>
    </xf>
    <xf numFmtId="0" fontId="12" fillId="15" borderId="1" xfId="1" applyFill="1" applyBorder="1" applyAlignment="1">
      <alignment horizontal="center"/>
    </xf>
    <xf numFmtId="164" fontId="12" fillId="15" borderId="1" xfId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64" fontId="16" fillId="0" borderId="0" xfId="1" applyNumberFormat="1" applyFont="1" applyAlignment="1">
      <alignment horizontal="center"/>
    </xf>
    <xf numFmtId="0" fontId="12" fillId="0" borderId="1" xfId="1" applyBorder="1" applyAlignment="1">
      <alignment horizontal="center" vertical="center"/>
    </xf>
    <xf numFmtId="0" fontId="12" fillId="0" borderId="3" xfId="1" applyBorder="1" applyAlignment="1">
      <alignment horizontal="center"/>
    </xf>
  </cellXfs>
  <cellStyles count="6">
    <cellStyle name="Moeda 2" xfId="3" xr:uid="{00000000-0005-0000-0000-000000000000}"/>
    <cellStyle name="Moeda 2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3 2" xfId="4" xr:uid="{00000000-0005-0000-0000-000005000000}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1º Sem equipe Vendas</a:t>
            </a:r>
          </a:p>
        </c:rich>
      </c:tx>
      <c:layout>
        <c:manualLayout>
          <c:xMode val="edge"/>
          <c:yMode val="edge"/>
          <c:x val="0.178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'Impressão e Gráficos'!$A$4</c:f>
              <c:strCache>
                <c:ptCount val="1"/>
                <c:pt idx="0">
                  <c:v>ALBERTO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Gráficos'!$C$4:$H$4</c:f>
              <c:numCache>
                <c:formatCode>"R$"\ #,##0.00</c:formatCode>
                <c:ptCount val="6"/>
                <c:pt idx="0">
                  <c:v>2250</c:v>
                </c:pt>
                <c:pt idx="1">
                  <c:v>2317.5</c:v>
                </c:pt>
                <c:pt idx="2">
                  <c:v>2387.0250000000001</c:v>
                </c:pt>
                <c:pt idx="3">
                  <c:v>2458.6357499999999</c:v>
                </c:pt>
                <c:pt idx="4">
                  <c:v>2532.3948224999999</c:v>
                </c:pt>
                <c:pt idx="5">
                  <c:v>2608.3666671749997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20-8F08-B961589AD0DB}"/>
            </c:ext>
          </c:extLst>
        </c:ser>
        <c:ser>
          <c:idx val="1"/>
          <c:order val="1"/>
          <c:tx>
            <c:strRef>
              <c:f>'Impressão e Gráficos'!$A$5</c:f>
              <c:strCache>
                <c:ptCount val="1"/>
                <c:pt idx="0">
                  <c:v>FERNANDO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Gráficos'!$C$5:$H$5</c:f>
              <c:numCache>
                <c:formatCode>"R$"\ #,##0.00</c:formatCode>
                <c:ptCount val="6"/>
                <c:pt idx="0">
                  <c:v>1830</c:v>
                </c:pt>
                <c:pt idx="1">
                  <c:v>1884.9</c:v>
                </c:pt>
                <c:pt idx="2">
                  <c:v>1941.4470000000001</c:v>
                </c:pt>
                <c:pt idx="3">
                  <c:v>1999.6904100000002</c:v>
                </c:pt>
                <c:pt idx="4">
                  <c:v>2059.6811223</c:v>
                </c:pt>
                <c:pt idx="5">
                  <c:v>2121.4715559689998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7-4720-8F08-B961589AD0DB}"/>
            </c:ext>
          </c:extLst>
        </c:ser>
        <c:ser>
          <c:idx val="2"/>
          <c:order val="2"/>
          <c:tx>
            <c:strRef>
              <c:f>'Impressão e Gráficos'!$A$6</c:f>
              <c:strCache>
                <c:ptCount val="1"/>
                <c:pt idx="0">
                  <c:v>JACIRA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Gráficos'!$C$6:$H$6</c:f>
              <c:numCache>
                <c:formatCode>"R$"\ #,##0.00</c:formatCode>
                <c:ptCount val="6"/>
                <c:pt idx="0">
                  <c:v>1900</c:v>
                </c:pt>
                <c:pt idx="1">
                  <c:v>1957</c:v>
                </c:pt>
                <c:pt idx="2">
                  <c:v>2015.71</c:v>
                </c:pt>
                <c:pt idx="3">
                  <c:v>2076.1813000000002</c:v>
                </c:pt>
                <c:pt idx="4">
                  <c:v>2138.4667390000004</c:v>
                </c:pt>
                <c:pt idx="5">
                  <c:v>2202.6207411700007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7-4720-8F08-B961589A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7529264"/>
        <c:axId val="1357535088"/>
        <c:axId val="1669859472"/>
      </c:bar3DChart>
      <c:catAx>
        <c:axId val="13575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7535088"/>
        <c:crosses val="autoZero"/>
        <c:auto val="1"/>
        <c:lblAlgn val="ctr"/>
        <c:lblOffset val="100"/>
        <c:noMultiLvlLbl val="0"/>
      </c:catAx>
      <c:valAx>
        <c:axId val="1357535088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7529264"/>
        <c:crosses val="autoZero"/>
        <c:crossBetween val="between"/>
      </c:valAx>
      <c:serAx>
        <c:axId val="166985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7535088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1ºSem Equipe Apoio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'Impressão e Gráficos'!$A$11</c:f>
              <c:strCache>
                <c:ptCount val="1"/>
                <c:pt idx="0">
                  <c:v>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Gráficos'!$C$11:$H$11</c:f>
              <c:numCache>
                <c:formatCode>"R$"\ #,##0.00</c:formatCode>
                <c:ptCount val="6"/>
                <c:pt idx="0">
                  <c:v>2200</c:v>
                </c:pt>
                <c:pt idx="1">
                  <c:v>2266</c:v>
                </c:pt>
                <c:pt idx="2">
                  <c:v>2333.98</c:v>
                </c:pt>
                <c:pt idx="3">
                  <c:v>2403.9994000000002</c:v>
                </c:pt>
                <c:pt idx="4">
                  <c:v>2476.1193820000003</c:v>
                </c:pt>
                <c:pt idx="5">
                  <c:v>2550.4029634600001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8-4A34-98D2-B3025E82D994}"/>
            </c:ext>
          </c:extLst>
        </c:ser>
        <c:ser>
          <c:idx val="1"/>
          <c:order val="1"/>
          <c:tx>
            <c:strRef>
              <c:f>'Impressão e Gráficos'!$A$12</c:f>
              <c:strCache>
                <c:ptCount val="1"/>
                <c:pt idx="0">
                  <c:v>VAGNER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Gráficos'!$C$12:$H$12</c:f>
              <c:numCache>
                <c:formatCode>"R$"\ #,##0.00</c:formatCode>
                <c:ptCount val="6"/>
                <c:pt idx="0">
                  <c:v>1900</c:v>
                </c:pt>
                <c:pt idx="1">
                  <c:v>1957</c:v>
                </c:pt>
                <c:pt idx="2">
                  <c:v>2015.71</c:v>
                </c:pt>
                <c:pt idx="3">
                  <c:v>2076.1813000000002</c:v>
                </c:pt>
                <c:pt idx="4">
                  <c:v>2138.4667390000004</c:v>
                </c:pt>
                <c:pt idx="5">
                  <c:v>2202.6207411700007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8-4A34-98D2-B3025E82D994}"/>
            </c:ext>
          </c:extLst>
        </c:ser>
        <c:ser>
          <c:idx val="2"/>
          <c:order val="2"/>
          <c:tx>
            <c:strRef>
              <c:f>'Impressão e Gráficos'!$A$13</c:f>
              <c:strCache>
                <c:ptCount val="1"/>
                <c:pt idx="0">
                  <c:v>VALTER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Gráficos'!$C$13:$H$13</c:f>
              <c:numCache>
                <c:formatCode>"R$"\ #,##0.00</c:formatCode>
                <c:ptCount val="6"/>
                <c:pt idx="0">
                  <c:v>1980</c:v>
                </c:pt>
                <c:pt idx="1">
                  <c:v>2039.4</c:v>
                </c:pt>
                <c:pt idx="2">
                  <c:v>2100.5819999999999</c:v>
                </c:pt>
                <c:pt idx="3">
                  <c:v>2163.5994599999999</c:v>
                </c:pt>
                <c:pt idx="4">
                  <c:v>2228.5074437999997</c:v>
                </c:pt>
                <c:pt idx="5">
                  <c:v>2295.3626671139996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8-4A34-98D2-B3025E82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5178864"/>
        <c:axId val="1565175536"/>
        <c:axId val="1570499312"/>
      </c:bar3DChart>
      <c:catAx>
        <c:axId val="15651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175536"/>
        <c:crosses val="autoZero"/>
        <c:auto val="1"/>
        <c:lblAlgn val="ctr"/>
        <c:lblOffset val="100"/>
        <c:noMultiLvlLbl val="0"/>
      </c:catAx>
      <c:valAx>
        <c:axId val="1565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178864"/>
        <c:crosses val="autoZero"/>
        <c:crossBetween val="between"/>
      </c:valAx>
      <c:serAx>
        <c:axId val="157049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51755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1º Sem equipe 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'Impressão e Gráficos'!$A$7</c:f>
              <c:strCache>
                <c:ptCount val="1"/>
                <c:pt idx="0">
                  <c:v>JOSÉ CARLOS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Gráficos'!$C$7:$H$7</c:f>
              <c:numCache>
                <c:formatCode>"R$"\ #,##0.00</c:formatCode>
                <c:ptCount val="6"/>
                <c:pt idx="0">
                  <c:v>2100</c:v>
                </c:pt>
                <c:pt idx="1">
                  <c:v>2173.5</c:v>
                </c:pt>
                <c:pt idx="2">
                  <c:v>2249.5725000000002</c:v>
                </c:pt>
                <c:pt idx="3">
                  <c:v>2328.3075375000003</c:v>
                </c:pt>
                <c:pt idx="4">
                  <c:v>2409.7983013125004</c:v>
                </c:pt>
                <c:pt idx="5">
                  <c:v>2494.1412418584378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2-4BE1-8C8A-D086D65B75F3}"/>
            </c:ext>
          </c:extLst>
        </c:ser>
        <c:ser>
          <c:idx val="1"/>
          <c:order val="1"/>
          <c:tx>
            <c:strRef>
              <c:f>'Impressão e Gráficos'!$A$10</c:f>
              <c:strCache>
                <c:ptCount val="1"/>
                <c:pt idx="0">
                  <c:v>RICARDO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'Impressão e Gráficos'!$C$3:$H$3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'Impressão e Gráficos'!$C$10:$H$10</c:f>
              <c:numCache>
                <c:formatCode>"R$"\ #,##0.00</c:formatCode>
                <c:ptCount val="6"/>
                <c:pt idx="0">
                  <c:v>1350</c:v>
                </c:pt>
                <c:pt idx="1">
                  <c:v>1397.25</c:v>
                </c:pt>
                <c:pt idx="2">
                  <c:v>1446.1537499999999</c:v>
                </c:pt>
                <c:pt idx="3">
                  <c:v>1496.7691312499999</c:v>
                </c:pt>
                <c:pt idx="4">
                  <c:v>1549.1560508437499</c:v>
                </c:pt>
                <c:pt idx="5">
                  <c:v>1603.3765126232811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2-4BE1-8C8A-D086D65B7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931920"/>
        <c:axId val="1364931504"/>
        <c:axId val="1735816384"/>
      </c:bar3DChart>
      <c:catAx>
        <c:axId val="1364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931504"/>
        <c:crosses val="autoZero"/>
        <c:auto val="1"/>
        <c:lblAlgn val="ctr"/>
        <c:lblOffset val="100"/>
        <c:noMultiLvlLbl val="0"/>
      </c:catAx>
      <c:valAx>
        <c:axId val="13649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931920"/>
        <c:crosses val="autoZero"/>
        <c:crossBetween val="between"/>
      </c:valAx>
      <c:serAx>
        <c:axId val="173581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4931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19051</xdr:rowOff>
    </xdr:from>
    <xdr:to>
      <xdr:col>4</xdr:col>
      <xdr:colOff>209549</xdr:colOff>
      <xdr:row>30</xdr:row>
      <xdr:rowOff>57151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26C941-0024-EED1-9974-EFC8E81C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13</xdr:row>
      <xdr:rowOff>33336</xdr:rowOff>
    </xdr:from>
    <xdr:to>
      <xdr:col>8</xdr:col>
      <xdr:colOff>1000124</xdr:colOff>
      <xdr:row>30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0A6DB8-BC6A-A69C-70E4-63334712C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1000125</xdr:colOff>
      <xdr:row>13</xdr:row>
      <xdr:rowOff>42861</xdr:rowOff>
    </xdr:from>
    <xdr:to>
      <xdr:col>13</xdr:col>
      <xdr:colOff>600075</xdr:colOff>
      <xdr:row>29</xdr:row>
      <xdr:rowOff>219074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25829D-ABD6-C2B7-84A1-D39AAADB8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13" headerRowDxfId="31" dataDxfId="29" totalsRowDxfId="27" headerRowBorderDxfId="30" tableBorderDxfId="28" totalsRowBorderDxfId="26">
  <autoFilter ref="A1:C13" xr:uid="{00000000-000C-0000-FFFF-FFFF00000000}"/>
  <sortState xmlns:xlrd2="http://schemas.microsoft.com/office/spreadsheetml/2017/richdata2" ref="A2:C13">
    <sortCondition descending="1" ref="B2:B13"/>
  </sortState>
  <tableColumns count="3">
    <tableColumn id="1" xr3:uid="{00000000-0010-0000-0000-000001000000}" name="Produtos Escolares" totalsRowLabel="Total" dataDxfId="25"/>
    <tableColumn id="2" xr3:uid="{00000000-0010-0000-0000-000002000000}" name="Preço Unitário" dataDxfId="24"/>
    <tableColumn id="3" xr3:uid="{00000000-0010-0000-0000-000003000000}" name="Data Cotação" totalsRowFunction="count" dataDxfId="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7398D-C7B7-4BAD-878B-44E20B0521C6}" name="Tabelafiltro" displayName="Tabelafiltro" ref="A1:C13" headerRowDxfId="22" headerRowBorderDxfId="21" tableBorderDxfId="20" totalsRowBorderDxfId="19">
  <autoFilter ref="A1:C13" xr:uid="{9157398D-C7B7-4BAD-878B-44E20B0521C6}"/>
  <sortState xmlns:xlrd2="http://schemas.microsoft.com/office/spreadsheetml/2017/richdata2" ref="A2:C13">
    <sortCondition ref="C1:C13"/>
  </sortState>
  <tableColumns count="3">
    <tableColumn id="1" xr3:uid="{780137CC-4E82-4CEF-9ABE-5103546463CC}" name="Produtos Escolares" totalsRowLabel="Total" dataDxfId="18" totalsRowDxfId="17"/>
    <tableColumn id="2" xr3:uid="{29F54896-EACD-405C-BE96-11464B104F4C}" name="Preço Unitário" dataDxfId="16" totalsRowDxfId="15"/>
    <tableColumn id="3" xr3:uid="{D3B4484F-CBC7-48BC-8B49-69F7F39F6287}" name="Data Cotação" totalsRowFunction="count" dataDxfId="14" totalsRowDxfId="13"/>
  </tableColumns>
  <tableStyleInfo name="TableStyleDark3" showFirstColumn="0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C4E071-6353-4DB8-A29E-7C160A18762F}" name="Tabela3" displayName="Tabela3" ref="A2:D11" totalsRowShown="0" headerRowDxfId="12" headerRowBorderDxfId="11" tableBorderDxfId="10" totalsRowBorderDxfId="9">
  <autoFilter ref="A2:D11" xr:uid="{00000000-0009-0000-0000-000008000000}">
    <filterColumn colId="1">
      <customFilters>
        <customFilter val="*Queijo*"/>
      </customFilters>
    </filterColumn>
    <filterColumn colId="3">
      <customFilters>
        <customFilter operator="lessThan" val="22"/>
        <customFilter operator="greaterThan" val="29.9"/>
      </customFilters>
    </filterColumn>
  </autoFilter>
  <tableColumns count="4">
    <tableColumn id="1" xr3:uid="{49C4DD26-F58A-4476-9047-10CAF1EBC775}" name="Nome" dataDxfId="8"/>
    <tableColumn id="2" xr3:uid="{FC448671-1E3F-4D43-A3C8-BCD446624B6E}" name="Descrição" dataDxfId="7"/>
    <tableColumn id="3" xr3:uid="{28D5BC68-4EA5-4F16-8E4B-CB42CAA2E039}" name="Valor Unitário" dataDxfId="6"/>
    <tableColumn id="4" xr3:uid="{B66396EE-9C3C-49BF-AD76-1D4A3BE1CCD0}" name="Valor Combo" dataDxfId="5" dataCellStyle="Normal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300" zoomScaleNormal="300" zoomScaleSheetLayoutView="400" workbookViewId="0">
      <selection activeCell="E7" sqref="E7"/>
    </sheetView>
  </sheetViews>
  <sheetFormatPr defaultRowHeight="14.4" x14ac:dyDescent="0.3"/>
  <cols>
    <col min="1" max="1" width="22.6640625" customWidth="1"/>
    <col min="2" max="2" width="17.5546875" customWidth="1"/>
    <col min="3" max="3" width="11.33203125" customWidth="1"/>
    <col min="4" max="4" width="22.6640625" customWidth="1"/>
    <col min="5" max="5" width="11.6640625" customWidth="1"/>
  </cols>
  <sheetData>
    <row r="1" spans="1:5" ht="15" customHeight="1" x14ac:dyDescent="0.3">
      <c r="A1" s="134" t="s">
        <v>0</v>
      </c>
      <c r="B1" s="135"/>
      <c r="C1" s="135"/>
      <c r="D1" s="135"/>
      <c r="E1" s="136"/>
    </row>
    <row r="2" spans="1:5" x14ac:dyDescent="0.3">
      <c r="A2" s="106" t="s">
        <v>1</v>
      </c>
      <c r="B2" s="106" t="s">
        <v>2</v>
      </c>
      <c r="C2" s="106" t="s">
        <v>3</v>
      </c>
      <c r="D2" s="106" t="s">
        <v>4</v>
      </c>
      <c r="E2" s="106" t="s">
        <v>5</v>
      </c>
    </row>
    <row r="3" spans="1:5" x14ac:dyDescent="0.3">
      <c r="A3" s="107" t="s">
        <v>6</v>
      </c>
      <c r="B3" s="107" t="s">
        <v>7</v>
      </c>
      <c r="C3" s="108">
        <v>40199</v>
      </c>
      <c r="D3" s="107" t="s">
        <v>8</v>
      </c>
      <c r="E3" s="107">
        <v>987465321</v>
      </c>
    </row>
    <row r="4" spans="1:5" x14ac:dyDescent="0.3">
      <c r="A4" s="107" t="s">
        <v>9</v>
      </c>
      <c r="B4" s="107" t="s">
        <v>10</v>
      </c>
      <c r="C4" s="108">
        <v>40070</v>
      </c>
      <c r="D4" s="107" t="s">
        <v>11</v>
      </c>
      <c r="E4" s="107">
        <v>999943171</v>
      </c>
    </row>
    <row r="5" spans="1:5" x14ac:dyDescent="0.3">
      <c r="A5" s="107" t="s">
        <v>12</v>
      </c>
      <c r="B5" s="107" t="s">
        <v>13</v>
      </c>
      <c r="C5" s="108">
        <v>40154</v>
      </c>
      <c r="D5" s="107" t="s">
        <v>14</v>
      </c>
      <c r="E5" s="107">
        <v>989300200</v>
      </c>
    </row>
    <row r="6" spans="1:5" x14ac:dyDescent="0.3">
      <c r="A6" s="107" t="s">
        <v>15</v>
      </c>
      <c r="B6" s="107" t="s">
        <v>16</v>
      </c>
      <c r="C6" s="108">
        <v>40024</v>
      </c>
      <c r="D6" s="107" t="s">
        <v>17</v>
      </c>
      <c r="E6" s="107">
        <v>975824567</v>
      </c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zoomScale="180" zoomScaleNormal="180" workbookViewId="0">
      <selection activeCell="C13" sqref="C13"/>
    </sheetView>
  </sheetViews>
  <sheetFormatPr defaultRowHeight="14.4" x14ac:dyDescent="0.3"/>
  <cols>
    <col min="1" max="1" width="14.6640625" customWidth="1"/>
    <col min="2" max="2" width="40.6640625" customWidth="1"/>
    <col min="3" max="3" width="13.44140625" customWidth="1"/>
    <col min="4" max="4" width="12.6640625" customWidth="1"/>
    <col min="5" max="5" width="14" customWidth="1"/>
  </cols>
  <sheetData>
    <row r="1" spans="1:5" x14ac:dyDescent="0.3">
      <c r="A1" s="229" t="s">
        <v>287</v>
      </c>
      <c r="B1" s="229"/>
      <c r="C1" s="229"/>
      <c r="D1" s="229"/>
      <c r="E1" s="229"/>
    </row>
    <row r="2" spans="1:5" s="156" customFormat="1" ht="72.75" customHeight="1" x14ac:dyDescent="0.3">
      <c r="A2" s="153" t="s">
        <v>1</v>
      </c>
      <c r="B2" s="154" t="s">
        <v>19</v>
      </c>
      <c r="C2" s="154" t="s">
        <v>20</v>
      </c>
      <c r="D2" s="155" t="s">
        <v>113</v>
      </c>
    </row>
    <row r="3" spans="1:5" x14ac:dyDescent="0.3">
      <c r="A3" s="119" t="s">
        <v>114</v>
      </c>
      <c r="B3" s="7" t="s">
        <v>115</v>
      </c>
      <c r="C3" s="10">
        <v>9</v>
      </c>
      <c r="D3" s="10">
        <v>21.5</v>
      </c>
      <c r="E3" s="214"/>
    </row>
    <row r="4" spans="1:5" hidden="1" x14ac:dyDescent="0.3">
      <c r="A4" s="119" t="s">
        <v>117</v>
      </c>
      <c r="B4" s="7" t="s">
        <v>118</v>
      </c>
      <c r="C4" s="10">
        <v>11</v>
      </c>
      <c r="D4" s="10">
        <v>24.5</v>
      </c>
      <c r="E4" s="214"/>
    </row>
    <row r="5" spans="1:5" hidden="1" x14ac:dyDescent="0.3">
      <c r="A5" s="119" t="s">
        <v>116</v>
      </c>
      <c r="B5" s="7" t="s">
        <v>119</v>
      </c>
      <c r="C5" s="10">
        <v>12.5</v>
      </c>
      <c r="D5" s="10">
        <v>26</v>
      </c>
      <c r="E5" s="214"/>
    </row>
    <row r="6" spans="1:5" hidden="1" x14ac:dyDescent="0.3">
      <c r="A6" s="119" t="s">
        <v>120</v>
      </c>
      <c r="B6" s="7" t="s">
        <v>121</v>
      </c>
      <c r="C6" s="10">
        <v>9.5</v>
      </c>
      <c r="D6" s="10">
        <v>22</v>
      </c>
      <c r="E6" s="214"/>
    </row>
    <row r="7" spans="1:5" x14ac:dyDescent="0.3">
      <c r="A7" s="119" t="s">
        <v>122</v>
      </c>
      <c r="B7" s="55" t="s">
        <v>123</v>
      </c>
      <c r="C7" s="10">
        <v>19</v>
      </c>
      <c r="D7" s="10">
        <v>34.5</v>
      </c>
      <c r="E7" s="214"/>
    </row>
    <row r="8" spans="1:5" hidden="1" x14ac:dyDescent="0.3">
      <c r="A8" s="119" t="s">
        <v>124</v>
      </c>
      <c r="B8" s="7" t="s">
        <v>125</v>
      </c>
      <c r="C8" s="10">
        <v>9.5</v>
      </c>
      <c r="D8" s="10">
        <v>22</v>
      </c>
      <c r="E8" s="214"/>
    </row>
    <row r="9" spans="1:5" hidden="1" x14ac:dyDescent="0.3">
      <c r="A9" s="119" t="s">
        <v>126</v>
      </c>
      <c r="B9" s="55" t="s">
        <v>127</v>
      </c>
      <c r="C9" s="10">
        <v>14.5</v>
      </c>
      <c r="D9" s="10">
        <v>29.9</v>
      </c>
      <c r="E9" s="214"/>
    </row>
    <row r="10" spans="1:5" hidden="1" x14ac:dyDescent="0.3">
      <c r="A10" s="119" t="s">
        <v>128</v>
      </c>
      <c r="B10" s="7" t="s">
        <v>129</v>
      </c>
      <c r="C10" s="10">
        <v>8.5</v>
      </c>
      <c r="D10" s="10">
        <v>21</v>
      </c>
      <c r="E10" s="214"/>
    </row>
    <row r="11" spans="1:5" hidden="1" x14ac:dyDescent="0.3">
      <c r="A11" s="118" t="s">
        <v>130</v>
      </c>
      <c r="B11" s="120" t="s">
        <v>131</v>
      </c>
      <c r="C11" s="121">
        <v>13</v>
      </c>
      <c r="D11" s="10">
        <v>27</v>
      </c>
      <c r="E11" s="213"/>
    </row>
  </sheetData>
  <mergeCells count="2">
    <mergeCell ref="E3:E11"/>
    <mergeCell ref="A1:E1"/>
  </mergeCells>
  <conditionalFormatting sqref="D3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{3E9293A9-A0F0-40CC-AB33-6EC4AC9BB4B4}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293A9-A0F0-40CC-AB33-6EC4AC9BB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"/>
  <sheetViews>
    <sheetView zoomScale="150" zoomScaleNormal="150" workbookViewId="0">
      <selection activeCell="G19" sqref="G19"/>
    </sheetView>
  </sheetViews>
  <sheetFormatPr defaultColWidth="9.109375" defaultRowHeight="17.399999999999999" x14ac:dyDescent="0.3"/>
  <cols>
    <col min="1" max="1" width="40.33203125" style="57" customWidth="1"/>
    <col min="2" max="5" width="9.109375" style="57"/>
    <col min="6" max="6" width="17.44140625" style="57" customWidth="1"/>
    <col min="7" max="7" width="42.6640625" style="57" customWidth="1"/>
    <col min="8" max="16384" width="9.109375" style="57"/>
  </cols>
  <sheetData>
    <row r="1" spans="1:7" x14ac:dyDescent="0.3">
      <c r="A1" s="245" t="s">
        <v>288</v>
      </c>
      <c r="B1" s="245"/>
      <c r="C1" s="245"/>
      <c r="D1" s="245"/>
      <c r="E1" s="245"/>
      <c r="F1" s="245"/>
      <c r="G1" s="245"/>
    </row>
    <row r="2" spans="1:7" x14ac:dyDescent="0.3">
      <c r="A2" s="245"/>
      <c r="B2" s="245"/>
      <c r="C2" s="245"/>
      <c r="D2" s="245"/>
      <c r="E2" s="245"/>
      <c r="F2" s="245"/>
      <c r="G2" s="245"/>
    </row>
    <row r="3" spans="1:7" ht="36" customHeight="1" x14ac:dyDescent="0.3">
      <c r="A3" s="58" t="s">
        <v>132</v>
      </c>
      <c r="B3" s="246" t="s">
        <v>54</v>
      </c>
      <c r="C3" s="246" t="s">
        <v>55</v>
      </c>
      <c r="D3" s="246" t="s">
        <v>133</v>
      </c>
      <c r="E3" s="246" t="s">
        <v>134</v>
      </c>
      <c r="F3" s="246" t="s">
        <v>58</v>
      </c>
      <c r="G3" s="246" t="s">
        <v>135</v>
      </c>
    </row>
    <row r="4" spans="1:7" x14ac:dyDescent="0.3">
      <c r="A4" s="249" t="s">
        <v>136</v>
      </c>
      <c r="B4" s="247"/>
      <c r="C4" s="247"/>
      <c r="D4" s="247"/>
      <c r="E4" s="247"/>
      <c r="F4" s="247"/>
      <c r="G4" s="247"/>
    </row>
    <row r="5" spans="1:7" x14ac:dyDescent="0.3">
      <c r="A5" s="249"/>
      <c r="B5" s="248"/>
      <c r="C5" s="248"/>
      <c r="D5" s="248"/>
      <c r="E5" s="248"/>
      <c r="F5" s="248"/>
      <c r="G5" s="248"/>
    </row>
    <row r="6" spans="1:7" x14ac:dyDescent="0.3">
      <c r="A6" s="59" t="s">
        <v>59</v>
      </c>
      <c r="B6" s="60">
        <v>6.25</v>
      </c>
      <c r="C6" s="60">
        <v>7.25</v>
      </c>
      <c r="D6" s="60">
        <v>6</v>
      </c>
      <c r="E6" s="60">
        <v>5</v>
      </c>
      <c r="F6" s="60">
        <f>AVERAGE(B6:E6)</f>
        <v>6.125</v>
      </c>
      <c r="G6" s="61">
        <v>20</v>
      </c>
    </row>
    <row r="7" spans="1:7" x14ac:dyDescent="0.3">
      <c r="A7" s="59" t="s">
        <v>60</v>
      </c>
      <c r="B7" s="60">
        <v>4</v>
      </c>
      <c r="C7" s="60">
        <v>5.5</v>
      </c>
      <c r="D7" s="60">
        <v>6</v>
      </c>
      <c r="E7" s="60">
        <v>6</v>
      </c>
      <c r="F7" s="60">
        <f t="shared" ref="F7:F14" si="0">AVERAGE(B7:E7)</f>
        <v>5.375</v>
      </c>
      <c r="G7" s="61">
        <v>16</v>
      </c>
    </row>
    <row r="8" spans="1:7" x14ac:dyDescent="0.3">
      <c r="A8" s="59" t="s">
        <v>137</v>
      </c>
      <c r="B8" s="60">
        <v>6.25</v>
      </c>
      <c r="C8" s="60">
        <v>5.25</v>
      </c>
      <c r="D8" s="60">
        <v>8.25</v>
      </c>
      <c r="E8" s="60">
        <v>7</v>
      </c>
      <c r="F8" s="60">
        <f t="shared" si="0"/>
        <v>6.6875</v>
      </c>
      <c r="G8" s="61">
        <v>15</v>
      </c>
    </row>
    <row r="9" spans="1:7" x14ac:dyDescent="0.3">
      <c r="A9" s="59" t="s">
        <v>62</v>
      </c>
      <c r="B9" s="60">
        <v>5.5</v>
      </c>
      <c r="C9" s="60">
        <v>8</v>
      </c>
      <c r="D9" s="60">
        <v>6.5</v>
      </c>
      <c r="E9" s="60">
        <v>7.25</v>
      </c>
      <c r="F9" s="60">
        <f t="shared" si="0"/>
        <v>6.8125</v>
      </c>
      <c r="G9" s="61">
        <v>1</v>
      </c>
    </row>
    <row r="10" spans="1:7" x14ac:dyDescent="0.3">
      <c r="A10" s="59" t="s">
        <v>63</v>
      </c>
      <c r="B10" s="60">
        <v>7</v>
      </c>
      <c r="C10" s="60">
        <v>9.5</v>
      </c>
      <c r="D10" s="60">
        <v>8.25</v>
      </c>
      <c r="E10" s="60">
        <v>7</v>
      </c>
      <c r="F10" s="60">
        <f t="shared" si="0"/>
        <v>7.9375</v>
      </c>
      <c r="G10" s="61">
        <v>0</v>
      </c>
    </row>
    <row r="11" spans="1:7" x14ac:dyDescent="0.3">
      <c r="A11" s="59" t="s">
        <v>138</v>
      </c>
      <c r="B11" s="60">
        <v>9.25</v>
      </c>
      <c r="C11" s="60">
        <v>8</v>
      </c>
      <c r="D11" s="60">
        <v>9</v>
      </c>
      <c r="E11" s="60">
        <v>10</v>
      </c>
      <c r="F11" s="60">
        <f t="shared" si="0"/>
        <v>9.0625</v>
      </c>
      <c r="G11" s="61">
        <v>2</v>
      </c>
    </row>
    <row r="12" spans="1:7" x14ac:dyDescent="0.3">
      <c r="A12" s="59" t="s">
        <v>139</v>
      </c>
      <c r="B12" s="60">
        <v>8</v>
      </c>
      <c r="C12" s="60">
        <v>9.5</v>
      </c>
      <c r="D12" s="60">
        <v>8</v>
      </c>
      <c r="E12" s="60">
        <v>8</v>
      </c>
      <c r="F12" s="60">
        <f t="shared" si="0"/>
        <v>8.375</v>
      </c>
      <c r="G12" s="61">
        <v>0</v>
      </c>
    </row>
    <row r="13" spans="1:7" x14ac:dyDescent="0.3">
      <c r="A13" s="59" t="s">
        <v>140</v>
      </c>
      <c r="B13" s="60">
        <v>7.25</v>
      </c>
      <c r="C13" s="60">
        <v>8.25</v>
      </c>
      <c r="D13" s="60">
        <v>6.5</v>
      </c>
      <c r="E13" s="60">
        <v>9.25</v>
      </c>
      <c r="F13" s="60">
        <f t="shared" si="0"/>
        <v>7.8125</v>
      </c>
      <c r="G13" s="61">
        <v>2</v>
      </c>
    </row>
    <row r="14" spans="1:7" x14ac:dyDescent="0.3">
      <c r="A14" s="59" t="s">
        <v>66</v>
      </c>
      <c r="B14" s="60">
        <v>10</v>
      </c>
      <c r="C14" s="60">
        <v>8.25</v>
      </c>
      <c r="D14" s="60">
        <v>7</v>
      </c>
      <c r="E14" s="60">
        <v>9.5</v>
      </c>
      <c r="F14" s="60">
        <f t="shared" si="0"/>
        <v>8.6875</v>
      </c>
      <c r="G14" s="61">
        <v>0</v>
      </c>
    </row>
    <row r="15" spans="1:7" x14ac:dyDescent="0.3">
      <c r="A15" s="230"/>
      <c r="B15" s="231"/>
      <c r="C15" s="231"/>
      <c r="D15" s="232"/>
      <c r="E15" s="233" t="s">
        <v>141</v>
      </c>
      <c r="F15" s="234"/>
      <c r="G15" s="61">
        <f>SUM(G6:G14)</f>
        <v>56</v>
      </c>
    </row>
    <row r="16" spans="1:7" x14ac:dyDescent="0.3">
      <c r="A16" s="59" t="s">
        <v>142</v>
      </c>
      <c r="B16" s="60">
        <f>MAX(B6:E14)</f>
        <v>10</v>
      </c>
      <c r="C16" s="235"/>
      <c r="D16" s="236"/>
      <c r="E16" s="233" t="s">
        <v>143</v>
      </c>
      <c r="F16" s="234"/>
      <c r="G16" s="61">
        <v>500</v>
      </c>
    </row>
    <row r="17" spans="1:7" x14ac:dyDescent="0.3">
      <c r="A17" s="59" t="s">
        <v>144</v>
      </c>
      <c r="B17" s="60">
        <f>MIN(B6:E14)</f>
        <v>4</v>
      </c>
      <c r="C17" s="237"/>
      <c r="D17" s="238"/>
      <c r="E17" s="241" t="s">
        <v>145</v>
      </c>
      <c r="F17" s="242"/>
      <c r="G17" s="62">
        <f>G15/G16</f>
        <v>0.112</v>
      </c>
    </row>
    <row r="18" spans="1:7" x14ac:dyDescent="0.3">
      <c r="A18" s="63" t="s">
        <v>146</v>
      </c>
      <c r="B18" s="60">
        <f>AVERAGE(B6:E14)</f>
        <v>7.4305555555555554</v>
      </c>
      <c r="C18" s="239"/>
      <c r="D18" s="240"/>
      <c r="E18" s="243" t="s">
        <v>147</v>
      </c>
      <c r="F18" s="244"/>
      <c r="G18" s="61" t="str">
        <f>IF(B18&gt;=6,"OK","ATENÇÃO")</f>
        <v>OK</v>
      </c>
    </row>
    <row r="19" spans="1:7" x14ac:dyDescent="0.3">
      <c r="B19" s="71"/>
      <c r="C19" s="71"/>
      <c r="D19" s="71"/>
      <c r="E19" s="71"/>
    </row>
    <row r="20" spans="1:7" x14ac:dyDescent="0.3">
      <c r="B20" s="71"/>
      <c r="C20" s="71"/>
      <c r="D20" s="71"/>
      <c r="E20" s="71"/>
    </row>
    <row r="21" spans="1:7" x14ac:dyDescent="0.3">
      <c r="B21" s="71"/>
      <c r="C21" s="71"/>
      <c r="D21" s="71"/>
      <c r="E21" s="71"/>
    </row>
    <row r="22" spans="1:7" x14ac:dyDescent="0.3">
      <c r="B22" s="71"/>
      <c r="C22" s="71"/>
      <c r="D22" s="71"/>
      <c r="E22" s="71"/>
    </row>
  </sheetData>
  <mergeCells count="14">
    <mergeCell ref="A1:G2"/>
    <mergeCell ref="B3:B5"/>
    <mergeCell ref="C3:C5"/>
    <mergeCell ref="D3:D5"/>
    <mergeCell ref="E3:E5"/>
    <mergeCell ref="F3:F5"/>
    <mergeCell ref="G3:G5"/>
    <mergeCell ref="A4:A5"/>
    <mergeCell ref="A15:D15"/>
    <mergeCell ref="E15:F15"/>
    <mergeCell ref="C16:D18"/>
    <mergeCell ref="E16:F16"/>
    <mergeCell ref="E17:F17"/>
    <mergeCell ref="E18:F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3"/>
  <sheetViews>
    <sheetView zoomScale="220" zoomScaleNormal="220" workbookViewId="0">
      <selection activeCell="H6" sqref="H6"/>
    </sheetView>
  </sheetViews>
  <sheetFormatPr defaultRowHeight="14.4" x14ac:dyDescent="0.3"/>
  <cols>
    <col min="1" max="1" width="14.88671875" customWidth="1"/>
    <col min="2" max="2" width="22.109375" customWidth="1"/>
    <col min="7" max="7" width="11.88671875" customWidth="1"/>
    <col min="8" max="8" width="15.6640625" bestFit="1" customWidth="1"/>
  </cols>
  <sheetData>
    <row r="1" spans="1:11" x14ac:dyDescent="0.3">
      <c r="A1" s="250" t="s">
        <v>148</v>
      </c>
      <c r="B1" s="251"/>
      <c r="C1" s="251"/>
      <c r="D1" s="251"/>
      <c r="E1" s="251"/>
      <c r="F1" s="251"/>
      <c r="G1" s="251"/>
      <c r="H1" s="251"/>
    </row>
    <row r="2" spans="1:11" x14ac:dyDescent="0.3">
      <c r="A2" s="252"/>
      <c r="B2" s="253"/>
      <c r="C2" s="253"/>
      <c r="D2" s="253"/>
      <c r="E2" s="253"/>
      <c r="F2" s="253"/>
      <c r="G2" s="253"/>
      <c r="H2" s="253"/>
    </row>
    <row r="3" spans="1:11" x14ac:dyDescent="0.3">
      <c r="A3" s="254" t="s">
        <v>149</v>
      </c>
      <c r="B3" s="255"/>
      <c r="C3" s="255"/>
      <c r="D3" s="255"/>
      <c r="E3" s="255"/>
      <c r="F3" s="255"/>
      <c r="G3" s="255"/>
      <c r="H3" s="255"/>
    </row>
    <row r="4" spans="1:11" x14ac:dyDescent="0.3">
      <c r="A4" s="64" t="s">
        <v>150</v>
      </c>
      <c r="B4" s="64" t="s">
        <v>151</v>
      </c>
      <c r="C4" s="65" t="s">
        <v>177</v>
      </c>
      <c r="D4" s="65" t="s">
        <v>178</v>
      </c>
      <c r="E4" s="65" t="s">
        <v>179</v>
      </c>
      <c r="F4" s="65" t="s">
        <v>205</v>
      </c>
      <c r="G4" s="65" t="s">
        <v>152</v>
      </c>
      <c r="H4" s="65" t="s">
        <v>153</v>
      </c>
    </row>
    <row r="5" spans="1:11" x14ac:dyDescent="0.3">
      <c r="A5" s="66">
        <v>1</v>
      </c>
      <c r="B5" s="67" t="s">
        <v>154</v>
      </c>
      <c r="C5" s="68">
        <v>7.5</v>
      </c>
      <c r="D5" s="68">
        <v>6.56</v>
      </c>
      <c r="E5" s="68">
        <v>8.0500000000000007</v>
      </c>
      <c r="F5" s="68">
        <v>6.55</v>
      </c>
      <c r="G5" s="68">
        <f>AVERAGE(C5:F5)</f>
        <v>7.165</v>
      </c>
      <c r="H5" s="67" t="str">
        <f>IF(G5&lt;6,"REPROVADO",IF(G5&lt;7,"RECUPERAÇÃO","APROVADO"))</f>
        <v>APROVADO</v>
      </c>
    </row>
    <row r="6" spans="1:11" x14ac:dyDescent="0.3">
      <c r="A6" s="66">
        <v>2</v>
      </c>
      <c r="B6" s="67" t="s">
        <v>173</v>
      </c>
      <c r="C6" s="68">
        <v>7.43</v>
      </c>
      <c r="D6" s="68">
        <v>5.55</v>
      </c>
      <c r="E6" s="68">
        <v>4.95</v>
      </c>
      <c r="F6" s="68">
        <v>7.98</v>
      </c>
      <c r="G6" s="68">
        <f t="shared" ref="G6:G10" si="0">AVERAGE(C6:F6)</f>
        <v>6.4775</v>
      </c>
      <c r="H6" s="67" t="str">
        <f t="shared" ref="H6:H10" si="1">IF(G6&lt;6,"REPROVADO",IF(G6&lt;7,"RECUPERAÇÃO","APROVADO"))</f>
        <v>RECUPERAÇÃO</v>
      </c>
    </row>
    <row r="7" spans="1:11" x14ac:dyDescent="0.3">
      <c r="A7" s="66">
        <v>3</v>
      </c>
      <c r="B7" s="67" t="s">
        <v>174</v>
      </c>
      <c r="C7" s="68">
        <v>3.51</v>
      </c>
      <c r="D7" s="68">
        <v>4.91</v>
      </c>
      <c r="E7" s="68">
        <v>5.98</v>
      </c>
      <c r="F7" s="68">
        <v>8.01</v>
      </c>
      <c r="G7" s="68">
        <f t="shared" si="0"/>
        <v>5.6025</v>
      </c>
      <c r="H7" s="67" t="str">
        <f t="shared" si="1"/>
        <v>REPROVADO</v>
      </c>
    </row>
    <row r="8" spans="1:11" x14ac:dyDescent="0.3">
      <c r="A8" s="66">
        <v>4</v>
      </c>
      <c r="B8" s="67" t="s">
        <v>175</v>
      </c>
      <c r="C8" s="68">
        <v>6.52</v>
      </c>
      <c r="D8" s="68">
        <v>3.52</v>
      </c>
      <c r="E8" s="68">
        <v>5.09</v>
      </c>
      <c r="F8" s="68">
        <v>7.45</v>
      </c>
      <c r="G8" s="68">
        <f t="shared" si="0"/>
        <v>5.6449999999999996</v>
      </c>
      <c r="H8" s="67" t="str">
        <f t="shared" si="1"/>
        <v>REPROVADO</v>
      </c>
    </row>
    <row r="9" spans="1:11" x14ac:dyDescent="0.3">
      <c r="A9" s="66">
        <v>5</v>
      </c>
      <c r="B9" s="67" t="s">
        <v>155</v>
      </c>
      <c r="C9" s="68">
        <v>9.51</v>
      </c>
      <c r="D9" s="68">
        <v>9.24</v>
      </c>
      <c r="E9" s="68">
        <v>10</v>
      </c>
      <c r="F9" s="68">
        <v>9</v>
      </c>
      <c r="G9" s="68">
        <f t="shared" si="0"/>
        <v>9.4375</v>
      </c>
      <c r="H9" s="67" t="str">
        <f t="shared" si="1"/>
        <v>APROVADO</v>
      </c>
    </row>
    <row r="10" spans="1:11" x14ac:dyDescent="0.3">
      <c r="A10" s="66">
        <v>6</v>
      </c>
      <c r="B10" s="67" t="s">
        <v>176</v>
      </c>
      <c r="C10" s="68">
        <v>6.52</v>
      </c>
      <c r="D10" s="68">
        <v>5.51</v>
      </c>
      <c r="E10" s="68">
        <v>5</v>
      </c>
      <c r="F10" s="68">
        <v>6.47</v>
      </c>
      <c r="G10" s="68">
        <f t="shared" si="0"/>
        <v>5.875</v>
      </c>
      <c r="H10" s="67" t="str">
        <f t="shared" si="1"/>
        <v>REPROVADO</v>
      </c>
    </row>
    <row r="11" spans="1:11" x14ac:dyDescent="0.3">
      <c r="A11" s="256" t="s">
        <v>156</v>
      </c>
      <c r="B11" s="258" t="s">
        <v>157</v>
      </c>
      <c r="C11" s="260" t="s">
        <v>158</v>
      </c>
      <c r="D11" s="261">
        <f>MAX(C5:F10)</f>
        <v>10</v>
      </c>
      <c r="E11" s="260" t="s">
        <v>159</v>
      </c>
      <c r="F11" s="261">
        <f>MIN(C5:F10)</f>
        <v>3.51</v>
      </c>
      <c r="G11" s="256" t="s">
        <v>160</v>
      </c>
      <c r="H11" s="261">
        <f>AVERAGE(G5:G10)</f>
        <v>6.7004166666666665</v>
      </c>
    </row>
    <row r="12" spans="1:11" x14ac:dyDescent="0.3">
      <c r="A12" s="257"/>
      <c r="B12" s="259"/>
      <c r="C12" s="260"/>
      <c r="D12" s="257"/>
      <c r="E12" s="260"/>
      <c r="F12" s="262"/>
      <c r="G12" s="257"/>
      <c r="H12" s="257"/>
      <c r="K12" s="69" t="s">
        <v>161</v>
      </c>
    </row>
    <row r="13" spans="1:11" x14ac:dyDescent="0.3">
      <c r="H13" s="70"/>
    </row>
  </sheetData>
  <mergeCells count="10">
    <mergeCell ref="A1:H2"/>
    <mergeCell ref="A3:H3"/>
    <mergeCell ref="A11:A12"/>
    <mergeCell ref="B11:B12"/>
    <mergeCell ref="C11:C12"/>
    <mergeCell ref="D11:D12"/>
    <mergeCell ref="E11:E12"/>
    <mergeCell ref="F11:F12"/>
    <mergeCell ref="G11:G12"/>
    <mergeCell ref="H11:H12"/>
  </mergeCells>
  <conditionalFormatting sqref="C5:F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{0A974296-8C72-415E-9A0F-8ACF152C0FDE}</x14:id>
        </ext>
      </extLst>
    </cfRule>
  </conditionalFormatting>
  <conditionalFormatting sqref="H5:H10">
    <cfRule type="containsText" dxfId="4" priority="1" operator="containsText" text="RECUPERAÇÃO">
      <formula>NOT(ISERROR(SEARCH("RECUPERAÇÃO",H5)))</formula>
    </cfRule>
    <cfRule type="containsText" dxfId="3" priority="2" operator="containsText" text="reprovado">
      <formula>NOT(ISERROR(SEARCH("reprovado",H5)))</formula>
    </cfRule>
    <cfRule type="containsText" dxfId="2" priority="3" operator="containsText" text="aprovado">
      <formula>NOT(ISERROR(SEARCH("aprovado",H5)))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974296-8C72-415E-9A0F-8ACF152C0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C5:F10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8"/>
  <sheetViews>
    <sheetView topLeftCell="A5" zoomScale="130" zoomScaleNormal="130" zoomScaleSheetLayoutView="110" workbookViewId="0">
      <selection activeCell="B7" sqref="B7:B8"/>
    </sheetView>
  </sheetViews>
  <sheetFormatPr defaultRowHeight="14.4" x14ac:dyDescent="0.3"/>
  <cols>
    <col min="1" max="1" width="11.88671875" customWidth="1"/>
    <col min="2" max="2" width="12.44140625" bestFit="1" customWidth="1"/>
    <col min="4" max="4" width="13" customWidth="1"/>
    <col min="5" max="5" width="11.44140625" customWidth="1"/>
    <col min="6" max="6" width="13" customWidth="1"/>
    <col min="7" max="7" width="11.44140625" customWidth="1"/>
    <col min="8" max="8" width="13.6640625" customWidth="1"/>
  </cols>
  <sheetData>
    <row r="1" spans="1:13" x14ac:dyDescent="0.3">
      <c r="A1" s="277" t="s">
        <v>172</v>
      </c>
      <c r="B1" s="277"/>
      <c r="C1" s="277"/>
      <c r="D1" s="277"/>
      <c r="E1" s="277"/>
      <c r="F1" s="277"/>
      <c r="G1" s="277"/>
      <c r="H1" s="277"/>
      <c r="I1" s="76"/>
      <c r="J1" s="76"/>
    </row>
    <row r="2" spans="1:13" x14ac:dyDescent="0.3">
      <c r="A2" s="277"/>
      <c r="B2" s="277"/>
      <c r="C2" s="277"/>
      <c r="D2" s="277"/>
      <c r="E2" s="277"/>
      <c r="F2" s="277"/>
      <c r="G2" s="277"/>
      <c r="H2" s="277"/>
      <c r="I2" s="76"/>
      <c r="J2" s="76"/>
    </row>
    <row r="3" spans="1:13" ht="22.5" customHeight="1" x14ac:dyDescent="0.3">
      <c r="A3" s="275" t="s">
        <v>171</v>
      </c>
      <c r="B3" s="281">
        <v>24960</v>
      </c>
      <c r="C3" s="275" t="s">
        <v>170</v>
      </c>
      <c r="D3" s="280" t="s">
        <v>168</v>
      </c>
      <c r="E3" s="275" t="s">
        <v>167</v>
      </c>
      <c r="F3" s="280" t="s">
        <v>28</v>
      </c>
      <c r="G3" s="275" t="s">
        <v>166</v>
      </c>
      <c r="H3" s="280" t="s">
        <v>75</v>
      </c>
    </row>
    <row r="4" spans="1:13" ht="18" customHeight="1" x14ac:dyDescent="0.3">
      <c r="A4" s="275"/>
      <c r="B4" s="281"/>
      <c r="C4" s="275"/>
      <c r="D4" s="280"/>
      <c r="E4" s="275"/>
      <c r="F4" s="280"/>
      <c r="G4" s="275"/>
      <c r="H4" s="280"/>
    </row>
    <row r="5" spans="1:13" x14ac:dyDescent="0.3">
      <c r="A5" s="274" t="s">
        <v>169</v>
      </c>
      <c r="B5" s="193">
        <v>24</v>
      </c>
      <c r="C5" s="2">
        <v>1</v>
      </c>
      <c r="D5" s="6">
        <f>B7</f>
        <v>1040</v>
      </c>
      <c r="E5" s="6">
        <v>0</v>
      </c>
      <c r="F5" s="6">
        <f>SUM(D5:E5)</f>
        <v>1040</v>
      </c>
      <c r="G5" s="6">
        <v>0</v>
      </c>
      <c r="H5" s="6">
        <f>SUM(F5:G5)</f>
        <v>1040</v>
      </c>
      <c r="I5" s="271"/>
    </row>
    <row r="6" spans="1:13" x14ac:dyDescent="0.3">
      <c r="A6" s="274"/>
      <c r="B6" s="193"/>
      <c r="C6" s="2">
        <v>2</v>
      </c>
      <c r="D6" s="6">
        <f>IF(C6&lt;=B$5,H5,0)</f>
        <v>1040</v>
      </c>
      <c r="E6" s="6">
        <f>D6*B$9</f>
        <v>36.400000000000006</v>
      </c>
      <c r="F6" s="6">
        <f>SUM(D6:E6)</f>
        <v>1076.4000000000001</v>
      </c>
      <c r="G6" s="6">
        <f>F6*B$11</f>
        <v>21.528000000000002</v>
      </c>
      <c r="H6" s="6">
        <f>SUM(F6:G6)</f>
        <v>1097.9280000000001</v>
      </c>
      <c r="I6" s="271"/>
    </row>
    <row r="7" spans="1:13" x14ac:dyDescent="0.3">
      <c r="A7" s="273" t="s">
        <v>168</v>
      </c>
      <c r="B7" s="272">
        <f>IF(B5&gt;24,B3/24,B3/B5)</f>
        <v>1040</v>
      </c>
      <c r="C7" s="2">
        <v>3</v>
      </c>
      <c r="D7" s="6">
        <f t="shared" ref="D7:D28" si="0">IF(C7&lt;=B$5,H6,0)</f>
        <v>1097.9280000000001</v>
      </c>
      <c r="E7" s="6">
        <f t="shared" ref="E7:E28" si="1">D7*B$9</f>
        <v>38.42748000000001</v>
      </c>
      <c r="F7" s="6">
        <f t="shared" ref="F7:F28" si="2">SUM(D7:E7)</f>
        <v>1136.3554800000002</v>
      </c>
      <c r="G7" s="6">
        <f t="shared" ref="G7:G28" si="3">F7*B$11</f>
        <v>22.727109600000002</v>
      </c>
      <c r="H7" s="6">
        <f t="shared" ref="H7:H28" si="4">SUM(F7:G7)</f>
        <v>1159.0825896000001</v>
      </c>
      <c r="I7" s="271"/>
    </row>
    <row r="8" spans="1:13" x14ac:dyDescent="0.3">
      <c r="A8" s="273"/>
      <c r="B8" s="272"/>
      <c r="C8" s="2">
        <v>4</v>
      </c>
      <c r="D8" s="6">
        <f t="shared" si="0"/>
        <v>1159.0825896000001</v>
      </c>
      <c r="E8" s="6">
        <f t="shared" si="1"/>
        <v>40.567890636000008</v>
      </c>
      <c r="F8" s="6">
        <f t="shared" si="2"/>
        <v>1199.650480236</v>
      </c>
      <c r="G8" s="6">
        <f t="shared" si="3"/>
        <v>23.993009604720001</v>
      </c>
      <c r="H8" s="6">
        <f t="shared" si="4"/>
        <v>1223.6434898407201</v>
      </c>
      <c r="I8" s="271"/>
    </row>
    <row r="9" spans="1:13" x14ac:dyDescent="0.3">
      <c r="A9" s="75" t="s">
        <v>167</v>
      </c>
      <c r="B9" s="73">
        <f>VLOOKUP(B5,J11:L12,2,TRUE)</f>
        <v>3.5000000000000003E-2</v>
      </c>
      <c r="C9" s="56">
        <v>5</v>
      </c>
      <c r="D9" s="6">
        <f t="shared" si="0"/>
        <v>1223.6434898407201</v>
      </c>
      <c r="E9" s="6">
        <f t="shared" si="1"/>
        <v>42.82752214442521</v>
      </c>
      <c r="F9" s="6">
        <f t="shared" si="2"/>
        <v>1266.4710119851454</v>
      </c>
      <c r="G9" s="6">
        <f t="shared" si="3"/>
        <v>25.329420239702909</v>
      </c>
      <c r="H9" s="6">
        <f t="shared" si="4"/>
        <v>1291.8004322248482</v>
      </c>
      <c r="J9" s="193" t="s">
        <v>206</v>
      </c>
      <c r="K9" s="270"/>
      <c r="L9" s="270"/>
      <c r="M9" s="110"/>
    </row>
    <row r="10" spans="1:13" x14ac:dyDescent="0.3">
      <c r="A10" s="265"/>
      <c r="B10" s="266"/>
      <c r="C10" s="56">
        <v>6</v>
      </c>
      <c r="D10" s="6">
        <f t="shared" si="0"/>
        <v>1291.8004322248482</v>
      </c>
      <c r="E10" s="6">
        <f t="shared" si="1"/>
        <v>45.213015127869696</v>
      </c>
      <c r="F10" s="6">
        <f t="shared" si="2"/>
        <v>1337.013447352718</v>
      </c>
      <c r="G10" s="6">
        <f t="shared" si="3"/>
        <v>26.740268947054361</v>
      </c>
      <c r="H10" s="6">
        <f t="shared" si="4"/>
        <v>1363.7537162997723</v>
      </c>
      <c r="J10" s="86" t="s">
        <v>169</v>
      </c>
      <c r="K10" s="86" t="s">
        <v>167</v>
      </c>
      <c r="L10" s="86" t="s">
        <v>166</v>
      </c>
    </row>
    <row r="11" spans="1:13" x14ac:dyDescent="0.3">
      <c r="A11" s="74" t="s">
        <v>166</v>
      </c>
      <c r="B11" s="73">
        <f>VLOOKUP(B5,J11:L12,3,TRUE)</f>
        <v>0.02</v>
      </c>
      <c r="C11" s="56">
        <v>7</v>
      </c>
      <c r="D11" s="6">
        <f t="shared" si="0"/>
        <v>1363.7537162997723</v>
      </c>
      <c r="E11" s="6">
        <f t="shared" si="1"/>
        <v>47.731380070492037</v>
      </c>
      <c r="F11" s="6">
        <f t="shared" si="2"/>
        <v>1411.4850963702643</v>
      </c>
      <c r="G11" s="6">
        <f t="shared" si="3"/>
        <v>28.229701927405287</v>
      </c>
      <c r="H11" s="6">
        <f t="shared" si="4"/>
        <v>1439.7147982976696</v>
      </c>
      <c r="J11" s="86">
        <v>0</v>
      </c>
      <c r="K11" s="87">
        <v>2.5000000000000001E-2</v>
      </c>
      <c r="L11" s="109">
        <v>0.01</v>
      </c>
    </row>
    <row r="12" spans="1:13" x14ac:dyDescent="0.3">
      <c r="A12" s="263"/>
      <c r="B12" s="264"/>
      <c r="C12" s="56">
        <v>8</v>
      </c>
      <c r="D12" s="6">
        <f t="shared" si="0"/>
        <v>1439.7147982976696</v>
      </c>
      <c r="E12" s="6">
        <f t="shared" si="1"/>
        <v>50.390017940418439</v>
      </c>
      <c r="F12" s="6">
        <f t="shared" si="2"/>
        <v>1490.104816238088</v>
      </c>
      <c r="G12" s="6">
        <f t="shared" si="3"/>
        <v>29.802096324761759</v>
      </c>
      <c r="H12" s="6">
        <f t="shared" si="4"/>
        <v>1519.9069125628498</v>
      </c>
      <c r="J12" s="86">
        <v>12</v>
      </c>
      <c r="K12" s="87">
        <v>3.5000000000000003E-2</v>
      </c>
      <c r="L12" s="109">
        <v>0.02</v>
      </c>
    </row>
    <row r="13" spans="1:13" x14ac:dyDescent="0.3">
      <c r="A13" s="278" t="s">
        <v>165</v>
      </c>
      <c r="B13" s="279"/>
      <c r="C13" s="2">
        <v>9</v>
      </c>
      <c r="D13" s="6">
        <f t="shared" si="0"/>
        <v>1519.9069125628498</v>
      </c>
      <c r="E13" s="6">
        <f t="shared" si="1"/>
        <v>53.196741939699749</v>
      </c>
      <c r="F13" s="6">
        <f t="shared" si="2"/>
        <v>1573.1036545025495</v>
      </c>
      <c r="G13" s="6">
        <f t="shared" si="3"/>
        <v>31.462073090050989</v>
      </c>
      <c r="H13" s="6">
        <f t="shared" si="4"/>
        <v>1604.5657275926005</v>
      </c>
    </row>
    <row r="14" spans="1:13" x14ac:dyDescent="0.3">
      <c r="A14" s="272">
        <f>SUM(H5:H28)</f>
        <v>49901.152877715038</v>
      </c>
      <c r="B14" s="194"/>
      <c r="C14" s="2">
        <v>10</v>
      </c>
      <c r="D14" s="6">
        <f t="shared" si="0"/>
        <v>1604.5657275926005</v>
      </c>
      <c r="E14" s="6">
        <f t="shared" si="1"/>
        <v>56.159800465741021</v>
      </c>
      <c r="F14" s="6">
        <f t="shared" si="2"/>
        <v>1660.7255280583415</v>
      </c>
      <c r="G14" s="6">
        <f t="shared" si="3"/>
        <v>33.214510561166833</v>
      </c>
      <c r="H14" s="6">
        <f t="shared" si="4"/>
        <v>1693.9400386195084</v>
      </c>
    </row>
    <row r="15" spans="1:13" x14ac:dyDescent="0.3">
      <c r="A15" s="267" t="s">
        <v>164</v>
      </c>
      <c r="B15" s="267"/>
      <c r="C15" s="2">
        <v>11</v>
      </c>
      <c r="D15" s="6">
        <f t="shared" si="0"/>
        <v>1693.9400386195084</v>
      </c>
      <c r="E15" s="6">
        <f t="shared" si="1"/>
        <v>59.287901351682798</v>
      </c>
      <c r="F15" s="6">
        <f t="shared" si="2"/>
        <v>1753.2279399711913</v>
      </c>
      <c r="G15" s="6">
        <f t="shared" si="3"/>
        <v>35.064558799423828</v>
      </c>
      <c r="H15" s="6">
        <f t="shared" si="4"/>
        <v>1788.2924987706151</v>
      </c>
    </row>
    <row r="16" spans="1:13" x14ac:dyDescent="0.3">
      <c r="A16" s="276"/>
      <c r="B16" s="177"/>
      <c r="C16" s="2">
        <v>12</v>
      </c>
      <c r="D16" s="6">
        <f t="shared" si="0"/>
        <v>1788.2924987706151</v>
      </c>
      <c r="E16" s="6">
        <f t="shared" si="1"/>
        <v>62.590237456971536</v>
      </c>
      <c r="F16" s="6">
        <f t="shared" si="2"/>
        <v>1850.8827362275867</v>
      </c>
      <c r="G16" s="6">
        <f t="shared" si="3"/>
        <v>37.017654724551733</v>
      </c>
      <c r="H16" s="6">
        <f t="shared" si="4"/>
        <v>1887.9003909521384</v>
      </c>
    </row>
    <row r="17" spans="1:8" x14ac:dyDescent="0.3">
      <c r="A17" s="275" t="s">
        <v>163</v>
      </c>
      <c r="B17" s="275"/>
      <c r="C17" s="2">
        <v>13</v>
      </c>
      <c r="D17" s="6">
        <f t="shared" si="0"/>
        <v>1887.9003909521384</v>
      </c>
      <c r="E17" s="6">
        <f t="shared" si="1"/>
        <v>66.076513683324848</v>
      </c>
      <c r="F17" s="6">
        <f t="shared" si="2"/>
        <v>1953.9769046354634</v>
      </c>
      <c r="G17" s="6">
        <f t="shared" si="3"/>
        <v>39.079538092709271</v>
      </c>
      <c r="H17" s="6">
        <f t="shared" si="4"/>
        <v>1993.0564427281727</v>
      </c>
    </row>
    <row r="18" spans="1:8" x14ac:dyDescent="0.3">
      <c r="A18" s="276"/>
      <c r="B18" s="177"/>
      <c r="C18" s="2">
        <v>14</v>
      </c>
      <c r="D18" s="6">
        <f t="shared" si="0"/>
        <v>1993.0564427281727</v>
      </c>
      <c r="E18" s="6">
        <f t="shared" si="1"/>
        <v>69.756975495486046</v>
      </c>
      <c r="F18" s="6">
        <f t="shared" si="2"/>
        <v>2062.8134182236586</v>
      </c>
      <c r="G18" s="6">
        <f t="shared" si="3"/>
        <v>41.256268364473172</v>
      </c>
      <c r="H18" s="6">
        <f t="shared" si="4"/>
        <v>2104.0696865881318</v>
      </c>
    </row>
    <row r="19" spans="1:8" x14ac:dyDescent="0.3">
      <c r="A19" s="268" t="s">
        <v>162</v>
      </c>
      <c r="B19" s="269"/>
      <c r="C19" s="2">
        <v>15</v>
      </c>
      <c r="D19" s="6">
        <f t="shared" si="0"/>
        <v>2104.0696865881318</v>
      </c>
      <c r="E19" s="6">
        <f t="shared" si="1"/>
        <v>73.642439030584626</v>
      </c>
      <c r="F19" s="6">
        <f t="shared" si="2"/>
        <v>2177.7121256187165</v>
      </c>
      <c r="G19" s="6">
        <f t="shared" si="3"/>
        <v>43.55424251237433</v>
      </c>
      <c r="H19" s="6">
        <f t="shared" si="4"/>
        <v>2221.266368131091</v>
      </c>
    </row>
    <row r="20" spans="1:8" x14ac:dyDescent="0.3">
      <c r="A20" s="200">
        <f>IF(B5&lt;24,SUM(H5:H28)/B5,SUM(H5:H28)/24)</f>
        <v>2079.2147032381267</v>
      </c>
      <c r="B20" s="203"/>
      <c r="C20" s="2">
        <v>16</v>
      </c>
      <c r="D20" s="6">
        <f t="shared" si="0"/>
        <v>2221.266368131091</v>
      </c>
      <c r="E20" s="6">
        <f t="shared" si="1"/>
        <v>77.744322884588186</v>
      </c>
      <c r="F20" s="6">
        <f t="shared" si="2"/>
        <v>2299.0106910156792</v>
      </c>
      <c r="G20" s="6">
        <f t="shared" si="3"/>
        <v>45.980213820313587</v>
      </c>
      <c r="H20" s="6">
        <f t="shared" si="4"/>
        <v>2344.9909048359928</v>
      </c>
    </row>
    <row r="21" spans="1:8" x14ac:dyDescent="0.3">
      <c r="A21" s="72"/>
      <c r="B21" s="72"/>
      <c r="C21" s="2">
        <v>17</v>
      </c>
      <c r="D21" s="6">
        <f t="shared" si="0"/>
        <v>2344.9909048359928</v>
      </c>
      <c r="E21" s="6">
        <f t="shared" si="1"/>
        <v>82.07468166925976</v>
      </c>
      <c r="F21" s="6">
        <f t="shared" si="2"/>
        <v>2427.0655865052527</v>
      </c>
      <c r="G21" s="6">
        <f t="shared" si="3"/>
        <v>48.541311730105058</v>
      </c>
      <c r="H21" s="6">
        <f t="shared" si="4"/>
        <v>2475.6068982353577</v>
      </c>
    </row>
    <row r="22" spans="1:8" x14ac:dyDescent="0.3">
      <c r="A22" s="72"/>
      <c r="B22" s="72"/>
      <c r="C22" s="2">
        <v>18</v>
      </c>
      <c r="D22" s="6">
        <f t="shared" si="0"/>
        <v>2475.6068982353577</v>
      </c>
      <c r="E22" s="6">
        <f t="shared" si="1"/>
        <v>86.646241438237524</v>
      </c>
      <c r="F22" s="6">
        <f t="shared" si="2"/>
        <v>2562.2531396735953</v>
      </c>
      <c r="G22" s="6">
        <f t="shared" si="3"/>
        <v>51.245062793471909</v>
      </c>
      <c r="H22" s="6">
        <f t="shared" si="4"/>
        <v>2613.4982024670671</v>
      </c>
    </row>
    <row r="23" spans="1:8" x14ac:dyDescent="0.3">
      <c r="A23" s="72"/>
      <c r="B23" s="72"/>
      <c r="C23" s="2">
        <v>19</v>
      </c>
      <c r="D23" s="6">
        <f t="shared" si="0"/>
        <v>2613.4982024670671</v>
      </c>
      <c r="E23" s="6">
        <f t="shared" si="1"/>
        <v>91.472437086347355</v>
      </c>
      <c r="F23" s="6">
        <f t="shared" si="2"/>
        <v>2704.9706395534145</v>
      </c>
      <c r="G23" s="6">
        <f t="shared" si="3"/>
        <v>54.099412791068289</v>
      </c>
      <c r="H23" s="6">
        <f t="shared" si="4"/>
        <v>2759.070052344483</v>
      </c>
    </row>
    <row r="24" spans="1:8" x14ac:dyDescent="0.3">
      <c r="A24" s="72"/>
      <c r="B24" s="72"/>
      <c r="C24" s="2">
        <v>20</v>
      </c>
      <c r="D24" s="6">
        <f t="shared" si="0"/>
        <v>2759.070052344483</v>
      </c>
      <c r="E24" s="6">
        <f t="shared" si="1"/>
        <v>96.567451832056918</v>
      </c>
      <c r="F24" s="6">
        <f t="shared" si="2"/>
        <v>2855.63750417654</v>
      </c>
      <c r="G24" s="6">
        <f t="shared" si="3"/>
        <v>57.112750083530798</v>
      </c>
      <c r="H24" s="6">
        <f t="shared" si="4"/>
        <v>2912.750254260071</v>
      </c>
    </row>
    <row r="25" spans="1:8" x14ac:dyDescent="0.3">
      <c r="A25" s="72"/>
      <c r="B25" s="72"/>
      <c r="C25" s="2">
        <v>21</v>
      </c>
      <c r="D25" s="6">
        <f t="shared" si="0"/>
        <v>2912.750254260071</v>
      </c>
      <c r="E25" s="6">
        <f t="shared" si="1"/>
        <v>101.94625889910249</v>
      </c>
      <c r="F25" s="6">
        <f t="shared" si="2"/>
        <v>3014.6965131591733</v>
      </c>
      <c r="G25" s="6">
        <f t="shared" si="3"/>
        <v>60.293930263183469</v>
      </c>
      <c r="H25" s="6">
        <f t="shared" si="4"/>
        <v>3074.9904434223567</v>
      </c>
    </row>
    <row r="26" spans="1:8" x14ac:dyDescent="0.3">
      <c r="A26" s="72"/>
      <c r="B26" s="72"/>
      <c r="C26" s="2">
        <v>22</v>
      </c>
      <c r="D26" s="6">
        <f t="shared" si="0"/>
        <v>3074.9904434223567</v>
      </c>
      <c r="E26" s="6">
        <f t="shared" si="1"/>
        <v>107.6246655197825</v>
      </c>
      <c r="F26" s="6">
        <f t="shared" si="2"/>
        <v>3182.6151089421392</v>
      </c>
      <c r="G26" s="6">
        <f t="shared" si="3"/>
        <v>63.652302178842781</v>
      </c>
      <c r="H26" s="6">
        <f t="shared" si="4"/>
        <v>3246.2674111209822</v>
      </c>
    </row>
    <row r="27" spans="1:8" x14ac:dyDescent="0.3">
      <c r="A27" s="72"/>
      <c r="B27" s="72"/>
      <c r="C27" s="2">
        <v>23</v>
      </c>
      <c r="D27" s="6">
        <f t="shared" si="0"/>
        <v>3246.2674111209822</v>
      </c>
      <c r="E27" s="6">
        <f t="shared" si="1"/>
        <v>113.61935938923439</v>
      </c>
      <c r="F27" s="6">
        <f t="shared" si="2"/>
        <v>3359.8867705102166</v>
      </c>
      <c r="G27" s="6">
        <f t="shared" si="3"/>
        <v>67.197735410204331</v>
      </c>
      <c r="H27" s="6">
        <f t="shared" si="4"/>
        <v>3427.0845059204207</v>
      </c>
    </row>
    <row r="28" spans="1:8" x14ac:dyDescent="0.3">
      <c r="A28" s="72"/>
      <c r="B28" s="72"/>
      <c r="C28" s="2">
        <v>24</v>
      </c>
      <c r="D28" s="6">
        <f t="shared" si="0"/>
        <v>3427.0845059204207</v>
      </c>
      <c r="E28" s="6">
        <f t="shared" si="1"/>
        <v>119.94795770721474</v>
      </c>
      <c r="F28" s="6">
        <f t="shared" si="2"/>
        <v>3547.0324636276355</v>
      </c>
      <c r="G28" s="6">
        <f t="shared" si="3"/>
        <v>70.940649272552704</v>
      </c>
      <c r="H28" s="6">
        <f t="shared" si="4"/>
        <v>3617.973112900188</v>
      </c>
    </row>
  </sheetData>
  <mergeCells count="26">
    <mergeCell ref="E3:E4"/>
    <mergeCell ref="A16:B16"/>
    <mergeCell ref="A17:B17"/>
    <mergeCell ref="A18:B18"/>
    <mergeCell ref="A1:H2"/>
    <mergeCell ref="A13:B13"/>
    <mergeCell ref="A14:B14"/>
    <mergeCell ref="F3:F4"/>
    <mergeCell ref="G3:G4"/>
    <mergeCell ref="H3:H4"/>
    <mergeCell ref="A3:A4"/>
    <mergeCell ref="C3:C4"/>
    <mergeCell ref="B3:B4"/>
    <mergeCell ref="D3:D4"/>
    <mergeCell ref="J9:L9"/>
    <mergeCell ref="I7:I8"/>
    <mergeCell ref="I5:I6"/>
    <mergeCell ref="B7:B8"/>
    <mergeCell ref="A7:A8"/>
    <mergeCell ref="A5:A6"/>
    <mergeCell ref="B5:B6"/>
    <mergeCell ref="A20:B20"/>
    <mergeCell ref="A12:B12"/>
    <mergeCell ref="A10:B10"/>
    <mergeCell ref="A15:B15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6:G8 G9:G28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8"/>
  <sheetViews>
    <sheetView zoomScale="120" zoomScaleNormal="120" workbookViewId="0">
      <selection activeCell="A16" sqref="A16:B16"/>
    </sheetView>
  </sheetViews>
  <sheetFormatPr defaultColWidth="9.109375" defaultRowHeight="14.4" x14ac:dyDescent="0.3"/>
  <cols>
    <col min="1" max="1" width="24.6640625" style="77" customWidth="1"/>
    <col min="2" max="2" width="13" style="77" customWidth="1"/>
    <col min="3" max="3" width="12.6640625" style="77" customWidth="1"/>
    <col min="4" max="4" width="13.33203125" style="77" customWidth="1"/>
    <col min="5" max="5" width="15" style="77" customWidth="1"/>
    <col min="6" max="6" width="43.5546875" style="77" customWidth="1"/>
    <col min="7" max="16384" width="9.109375" style="77"/>
  </cols>
  <sheetData>
    <row r="1" spans="1:6" ht="5.25" customHeight="1" x14ac:dyDescent="0.3">
      <c r="A1" s="284" t="s">
        <v>204</v>
      </c>
      <c r="B1" s="285"/>
      <c r="C1" s="285"/>
      <c r="D1" s="285"/>
      <c r="E1" s="285"/>
      <c r="F1" s="285"/>
    </row>
    <row r="2" spans="1:6" ht="8.25" customHeight="1" x14ac:dyDescent="0.3">
      <c r="A2" s="285"/>
      <c r="B2" s="285"/>
      <c r="C2" s="285"/>
      <c r="D2" s="285"/>
      <c r="E2" s="285"/>
      <c r="F2" s="285"/>
    </row>
    <row r="3" spans="1:6" x14ac:dyDescent="0.3">
      <c r="A3" s="78" t="s">
        <v>180</v>
      </c>
      <c r="B3" s="78" t="s">
        <v>181</v>
      </c>
      <c r="C3" s="78" t="s">
        <v>182</v>
      </c>
      <c r="D3" s="78" t="s">
        <v>183</v>
      </c>
      <c r="E3" s="78" t="s">
        <v>184</v>
      </c>
      <c r="F3" s="78" t="s">
        <v>185</v>
      </c>
    </row>
    <row r="4" spans="1:6" x14ac:dyDescent="0.3">
      <c r="A4" s="79" t="s">
        <v>186</v>
      </c>
      <c r="B4" s="80" t="s">
        <v>187</v>
      </c>
      <c r="C4" s="80" t="s">
        <v>188</v>
      </c>
      <c r="D4" s="80" t="s">
        <v>189</v>
      </c>
      <c r="E4" s="81">
        <v>15200</v>
      </c>
      <c r="F4" s="82">
        <f>(VLOOKUP(E4,$A$17:$B$18,2,TRUE))*E4</f>
        <v>703.76</v>
      </c>
    </row>
    <row r="5" spans="1:6" x14ac:dyDescent="0.3">
      <c r="A5" s="79" t="s">
        <v>190</v>
      </c>
      <c r="B5" s="80" t="s">
        <v>191</v>
      </c>
      <c r="C5" s="80" t="s">
        <v>192</v>
      </c>
      <c r="D5" s="80" t="s">
        <v>189</v>
      </c>
      <c r="E5" s="81">
        <v>36500</v>
      </c>
      <c r="F5" s="82">
        <f t="shared" ref="F5:F10" si="0">(VLOOKUP(E5,$A$17:$B$18,2,TRUE))*E5</f>
        <v>1689.95</v>
      </c>
    </row>
    <row r="6" spans="1:6" x14ac:dyDescent="0.3">
      <c r="A6" s="79" t="s">
        <v>193</v>
      </c>
      <c r="B6" s="80" t="s">
        <v>187</v>
      </c>
      <c r="C6" s="80" t="s">
        <v>194</v>
      </c>
      <c r="D6" s="80" t="s">
        <v>195</v>
      </c>
      <c r="E6" s="81">
        <v>22900</v>
      </c>
      <c r="F6" s="82">
        <f t="shared" si="0"/>
        <v>1060.27</v>
      </c>
    </row>
    <row r="7" spans="1:6" x14ac:dyDescent="0.3">
      <c r="A7" s="79" t="s">
        <v>196</v>
      </c>
      <c r="B7" s="80" t="s">
        <v>187</v>
      </c>
      <c r="C7" s="80" t="s">
        <v>197</v>
      </c>
      <c r="D7" s="80" t="s">
        <v>198</v>
      </c>
      <c r="E7" s="81">
        <v>39000</v>
      </c>
      <c r="F7" s="82">
        <f t="shared" si="0"/>
        <v>1805.7</v>
      </c>
    </row>
    <row r="8" spans="1:6" x14ac:dyDescent="0.3">
      <c r="A8" s="79" t="s">
        <v>199</v>
      </c>
      <c r="B8" s="80" t="s">
        <v>191</v>
      </c>
      <c r="C8" s="80" t="s">
        <v>194</v>
      </c>
      <c r="D8" s="80" t="s">
        <v>198</v>
      </c>
      <c r="E8" s="81">
        <v>46600</v>
      </c>
      <c r="F8" s="82">
        <f t="shared" si="0"/>
        <v>2157.58</v>
      </c>
    </row>
    <row r="9" spans="1:6" x14ac:dyDescent="0.3">
      <c r="A9" s="79" t="s">
        <v>200</v>
      </c>
      <c r="B9" s="80" t="s">
        <v>187</v>
      </c>
      <c r="C9" s="80" t="s">
        <v>192</v>
      </c>
      <c r="D9" s="80" t="s">
        <v>198</v>
      </c>
      <c r="E9" s="81">
        <v>17300</v>
      </c>
      <c r="F9" s="82">
        <f t="shared" si="0"/>
        <v>800.99</v>
      </c>
    </row>
    <row r="10" spans="1:6" x14ac:dyDescent="0.3">
      <c r="A10" s="79" t="s">
        <v>201</v>
      </c>
      <c r="B10" s="80" t="s">
        <v>191</v>
      </c>
      <c r="C10" s="80" t="s">
        <v>188</v>
      </c>
      <c r="D10" s="80" t="s">
        <v>202</v>
      </c>
      <c r="E10" s="81">
        <v>62550</v>
      </c>
      <c r="F10" s="82">
        <f t="shared" si="0"/>
        <v>5785.875</v>
      </c>
    </row>
    <row r="11" spans="1:6" x14ac:dyDescent="0.3">
      <c r="A11" s="79" t="s">
        <v>203</v>
      </c>
      <c r="B11" s="80" t="s">
        <v>191</v>
      </c>
      <c r="C11" s="80" t="s">
        <v>197</v>
      </c>
      <c r="D11" s="80" t="s">
        <v>202</v>
      </c>
      <c r="E11" s="81">
        <v>78850</v>
      </c>
      <c r="F11" s="82">
        <f>(VLOOKUP(E11,$A$17:$B$18,2,TRUE))*E11</f>
        <v>7293.625</v>
      </c>
    </row>
    <row r="12" spans="1:6" x14ac:dyDescent="0.3">
      <c r="A12" s="286" t="s">
        <v>207</v>
      </c>
      <c r="B12" s="286"/>
      <c r="C12" s="286" t="s">
        <v>208</v>
      </c>
      <c r="D12" s="286"/>
      <c r="E12" s="286" t="s">
        <v>209</v>
      </c>
      <c r="F12" s="286"/>
    </row>
    <row r="13" spans="1:6" x14ac:dyDescent="0.3">
      <c r="A13" s="88" t="s">
        <v>181</v>
      </c>
      <c r="B13" s="88" t="s">
        <v>171</v>
      </c>
      <c r="C13" s="89" t="s">
        <v>182</v>
      </c>
      <c r="D13" s="89" t="s">
        <v>171</v>
      </c>
      <c r="E13" s="90" t="s">
        <v>183</v>
      </c>
      <c r="F13" s="90" t="s">
        <v>171</v>
      </c>
    </row>
    <row r="14" spans="1:6" x14ac:dyDescent="0.3">
      <c r="A14" s="88" t="s">
        <v>187</v>
      </c>
      <c r="B14" s="91">
        <f>AVERAGEIF(B4:B11,A14,E4:E11)</f>
        <v>23600</v>
      </c>
      <c r="C14" s="89" t="s">
        <v>188</v>
      </c>
      <c r="D14" s="92">
        <f>SUMIF(C4:C11,C14,F4:F11)</f>
        <v>6489.6350000000002</v>
      </c>
      <c r="E14" s="90" t="s">
        <v>189</v>
      </c>
      <c r="F14" s="93">
        <f>SUMIF(D$4:D$11,E14,E$4:E$11)</f>
        <v>51700</v>
      </c>
    </row>
    <row r="15" spans="1:6" x14ac:dyDescent="0.3">
      <c r="A15" s="94" t="s">
        <v>191</v>
      </c>
      <c r="B15" s="91">
        <f>AVERAGEIF(B4:B11,A15,E4:E11)</f>
        <v>56125</v>
      </c>
      <c r="C15" s="89" t="s">
        <v>192</v>
      </c>
      <c r="D15" s="92">
        <f>SUMIF(C4:C11,C15,F4:F11)</f>
        <v>2490.94</v>
      </c>
      <c r="E15" s="90" t="s">
        <v>195</v>
      </c>
      <c r="F15" s="93">
        <f t="shared" ref="F15:F17" si="1">SUMIF(D$4:D$11,E15,E$4:E$11)</f>
        <v>22900</v>
      </c>
    </row>
    <row r="16" spans="1:6" x14ac:dyDescent="0.3">
      <c r="A16" s="287" t="s">
        <v>210</v>
      </c>
      <c r="B16" s="288"/>
      <c r="C16" s="89" t="s">
        <v>194</v>
      </c>
      <c r="D16" s="92">
        <f>SUMIF(C4:C11,C16,F4:F11)</f>
        <v>3217.85</v>
      </c>
      <c r="E16" s="90" t="s">
        <v>198</v>
      </c>
      <c r="F16" s="93">
        <f t="shared" si="1"/>
        <v>102900</v>
      </c>
    </row>
    <row r="17" spans="1:6" x14ac:dyDescent="0.3">
      <c r="A17" s="83">
        <v>0</v>
      </c>
      <c r="B17" s="84">
        <v>4.6300000000000001E-2</v>
      </c>
      <c r="C17" s="89" t="s">
        <v>197</v>
      </c>
      <c r="D17" s="92">
        <f>SUMIF(C4:C11,C17,F4:F11)</f>
        <v>9099.3250000000007</v>
      </c>
      <c r="E17" s="90" t="s">
        <v>202</v>
      </c>
      <c r="F17" s="93">
        <f t="shared" si="1"/>
        <v>141400</v>
      </c>
    </row>
    <row r="18" spans="1:6" x14ac:dyDescent="0.3">
      <c r="A18" s="85">
        <v>50000</v>
      </c>
      <c r="B18" s="84">
        <v>9.2499999999999999E-2</v>
      </c>
      <c r="C18" s="282"/>
      <c r="D18" s="283"/>
      <c r="E18" s="283"/>
      <c r="F18" s="283"/>
    </row>
  </sheetData>
  <mergeCells count="6">
    <mergeCell ref="C18:F18"/>
    <mergeCell ref="A1:F2"/>
    <mergeCell ref="A12:B12"/>
    <mergeCell ref="C12:D12"/>
    <mergeCell ref="E12:F12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9"/>
  <sheetViews>
    <sheetView topLeftCell="A2" zoomScale="80" zoomScaleNormal="80" workbookViewId="0">
      <selection activeCell="I13" sqref="I13"/>
    </sheetView>
  </sheetViews>
  <sheetFormatPr defaultColWidth="9.109375" defaultRowHeight="14.4" x14ac:dyDescent="0.3"/>
  <cols>
    <col min="1" max="1" width="24.88671875" style="124" customWidth="1"/>
    <col min="2" max="2" width="8.88671875" style="124" customWidth="1"/>
    <col min="3" max="3" width="11.109375" style="124" customWidth="1"/>
    <col min="4" max="4" width="7.6640625" style="124" customWidth="1"/>
    <col min="5" max="5" width="12.88671875" style="124" customWidth="1"/>
    <col min="6" max="6" width="20" style="124" customWidth="1"/>
    <col min="7" max="7" width="28.5546875" style="124" customWidth="1"/>
    <col min="8" max="8" width="12" style="124" customWidth="1"/>
    <col min="9" max="9" width="26.88671875" style="124" customWidth="1"/>
    <col min="10" max="16384" width="9.109375" style="97"/>
  </cols>
  <sheetData>
    <row r="1" spans="1:9" ht="1.5" hidden="1" customHeight="1" x14ac:dyDescent="0.3">
      <c r="A1" s="289" t="s">
        <v>211</v>
      </c>
      <c r="B1" s="290"/>
      <c r="C1" s="290"/>
      <c r="D1" s="290"/>
      <c r="E1" s="290"/>
      <c r="F1" s="290"/>
      <c r="G1" s="290"/>
      <c r="H1" s="290"/>
      <c r="I1" s="290"/>
    </row>
    <row r="2" spans="1:9" ht="18.75" customHeight="1" x14ac:dyDescent="0.3">
      <c r="A2" s="291"/>
      <c r="B2" s="292"/>
      <c r="C2" s="292"/>
      <c r="D2" s="292"/>
      <c r="E2" s="292"/>
      <c r="F2" s="292"/>
      <c r="G2" s="292"/>
      <c r="H2" s="292"/>
      <c r="I2" s="292"/>
    </row>
    <row r="3" spans="1:9" ht="20.25" customHeight="1" x14ac:dyDescent="0.3">
      <c r="A3" s="122" t="s">
        <v>180</v>
      </c>
      <c r="B3" s="122" t="s">
        <v>181</v>
      </c>
      <c r="C3" s="122" t="s">
        <v>182</v>
      </c>
      <c r="D3" s="122" t="s">
        <v>228</v>
      </c>
      <c r="E3" s="122" t="s">
        <v>183</v>
      </c>
      <c r="F3" s="122" t="s">
        <v>184</v>
      </c>
      <c r="G3" s="122" t="s">
        <v>185</v>
      </c>
      <c r="H3" s="293" t="s">
        <v>156</v>
      </c>
      <c r="I3" s="293"/>
    </row>
    <row r="4" spans="1:9" ht="17.399999999999999" x14ac:dyDescent="0.3">
      <c r="A4" s="123" t="s">
        <v>186</v>
      </c>
      <c r="B4" s="125" t="s">
        <v>191</v>
      </c>
      <c r="C4" s="125" t="s">
        <v>188</v>
      </c>
      <c r="D4" s="126" t="s">
        <v>229</v>
      </c>
      <c r="E4" s="125" t="s">
        <v>212</v>
      </c>
      <c r="F4" s="127">
        <v>29900</v>
      </c>
      <c r="G4" s="128">
        <f>(VLOOKUP(F4,Base2!A2:B5,2,TRUE))*F4</f>
        <v>1384.3700000000001</v>
      </c>
      <c r="H4" s="294" t="s">
        <v>213</v>
      </c>
      <c r="I4" s="294"/>
    </row>
    <row r="5" spans="1:9" ht="17.399999999999999" x14ac:dyDescent="0.3">
      <c r="A5" s="123" t="s">
        <v>190</v>
      </c>
      <c r="B5" s="125" t="s">
        <v>187</v>
      </c>
      <c r="C5" s="125" t="s">
        <v>194</v>
      </c>
      <c r="D5" s="126" t="s">
        <v>230</v>
      </c>
      <c r="E5" s="125" t="s">
        <v>212</v>
      </c>
      <c r="F5" s="127">
        <v>26500</v>
      </c>
      <c r="G5" s="128">
        <f>(VLOOKUP(F5,Base2!A2:B5,2,TRUE))*F5</f>
        <v>1226.95</v>
      </c>
      <c r="H5" s="129" t="s">
        <v>188</v>
      </c>
      <c r="I5" s="130">
        <f>SUMIF(C$4:C$18,H5,G$4:G$18)</f>
        <v>33149.870000000003</v>
      </c>
    </row>
    <row r="6" spans="1:9" ht="17.399999999999999" x14ac:dyDescent="0.3">
      <c r="A6" s="123" t="s">
        <v>214</v>
      </c>
      <c r="B6" s="125" t="s">
        <v>187</v>
      </c>
      <c r="C6" s="125" t="s">
        <v>192</v>
      </c>
      <c r="D6" s="126" t="s">
        <v>230</v>
      </c>
      <c r="E6" s="125" t="s">
        <v>215</v>
      </c>
      <c r="F6" s="127">
        <v>122500</v>
      </c>
      <c r="G6" s="128">
        <f>(VLOOKUP(F6,Base2!$A$2:$B$5,2,TRUE))*F6</f>
        <v>12250</v>
      </c>
      <c r="H6" s="129" t="s">
        <v>194</v>
      </c>
      <c r="I6" s="130">
        <f t="shared" ref="I6:I8" si="0">SUMIF(C$4:C$18,H6,G$4:G$18)</f>
        <v>13021.570000000002</v>
      </c>
    </row>
    <row r="7" spans="1:9" ht="17.399999999999999" x14ac:dyDescent="0.3">
      <c r="A7" s="123" t="s">
        <v>216</v>
      </c>
      <c r="B7" s="125" t="s">
        <v>191</v>
      </c>
      <c r="C7" s="125" t="s">
        <v>197</v>
      </c>
      <c r="D7" s="126" t="s">
        <v>231</v>
      </c>
      <c r="E7" s="125" t="s">
        <v>215</v>
      </c>
      <c r="F7" s="127">
        <v>50900</v>
      </c>
      <c r="G7" s="128">
        <f>(VLOOKUP(F7,Base2!$A$2:$B$5,2,TRUE))*F7</f>
        <v>3308.5</v>
      </c>
      <c r="H7" s="129" t="s">
        <v>192</v>
      </c>
      <c r="I7" s="130">
        <f t="shared" si="0"/>
        <v>22347.375</v>
      </c>
    </row>
    <row r="8" spans="1:9" ht="17.399999999999999" x14ac:dyDescent="0.3">
      <c r="A8" s="123" t="s">
        <v>217</v>
      </c>
      <c r="B8" s="125" t="s">
        <v>187</v>
      </c>
      <c r="C8" s="125" t="s">
        <v>197</v>
      </c>
      <c r="D8" s="126" t="s">
        <v>231</v>
      </c>
      <c r="E8" s="125" t="s">
        <v>215</v>
      </c>
      <c r="F8" s="127">
        <v>73150</v>
      </c>
      <c r="G8" s="128">
        <f>(VLOOKUP(F8,Base2!$A$2:$B$5,2,TRUE))*F8</f>
        <v>6034.875</v>
      </c>
      <c r="H8" s="129" t="s">
        <v>197</v>
      </c>
      <c r="I8" s="130">
        <f t="shared" si="0"/>
        <v>13262.745000000001</v>
      </c>
    </row>
    <row r="9" spans="1:9" ht="17.399999999999999" x14ac:dyDescent="0.3">
      <c r="A9" s="123" t="s">
        <v>218</v>
      </c>
      <c r="B9" s="125" t="s">
        <v>191</v>
      </c>
      <c r="C9" s="125" t="s">
        <v>188</v>
      </c>
      <c r="D9" s="126" t="s">
        <v>229</v>
      </c>
      <c r="E9" s="125" t="s">
        <v>215</v>
      </c>
      <c r="F9" s="127">
        <v>95500</v>
      </c>
      <c r="G9" s="128">
        <f>(VLOOKUP(F9,Base2!$A$2:$B$5,2,TRUE))*F9</f>
        <v>7878.75</v>
      </c>
      <c r="H9" s="294" t="s">
        <v>233</v>
      </c>
      <c r="I9" s="294"/>
    </row>
    <row r="10" spans="1:9" ht="17.399999999999999" x14ac:dyDescent="0.3">
      <c r="A10" s="123" t="s">
        <v>220</v>
      </c>
      <c r="B10" s="125" t="s">
        <v>191</v>
      </c>
      <c r="C10" s="125" t="s">
        <v>194</v>
      </c>
      <c r="D10" s="126" t="s">
        <v>229</v>
      </c>
      <c r="E10" s="125" t="s">
        <v>221</v>
      </c>
      <c r="F10" s="127">
        <v>68900</v>
      </c>
      <c r="G10" s="128">
        <f>(VLOOKUP(F10,Base2!$A$2:$B$5,2,TRUE))*F10</f>
        <v>4478.5</v>
      </c>
      <c r="H10" s="129" t="s">
        <v>188</v>
      </c>
      <c r="I10" s="126">
        <f>COUNTIF(C4:C18,H10)</f>
        <v>4</v>
      </c>
    </row>
    <row r="11" spans="1:9" ht="17.399999999999999" x14ac:dyDescent="0.3">
      <c r="A11" s="123" t="s">
        <v>203</v>
      </c>
      <c r="B11" s="125" t="s">
        <v>187</v>
      </c>
      <c r="C11" s="125" t="s">
        <v>188</v>
      </c>
      <c r="D11" s="126" t="s">
        <v>230</v>
      </c>
      <c r="E11" s="125" t="s">
        <v>221</v>
      </c>
      <c r="F11" s="127">
        <v>59950</v>
      </c>
      <c r="G11" s="128">
        <f>(VLOOKUP(F11,Base2!$A$2:$B$5,2,TRUE))*F11</f>
        <v>3896.75</v>
      </c>
      <c r="H11" s="129" t="s">
        <v>194</v>
      </c>
      <c r="I11" s="126">
        <f>COUNTIF(C$4:C$18,H11)</f>
        <v>4</v>
      </c>
    </row>
    <row r="12" spans="1:9" ht="17.399999999999999" x14ac:dyDescent="0.3">
      <c r="A12" s="123" t="s">
        <v>222</v>
      </c>
      <c r="B12" s="126" t="s">
        <v>191</v>
      </c>
      <c r="C12" s="126" t="s">
        <v>192</v>
      </c>
      <c r="D12" s="126" t="s">
        <v>232</v>
      </c>
      <c r="E12" s="126" t="s">
        <v>221</v>
      </c>
      <c r="F12" s="131">
        <v>62500</v>
      </c>
      <c r="G12" s="128">
        <f>(VLOOKUP(F12,Base2!$A$2:$B$5,2,TRUE))*F12</f>
        <v>4062.5</v>
      </c>
      <c r="H12" s="129" t="s">
        <v>192</v>
      </c>
      <c r="I12" s="126">
        <f t="shared" ref="I12:I13" si="1">COUNTIF(C$4:C$18,H12)</f>
        <v>3</v>
      </c>
    </row>
    <row r="13" spans="1:9" ht="17.399999999999999" x14ac:dyDescent="0.3">
      <c r="A13" s="123" t="s">
        <v>214</v>
      </c>
      <c r="B13" s="126" t="s">
        <v>191</v>
      </c>
      <c r="C13" s="126" t="s">
        <v>188</v>
      </c>
      <c r="D13" s="126" t="s">
        <v>231</v>
      </c>
      <c r="E13" s="126" t="s">
        <v>223</v>
      </c>
      <c r="F13" s="131">
        <v>199900</v>
      </c>
      <c r="G13" s="128">
        <f>(VLOOKUP(F13,Base2!$A$2:$B$5,2,TRUE))*F13</f>
        <v>19990</v>
      </c>
      <c r="H13" s="129" t="s">
        <v>197</v>
      </c>
      <c r="I13" s="126">
        <f t="shared" si="1"/>
        <v>4</v>
      </c>
    </row>
    <row r="14" spans="1:9" ht="17.399999999999999" x14ac:dyDescent="0.3">
      <c r="A14" s="123" t="s">
        <v>186</v>
      </c>
      <c r="B14" s="125" t="s">
        <v>191</v>
      </c>
      <c r="C14" s="125" t="s">
        <v>197</v>
      </c>
      <c r="D14" s="126" t="s">
        <v>232</v>
      </c>
      <c r="E14" s="125" t="s">
        <v>223</v>
      </c>
      <c r="F14" s="127">
        <v>29900</v>
      </c>
      <c r="G14" s="128">
        <f>(VLOOKUP(F14,Base2!$A$2:$B$5,2,TRUE))*F14</f>
        <v>1384.3700000000001</v>
      </c>
      <c r="H14" s="295" t="s">
        <v>224</v>
      </c>
      <c r="I14" s="295"/>
    </row>
    <row r="15" spans="1:9" ht="17.399999999999999" x14ac:dyDescent="0.3">
      <c r="A15" s="123" t="s">
        <v>217</v>
      </c>
      <c r="B15" s="125" t="s">
        <v>187</v>
      </c>
      <c r="C15" s="125" t="s">
        <v>192</v>
      </c>
      <c r="D15" s="126" t="s">
        <v>229</v>
      </c>
      <c r="E15" s="125" t="s">
        <v>225</v>
      </c>
      <c r="F15" s="127">
        <v>73150</v>
      </c>
      <c r="G15" s="128">
        <f>(VLOOKUP(F15,Base2!$A$2:$B$5,2,TRUE))*F15</f>
        <v>6034.875</v>
      </c>
      <c r="H15" s="129" t="s">
        <v>188</v>
      </c>
      <c r="I15" s="132" t="str">
        <f>IF(Base2!D2&gt;=Base2!A$8,"ATINGIU A META","NÃO ATINGIU A META")</f>
        <v>ATINGIU A META</v>
      </c>
    </row>
    <row r="16" spans="1:9" ht="17.399999999999999" x14ac:dyDescent="0.3">
      <c r="A16" s="123" t="s">
        <v>218</v>
      </c>
      <c r="B16" s="125" t="s">
        <v>187</v>
      </c>
      <c r="C16" s="125" t="s">
        <v>194</v>
      </c>
      <c r="D16" s="126" t="s">
        <v>231</v>
      </c>
      <c r="E16" s="125" t="s">
        <v>226</v>
      </c>
      <c r="F16" s="127">
        <v>71900</v>
      </c>
      <c r="G16" s="128">
        <f>(VLOOKUP(F16,Base2!$A$2:$B$5,2,TRUE))*F16</f>
        <v>5931.75</v>
      </c>
      <c r="H16" s="129" t="s">
        <v>194</v>
      </c>
      <c r="I16" s="132" t="str">
        <f>IF(Base2!D3&gt;=Base2!A$8,"ATINGIU A META","NÃO ATINGIU A META")</f>
        <v>NÃO ATINGIU A META</v>
      </c>
    </row>
    <row r="17" spans="1:9" ht="17.399999999999999" x14ac:dyDescent="0.3">
      <c r="A17" s="123" t="s">
        <v>186</v>
      </c>
      <c r="B17" s="125" t="s">
        <v>191</v>
      </c>
      <c r="C17" s="125" t="s">
        <v>194</v>
      </c>
      <c r="D17" s="126" t="s">
        <v>231</v>
      </c>
      <c r="E17" s="125" t="s">
        <v>226</v>
      </c>
      <c r="F17" s="127">
        <v>29900</v>
      </c>
      <c r="G17" s="128">
        <f>(VLOOKUP(F17,Base2!$A$2:$B$5,2,TRUE))*F17</f>
        <v>1384.3700000000001</v>
      </c>
      <c r="H17" s="129" t="s">
        <v>192</v>
      </c>
      <c r="I17" s="132" t="str">
        <f>IF(Base2!D4&gt;=Base2!A$8,"ATINGIU A META","NÃO ATINGIU A META")</f>
        <v>ATINGIU A META</v>
      </c>
    </row>
    <row r="18" spans="1:9" ht="17.399999999999999" x14ac:dyDescent="0.3">
      <c r="A18" s="123" t="s">
        <v>196</v>
      </c>
      <c r="B18" s="125" t="s">
        <v>187</v>
      </c>
      <c r="C18" s="125" t="s">
        <v>197</v>
      </c>
      <c r="D18" s="126" t="s">
        <v>230</v>
      </c>
      <c r="E18" s="125" t="s">
        <v>226</v>
      </c>
      <c r="F18" s="127">
        <v>39000</v>
      </c>
      <c r="G18" s="128">
        <f>(VLOOKUP(F18,Base2!$A$2:$B$5,2,TRUE))*F18</f>
        <v>2535</v>
      </c>
      <c r="H18" s="129" t="s">
        <v>197</v>
      </c>
      <c r="I18" s="132" t="str">
        <f>IF(Base2!D5&gt;=Base2!A$8,"ATINGIU A META","NÃO ATINGIU A META")</f>
        <v>NÃO ATINGIU A META</v>
      </c>
    </row>
    <row r="19" spans="1:9" x14ac:dyDescent="0.3">
      <c r="I19" s="132"/>
    </row>
  </sheetData>
  <mergeCells count="5">
    <mergeCell ref="A1:I2"/>
    <mergeCell ref="H3:I3"/>
    <mergeCell ref="H4:I4"/>
    <mergeCell ref="H9:I9"/>
    <mergeCell ref="H14:I14"/>
  </mergeCells>
  <conditionalFormatting sqref="I15:I18">
    <cfRule type="containsText" dxfId="1" priority="1" operator="containsText" text="NÃO ATINGIU A META">
      <formula>NOT(ISERROR(SEARCH("NÃO ATINGIU A META",I15)))</formula>
    </cfRule>
    <cfRule type="containsText" dxfId="0" priority="2" operator="containsText" text="ATINGIU A META">
      <formula>NOT(ISERROR(SEARCH("ATINGIU A META",I15)))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topLeftCell="B1" zoomScale="150" zoomScaleNormal="150" workbookViewId="0">
      <selection activeCell="D6" sqref="D6"/>
    </sheetView>
  </sheetViews>
  <sheetFormatPr defaultColWidth="9.109375" defaultRowHeight="17.399999999999999" x14ac:dyDescent="0.3"/>
  <cols>
    <col min="1" max="1" width="30.88671875" style="57" customWidth="1"/>
    <col min="2" max="2" width="14" style="57" customWidth="1"/>
    <col min="3" max="3" width="9.109375" style="57" customWidth="1"/>
    <col min="4" max="4" width="45.33203125" style="57" customWidth="1"/>
    <col min="5" max="16384" width="9.109375" style="57"/>
  </cols>
  <sheetData>
    <row r="1" spans="1:4" x14ac:dyDescent="0.3">
      <c r="A1" s="296" t="s">
        <v>210</v>
      </c>
      <c r="B1" s="296"/>
      <c r="C1" s="297" t="s">
        <v>219</v>
      </c>
      <c r="D1" s="297"/>
    </row>
    <row r="2" spans="1:4" ht="22.8" x14ac:dyDescent="0.3">
      <c r="A2" s="99">
        <v>0</v>
      </c>
      <c r="B2" s="84">
        <v>4.6300000000000001E-2</v>
      </c>
      <c r="C2" s="98" t="s">
        <v>188</v>
      </c>
      <c r="D2" s="133">
        <f>SUMIF(Base1!C4:C18,Base2!C2,Base1!F4:F18)</f>
        <v>385250</v>
      </c>
    </row>
    <row r="3" spans="1:4" ht="22.8" x14ac:dyDescent="0.3">
      <c r="A3" s="100">
        <v>35000</v>
      </c>
      <c r="B3" s="84">
        <v>6.5000000000000002E-2</v>
      </c>
      <c r="C3" s="98" t="s">
        <v>194</v>
      </c>
      <c r="D3" s="133">
        <f>SUMIF(Base1!C4:C18,Base2!C3,Base1!F4:F18)</f>
        <v>197200</v>
      </c>
    </row>
    <row r="4" spans="1:4" ht="22.8" x14ac:dyDescent="0.3">
      <c r="A4" s="101">
        <v>70000</v>
      </c>
      <c r="B4" s="95">
        <v>8.2500000000000004E-2</v>
      </c>
      <c r="C4" s="98" t="s">
        <v>192</v>
      </c>
      <c r="D4" s="133">
        <f>SUMIF(Base1!C4:C18,Base2!C4,Base1!F4:F18)</f>
        <v>258150</v>
      </c>
    </row>
    <row r="5" spans="1:4" ht="22.8" x14ac:dyDescent="0.3">
      <c r="A5" s="101">
        <v>100000</v>
      </c>
      <c r="B5" s="96">
        <v>0.1</v>
      </c>
      <c r="C5" s="98" t="s">
        <v>197</v>
      </c>
      <c r="D5" s="133">
        <f>SUMIF(Base1!C4:C18,Base2!C5,Base1!F4:F18)</f>
        <v>192950</v>
      </c>
    </row>
    <row r="7" spans="1:4" x14ac:dyDescent="0.3">
      <c r="A7" s="298" t="s">
        <v>227</v>
      </c>
      <c r="B7" s="298"/>
    </row>
    <row r="8" spans="1:4" x14ac:dyDescent="0.3">
      <c r="A8" s="299">
        <v>200000</v>
      </c>
      <c r="B8" s="299"/>
    </row>
  </sheetData>
  <mergeCells count="4">
    <mergeCell ref="A1:B1"/>
    <mergeCell ref="C1:D1"/>
    <mergeCell ref="A7:B7"/>
    <mergeCell ref="A8:B8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11BA-A6F5-4D0F-8DB8-5D9870299118}">
  <dimension ref="A1:D13"/>
  <sheetViews>
    <sheetView zoomScale="110" zoomScaleNormal="110" workbookViewId="0">
      <selection activeCell="D7" sqref="D7"/>
    </sheetView>
  </sheetViews>
  <sheetFormatPr defaultRowHeight="14.4" x14ac:dyDescent="0.3"/>
  <cols>
    <col min="1" max="1" width="64" customWidth="1"/>
    <col min="2" max="2" width="23.5546875" customWidth="1"/>
    <col min="3" max="4" width="18.33203125" customWidth="1"/>
  </cols>
  <sheetData>
    <row r="1" spans="1:4" x14ac:dyDescent="0.3">
      <c r="A1" s="2" t="s">
        <v>289</v>
      </c>
      <c r="B1" s="6">
        <v>50000</v>
      </c>
      <c r="C1" s="2" t="s">
        <v>315</v>
      </c>
      <c r="D1" s="6" t="s">
        <v>316</v>
      </c>
    </row>
    <row r="2" spans="1:4" ht="45" customHeight="1" x14ac:dyDescent="0.3">
      <c r="A2" s="157" t="s">
        <v>290</v>
      </c>
      <c r="B2" s="157" t="s">
        <v>291</v>
      </c>
      <c r="C2" s="157" t="s">
        <v>292</v>
      </c>
      <c r="D2" s="157" t="s">
        <v>293</v>
      </c>
    </row>
    <row r="3" spans="1:4" x14ac:dyDescent="0.3">
      <c r="A3" s="158" t="s">
        <v>295</v>
      </c>
      <c r="B3" s="2" t="s">
        <v>296</v>
      </c>
      <c r="C3" s="6">
        <v>134000</v>
      </c>
      <c r="D3" s="12">
        <f>IFERROR(_xlfn.RANK.EQ(C3,$C$3:$C$12),"NÃO EXECUTOU VENDAS")</f>
        <v>4</v>
      </c>
    </row>
    <row r="4" spans="1:4" x14ac:dyDescent="0.3">
      <c r="A4" s="158" t="s">
        <v>297</v>
      </c>
      <c r="B4" s="2" t="s">
        <v>187</v>
      </c>
      <c r="C4" s="6">
        <v>123000</v>
      </c>
      <c r="D4" s="12">
        <f t="shared" ref="D4:D12" si="0">IFERROR(_xlfn.RANK.EQ(C4,$C$3:$C$12),"NÃO EXECUTOU VENDAS")</f>
        <v>5</v>
      </c>
    </row>
    <row r="5" spans="1:4" x14ac:dyDescent="0.3">
      <c r="A5" s="158" t="s">
        <v>298</v>
      </c>
      <c r="B5" s="2" t="s">
        <v>299</v>
      </c>
      <c r="C5" s="6">
        <v>150000</v>
      </c>
      <c r="D5" s="12">
        <f t="shared" si="0"/>
        <v>1</v>
      </c>
    </row>
    <row r="6" spans="1:4" x14ac:dyDescent="0.3">
      <c r="A6" s="158" t="s">
        <v>300</v>
      </c>
      <c r="B6" s="2" t="s">
        <v>296</v>
      </c>
      <c r="C6" s="6">
        <v>150000</v>
      </c>
      <c r="D6" s="12">
        <f t="shared" si="0"/>
        <v>1</v>
      </c>
    </row>
    <row r="7" spans="1:4" x14ac:dyDescent="0.3">
      <c r="A7" s="158" t="s">
        <v>301</v>
      </c>
      <c r="B7" s="2" t="s">
        <v>296</v>
      </c>
      <c r="C7" s="6">
        <v>0</v>
      </c>
      <c r="D7" s="12">
        <f t="shared" si="0"/>
        <v>10</v>
      </c>
    </row>
    <row r="8" spans="1:4" x14ac:dyDescent="0.3">
      <c r="A8" s="158" t="s">
        <v>302</v>
      </c>
      <c r="B8" s="2" t="s">
        <v>187</v>
      </c>
      <c r="C8" s="6">
        <v>120000</v>
      </c>
      <c r="D8" s="12">
        <f t="shared" si="0"/>
        <v>7</v>
      </c>
    </row>
    <row r="9" spans="1:4" x14ac:dyDescent="0.3">
      <c r="A9" s="158" t="s">
        <v>303</v>
      </c>
      <c r="B9" s="2" t="s">
        <v>299</v>
      </c>
      <c r="C9" s="6">
        <v>87900</v>
      </c>
      <c r="D9" s="12">
        <f t="shared" si="0"/>
        <v>8</v>
      </c>
    </row>
    <row r="10" spans="1:4" x14ac:dyDescent="0.3">
      <c r="A10" s="158" t="s">
        <v>304</v>
      </c>
      <c r="B10" s="2" t="s">
        <v>299</v>
      </c>
      <c r="C10" s="6">
        <v>123000</v>
      </c>
      <c r="D10" s="12">
        <f t="shared" si="0"/>
        <v>5</v>
      </c>
    </row>
    <row r="11" spans="1:4" x14ac:dyDescent="0.3">
      <c r="A11" s="158" t="s">
        <v>305</v>
      </c>
      <c r="B11" s="2" t="s">
        <v>187</v>
      </c>
      <c r="C11" s="6">
        <v>76900</v>
      </c>
      <c r="D11" s="12">
        <f t="shared" si="0"/>
        <v>9</v>
      </c>
    </row>
    <row r="12" spans="1:4" x14ac:dyDescent="0.3">
      <c r="A12" s="158" t="s">
        <v>306</v>
      </c>
      <c r="B12" s="2" t="s">
        <v>187</v>
      </c>
      <c r="C12" s="6">
        <v>143000</v>
      </c>
      <c r="D12" s="12">
        <f t="shared" si="0"/>
        <v>3</v>
      </c>
    </row>
    <row r="13" spans="1:4" x14ac:dyDescent="0.3">
      <c r="A13" s="300" t="s">
        <v>294</v>
      </c>
      <c r="B13" s="300"/>
      <c r="C13" s="300"/>
      <c r="D13" s="300"/>
    </row>
  </sheetData>
  <mergeCells count="1"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5482-5DF4-4E86-A3AC-2C5BC9EC22CD}">
  <dimension ref="A1:E15"/>
  <sheetViews>
    <sheetView zoomScaleNormal="100" workbookViewId="0">
      <selection activeCell="D6" sqref="D6:E6"/>
    </sheetView>
  </sheetViews>
  <sheetFormatPr defaultRowHeight="14.4" x14ac:dyDescent="0.3"/>
  <cols>
    <col min="1" max="3" width="24.6640625" customWidth="1"/>
    <col min="4" max="4" width="28.88671875" customWidth="1"/>
    <col min="5" max="5" width="24.6640625" style="11" customWidth="1"/>
  </cols>
  <sheetData>
    <row r="1" spans="1:5" x14ac:dyDescent="0.3">
      <c r="A1" s="177" t="s">
        <v>250</v>
      </c>
      <c r="B1" s="177"/>
      <c r="C1" s="302"/>
      <c r="D1" s="177" t="s">
        <v>187</v>
      </c>
      <c r="E1" s="177"/>
    </row>
    <row r="2" spans="1:5" x14ac:dyDescent="0.3">
      <c r="A2" s="2" t="s">
        <v>158</v>
      </c>
      <c r="B2" s="6">
        <f>MAX(VendasSCA!C3:C12)</f>
        <v>150000</v>
      </c>
      <c r="C2" s="302"/>
      <c r="D2" s="7" t="s">
        <v>311</v>
      </c>
      <c r="E2" s="2">
        <f>COUNTIF(VendasSCA!B3:B12,"USADOS")</f>
        <v>4</v>
      </c>
    </row>
    <row r="3" spans="1:5" x14ac:dyDescent="0.3">
      <c r="A3" s="2" t="s">
        <v>159</v>
      </c>
      <c r="B3" s="6">
        <f>MIN(VendasSCA!C3:C12)</f>
        <v>0</v>
      </c>
      <c r="C3" s="302"/>
      <c r="D3" s="7" t="s">
        <v>312</v>
      </c>
      <c r="E3" s="2">
        <f>COUNTIFS(VendasSCA!C3:C12,VendasSCA!D1,VendasSCA!B3:B12,VendasSCA!B4)</f>
        <v>1</v>
      </c>
    </row>
    <row r="4" spans="1:5" x14ac:dyDescent="0.3">
      <c r="A4" s="2" t="s">
        <v>58</v>
      </c>
      <c r="B4" s="6">
        <f>AVERAGE(VendasSCA!C3:C12)</f>
        <v>110780</v>
      </c>
      <c r="C4" s="302"/>
      <c r="D4" s="7" t="s">
        <v>317</v>
      </c>
      <c r="E4" s="6">
        <f>SUMIFS(VendasSCA!C3:C12,VendasSCA!B3:B12,VendasSCA!B4,VendasSCA!C3:C12,VendasSCA!D1)</f>
        <v>143000</v>
      </c>
    </row>
    <row r="5" spans="1:5" x14ac:dyDescent="0.3">
      <c r="C5" s="302"/>
      <c r="D5" s="7" t="s">
        <v>314</v>
      </c>
      <c r="E5" s="6">
        <f>AVERAGEIFS(VendasSCA!C3:C12,VendasSCA!C3:C12,VendasSCA!C1,VendasSCA!B3:B12,VendasSCA!B4)</f>
        <v>106633.33333333333</v>
      </c>
    </row>
    <row r="6" spans="1:5" x14ac:dyDescent="0.3">
      <c r="A6" s="177" t="s">
        <v>310</v>
      </c>
      <c r="B6" s="177"/>
      <c r="C6" s="302"/>
      <c r="D6" s="177" t="s">
        <v>299</v>
      </c>
      <c r="E6" s="177"/>
    </row>
    <row r="7" spans="1:5" x14ac:dyDescent="0.3">
      <c r="A7" s="2" t="s">
        <v>90</v>
      </c>
      <c r="B7" s="2">
        <f>COUNTA(VendasSCA!A3:A12)</f>
        <v>10</v>
      </c>
      <c r="C7" s="302"/>
      <c r="D7" s="7" t="s">
        <v>311</v>
      </c>
      <c r="E7" s="2">
        <f>COUNTIF(VendasSCA!B3:B12,"ZERO KM")</f>
        <v>3</v>
      </c>
    </row>
    <row r="8" spans="1:5" x14ac:dyDescent="0.3">
      <c r="A8" s="2" t="s">
        <v>307</v>
      </c>
      <c r="B8" s="2">
        <f>COUNTBLANK(VendasSCA!C3:C12)</f>
        <v>0</v>
      </c>
      <c r="C8" s="302"/>
      <c r="D8" s="7" t="s">
        <v>312</v>
      </c>
      <c r="E8" s="2"/>
    </row>
    <row r="9" spans="1:5" x14ac:dyDescent="0.3">
      <c r="A9" s="2" t="s">
        <v>308</v>
      </c>
      <c r="B9" s="2">
        <f>COUNT(VendasSCA!C3:C12)</f>
        <v>10</v>
      </c>
      <c r="C9" s="302"/>
      <c r="D9" s="7" t="s">
        <v>313</v>
      </c>
      <c r="E9" s="2"/>
    </row>
    <row r="10" spans="1:5" x14ac:dyDescent="0.3">
      <c r="A10" s="2" t="s">
        <v>309</v>
      </c>
      <c r="B10" s="2">
        <f>COUNTIF(VendasSCA!D3:D12,1)</f>
        <v>2</v>
      </c>
      <c r="C10" s="302"/>
      <c r="D10" s="7" t="s">
        <v>314</v>
      </c>
      <c r="E10" s="2"/>
    </row>
    <row r="11" spans="1:5" x14ac:dyDescent="0.3">
      <c r="A11" s="301" t="s">
        <v>294</v>
      </c>
      <c r="B11" s="301"/>
      <c r="C11" s="302"/>
      <c r="D11" s="177" t="s">
        <v>296</v>
      </c>
      <c r="E11" s="177"/>
    </row>
    <row r="12" spans="1:5" x14ac:dyDescent="0.3">
      <c r="A12" s="301"/>
      <c r="B12" s="301"/>
      <c r="C12" s="302"/>
      <c r="D12" s="7" t="s">
        <v>311</v>
      </c>
      <c r="E12" s="2">
        <f>COUNTIF(VendasSCA!B3:B12,"ISENÇÕES")</f>
        <v>3</v>
      </c>
    </row>
    <row r="13" spans="1:5" x14ac:dyDescent="0.3">
      <c r="A13" s="301"/>
      <c r="B13" s="301"/>
      <c r="C13" s="302"/>
      <c r="D13" s="7" t="s">
        <v>312</v>
      </c>
      <c r="E13" s="2"/>
    </row>
    <row r="14" spans="1:5" x14ac:dyDescent="0.3">
      <c r="A14" s="301"/>
      <c r="B14" s="301"/>
      <c r="C14" s="302"/>
      <c r="D14" s="7" t="s">
        <v>313</v>
      </c>
      <c r="E14" s="2"/>
    </row>
    <row r="15" spans="1:5" x14ac:dyDescent="0.3">
      <c r="A15" s="301"/>
      <c r="B15" s="301"/>
      <c r="C15" s="302"/>
      <c r="D15" s="7" t="s">
        <v>314</v>
      </c>
      <c r="E15" s="2"/>
    </row>
  </sheetData>
  <mergeCells count="7">
    <mergeCell ref="A1:B1"/>
    <mergeCell ref="A6:B6"/>
    <mergeCell ref="D1:E1"/>
    <mergeCell ref="D6:E6"/>
    <mergeCell ref="D11:E11"/>
    <mergeCell ref="A11:B15"/>
    <mergeCell ref="C1:C15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3"/>
  <sheetViews>
    <sheetView showGridLines="0" tabSelected="1" topLeftCell="C1" zoomScaleNormal="100" zoomScaleSheetLayoutView="65" workbookViewId="0">
      <selection activeCell="O28" sqref="O28"/>
    </sheetView>
  </sheetViews>
  <sheetFormatPr defaultColWidth="9.109375" defaultRowHeight="17.399999999999999" x14ac:dyDescent="0.3"/>
  <cols>
    <col min="1" max="1" width="24" style="57" customWidth="1"/>
    <col min="2" max="2" width="22.6640625" style="57" customWidth="1"/>
    <col min="3" max="14" width="17.6640625" style="57" customWidth="1"/>
    <col min="15" max="16384" width="9.109375" style="57"/>
  </cols>
  <sheetData>
    <row r="1" spans="1:15" x14ac:dyDescent="0.3">
      <c r="A1" s="304" t="s">
        <v>234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</row>
    <row r="2" spans="1:15" x14ac:dyDescent="0.3">
      <c r="A2" s="305" t="s">
        <v>236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234"/>
    </row>
    <row r="3" spans="1:15" ht="24.9" customHeight="1" x14ac:dyDescent="0.3">
      <c r="A3" s="61" t="s">
        <v>1</v>
      </c>
      <c r="B3" s="61" t="s">
        <v>235</v>
      </c>
      <c r="C3" s="61" t="s">
        <v>237</v>
      </c>
      <c r="D3" s="61" t="s">
        <v>238</v>
      </c>
      <c r="E3" s="61" t="s">
        <v>239</v>
      </c>
      <c r="F3" s="61" t="s">
        <v>240</v>
      </c>
      <c r="G3" s="61" t="s">
        <v>241</v>
      </c>
      <c r="H3" s="61" t="s">
        <v>242</v>
      </c>
      <c r="I3" s="61" t="s">
        <v>243</v>
      </c>
      <c r="J3" s="61" t="s">
        <v>244</v>
      </c>
      <c r="K3" s="61" t="s">
        <v>245</v>
      </c>
      <c r="L3" s="61" t="s">
        <v>246</v>
      </c>
      <c r="M3" s="61" t="s">
        <v>247</v>
      </c>
      <c r="N3" s="61" t="s">
        <v>248</v>
      </c>
    </row>
    <row r="4" spans="1:15" ht="24.9" customHeight="1" x14ac:dyDescent="0.3">
      <c r="A4" s="102" t="s">
        <v>249</v>
      </c>
      <c r="B4" s="102" t="s">
        <v>250</v>
      </c>
      <c r="C4" s="103">
        <v>2250</v>
      </c>
      <c r="D4" s="103">
        <f>(HLOOKUP($B$4,$C$17:$F$18,2,FALSE)*C4)+C4</f>
        <v>2317.5</v>
      </c>
      <c r="E4" s="103">
        <f t="shared" ref="E4:N4" si="0">(HLOOKUP($B$4,$C$17:$F$18,2,FALSE)*D4)+D4</f>
        <v>2387.0250000000001</v>
      </c>
      <c r="F4" s="103">
        <f t="shared" si="0"/>
        <v>2458.6357499999999</v>
      </c>
      <c r="G4" s="103">
        <f t="shared" si="0"/>
        <v>2532.3948224999999</v>
      </c>
      <c r="H4" s="103">
        <f t="shared" si="0"/>
        <v>2608.3666671749997</v>
      </c>
      <c r="I4" s="103">
        <f t="shared" si="0"/>
        <v>2686.6176671902499</v>
      </c>
      <c r="J4" s="103">
        <f t="shared" si="0"/>
        <v>2767.2161972059575</v>
      </c>
      <c r="K4" s="103">
        <f t="shared" si="0"/>
        <v>2850.2326831221362</v>
      </c>
      <c r="L4" s="103">
        <f t="shared" si="0"/>
        <v>2935.7396636158005</v>
      </c>
      <c r="M4" s="103">
        <f t="shared" si="0"/>
        <v>3023.8118535242747</v>
      </c>
      <c r="N4" s="103">
        <f t="shared" si="0"/>
        <v>3114.5262091300028</v>
      </c>
      <c r="O4" s="104"/>
    </row>
    <row r="5" spans="1:15" ht="24.9" customHeight="1" x14ac:dyDescent="0.3">
      <c r="A5" s="102" t="s">
        <v>251</v>
      </c>
      <c r="B5" s="102" t="s">
        <v>250</v>
      </c>
      <c r="C5" s="103">
        <v>1830</v>
      </c>
      <c r="D5" s="103">
        <f>(HLOOKUP($B$5,$C$17:$F$18,2,FALSE)*C5)+C5</f>
        <v>1884.9</v>
      </c>
      <c r="E5" s="103">
        <f t="shared" ref="E5:N5" si="1">(HLOOKUP($B$5,$C$17:$F$18,2,FALSE)*D5)+D5</f>
        <v>1941.4470000000001</v>
      </c>
      <c r="F5" s="103">
        <f t="shared" si="1"/>
        <v>1999.6904100000002</v>
      </c>
      <c r="G5" s="103">
        <f t="shared" si="1"/>
        <v>2059.6811223</v>
      </c>
      <c r="H5" s="103">
        <f t="shared" si="1"/>
        <v>2121.4715559689998</v>
      </c>
      <c r="I5" s="103">
        <f t="shared" si="1"/>
        <v>2185.1157026480696</v>
      </c>
      <c r="J5" s="103">
        <f t="shared" si="1"/>
        <v>2250.6691737275119</v>
      </c>
      <c r="K5" s="103">
        <f t="shared" si="1"/>
        <v>2318.1892489393372</v>
      </c>
      <c r="L5" s="103">
        <f t="shared" si="1"/>
        <v>2387.7349264075174</v>
      </c>
      <c r="M5" s="103">
        <f t="shared" si="1"/>
        <v>2459.3669741997428</v>
      </c>
      <c r="N5" s="103">
        <f t="shared" si="1"/>
        <v>2533.1479834257352</v>
      </c>
    </row>
    <row r="6" spans="1:15" ht="24.9" customHeight="1" x14ac:dyDescent="0.3">
      <c r="A6" s="102" t="s">
        <v>252</v>
      </c>
      <c r="B6" s="102" t="s">
        <v>250</v>
      </c>
      <c r="C6" s="103">
        <v>1900</v>
      </c>
      <c r="D6" s="103">
        <f>(HLOOKUP($B$6,$C$17:$F$18,2,FALSE)*C6)+C6</f>
        <v>1957</v>
      </c>
      <c r="E6" s="103">
        <f t="shared" ref="E6:M6" si="2">(HLOOKUP($B$6,$C$17:$F$18,2,FALSE)*D6)+D6</f>
        <v>2015.71</v>
      </c>
      <c r="F6" s="103">
        <f t="shared" si="2"/>
        <v>2076.1813000000002</v>
      </c>
      <c r="G6" s="103">
        <f t="shared" si="2"/>
        <v>2138.4667390000004</v>
      </c>
      <c r="H6" s="103">
        <f t="shared" si="2"/>
        <v>2202.6207411700007</v>
      </c>
      <c r="I6" s="103">
        <f t="shared" si="2"/>
        <v>2268.6993634051005</v>
      </c>
      <c r="J6" s="103">
        <f t="shared" si="2"/>
        <v>2336.7603443072535</v>
      </c>
      <c r="K6" s="103">
        <f t="shared" si="2"/>
        <v>2406.8631546364709</v>
      </c>
      <c r="L6" s="103">
        <f t="shared" si="2"/>
        <v>2479.0690492755648</v>
      </c>
      <c r="M6" s="103">
        <f t="shared" si="2"/>
        <v>2553.4411207538319</v>
      </c>
      <c r="N6" s="103">
        <f>(HLOOKUP($B$6,$C$17:$F$18,2,FALSE)*M6)+M6</f>
        <v>2630.0443543764468</v>
      </c>
    </row>
    <row r="7" spans="1:15" ht="24.9" customHeight="1" x14ac:dyDescent="0.3">
      <c r="A7" s="102" t="s">
        <v>253</v>
      </c>
      <c r="B7" s="102" t="s">
        <v>254</v>
      </c>
      <c r="C7" s="103">
        <v>2100</v>
      </c>
      <c r="D7" s="103">
        <f>(HLOOKUP($B$7,$C$17:$F$18,2,FALSE)*C7)+C7</f>
        <v>2173.5</v>
      </c>
      <c r="E7" s="103">
        <f t="shared" ref="E7:N7" si="3">(HLOOKUP($B$7,$C$17:$F$18,2,FALSE)*D7)+D7</f>
        <v>2249.5725000000002</v>
      </c>
      <c r="F7" s="103">
        <f t="shared" si="3"/>
        <v>2328.3075375000003</v>
      </c>
      <c r="G7" s="103">
        <f t="shared" si="3"/>
        <v>2409.7983013125004</v>
      </c>
      <c r="H7" s="103">
        <f t="shared" si="3"/>
        <v>2494.1412418584378</v>
      </c>
      <c r="I7" s="103">
        <f t="shared" si="3"/>
        <v>2581.4361853234832</v>
      </c>
      <c r="J7" s="103">
        <f t="shared" si="3"/>
        <v>2671.7864518098049</v>
      </c>
      <c r="K7" s="103">
        <f t="shared" si="3"/>
        <v>2765.2989776231479</v>
      </c>
      <c r="L7" s="103">
        <f t="shared" si="3"/>
        <v>2862.0844418399583</v>
      </c>
      <c r="M7" s="103">
        <f t="shared" si="3"/>
        <v>2962.2573973043568</v>
      </c>
      <c r="N7" s="103">
        <f t="shared" si="3"/>
        <v>3065.9364062100094</v>
      </c>
    </row>
    <row r="8" spans="1:15" ht="24.9" customHeight="1" x14ac:dyDescent="0.3">
      <c r="A8" s="102" t="s">
        <v>255</v>
      </c>
      <c r="B8" s="102" t="s">
        <v>256</v>
      </c>
      <c r="C8" s="103">
        <v>1750</v>
      </c>
      <c r="D8" s="103">
        <f>(HLOOKUP($B$8,$C$17:$F$18,2,FALSE)*C8)+C8</f>
        <v>1793.75</v>
      </c>
      <c r="E8" s="103">
        <f t="shared" ref="E8:N8" si="4">(HLOOKUP($B$8,$C$17:$F$18,2,FALSE)*D8)+D8</f>
        <v>1838.59375</v>
      </c>
      <c r="F8" s="103">
        <f t="shared" si="4"/>
        <v>1884.55859375</v>
      </c>
      <c r="G8" s="103">
        <f t="shared" si="4"/>
        <v>1931.67255859375</v>
      </c>
      <c r="H8" s="103">
        <f t="shared" si="4"/>
        <v>1979.9643725585938</v>
      </c>
      <c r="I8" s="103">
        <f t="shared" si="4"/>
        <v>2029.4634818725588</v>
      </c>
      <c r="J8" s="103">
        <f t="shared" si="4"/>
        <v>2080.2000689193728</v>
      </c>
      <c r="K8" s="103">
        <f t="shared" si="4"/>
        <v>2132.205070642357</v>
      </c>
      <c r="L8" s="103">
        <f t="shared" si="4"/>
        <v>2185.5101974084159</v>
      </c>
      <c r="M8" s="103">
        <f t="shared" si="4"/>
        <v>2240.1479523436265</v>
      </c>
      <c r="N8" s="103">
        <f t="shared" si="4"/>
        <v>2296.1516511522173</v>
      </c>
    </row>
    <row r="9" spans="1:15" ht="24.9" customHeight="1" x14ac:dyDescent="0.3">
      <c r="A9" s="102" t="s">
        <v>257</v>
      </c>
      <c r="B9" s="102" t="s">
        <v>256</v>
      </c>
      <c r="C9" s="103">
        <v>1570</v>
      </c>
      <c r="D9" s="103">
        <f>(HLOOKUP($B$9,$C$17:$F$18,2,FALSE)*C9)+C9</f>
        <v>1609.25</v>
      </c>
      <c r="E9" s="103">
        <f t="shared" ref="E9:N9" si="5">(HLOOKUP($B$9,$C$17:$F$18,2,FALSE)*D9)+D9</f>
        <v>1649.48125</v>
      </c>
      <c r="F9" s="103">
        <f t="shared" si="5"/>
        <v>1690.71828125</v>
      </c>
      <c r="G9" s="103">
        <f t="shared" si="5"/>
        <v>1732.9862382812501</v>
      </c>
      <c r="H9" s="103">
        <f t="shared" si="5"/>
        <v>1776.3108942382812</v>
      </c>
      <c r="I9" s="103">
        <f t="shared" si="5"/>
        <v>1820.7186665942381</v>
      </c>
      <c r="J9" s="103">
        <f t="shared" si="5"/>
        <v>1866.2366332590941</v>
      </c>
      <c r="K9" s="103">
        <f t="shared" si="5"/>
        <v>1912.8925490905715</v>
      </c>
      <c r="L9" s="103">
        <f t="shared" si="5"/>
        <v>1960.7148628178359</v>
      </c>
      <c r="M9" s="103">
        <f t="shared" si="5"/>
        <v>2009.7327343882819</v>
      </c>
      <c r="N9" s="103">
        <f t="shared" si="5"/>
        <v>2059.9760527479889</v>
      </c>
    </row>
    <row r="10" spans="1:15" ht="24.9" customHeight="1" x14ac:dyDescent="0.3">
      <c r="A10" s="102" t="s">
        <v>258</v>
      </c>
      <c r="B10" s="102" t="s">
        <v>254</v>
      </c>
      <c r="C10" s="103">
        <v>1350</v>
      </c>
      <c r="D10" s="103">
        <f>(HLOOKUP($B$10,$C$17:$F$18,2,FALSE)*C10)+C10</f>
        <v>1397.25</v>
      </c>
      <c r="E10" s="103">
        <f t="shared" ref="E10:N10" si="6">(HLOOKUP($B$10,$C$17:$F$18,2,FALSE)*D10)+D10</f>
        <v>1446.1537499999999</v>
      </c>
      <c r="F10" s="103">
        <f t="shared" si="6"/>
        <v>1496.7691312499999</v>
      </c>
      <c r="G10" s="103">
        <f t="shared" si="6"/>
        <v>1549.1560508437499</v>
      </c>
      <c r="H10" s="103">
        <f t="shared" si="6"/>
        <v>1603.3765126232811</v>
      </c>
      <c r="I10" s="103">
        <f t="shared" si="6"/>
        <v>1659.4946905650959</v>
      </c>
      <c r="J10" s="103">
        <f t="shared" si="6"/>
        <v>1717.5770047348742</v>
      </c>
      <c r="K10" s="103">
        <f t="shared" si="6"/>
        <v>1777.6921999005949</v>
      </c>
      <c r="L10" s="103">
        <f t="shared" si="6"/>
        <v>1839.9114268971157</v>
      </c>
      <c r="M10" s="103">
        <f t="shared" si="6"/>
        <v>1904.3083268385149</v>
      </c>
      <c r="N10" s="103">
        <f t="shared" si="6"/>
        <v>1970.9591182778629</v>
      </c>
    </row>
    <row r="11" spans="1:15" ht="24.9" customHeight="1" x14ac:dyDescent="0.3">
      <c r="A11" s="102" t="s">
        <v>259</v>
      </c>
      <c r="B11" s="102" t="s">
        <v>260</v>
      </c>
      <c r="C11" s="103">
        <v>2200</v>
      </c>
      <c r="D11" s="103">
        <f>(HLOOKUP($B$11,$C$17:$F$18,2,FALSE)*C11)+C11</f>
        <v>2266</v>
      </c>
      <c r="E11" s="103">
        <f t="shared" ref="E11:N11" si="7">(HLOOKUP($B$11,$C$17:$F$18,2,FALSE)*D11)+D11</f>
        <v>2333.98</v>
      </c>
      <c r="F11" s="103">
        <f t="shared" si="7"/>
        <v>2403.9994000000002</v>
      </c>
      <c r="G11" s="103">
        <f t="shared" si="7"/>
        <v>2476.1193820000003</v>
      </c>
      <c r="H11" s="103">
        <f t="shared" si="7"/>
        <v>2550.4029634600001</v>
      </c>
      <c r="I11" s="103">
        <f t="shared" si="7"/>
        <v>2626.9150523638</v>
      </c>
      <c r="J11" s="103">
        <f t="shared" si="7"/>
        <v>2705.722503934714</v>
      </c>
      <c r="K11" s="103">
        <f t="shared" si="7"/>
        <v>2786.8941790527556</v>
      </c>
      <c r="L11" s="103">
        <f t="shared" si="7"/>
        <v>2870.5010044243381</v>
      </c>
      <c r="M11" s="103">
        <f t="shared" si="7"/>
        <v>2956.6160345570684</v>
      </c>
      <c r="N11" s="103">
        <f t="shared" si="7"/>
        <v>3045.3145155937805</v>
      </c>
    </row>
    <row r="12" spans="1:15" ht="24.9" customHeight="1" x14ac:dyDescent="0.3">
      <c r="A12" s="102" t="s">
        <v>261</v>
      </c>
      <c r="B12" s="102" t="s">
        <v>260</v>
      </c>
      <c r="C12" s="103">
        <v>1900</v>
      </c>
      <c r="D12" s="103">
        <f>(HLOOKUP($B$12,$C$17:$F$18,2,FALSE)*C12)+C12</f>
        <v>1957</v>
      </c>
      <c r="E12" s="103">
        <f t="shared" ref="E12:N12" si="8">(HLOOKUP($B$12,$C$17:$F$18,2,FALSE)*D12)+D12</f>
        <v>2015.71</v>
      </c>
      <c r="F12" s="103">
        <f t="shared" si="8"/>
        <v>2076.1813000000002</v>
      </c>
      <c r="G12" s="103">
        <f t="shared" si="8"/>
        <v>2138.4667390000004</v>
      </c>
      <c r="H12" s="103">
        <f t="shared" si="8"/>
        <v>2202.6207411700007</v>
      </c>
      <c r="I12" s="103">
        <f t="shared" si="8"/>
        <v>2268.6993634051005</v>
      </c>
      <c r="J12" s="103">
        <f t="shared" si="8"/>
        <v>2336.7603443072535</v>
      </c>
      <c r="K12" s="103">
        <f t="shared" si="8"/>
        <v>2406.8631546364709</v>
      </c>
      <c r="L12" s="103">
        <f t="shared" si="8"/>
        <v>2479.0690492755648</v>
      </c>
      <c r="M12" s="103">
        <f t="shared" si="8"/>
        <v>2553.4411207538319</v>
      </c>
      <c r="N12" s="103">
        <f t="shared" si="8"/>
        <v>2630.0443543764468</v>
      </c>
    </row>
    <row r="13" spans="1:15" ht="24.9" customHeight="1" x14ac:dyDescent="0.3">
      <c r="A13" s="102" t="s">
        <v>262</v>
      </c>
      <c r="B13" s="102" t="s">
        <v>260</v>
      </c>
      <c r="C13" s="103">
        <v>1980</v>
      </c>
      <c r="D13" s="103">
        <f>(HLOOKUP($B$13,$C$17:$F$18,2,FALSE)*C13)+C13</f>
        <v>2039.4</v>
      </c>
      <c r="E13" s="103">
        <f t="shared" ref="E13:N13" si="9">(HLOOKUP($B$13,$C$17:$F$18,2,FALSE)*D13)+D13</f>
        <v>2100.5819999999999</v>
      </c>
      <c r="F13" s="103">
        <f t="shared" si="9"/>
        <v>2163.5994599999999</v>
      </c>
      <c r="G13" s="103">
        <f t="shared" si="9"/>
        <v>2228.5074437999997</v>
      </c>
      <c r="H13" s="103">
        <f t="shared" si="9"/>
        <v>2295.3626671139996</v>
      </c>
      <c r="I13" s="103">
        <f t="shared" si="9"/>
        <v>2364.2235471274194</v>
      </c>
      <c r="J13" s="103">
        <f t="shared" si="9"/>
        <v>2435.1502535412419</v>
      </c>
      <c r="K13" s="103">
        <f t="shared" si="9"/>
        <v>2508.2047611474791</v>
      </c>
      <c r="L13" s="103">
        <f t="shared" si="9"/>
        <v>2583.4509039819036</v>
      </c>
      <c r="M13" s="103">
        <f t="shared" si="9"/>
        <v>2660.9544311013606</v>
      </c>
      <c r="N13" s="103">
        <f t="shared" si="9"/>
        <v>2740.7830640344014</v>
      </c>
    </row>
    <row r="16" spans="1:15" x14ac:dyDescent="0.3">
      <c r="C16" s="304" t="s">
        <v>263</v>
      </c>
      <c r="D16" s="304"/>
      <c r="E16" s="304"/>
      <c r="F16" s="304"/>
    </row>
    <row r="17" spans="1:14" x14ac:dyDescent="0.3">
      <c r="C17" s="61" t="s">
        <v>250</v>
      </c>
      <c r="D17" s="61" t="s">
        <v>254</v>
      </c>
      <c r="E17" s="61" t="s">
        <v>256</v>
      </c>
      <c r="F17" s="61" t="s">
        <v>260</v>
      </c>
    </row>
    <row r="18" spans="1:14" x14ac:dyDescent="0.3">
      <c r="C18" s="105">
        <v>0.03</v>
      </c>
      <c r="D18" s="62">
        <v>3.5000000000000003E-2</v>
      </c>
      <c r="E18" s="62">
        <v>2.5000000000000001E-2</v>
      </c>
      <c r="F18" s="105">
        <v>0.03</v>
      </c>
    </row>
    <row r="23" spans="1:14" ht="18" customHeight="1" x14ac:dyDescent="0.7">
      <c r="A23" s="303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</row>
  </sheetData>
  <mergeCells count="4">
    <mergeCell ref="A23:N23"/>
    <mergeCell ref="A1:N1"/>
    <mergeCell ref="C16:F16"/>
    <mergeCell ref="A2:N2"/>
  </mergeCells>
  <printOptions horizontalCentered="1" verticalCentered="1"/>
  <pageMargins left="7.874015748031496E-2" right="7.874015748031496E-2" top="0.74803149606299213" bottom="0.74803149606299213" header="0.31496062992125984" footer="0.31496062992125984"/>
  <pageSetup paperSize="9" fitToWidth="0" orientation="landscape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="200" zoomScaleNormal="200" workbookViewId="0">
      <selection activeCell="F11" sqref="F11"/>
    </sheetView>
  </sheetViews>
  <sheetFormatPr defaultRowHeight="14.4" x14ac:dyDescent="0.3"/>
  <cols>
    <col min="1" max="1" width="10.6640625" customWidth="1"/>
    <col min="2" max="2" width="20.6640625" customWidth="1"/>
    <col min="3" max="5" width="9.6640625" customWidth="1"/>
    <col min="6" max="6" width="12.33203125" customWidth="1"/>
    <col min="7" max="7" width="12" customWidth="1"/>
  </cols>
  <sheetData>
    <row r="1" spans="1:7" x14ac:dyDescent="0.3">
      <c r="A1" s="164" t="s">
        <v>265</v>
      </c>
      <c r="B1" s="164"/>
      <c r="C1" s="164"/>
      <c r="D1" s="164"/>
      <c r="E1" s="164"/>
      <c r="F1" s="164"/>
      <c r="G1" s="164"/>
    </row>
    <row r="2" spans="1:7" x14ac:dyDescent="0.3">
      <c r="A2" s="164"/>
      <c r="B2" s="164"/>
      <c r="C2" s="164"/>
      <c r="D2" s="164"/>
      <c r="E2" s="164"/>
      <c r="F2" s="164"/>
      <c r="G2" s="164"/>
    </row>
    <row r="3" spans="1:7" ht="15" customHeight="1" x14ac:dyDescent="0.3">
      <c r="A3" s="164"/>
      <c r="B3" s="164"/>
      <c r="C3" s="164"/>
      <c r="D3" s="164"/>
      <c r="E3" s="164"/>
      <c r="F3" s="164"/>
      <c r="G3" s="164"/>
    </row>
    <row r="4" spans="1:7" s="140" customFormat="1" ht="63" customHeight="1" x14ac:dyDescent="0.3">
      <c r="A4" s="8" t="s">
        <v>18</v>
      </c>
      <c r="B4" s="8" t="s">
        <v>19</v>
      </c>
      <c r="C4" s="8" t="s">
        <v>20</v>
      </c>
      <c r="D4" s="8" t="s">
        <v>21</v>
      </c>
      <c r="E4" s="8" t="s">
        <v>22</v>
      </c>
      <c r="F4" s="8" t="s">
        <v>23</v>
      </c>
      <c r="G4" s="139"/>
    </row>
    <row r="5" spans="1:7" x14ac:dyDescent="0.3">
      <c r="A5" s="3">
        <v>50</v>
      </c>
      <c r="B5" s="3" t="s">
        <v>24</v>
      </c>
      <c r="C5" s="4">
        <v>12.5</v>
      </c>
      <c r="D5" s="4">
        <f>C5*A5</f>
        <v>625</v>
      </c>
      <c r="E5" s="5">
        <v>2.5000000000000001E-2</v>
      </c>
      <c r="F5" s="141">
        <f>D5*E5+D5</f>
        <v>640.625</v>
      </c>
      <c r="G5" s="165"/>
    </row>
    <row r="6" spans="1:7" x14ac:dyDescent="0.3">
      <c r="A6" s="3">
        <v>75</v>
      </c>
      <c r="B6" s="3" t="s">
        <v>25</v>
      </c>
      <c r="C6" s="4">
        <v>6.75</v>
      </c>
      <c r="D6" s="4">
        <f t="shared" ref="D6:D9" si="0">C6*A6</f>
        <v>506.25</v>
      </c>
      <c r="E6" s="5">
        <v>0.05</v>
      </c>
      <c r="F6" s="141">
        <f t="shared" ref="F6:F9" si="1">D6*E6+D6</f>
        <v>531.5625</v>
      </c>
      <c r="G6" s="166"/>
    </row>
    <row r="7" spans="1:7" x14ac:dyDescent="0.3">
      <c r="A7" s="3">
        <v>100</v>
      </c>
      <c r="B7" s="3" t="s">
        <v>264</v>
      </c>
      <c r="C7" s="4">
        <v>5.25</v>
      </c>
      <c r="D7" s="4">
        <f t="shared" si="0"/>
        <v>525</v>
      </c>
      <c r="E7" s="5">
        <v>0.04</v>
      </c>
      <c r="F7" s="141">
        <f t="shared" si="1"/>
        <v>546</v>
      </c>
      <c r="G7" s="166"/>
    </row>
    <row r="8" spans="1:7" x14ac:dyDescent="0.3">
      <c r="A8" s="3">
        <v>100</v>
      </c>
      <c r="B8" s="3" t="s">
        <v>26</v>
      </c>
      <c r="C8" s="4">
        <v>4.75</v>
      </c>
      <c r="D8" s="4">
        <f t="shared" si="0"/>
        <v>475</v>
      </c>
      <c r="E8" s="5">
        <v>3.2500000000000001E-2</v>
      </c>
      <c r="F8" s="141">
        <f t="shared" si="1"/>
        <v>490.4375</v>
      </c>
      <c r="G8" s="166"/>
    </row>
    <row r="9" spans="1:7" x14ac:dyDescent="0.3">
      <c r="A9" s="3">
        <v>25</v>
      </c>
      <c r="B9" s="3" t="s">
        <v>27</v>
      </c>
      <c r="C9" s="4">
        <v>15</v>
      </c>
      <c r="D9" s="4">
        <f t="shared" si="0"/>
        <v>375</v>
      </c>
      <c r="E9" s="5">
        <v>6.5000000000000002E-2</v>
      </c>
      <c r="F9" s="141">
        <f t="shared" si="1"/>
        <v>399.375</v>
      </c>
      <c r="G9" s="166"/>
    </row>
    <row r="10" spans="1:7" x14ac:dyDescent="0.3">
      <c r="A10" s="160"/>
      <c r="B10" s="161"/>
      <c r="C10" s="3" t="s">
        <v>30</v>
      </c>
      <c r="D10" s="159" t="s">
        <v>28</v>
      </c>
      <c r="E10" s="159"/>
      <c r="F10" s="4">
        <f>F5+F6+F7+F8+F9</f>
        <v>2608</v>
      </c>
      <c r="G10" s="166"/>
    </row>
    <row r="11" spans="1:7" x14ac:dyDescent="0.3">
      <c r="A11" s="162"/>
      <c r="B11" s="163"/>
      <c r="C11" s="5">
        <v>0.12</v>
      </c>
      <c r="D11" s="159" t="s">
        <v>29</v>
      </c>
      <c r="E11" s="159"/>
      <c r="F11" s="4">
        <f>F10*C11+F10</f>
        <v>2920.96</v>
      </c>
      <c r="G11" s="167"/>
    </row>
  </sheetData>
  <mergeCells count="5">
    <mergeCell ref="D10:E10"/>
    <mergeCell ref="D11:E11"/>
    <mergeCell ref="A10:B11"/>
    <mergeCell ref="A1:G3"/>
    <mergeCell ref="G5:G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zoomScale="240" zoomScaleNormal="240" workbookViewId="0">
      <selection activeCell="F6" sqref="F6"/>
    </sheetView>
  </sheetViews>
  <sheetFormatPr defaultRowHeight="14.4" x14ac:dyDescent="0.3"/>
  <cols>
    <col min="1" max="2" width="33.6640625" customWidth="1"/>
  </cols>
  <sheetData>
    <row r="1" spans="1:4" x14ac:dyDescent="0.3">
      <c r="A1" s="174" t="s">
        <v>31</v>
      </c>
      <c r="B1" s="174"/>
      <c r="C1" s="175" t="s">
        <v>266</v>
      </c>
      <c r="D1" s="176"/>
    </row>
    <row r="2" spans="1:4" x14ac:dyDescent="0.3">
      <c r="A2" s="174"/>
      <c r="B2" s="174"/>
      <c r="C2" s="175"/>
      <c r="D2" s="176"/>
    </row>
    <row r="3" spans="1:4" x14ac:dyDescent="0.3">
      <c r="A3" s="2" t="s">
        <v>32</v>
      </c>
      <c r="B3" s="2" t="s">
        <v>33</v>
      </c>
      <c r="C3" s="177" t="s">
        <v>270</v>
      </c>
      <c r="D3" s="177"/>
    </row>
    <row r="4" spans="1:4" x14ac:dyDescent="0.3">
      <c r="A4" s="7" t="s">
        <v>34</v>
      </c>
      <c r="B4" s="7">
        <f>9+3*2^2</f>
        <v>21</v>
      </c>
      <c r="C4" s="177" t="s">
        <v>269</v>
      </c>
      <c r="D4" s="177"/>
    </row>
    <row r="5" spans="1:4" x14ac:dyDescent="0.3">
      <c r="A5" s="7" t="s">
        <v>35</v>
      </c>
      <c r="B5" s="7">
        <f>5+3-2+4-2</f>
        <v>8</v>
      </c>
      <c r="C5" s="177" t="s">
        <v>268</v>
      </c>
      <c r="D5" s="177"/>
    </row>
    <row r="6" spans="1:4" x14ac:dyDescent="0.3">
      <c r="A6" s="7" t="s">
        <v>36</v>
      </c>
      <c r="B6" s="7">
        <f>3*(3+2)</f>
        <v>15</v>
      </c>
      <c r="C6" s="168" t="s">
        <v>267</v>
      </c>
      <c r="D6" s="169"/>
    </row>
    <row r="7" spans="1:4" x14ac:dyDescent="0.3">
      <c r="A7" s="7" t="s">
        <v>37</v>
      </c>
      <c r="B7" s="7">
        <f>6*(3+3-4)/((2+3)*(2+4))</f>
        <v>0.4</v>
      </c>
      <c r="C7" s="170"/>
      <c r="D7" s="171"/>
    </row>
    <row r="8" spans="1:4" x14ac:dyDescent="0.3">
      <c r="A8" s="7" t="s">
        <v>38</v>
      </c>
      <c r="B8" s="7">
        <f>2^(4+2-3)/(((6+5)*3)/2)</f>
        <v>0.48484848484848486</v>
      </c>
      <c r="C8" s="172"/>
      <c r="D8" s="173"/>
    </row>
    <row r="9" spans="1:4" x14ac:dyDescent="0.3">
      <c r="A9" s="138" t="s">
        <v>271</v>
      </c>
      <c r="B9" s="138" t="s">
        <v>272</v>
      </c>
      <c r="C9" s="172"/>
      <c r="D9" s="173"/>
    </row>
    <row r="10" spans="1:4" x14ac:dyDescent="0.3">
      <c r="A10" s="137" t="s">
        <v>274</v>
      </c>
      <c r="B10" s="137" t="s">
        <v>279</v>
      </c>
      <c r="C10" s="172"/>
      <c r="D10" s="173"/>
    </row>
    <row r="11" spans="1:4" x14ac:dyDescent="0.3">
      <c r="A11" s="137" t="s">
        <v>273</v>
      </c>
      <c r="B11" s="137" t="s">
        <v>280</v>
      </c>
      <c r="C11" s="172"/>
      <c r="D11" s="173"/>
    </row>
    <row r="12" spans="1:4" x14ac:dyDescent="0.3">
      <c r="A12" s="137" t="s">
        <v>275</v>
      </c>
      <c r="B12" s="137" t="s">
        <v>281</v>
      </c>
      <c r="C12" s="172"/>
      <c r="D12" s="173"/>
    </row>
    <row r="13" spans="1:4" x14ac:dyDescent="0.3">
      <c r="A13" s="137" t="s">
        <v>276</v>
      </c>
      <c r="B13" s="137" t="s">
        <v>282</v>
      </c>
      <c r="C13" s="172"/>
      <c r="D13" s="173"/>
    </row>
    <row r="14" spans="1:4" x14ac:dyDescent="0.3">
      <c r="A14" s="137" t="s">
        <v>277</v>
      </c>
      <c r="B14" s="137" t="s">
        <v>283</v>
      </c>
      <c r="C14" s="172"/>
      <c r="D14" s="173"/>
    </row>
    <row r="15" spans="1:4" x14ac:dyDescent="0.3">
      <c r="A15" s="137" t="s">
        <v>278</v>
      </c>
      <c r="B15" s="137" t="s">
        <v>284</v>
      </c>
      <c r="C15" s="172"/>
      <c r="D15" s="173"/>
    </row>
  </sheetData>
  <mergeCells count="7">
    <mergeCell ref="C6:D6"/>
    <mergeCell ref="C7:D15"/>
    <mergeCell ref="A1:B2"/>
    <mergeCell ref="C1:D2"/>
    <mergeCell ref="C3:D3"/>
    <mergeCell ref="C4:D4"/>
    <mergeCell ref="C5:D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zoomScale="200" zoomScaleNormal="200" workbookViewId="0">
      <selection activeCell="K11" sqref="K11"/>
    </sheetView>
  </sheetViews>
  <sheetFormatPr defaultRowHeight="14.4" x14ac:dyDescent="0.3"/>
  <cols>
    <col min="4" max="4" width="9.6640625" customWidth="1"/>
    <col min="5" max="5" width="12.88671875" customWidth="1"/>
    <col min="6" max="6" width="9.6640625" customWidth="1"/>
    <col min="7" max="7" width="12.5546875" customWidth="1"/>
    <col min="8" max="8" width="9.6640625" customWidth="1"/>
    <col min="9" max="9" width="12.109375" customWidth="1"/>
    <col min="10" max="10" width="9.6640625" customWidth="1"/>
    <col min="11" max="11" width="11.6640625" customWidth="1"/>
  </cols>
  <sheetData>
    <row r="1" spans="1:11" x14ac:dyDescent="0.3">
      <c r="A1" s="178" t="s">
        <v>39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x14ac:dyDescent="0.3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3"/>
    </row>
    <row r="3" spans="1:11" x14ac:dyDescent="0.3">
      <c r="A3" s="184" t="s">
        <v>40</v>
      </c>
      <c r="B3" s="185"/>
      <c r="C3" s="190" t="s">
        <v>41</v>
      </c>
      <c r="D3" s="193" t="s">
        <v>42</v>
      </c>
      <c r="E3" s="194"/>
      <c r="F3" s="193" t="s">
        <v>43</v>
      </c>
      <c r="G3" s="194"/>
      <c r="H3" s="193" t="s">
        <v>44</v>
      </c>
      <c r="I3" s="194"/>
      <c r="J3" s="193" t="s">
        <v>45</v>
      </c>
      <c r="K3" s="194"/>
    </row>
    <row r="4" spans="1:11" x14ac:dyDescent="0.3">
      <c r="A4" s="186"/>
      <c r="B4" s="187"/>
      <c r="C4" s="191"/>
      <c r="D4" s="195" t="s">
        <v>46</v>
      </c>
      <c r="E4" s="195" t="s">
        <v>47</v>
      </c>
      <c r="F4" s="195" t="s">
        <v>46</v>
      </c>
      <c r="G4" s="195" t="s">
        <v>47</v>
      </c>
      <c r="H4" s="195" t="s">
        <v>46</v>
      </c>
      <c r="I4" s="195" t="s">
        <v>47</v>
      </c>
      <c r="J4" s="195" t="s">
        <v>46</v>
      </c>
      <c r="K4" s="195" t="s">
        <v>47</v>
      </c>
    </row>
    <row r="5" spans="1:11" x14ac:dyDescent="0.3">
      <c r="A5" s="188"/>
      <c r="B5" s="189"/>
      <c r="C5" s="192"/>
      <c r="D5" s="196"/>
      <c r="E5" s="196"/>
      <c r="F5" s="196"/>
      <c r="G5" s="196"/>
      <c r="H5" s="196"/>
      <c r="I5" s="196"/>
      <c r="J5" s="196"/>
      <c r="K5" s="196"/>
    </row>
    <row r="6" spans="1:11" x14ac:dyDescent="0.3">
      <c r="A6" s="202" t="s">
        <v>49</v>
      </c>
      <c r="B6" s="203"/>
      <c r="C6" s="2">
        <v>25</v>
      </c>
      <c r="D6" s="10">
        <v>220</v>
      </c>
      <c r="E6" s="10">
        <f>D6*C6</f>
        <v>5500</v>
      </c>
      <c r="F6" s="10">
        <v>217.5</v>
      </c>
      <c r="G6" s="10">
        <f>F6*C6</f>
        <v>5437.5</v>
      </c>
      <c r="H6" s="10">
        <v>222.5</v>
      </c>
      <c r="I6" s="10">
        <f>H6*C6</f>
        <v>5562.5</v>
      </c>
      <c r="J6" s="10">
        <v>215</v>
      </c>
      <c r="K6" s="10">
        <f>J6*C6</f>
        <v>5375</v>
      </c>
    </row>
    <row r="7" spans="1:11" x14ac:dyDescent="0.3">
      <c r="A7" s="202" t="s">
        <v>50</v>
      </c>
      <c r="B7" s="203"/>
      <c r="C7" s="2">
        <v>20</v>
      </c>
      <c r="D7" s="10">
        <v>260</v>
      </c>
      <c r="E7" s="10">
        <f t="shared" ref="E7:E9" si="0">D7*C7</f>
        <v>5200</v>
      </c>
      <c r="F7" s="10">
        <v>270</v>
      </c>
      <c r="G7" s="10">
        <f t="shared" ref="G7:G9" si="1">F7*C7</f>
        <v>5400</v>
      </c>
      <c r="H7" s="10">
        <v>250</v>
      </c>
      <c r="I7" s="10">
        <f t="shared" ref="I7:I9" si="2">H7*C7</f>
        <v>5000</v>
      </c>
      <c r="J7" s="10">
        <v>265</v>
      </c>
      <c r="K7" s="10">
        <f t="shared" ref="K7:K9" si="3">J7*C7</f>
        <v>5300</v>
      </c>
    </row>
    <row r="8" spans="1:11" x14ac:dyDescent="0.3">
      <c r="A8" s="202" t="s">
        <v>51</v>
      </c>
      <c r="B8" s="203"/>
      <c r="C8" s="2">
        <v>15</v>
      </c>
      <c r="D8" s="10">
        <v>110</v>
      </c>
      <c r="E8" s="10">
        <f t="shared" si="0"/>
        <v>1650</v>
      </c>
      <c r="F8" s="10">
        <v>120</v>
      </c>
      <c r="G8" s="10">
        <f t="shared" si="1"/>
        <v>1800</v>
      </c>
      <c r="H8" s="10">
        <v>125</v>
      </c>
      <c r="I8" s="10">
        <f t="shared" si="2"/>
        <v>1875</v>
      </c>
      <c r="J8" s="10">
        <v>130</v>
      </c>
      <c r="K8" s="10">
        <f t="shared" si="3"/>
        <v>1950</v>
      </c>
    </row>
    <row r="9" spans="1:11" x14ac:dyDescent="0.3">
      <c r="A9" s="202" t="s">
        <v>52</v>
      </c>
      <c r="B9" s="203"/>
      <c r="C9" s="2">
        <v>12</v>
      </c>
      <c r="D9" s="10">
        <v>310</v>
      </c>
      <c r="E9" s="10">
        <f t="shared" si="0"/>
        <v>3720</v>
      </c>
      <c r="F9" s="10">
        <v>280</v>
      </c>
      <c r="G9" s="10">
        <f t="shared" si="1"/>
        <v>3360</v>
      </c>
      <c r="H9" s="10">
        <v>300</v>
      </c>
      <c r="I9" s="10">
        <f t="shared" si="2"/>
        <v>3600</v>
      </c>
      <c r="J9" s="10">
        <v>287.5</v>
      </c>
      <c r="K9" s="10">
        <f t="shared" si="3"/>
        <v>3450</v>
      </c>
    </row>
    <row r="10" spans="1:11" x14ac:dyDescent="0.3">
      <c r="A10" s="197" t="s">
        <v>48</v>
      </c>
      <c r="B10" s="198"/>
      <c r="C10" s="199"/>
      <c r="D10" s="200">
        <f>E6+E7+E8+E9</f>
        <v>16070</v>
      </c>
      <c r="E10" s="201"/>
      <c r="F10" s="200">
        <f>G6+G7+G8+G9</f>
        <v>15997.5</v>
      </c>
      <c r="G10" s="201"/>
      <c r="H10" s="200">
        <f>I6+I7+I8+I9</f>
        <v>16037.5</v>
      </c>
      <c r="I10" s="201"/>
      <c r="J10" s="200">
        <f>K6+K7+K8+K9</f>
        <v>16075</v>
      </c>
      <c r="K10" s="201"/>
    </row>
  </sheetData>
  <mergeCells count="24">
    <mergeCell ref="A6:B6"/>
    <mergeCell ref="A7:B7"/>
    <mergeCell ref="A8:B8"/>
    <mergeCell ref="A9:B9"/>
    <mergeCell ref="G4:G5"/>
    <mergeCell ref="A10:C10"/>
    <mergeCell ref="D10:E10"/>
    <mergeCell ref="F10:G10"/>
    <mergeCell ref="H10:I10"/>
    <mergeCell ref="J10:K10"/>
    <mergeCell ref="A1:K2"/>
    <mergeCell ref="A3:B5"/>
    <mergeCell ref="C3:C5"/>
    <mergeCell ref="D3:E3"/>
    <mergeCell ref="F3:G3"/>
    <mergeCell ref="H3:I3"/>
    <mergeCell ref="J3:K3"/>
    <mergeCell ref="D4:D5"/>
    <mergeCell ref="E4:E5"/>
    <mergeCell ref="F4:F5"/>
    <mergeCell ref="H4:H5"/>
    <mergeCell ref="I4:I5"/>
    <mergeCell ref="J4:J5"/>
    <mergeCell ref="K4:K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zoomScale="280" zoomScaleNormal="280" workbookViewId="0">
      <selection activeCell="E4" sqref="E4:E9"/>
    </sheetView>
  </sheetViews>
  <sheetFormatPr defaultRowHeight="14.4" x14ac:dyDescent="0.3"/>
  <cols>
    <col min="1" max="1" width="17.6640625" customWidth="1"/>
    <col min="2" max="2" width="15.6640625" customWidth="1"/>
    <col min="3" max="3" width="9.5546875" customWidth="1"/>
    <col min="4" max="4" width="9.6640625" customWidth="1"/>
    <col min="6" max="6" width="9.88671875" customWidth="1"/>
  </cols>
  <sheetData>
    <row r="1" spans="1:6" x14ac:dyDescent="0.3">
      <c r="A1" s="208" t="s">
        <v>87</v>
      </c>
      <c r="B1" s="208"/>
      <c r="C1" s="208"/>
      <c r="D1" s="208"/>
      <c r="E1" s="208"/>
      <c r="F1" s="208"/>
    </row>
    <row r="2" spans="1:6" x14ac:dyDescent="0.3">
      <c r="A2" s="177" t="s">
        <v>88</v>
      </c>
      <c r="B2" s="177" t="s">
        <v>73</v>
      </c>
      <c r="C2" s="209" t="s">
        <v>89</v>
      </c>
      <c r="D2" s="177" t="s">
        <v>90</v>
      </c>
      <c r="E2" s="210" t="s">
        <v>76</v>
      </c>
      <c r="F2" s="177" t="s">
        <v>91</v>
      </c>
    </row>
    <row r="3" spans="1:6" x14ac:dyDescent="0.3">
      <c r="A3" s="177"/>
      <c r="B3" s="177"/>
      <c r="C3" s="209"/>
      <c r="D3" s="177"/>
      <c r="E3" s="210"/>
      <c r="F3" s="177"/>
    </row>
    <row r="4" spans="1:6" x14ac:dyDescent="0.3">
      <c r="A4" s="7" t="s">
        <v>92</v>
      </c>
      <c r="B4" s="2">
        <v>25</v>
      </c>
      <c r="C4" s="6">
        <v>1.5</v>
      </c>
      <c r="D4" s="6">
        <f>B4*C4</f>
        <v>37.5</v>
      </c>
      <c r="E4" s="204">
        <v>0.1</v>
      </c>
      <c r="F4" s="6">
        <f>D4-D4*E$4</f>
        <v>33.75</v>
      </c>
    </row>
    <row r="5" spans="1:6" x14ac:dyDescent="0.3">
      <c r="A5" s="7" t="s">
        <v>93</v>
      </c>
      <c r="B5" s="2">
        <v>25</v>
      </c>
      <c r="C5" s="6">
        <v>2.5</v>
      </c>
      <c r="D5" s="6">
        <f t="shared" ref="D5:D9" si="0">B5*C5</f>
        <v>62.5</v>
      </c>
      <c r="E5" s="205"/>
      <c r="F5" s="6">
        <f t="shared" ref="F5:F9" si="1">D5-D5*E$4</f>
        <v>56.25</v>
      </c>
    </row>
    <row r="6" spans="1:6" x14ac:dyDescent="0.3">
      <c r="A6" s="7" t="s">
        <v>94</v>
      </c>
      <c r="B6" s="2">
        <v>15</v>
      </c>
      <c r="C6" s="6">
        <v>2</v>
      </c>
      <c r="D6" s="6">
        <f t="shared" si="0"/>
        <v>30</v>
      </c>
      <c r="E6" s="205"/>
      <c r="F6" s="6">
        <f t="shared" si="1"/>
        <v>27</v>
      </c>
    </row>
    <row r="7" spans="1:6" x14ac:dyDescent="0.3">
      <c r="A7" s="7" t="s">
        <v>95</v>
      </c>
      <c r="B7" s="2">
        <v>15</v>
      </c>
      <c r="C7" s="6">
        <v>3.5</v>
      </c>
      <c r="D7" s="6">
        <f t="shared" si="0"/>
        <v>52.5</v>
      </c>
      <c r="E7" s="205"/>
      <c r="F7" s="6">
        <f t="shared" si="1"/>
        <v>47.25</v>
      </c>
    </row>
    <row r="8" spans="1:6" x14ac:dyDescent="0.3">
      <c r="A8" s="7" t="s">
        <v>96</v>
      </c>
      <c r="B8" s="2">
        <v>10</v>
      </c>
      <c r="C8" s="6">
        <v>19.899999999999999</v>
      </c>
      <c r="D8" s="6">
        <f t="shared" si="0"/>
        <v>199</v>
      </c>
      <c r="E8" s="205"/>
      <c r="F8" s="6">
        <f t="shared" si="1"/>
        <v>179.1</v>
      </c>
    </row>
    <row r="9" spans="1:6" x14ac:dyDescent="0.3">
      <c r="A9" s="7" t="s">
        <v>97</v>
      </c>
      <c r="B9" s="2">
        <v>10</v>
      </c>
      <c r="C9" s="6">
        <v>44.9</v>
      </c>
      <c r="D9" s="6">
        <f t="shared" si="0"/>
        <v>449</v>
      </c>
      <c r="E9" s="205"/>
      <c r="F9" s="6">
        <f t="shared" si="1"/>
        <v>404.1</v>
      </c>
    </row>
    <row r="10" spans="1:6" x14ac:dyDescent="0.3">
      <c r="A10" s="7" t="s">
        <v>90</v>
      </c>
      <c r="B10" s="2">
        <f>B4+B5+B6+B7+B8+B9</f>
        <v>100</v>
      </c>
      <c r="C10" s="206"/>
      <c r="D10" s="207"/>
      <c r="E10" s="12" t="s">
        <v>86</v>
      </c>
      <c r="F10" s="6">
        <f>F4+F5+F6+F7+F8+F9</f>
        <v>747.45</v>
      </c>
    </row>
  </sheetData>
  <mergeCells count="9">
    <mergeCell ref="E4:E9"/>
    <mergeCell ref="C10:D10"/>
    <mergeCell ref="A1:F1"/>
    <mergeCell ref="A2:A3"/>
    <mergeCell ref="B2:B3"/>
    <mergeCell ref="C2:C3"/>
    <mergeCell ref="D2:D3"/>
    <mergeCell ref="E2:E3"/>
    <mergeCell ref="F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zoomScale="240" zoomScaleNormal="240" workbookViewId="0">
      <selection activeCell="I3" sqref="I3"/>
    </sheetView>
  </sheetViews>
  <sheetFormatPr defaultRowHeight="14.4" x14ac:dyDescent="0.3"/>
  <cols>
    <col min="1" max="1" width="21.6640625" customWidth="1"/>
    <col min="7" max="7" width="12" customWidth="1"/>
  </cols>
  <sheetData>
    <row r="1" spans="1:9" ht="15" thickBot="1" x14ac:dyDescent="0.35">
      <c r="A1" s="211" t="s">
        <v>286</v>
      </c>
      <c r="B1" s="211"/>
      <c r="C1" s="211"/>
      <c r="D1" s="211"/>
      <c r="E1" s="211"/>
      <c r="F1" s="211"/>
      <c r="G1" s="212"/>
    </row>
    <row r="2" spans="1:9" ht="15" thickBot="1" x14ac:dyDescent="0.35">
      <c r="A2" s="211" t="s">
        <v>53</v>
      </c>
      <c r="B2" s="211"/>
      <c r="C2" s="211"/>
      <c r="D2" s="211"/>
      <c r="E2" s="211"/>
      <c r="F2" s="211"/>
      <c r="G2" s="213"/>
    </row>
    <row r="3" spans="1:9" ht="60" thickBot="1" x14ac:dyDescent="0.35">
      <c r="A3" s="19" t="s">
        <v>285</v>
      </c>
      <c r="B3" s="13" t="s">
        <v>54</v>
      </c>
      <c r="C3" s="21" t="s">
        <v>55</v>
      </c>
      <c r="D3" s="22" t="s">
        <v>56</v>
      </c>
      <c r="E3" s="23" t="s">
        <v>57</v>
      </c>
      <c r="F3" s="20" t="s">
        <v>58</v>
      </c>
      <c r="G3" s="14"/>
      <c r="H3" s="9"/>
      <c r="I3" s="11"/>
    </row>
    <row r="4" spans="1:9" ht="15" thickBot="1" x14ac:dyDescent="0.35">
      <c r="A4" s="15" t="s">
        <v>59</v>
      </c>
      <c r="B4" s="111">
        <v>6.25</v>
      </c>
      <c r="C4" s="112">
        <v>7.25</v>
      </c>
      <c r="D4" s="112">
        <v>6</v>
      </c>
      <c r="E4" s="112">
        <v>7.8</v>
      </c>
      <c r="F4" s="117">
        <f>(B4+C4+D4+E4)/4</f>
        <v>6.8250000000000002</v>
      </c>
      <c r="G4" s="212"/>
    </row>
    <row r="5" spans="1:9" ht="15" thickBot="1" x14ac:dyDescent="0.35">
      <c r="A5" s="16" t="s">
        <v>60</v>
      </c>
      <c r="B5" s="112">
        <v>4</v>
      </c>
      <c r="C5" s="112">
        <v>5.5</v>
      </c>
      <c r="D5" s="113">
        <v>6</v>
      </c>
      <c r="E5" s="113">
        <v>6</v>
      </c>
      <c r="F5" s="117">
        <f t="shared" ref="F5:F11" si="0">(B5+C5+D5+E5)/4</f>
        <v>5.375</v>
      </c>
      <c r="G5" s="214"/>
    </row>
    <row r="6" spans="1:9" ht="15" thickBot="1" x14ac:dyDescent="0.35">
      <c r="A6" s="15" t="s">
        <v>61</v>
      </c>
      <c r="B6" s="112">
        <v>6.25</v>
      </c>
      <c r="C6" s="112">
        <v>5.25</v>
      </c>
      <c r="D6" s="113">
        <v>8.25</v>
      </c>
      <c r="E6" s="113">
        <v>7</v>
      </c>
      <c r="F6" s="117">
        <f t="shared" si="0"/>
        <v>6.6875</v>
      </c>
      <c r="G6" s="214"/>
    </row>
    <row r="7" spans="1:9" ht="15" thickBot="1" x14ac:dyDescent="0.35">
      <c r="A7" s="16" t="s">
        <v>62</v>
      </c>
      <c r="B7" s="114">
        <v>5.5</v>
      </c>
      <c r="C7" s="114">
        <v>8</v>
      </c>
      <c r="D7" s="115">
        <v>6.5</v>
      </c>
      <c r="E7" s="115">
        <v>7.25</v>
      </c>
      <c r="F7" s="117">
        <f t="shared" si="0"/>
        <v>6.8125</v>
      </c>
      <c r="G7" s="214"/>
    </row>
    <row r="8" spans="1:9" ht="15" thickBot="1" x14ac:dyDescent="0.35">
      <c r="A8" s="17" t="s">
        <v>63</v>
      </c>
      <c r="B8" s="114">
        <v>7</v>
      </c>
      <c r="C8" s="114">
        <v>9.5</v>
      </c>
      <c r="D8" s="115">
        <v>8.25</v>
      </c>
      <c r="E8" s="115">
        <v>7</v>
      </c>
      <c r="F8" s="117">
        <f t="shared" si="0"/>
        <v>7.9375</v>
      </c>
      <c r="G8" s="214"/>
    </row>
    <row r="9" spans="1:9" ht="15" thickBot="1" x14ac:dyDescent="0.35">
      <c r="A9" s="17" t="s">
        <v>64</v>
      </c>
      <c r="B9" s="114">
        <v>9.25</v>
      </c>
      <c r="C9" s="114">
        <v>8</v>
      </c>
      <c r="D9" s="115">
        <v>9</v>
      </c>
      <c r="E9" s="115">
        <v>10</v>
      </c>
      <c r="F9" s="117">
        <f t="shared" si="0"/>
        <v>9.0625</v>
      </c>
      <c r="G9" s="214"/>
    </row>
    <row r="10" spans="1:9" ht="15" thickBot="1" x14ac:dyDescent="0.35">
      <c r="A10" s="17" t="s">
        <v>65</v>
      </c>
      <c r="B10" s="114">
        <v>8</v>
      </c>
      <c r="C10" s="114">
        <v>9.5</v>
      </c>
      <c r="D10" s="115">
        <v>5</v>
      </c>
      <c r="E10" s="113">
        <v>8</v>
      </c>
      <c r="F10" s="117">
        <f t="shared" si="0"/>
        <v>7.625</v>
      </c>
      <c r="G10" s="214"/>
    </row>
    <row r="11" spans="1:9" ht="15" thickBot="1" x14ac:dyDescent="0.35">
      <c r="A11" s="17" t="s">
        <v>66</v>
      </c>
      <c r="B11" s="114">
        <v>10</v>
      </c>
      <c r="C11" s="114">
        <v>8.25</v>
      </c>
      <c r="D11" s="115">
        <v>7</v>
      </c>
      <c r="E11" s="116">
        <v>9.5</v>
      </c>
      <c r="F11" s="117">
        <f t="shared" si="0"/>
        <v>8.6875</v>
      </c>
      <c r="G11" s="213"/>
    </row>
    <row r="12" spans="1:9" x14ac:dyDescent="0.3">
      <c r="A12" s="18"/>
    </row>
  </sheetData>
  <mergeCells count="4">
    <mergeCell ref="A1:F1"/>
    <mergeCell ref="G1:G2"/>
    <mergeCell ref="A2:F2"/>
    <mergeCell ref="G4:G11"/>
  </mergeCells>
  <conditionalFormatting sqref="B4:F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{C8CB692C-E5C2-4DD4-B0AB-05F9BEA212F8}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CB692C-E5C2-4DD4-B0AB-05F9BEA212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B4:F11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200" zoomScaleNormal="200" workbookViewId="0">
      <selection activeCell="E5" sqref="E5"/>
    </sheetView>
  </sheetViews>
  <sheetFormatPr defaultRowHeight="14.4" x14ac:dyDescent="0.3"/>
  <cols>
    <col min="1" max="1" width="15.33203125" bestFit="1" customWidth="1"/>
    <col min="2" max="2" width="31.33203125" customWidth="1"/>
    <col min="4" max="4" width="14.109375" bestFit="1" customWidth="1"/>
    <col min="5" max="5" width="16.44140625" bestFit="1" customWidth="1"/>
    <col min="6" max="6" width="11.44140625" customWidth="1"/>
    <col min="7" max="7" width="18.44140625" customWidth="1"/>
    <col min="8" max="8" width="10.44140625" customWidth="1"/>
  </cols>
  <sheetData>
    <row r="1" spans="1:9" ht="15" thickBot="1" x14ac:dyDescent="0.35">
      <c r="A1" s="215" t="s">
        <v>67</v>
      </c>
      <c r="B1" s="215"/>
      <c r="C1" s="215"/>
      <c r="D1" s="215"/>
      <c r="E1" s="215"/>
      <c r="F1" s="215"/>
      <c r="G1" s="215"/>
      <c r="H1" s="216"/>
      <c r="I1" s="26"/>
    </row>
    <row r="2" spans="1:9" ht="15" thickBot="1" x14ac:dyDescent="0.35">
      <c r="A2" s="217" t="s">
        <v>68</v>
      </c>
      <c r="B2" s="217"/>
      <c r="C2" s="217"/>
      <c r="D2" s="217"/>
      <c r="E2" s="217"/>
      <c r="F2" s="217"/>
      <c r="G2" s="217"/>
      <c r="H2" s="218"/>
      <c r="I2" s="26"/>
    </row>
    <row r="3" spans="1:9" ht="15" thickBot="1" x14ac:dyDescent="0.35">
      <c r="A3" s="217" t="s">
        <v>69</v>
      </c>
      <c r="B3" s="218"/>
      <c r="C3" s="219" t="s">
        <v>70</v>
      </c>
      <c r="D3" s="217"/>
      <c r="E3" s="217"/>
      <c r="F3" s="217"/>
      <c r="G3" s="217"/>
      <c r="H3" s="218"/>
      <c r="I3" s="26"/>
    </row>
    <row r="4" spans="1:9" ht="75" thickBot="1" x14ac:dyDescent="0.35">
      <c r="A4" s="39" t="s">
        <v>71</v>
      </c>
      <c r="B4" s="38" t="s">
        <v>72</v>
      </c>
      <c r="C4" s="38" t="s">
        <v>73</v>
      </c>
      <c r="D4" s="39" t="s">
        <v>74</v>
      </c>
      <c r="E4" s="40" t="s">
        <v>75</v>
      </c>
      <c r="F4" s="39" t="s">
        <v>76</v>
      </c>
      <c r="G4" s="39" t="s">
        <v>77</v>
      </c>
      <c r="H4" s="41"/>
    </row>
    <row r="5" spans="1:9" ht="15" thickBot="1" x14ac:dyDescent="0.35">
      <c r="A5" s="43">
        <v>44231</v>
      </c>
      <c r="B5" s="24" t="s">
        <v>78</v>
      </c>
      <c r="C5" s="25">
        <v>9</v>
      </c>
      <c r="D5" s="35">
        <v>149.9</v>
      </c>
      <c r="E5" s="47"/>
      <c r="F5" s="220">
        <v>0.1</v>
      </c>
      <c r="G5" s="31"/>
      <c r="H5" s="221"/>
    </row>
    <row r="6" spans="1:9" ht="15" thickBot="1" x14ac:dyDescent="0.35">
      <c r="A6" s="42">
        <v>44231</v>
      </c>
      <c r="B6" s="44" t="s">
        <v>79</v>
      </c>
      <c r="C6" s="45">
        <v>7</v>
      </c>
      <c r="D6" s="46">
        <v>39.9</v>
      </c>
      <c r="E6" s="47"/>
      <c r="F6" s="220"/>
      <c r="G6" s="31"/>
      <c r="H6" s="222"/>
    </row>
    <row r="7" spans="1:9" ht="15" thickBot="1" x14ac:dyDescent="0.35">
      <c r="A7" s="30">
        <v>44232</v>
      </c>
      <c r="B7" s="24" t="s">
        <v>80</v>
      </c>
      <c r="C7" s="25">
        <v>8</v>
      </c>
      <c r="D7" s="35">
        <v>79.900000000000006</v>
      </c>
      <c r="E7" s="47"/>
      <c r="F7" s="224">
        <v>0.05</v>
      </c>
      <c r="G7" s="31"/>
      <c r="H7" s="223"/>
    </row>
    <row r="8" spans="1:9" ht="15" thickBot="1" x14ac:dyDescent="0.35">
      <c r="A8" s="30">
        <v>44232</v>
      </c>
      <c r="B8" s="24" t="s">
        <v>81</v>
      </c>
      <c r="C8" s="25">
        <v>6</v>
      </c>
      <c r="D8" s="35">
        <v>99.9</v>
      </c>
      <c r="E8" s="47"/>
      <c r="F8" s="225"/>
      <c r="G8" s="31"/>
      <c r="H8" s="223"/>
    </row>
    <row r="9" spans="1:9" ht="15" thickBot="1" x14ac:dyDescent="0.35">
      <c r="A9" s="32">
        <v>44232</v>
      </c>
      <c r="B9" s="33" t="s">
        <v>82</v>
      </c>
      <c r="C9" s="37">
        <v>4</v>
      </c>
      <c r="D9" s="27">
        <v>199.9</v>
      </c>
      <c r="E9" s="47"/>
      <c r="F9" s="226"/>
      <c r="G9" s="31"/>
      <c r="H9" s="223"/>
    </row>
    <row r="10" spans="1:9" ht="15" thickBot="1" x14ac:dyDescent="0.35">
      <c r="A10" s="29">
        <v>44233</v>
      </c>
      <c r="B10" s="33" t="s">
        <v>83</v>
      </c>
      <c r="C10" s="37">
        <v>5</v>
      </c>
      <c r="D10" s="27">
        <v>129.9</v>
      </c>
      <c r="E10" s="47"/>
      <c r="F10" s="48">
        <v>0.08</v>
      </c>
      <c r="G10" s="27"/>
      <c r="H10" s="222"/>
    </row>
    <row r="11" spans="1:9" ht="15" thickBot="1" x14ac:dyDescent="0.35">
      <c r="A11" s="29">
        <v>44233</v>
      </c>
      <c r="B11" s="33" t="s">
        <v>84</v>
      </c>
      <c r="C11" s="37">
        <v>2</v>
      </c>
      <c r="D11" s="27">
        <v>69.900000000000006</v>
      </c>
      <c r="E11" s="47"/>
      <c r="F11" s="49"/>
      <c r="G11" s="27"/>
      <c r="H11" s="222"/>
    </row>
    <row r="12" spans="1:9" ht="15" thickBot="1" x14ac:dyDescent="0.35">
      <c r="A12" s="28">
        <v>44233</v>
      </c>
      <c r="B12" s="34" t="s">
        <v>85</v>
      </c>
      <c r="C12" s="36">
        <v>3</v>
      </c>
      <c r="D12" s="27">
        <v>59.9</v>
      </c>
      <c r="E12" s="47"/>
      <c r="F12" s="50">
        <v>3.5000000000000003E-2</v>
      </c>
      <c r="G12" s="27"/>
      <c r="H12" s="222"/>
    </row>
    <row r="13" spans="1:9" ht="15" thickBot="1" x14ac:dyDescent="0.35">
      <c r="A13" s="222"/>
      <c r="B13" s="222"/>
      <c r="C13" s="222"/>
      <c r="D13" s="227" t="s">
        <v>86</v>
      </c>
      <c r="E13" s="227"/>
      <c r="F13" s="228"/>
      <c r="G13" s="27"/>
      <c r="H13" s="222"/>
    </row>
  </sheetData>
  <mergeCells count="9">
    <mergeCell ref="A1:H1"/>
    <mergeCell ref="A2:H2"/>
    <mergeCell ref="A3:B3"/>
    <mergeCell ref="C3:H3"/>
    <mergeCell ref="F5:F6"/>
    <mergeCell ref="H5:H13"/>
    <mergeCell ref="F7:F9"/>
    <mergeCell ref="A13:C13"/>
    <mergeCell ref="D13:F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zoomScale="220" zoomScaleNormal="220" workbookViewId="0">
      <selection sqref="A1:C13"/>
    </sheetView>
  </sheetViews>
  <sheetFormatPr defaultRowHeight="14.4" x14ac:dyDescent="0.3"/>
  <cols>
    <col min="1" max="1" width="34.6640625" customWidth="1"/>
    <col min="2" max="3" width="20.6640625" customWidth="1"/>
  </cols>
  <sheetData>
    <row r="1" spans="1:8" x14ac:dyDescent="0.3">
      <c r="A1" s="52" t="s">
        <v>98</v>
      </c>
      <c r="B1" s="53" t="s">
        <v>99</v>
      </c>
      <c r="C1" s="54" t="s">
        <v>100</v>
      </c>
      <c r="D1" s="51"/>
      <c r="E1" s="51"/>
      <c r="F1" s="51"/>
      <c r="G1" s="51"/>
      <c r="H1" s="51"/>
    </row>
    <row r="2" spans="1:8" x14ac:dyDescent="0.3">
      <c r="A2" s="142" t="s">
        <v>104</v>
      </c>
      <c r="B2" s="143">
        <v>87</v>
      </c>
      <c r="C2" s="144">
        <v>44298</v>
      </c>
      <c r="D2" s="51"/>
      <c r="E2" s="51"/>
      <c r="F2" s="51"/>
      <c r="G2" s="51"/>
      <c r="H2" s="51"/>
    </row>
    <row r="3" spans="1:8" x14ac:dyDescent="0.3">
      <c r="A3" s="142" t="s">
        <v>101</v>
      </c>
      <c r="B3" s="143">
        <v>40.380000000000003</v>
      </c>
      <c r="C3" s="144">
        <v>44294</v>
      </c>
      <c r="D3" s="51"/>
      <c r="E3" s="51"/>
      <c r="F3" s="51"/>
      <c r="G3" s="51"/>
      <c r="H3" s="51"/>
    </row>
    <row r="4" spans="1:8" x14ac:dyDescent="0.3">
      <c r="A4" s="142" t="s">
        <v>110</v>
      </c>
      <c r="B4" s="143">
        <v>29.9</v>
      </c>
      <c r="C4" s="144">
        <v>44303</v>
      </c>
      <c r="D4" s="51"/>
      <c r="E4" s="51"/>
      <c r="F4" s="51"/>
      <c r="G4" s="51"/>
      <c r="H4" s="51"/>
    </row>
    <row r="5" spans="1:8" x14ac:dyDescent="0.3">
      <c r="A5" s="142" t="s">
        <v>112</v>
      </c>
      <c r="B5" s="145">
        <v>22.6</v>
      </c>
      <c r="C5" s="144">
        <v>44305</v>
      </c>
      <c r="D5" s="51"/>
      <c r="E5" s="51"/>
      <c r="F5" s="51"/>
      <c r="G5" s="51"/>
      <c r="H5" s="51"/>
    </row>
    <row r="6" spans="1:8" x14ac:dyDescent="0.3">
      <c r="A6" s="142" t="s">
        <v>109</v>
      </c>
      <c r="B6" s="143">
        <v>21.4</v>
      </c>
      <c r="C6" s="144">
        <v>44302</v>
      </c>
      <c r="D6" s="51"/>
      <c r="E6" s="51"/>
      <c r="F6" s="51"/>
      <c r="G6" s="51"/>
      <c r="H6" s="51"/>
    </row>
    <row r="7" spans="1:8" x14ac:dyDescent="0.3">
      <c r="A7" s="142" t="s">
        <v>102</v>
      </c>
      <c r="B7" s="143">
        <v>20.69</v>
      </c>
      <c r="C7" s="144">
        <v>44296</v>
      </c>
      <c r="D7" s="51"/>
      <c r="E7" s="51"/>
      <c r="F7" s="51"/>
      <c r="G7" s="51"/>
      <c r="H7" s="51"/>
    </row>
    <row r="8" spans="1:8" x14ac:dyDescent="0.3">
      <c r="A8" s="142" t="s">
        <v>111</v>
      </c>
      <c r="B8" s="145">
        <v>18.899999999999999</v>
      </c>
      <c r="C8" s="144">
        <v>44304</v>
      </c>
      <c r="D8" s="51"/>
      <c r="E8" s="51"/>
      <c r="F8" s="51"/>
      <c r="G8" s="51"/>
      <c r="H8" s="51"/>
    </row>
    <row r="9" spans="1:8" x14ac:dyDescent="0.3">
      <c r="A9" s="142" t="s">
        <v>106</v>
      </c>
      <c r="B9" s="143">
        <v>16.100000000000001</v>
      </c>
      <c r="C9" s="144">
        <v>44301</v>
      </c>
      <c r="D9" s="51"/>
      <c r="E9" s="51"/>
      <c r="F9" s="51"/>
      <c r="G9" s="51"/>
      <c r="H9" s="51"/>
    </row>
    <row r="10" spans="1:8" x14ac:dyDescent="0.3">
      <c r="A10" s="142" t="s">
        <v>103</v>
      </c>
      <c r="B10" s="143">
        <v>10.9</v>
      </c>
      <c r="C10" s="144">
        <v>44297</v>
      </c>
      <c r="D10" s="51"/>
      <c r="E10" s="51"/>
      <c r="F10" s="51"/>
      <c r="G10" s="51"/>
      <c r="H10" s="51"/>
    </row>
    <row r="11" spans="1:8" x14ac:dyDescent="0.3">
      <c r="A11" s="142" t="s">
        <v>107</v>
      </c>
      <c r="B11" s="143">
        <v>6.1</v>
      </c>
      <c r="C11" s="144">
        <v>44295</v>
      </c>
      <c r="D11" s="51"/>
      <c r="E11" s="51"/>
      <c r="F11" s="51"/>
      <c r="G11" s="51"/>
      <c r="H11" s="51"/>
    </row>
    <row r="12" spans="1:8" x14ac:dyDescent="0.3">
      <c r="A12" s="142" t="s">
        <v>105</v>
      </c>
      <c r="B12" s="143">
        <v>5.2</v>
      </c>
      <c r="C12" s="144">
        <v>44299</v>
      </c>
    </row>
    <row r="13" spans="1:8" x14ac:dyDescent="0.3">
      <c r="A13" s="146" t="s">
        <v>108</v>
      </c>
      <c r="B13" s="147">
        <v>4.3</v>
      </c>
      <c r="C13" s="148">
        <v>44300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516C-E9FF-45CB-9BD0-093D73FDFF57}">
  <dimension ref="A1:C13"/>
  <sheetViews>
    <sheetView zoomScale="250" zoomScaleNormal="250" workbookViewId="0">
      <selection sqref="A1:XFD1048576"/>
    </sheetView>
  </sheetViews>
  <sheetFormatPr defaultColWidth="22" defaultRowHeight="14.4" x14ac:dyDescent="0.3"/>
  <sheetData>
    <row r="1" spans="1:3" x14ac:dyDescent="0.3">
      <c r="A1" s="149" t="s">
        <v>98</v>
      </c>
      <c r="B1" s="150" t="s">
        <v>99</v>
      </c>
      <c r="C1" s="151" t="s">
        <v>100</v>
      </c>
    </row>
    <row r="2" spans="1:3" x14ac:dyDescent="0.3">
      <c r="A2" s="142" t="s">
        <v>101</v>
      </c>
      <c r="B2" s="143">
        <v>40.380000000000003</v>
      </c>
      <c r="C2" s="144">
        <v>44294</v>
      </c>
    </row>
    <row r="3" spans="1:3" x14ac:dyDescent="0.3">
      <c r="A3" s="142" t="s">
        <v>107</v>
      </c>
      <c r="B3" s="143">
        <v>6.1</v>
      </c>
      <c r="C3" s="144">
        <v>44295</v>
      </c>
    </row>
    <row r="4" spans="1:3" x14ac:dyDescent="0.3">
      <c r="A4" s="142" t="s">
        <v>102</v>
      </c>
      <c r="B4" s="143">
        <v>20.69</v>
      </c>
      <c r="C4" s="144">
        <v>44296</v>
      </c>
    </row>
    <row r="5" spans="1:3" x14ac:dyDescent="0.3">
      <c r="A5" s="142" t="s">
        <v>103</v>
      </c>
      <c r="B5" s="143">
        <v>10.9</v>
      </c>
      <c r="C5" s="144">
        <v>44297</v>
      </c>
    </row>
    <row r="6" spans="1:3" x14ac:dyDescent="0.3">
      <c r="A6" s="142" t="s">
        <v>104</v>
      </c>
      <c r="B6" s="143">
        <v>87</v>
      </c>
      <c r="C6" s="144">
        <v>44298</v>
      </c>
    </row>
    <row r="7" spans="1:3" x14ac:dyDescent="0.3">
      <c r="A7" s="142" t="s">
        <v>105</v>
      </c>
      <c r="B7" s="143">
        <v>5.2</v>
      </c>
      <c r="C7" s="144">
        <v>44299</v>
      </c>
    </row>
    <row r="8" spans="1:3" x14ac:dyDescent="0.3">
      <c r="A8" s="142" t="s">
        <v>108</v>
      </c>
      <c r="B8" s="143">
        <v>4.3</v>
      </c>
      <c r="C8" s="144">
        <v>44300</v>
      </c>
    </row>
    <row r="9" spans="1:3" x14ac:dyDescent="0.3">
      <c r="A9" s="142" t="s">
        <v>106</v>
      </c>
      <c r="B9" s="143">
        <v>16.100000000000001</v>
      </c>
      <c r="C9" s="144">
        <v>44301</v>
      </c>
    </row>
    <row r="10" spans="1:3" x14ac:dyDescent="0.3">
      <c r="A10" s="142" t="s">
        <v>109</v>
      </c>
      <c r="B10" s="143">
        <v>21.4</v>
      </c>
      <c r="C10" s="144">
        <v>44302</v>
      </c>
    </row>
    <row r="11" spans="1:3" x14ac:dyDescent="0.3">
      <c r="A11" s="142" t="s">
        <v>110</v>
      </c>
      <c r="B11" s="143">
        <v>29.9</v>
      </c>
      <c r="C11" s="144">
        <v>44303</v>
      </c>
    </row>
    <row r="12" spans="1:3" x14ac:dyDescent="0.3">
      <c r="A12" s="142" t="s">
        <v>111</v>
      </c>
      <c r="B12" s="145">
        <v>18.899999999999999</v>
      </c>
      <c r="C12" s="144">
        <v>44304</v>
      </c>
    </row>
    <row r="13" spans="1:3" x14ac:dyDescent="0.3">
      <c r="A13" s="146" t="s">
        <v>112</v>
      </c>
      <c r="B13" s="152">
        <v>22.6</v>
      </c>
      <c r="C13" s="148">
        <v>44305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Minha Primeira Planilha</vt:lpstr>
      <vt:lpstr>MicroCoffee</vt:lpstr>
      <vt:lpstr>Ordem de Cálculo e operadores</vt:lpstr>
      <vt:lpstr>Cotação Escolas</vt:lpstr>
      <vt:lpstr>Material Escolar</vt:lpstr>
      <vt:lpstr>Boletim Escolar</vt:lpstr>
      <vt:lpstr>Loja de Futebol</vt:lpstr>
      <vt:lpstr>Produtos Escolares</vt:lpstr>
      <vt:lpstr>teste extra</vt:lpstr>
      <vt:lpstr>Cantina</vt:lpstr>
      <vt:lpstr>Funções - Parte 1</vt:lpstr>
      <vt:lpstr>escola</vt:lpstr>
      <vt:lpstr>banco</vt:lpstr>
      <vt:lpstr>Funções - Parte 2</vt:lpstr>
      <vt:lpstr>Base1</vt:lpstr>
      <vt:lpstr>Base2</vt:lpstr>
      <vt:lpstr>VendasSCA</vt:lpstr>
      <vt:lpstr>RelatóriosSCA</vt:lpstr>
      <vt:lpstr>Impressão e 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Lobato</dc:creator>
  <cp:lastModifiedBy>Eduardo Lobato</cp:lastModifiedBy>
  <cp:lastPrinted>2022-12-24T15:58:41Z</cp:lastPrinted>
  <dcterms:created xsi:type="dcterms:W3CDTF">2021-04-19T20:40:01Z</dcterms:created>
  <dcterms:modified xsi:type="dcterms:W3CDTF">2025-04-05T03:15:37Z</dcterms:modified>
</cp:coreProperties>
</file>