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tables/table8.xml" ContentType="application/vnd.openxmlformats-officedocument.spreadsheetml.table+xml"/>
  <Override PartName="/xl/comments7.xml" ContentType="application/vnd.openxmlformats-officedocument.spreadsheetml.comments+xml"/>
  <Override PartName="/xl/tables/table9.xml" ContentType="application/vnd.openxmlformats-officedocument.spreadsheetml.table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omments10.xml" ContentType="application/vnd.openxmlformats-officedocument.spreadsheetml.comments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17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clark/Documents/GitHub/PBE/"/>
    </mc:Choice>
  </mc:AlternateContent>
  <xr:revisionPtr revIDLastSave="0" documentId="8_{9F4B2726-3894-0748-8651-161FF8A7D4F7}" xr6:coauthVersionLast="43" xr6:coauthVersionMax="43" xr10:uidLastSave="{00000000-0000-0000-0000-000000000000}"/>
  <bookViews>
    <workbookView xWindow="0" yWindow="0" windowWidth="38400" windowHeight="21600" activeTab="4" xr2:uid="{00000000-000D-0000-FFFF-FFFF00000000}"/>
  </bookViews>
  <sheets>
    <sheet name="League Summary" sheetId="1" r:id="rId1"/>
    <sheet name="FAQ" sheetId="2" r:id="rId2"/>
    <sheet name="S12 Draft" sheetId="3" r:id="rId3"/>
    <sheet name="All" sheetId="4" r:id="rId4"/>
    <sheet name="DVS" sheetId="5" r:id="rId5"/>
    <sheet name="SAS" sheetId="6" r:id="rId6"/>
    <sheet name="VAN" sheetId="7" r:id="rId7"/>
    <sheet name="UTA" sheetId="8" r:id="rId8"/>
    <sheet name="OBX" sheetId="9" r:id="rId9"/>
    <sheet name="NYV" sheetId="10" r:id="rId10"/>
    <sheet name="PRO" sheetId="11" r:id="rId11"/>
    <sheet name="FL" sheetId="12" r:id="rId12"/>
    <sheet name="FA" sheetId="13" r:id="rId13"/>
    <sheet name="Retired" sheetId="14" r:id="rId14"/>
    <sheet name="Draft Picks" sheetId="15" r:id="rId15"/>
    <sheet name="Calc" sheetId="16" r:id="rId16"/>
    <sheet name="Analysis" sheetId="17" r:id="rId17"/>
    <sheet name="Dump" sheetId="18" r:id="rId18"/>
    <sheet name="S11 Draft" sheetId="19" r:id="rId19"/>
    <sheet name="Arkusz12" sheetId="20" state="hidden" r:id="rId20"/>
    <sheet name="Updates" sheetId="21" state="hidden" r:id="rId21"/>
    <sheet name="S8 Draftees" sheetId="22" state="hidden" r:id="rId22"/>
    <sheet name="S7Draftees" sheetId="23" state="hidden" r:id="rId23"/>
    <sheet name="All Players Outdated" sheetId="24" state="hidden" r:id="rId24"/>
    <sheet name="S6 Draftees" sheetId="25" state="hidden" r:id="rId25"/>
  </sheets>
  <definedNames>
    <definedName name="_xlnm._FilterDatabase" localSheetId="3" hidden="1">All!$C$1:$AQ$317</definedName>
    <definedName name="_xlnm._FilterDatabase" localSheetId="23" hidden="1">'All Players Outdated'!$B$1:$V$254</definedName>
    <definedName name="_xlnm._FilterDatabase" localSheetId="12" hidden="1">FA!$Q$1:$Q$999</definedName>
    <definedName name="_xlnm._FilterDatabase" localSheetId="22" hidden="1">S7Draftees!$F$1:$F$997</definedName>
    <definedName name="_xlnm._FilterDatabase" localSheetId="21" hidden="1">'S8 Draftees'!$F$1:$F$997</definedName>
    <definedName name="Z_D2735B29_27DD_44D8_AE34_5B2E622A73A6_.wvu.FilterData" localSheetId="23" hidden="1">'All Players Outdated'!$F$1:$F$1007</definedName>
    <definedName name="Z_D2735B29_27DD_44D8_AE34_5B2E622A73A6_.wvu.FilterData" localSheetId="18" hidden="1">'S11 Draft'!$B$1:$AH$61</definedName>
  </definedNames>
  <calcPr calcId="191029"/>
  <customWorkbookViews>
    <customWorkbookView name="Filtr 1" guid="{D2735B29-27DD-44D8-AE34-5B2E622A73A6}" maximized="1" windowWidth="0" windowHeight="0" activeSheetId="0"/>
  </customWorkbookViews>
  <pivotCaches>
    <pivotCache cacheId="4" r:id="rId26"/>
    <pivotCache cacheId="8" r:id="rId2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2" i="25" l="1"/>
  <c r="E32" i="25"/>
  <c r="F31" i="25"/>
  <c r="E31" i="25"/>
  <c r="F30" i="25"/>
  <c r="E30" i="25"/>
  <c r="F29" i="25"/>
  <c r="E29" i="25"/>
  <c r="F28" i="25"/>
  <c r="E28" i="25"/>
  <c r="F27" i="25"/>
  <c r="E27" i="25"/>
  <c r="F26" i="25"/>
  <c r="E26" i="25"/>
  <c r="F25" i="25"/>
  <c r="E25" i="25"/>
  <c r="F24" i="25"/>
  <c r="E24" i="25"/>
  <c r="F23" i="25"/>
  <c r="E23" i="25"/>
  <c r="F22" i="25"/>
  <c r="E22" i="25"/>
  <c r="F21" i="25"/>
  <c r="E21" i="25"/>
  <c r="F20" i="25"/>
  <c r="E20" i="25"/>
  <c r="F19" i="25"/>
  <c r="E19" i="25"/>
  <c r="F18" i="25"/>
  <c r="E18" i="25"/>
  <c r="F17" i="25"/>
  <c r="E17" i="25"/>
  <c r="F16" i="25"/>
  <c r="E16" i="25"/>
  <c r="F15" i="25"/>
  <c r="E15" i="25"/>
  <c r="F14" i="25"/>
  <c r="E14" i="25"/>
  <c r="F13" i="25"/>
  <c r="E13" i="25"/>
  <c r="F12" i="25"/>
  <c r="E12" i="25"/>
  <c r="F11" i="25"/>
  <c r="E11" i="25"/>
  <c r="F10" i="25"/>
  <c r="E10" i="25"/>
  <c r="F9" i="25"/>
  <c r="E9" i="25"/>
  <c r="F8" i="25"/>
  <c r="E8" i="25"/>
  <c r="F7" i="25"/>
  <c r="E7" i="25"/>
  <c r="F6" i="25"/>
  <c r="E6" i="25"/>
  <c r="F5" i="25"/>
  <c r="E5" i="25"/>
  <c r="F4" i="25"/>
  <c r="E4" i="25"/>
  <c r="F3" i="25"/>
  <c r="E3" i="25"/>
  <c r="F2" i="25"/>
  <c r="E2" i="25"/>
  <c r="F31" i="24"/>
  <c r="E31" i="24"/>
  <c r="F29" i="23"/>
  <c r="E29" i="23"/>
  <c r="F28" i="23"/>
  <c r="E28" i="23"/>
  <c r="F27" i="23"/>
  <c r="E27" i="23"/>
  <c r="F26" i="23"/>
  <c r="E26" i="23"/>
  <c r="F25" i="23"/>
  <c r="E25" i="23"/>
  <c r="F24" i="23"/>
  <c r="E24" i="23"/>
  <c r="F23" i="23"/>
  <c r="E23" i="23"/>
  <c r="F22" i="23"/>
  <c r="E22" i="23"/>
  <c r="F21" i="23"/>
  <c r="E21" i="23"/>
  <c r="F20" i="23"/>
  <c r="E20" i="23"/>
  <c r="F19" i="23"/>
  <c r="E19" i="23"/>
  <c r="F18" i="23"/>
  <c r="E18" i="23"/>
  <c r="F17" i="23"/>
  <c r="E17" i="23"/>
  <c r="F16" i="23"/>
  <c r="E16" i="23"/>
  <c r="F15" i="23"/>
  <c r="E15" i="23"/>
  <c r="F14" i="23"/>
  <c r="E14" i="23"/>
  <c r="F13" i="23"/>
  <c r="E13" i="23"/>
  <c r="F12" i="23"/>
  <c r="E12" i="23"/>
  <c r="F11" i="23"/>
  <c r="E11" i="23"/>
  <c r="F10" i="23"/>
  <c r="E10" i="23"/>
  <c r="F9" i="23"/>
  <c r="E9" i="23"/>
  <c r="F8" i="23"/>
  <c r="E8" i="23"/>
  <c r="F7" i="23"/>
  <c r="E7" i="23"/>
  <c r="F6" i="23"/>
  <c r="E6" i="23"/>
  <c r="F5" i="23"/>
  <c r="E5" i="23"/>
  <c r="F4" i="23"/>
  <c r="E4" i="23"/>
  <c r="F3" i="23"/>
  <c r="E3" i="23"/>
  <c r="F2" i="23"/>
  <c r="E2" i="23"/>
  <c r="F29" i="22"/>
  <c r="E29" i="22"/>
  <c r="F28" i="22"/>
  <c r="E28" i="22"/>
  <c r="F27" i="22"/>
  <c r="E27" i="22"/>
  <c r="F26" i="22"/>
  <c r="E26" i="22"/>
  <c r="F25" i="22"/>
  <c r="E25" i="22"/>
  <c r="F24" i="22"/>
  <c r="E24" i="22"/>
  <c r="F23" i="22"/>
  <c r="E23" i="22"/>
  <c r="F22" i="22"/>
  <c r="E22" i="22"/>
  <c r="F21" i="22"/>
  <c r="E21" i="22"/>
  <c r="F20" i="22"/>
  <c r="E20" i="22"/>
  <c r="F19" i="22"/>
  <c r="E19" i="22"/>
  <c r="F18" i="22"/>
  <c r="E18" i="22"/>
  <c r="F17" i="22"/>
  <c r="E17" i="22"/>
  <c r="F16" i="22"/>
  <c r="E16" i="22"/>
  <c r="F15" i="22"/>
  <c r="E15" i="22"/>
  <c r="F14" i="22"/>
  <c r="E14" i="22"/>
  <c r="F13" i="22"/>
  <c r="E13" i="22"/>
  <c r="F12" i="22"/>
  <c r="E12" i="22"/>
  <c r="F11" i="22"/>
  <c r="E11" i="22"/>
  <c r="F10" i="22"/>
  <c r="E10" i="22"/>
  <c r="F9" i="22"/>
  <c r="E9" i="22"/>
  <c r="F8" i="22"/>
  <c r="E8" i="22"/>
  <c r="F7" i="22"/>
  <c r="E7" i="22"/>
  <c r="F6" i="22"/>
  <c r="E6" i="22"/>
  <c r="F5" i="22"/>
  <c r="E5" i="22"/>
  <c r="F4" i="22"/>
  <c r="E4" i="22"/>
  <c r="F3" i="22"/>
  <c r="E3" i="22"/>
  <c r="F2" i="22"/>
  <c r="E2" i="22"/>
  <c r="F61" i="19"/>
  <c r="E61" i="19"/>
  <c r="F60" i="19"/>
  <c r="E60" i="19"/>
  <c r="F59" i="19"/>
  <c r="E59" i="19"/>
  <c r="F58" i="19"/>
  <c r="E58" i="19"/>
  <c r="F57" i="19"/>
  <c r="E57" i="19"/>
  <c r="F56" i="19"/>
  <c r="E56" i="19"/>
  <c r="F55" i="19"/>
  <c r="E55" i="19"/>
  <c r="F54" i="19"/>
  <c r="E54" i="19"/>
  <c r="F53" i="19"/>
  <c r="E53" i="19"/>
  <c r="F52" i="19"/>
  <c r="E52" i="19"/>
  <c r="F51" i="19"/>
  <c r="E51" i="19"/>
  <c r="F50" i="19"/>
  <c r="E50" i="19"/>
  <c r="F49" i="19"/>
  <c r="E49" i="19"/>
  <c r="F48" i="19"/>
  <c r="E48" i="19"/>
  <c r="F47" i="19"/>
  <c r="E47" i="19"/>
  <c r="F46" i="19"/>
  <c r="E46" i="19"/>
  <c r="F45" i="19"/>
  <c r="E45" i="19"/>
  <c r="F44" i="19"/>
  <c r="E44" i="19"/>
  <c r="F43" i="19"/>
  <c r="E43" i="19"/>
  <c r="F42" i="19"/>
  <c r="E42" i="19"/>
  <c r="F41" i="19"/>
  <c r="E41" i="19"/>
  <c r="F40" i="19"/>
  <c r="E40" i="19"/>
  <c r="F39" i="19"/>
  <c r="E39" i="19"/>
  <c r="F38" i="19"/>
  <c r="E38" i="19"/>
  <c r="F37" i="19"/>
  <c r="E37" i="19"/>
  <c r="F36" i="19"/>
  <c r="E36" i="19"/>
  <c r="F35" i="19"/>
  <c r="E35" i="19"/>
  <c r="F34" i="19"/>
  <c r="E34" i="19"/>
  <c r="F33" i="19"/>
  <c r="E33" i="19"/>
  <c r="F32" i="19"/>
  <c r="E32" i="19"/>
  <c r="F31" i="19"/>
  <c r="E31" i="19"/>
  <c r="F30" i="19"/>
  <c r="E30" i="19"/>
  <c r="F29" i="19"/>
  <c r="E29" i="19"/>
  <c r="F28" i="19"/>
  <c r="E28" i="19"/>
  <c r="F27" i="19"/>
  <c r="E27" i="19"/>
  <c r="F26" i="19"/>
  <c r="E26" i="19"/>
  <c r="F25" i="19"/>
  <c r="E25" i="19"/>
  <c r="F24" i="19"/>
  <c r="E24" i="19"/>
  <c r="F23" i="19"/>
  <c r="E23" i="19"/>
  <c r="F22" i="19"/>
  <c r="E22" i="19"/>
  <c r="F21" i="19"/>
  <c r="E21" i="19"/>
  <c r="F20" i="19"/>
  <c r="E20" i="19"/>
  <c r="F19" i="19"/>
  <c r="E19" i="19"/>
  <c r="F18" i="19"/>
  <c r="E18" i="19"/>
  <c r="F17" i="19"/>
  <c r="E17" i="19"/>
  <c r="F16" i="19"/>
  <c r="E16" i="19"/>
  <c r="F15" i="19"/>
  <c r="E15" i="19"/>
  <c r="F14" i="19"/>
  <c r="E14" i="19"/>
  <c r="F13" i="19"/>
  <c r="E13" i="19"/>
  <c r="F12" i="19"/>
  <c r="E12" i="19"/>
  <c r="F11" i="19"/>
  <c r="E11" i="19"/>
  <c r="F10" i="19"/>
  <c r="E10" i="19"/>
  <c r="F8" i="19"/>
  <c r="E8" i="19"/>
  <c r="F7" i="19"/>
  <c r="E7" i="19"/>
  <c r="F6" i="19"/>
  <c r="E6" i="19"/>
  <c r="F5" i="19"/>
  <c r="E5" i="19"/>
  <c r="F4" i="19"/>
  <c r="E4" i="19"/>
  <c r="F3" i="19"/>
  <c r="E3" i="19"/>
  <c r="F2" i="19"/>
  <c r="E2" i="19"/>
  <c r="F59" i="18"/>
  <c r="F58" i="18"/>
  <c r="F57" i="18"/>
  <c r="F56" i="18"/>
  <c r="F55" i="18"/>
  <c r="F54" i="18"/>
  <c r="F53" i="18"/>
  <c r="F52" i="18"/>
  <c r="F51" i="18"/>
  <c r="F50" i="18"/>
  <c r="F49" i="18"/>
  <c r="B49" i="18"/>
  <c r="C49" i="18" s="1"/>
  <c r="F48" i="18"/>
  <c r="B48" i="18"/>
  <c r="C48" i="18" s="1"/>
  <c r="F47" i="18"/>
  <c r="B47" i="18"/>
  <c r="C47" i="18" s="1"/>
  <c r="F46" i="18"/>
  <c r="B46" i="18"/>
  <c r="F45" i="18"/>
  <c r="B45" i="18"/>
  <c r="F44" i="18"/>
  <c r="C44" i="18"/>
  <c r="B44" i="18"/>
  <c r="F43" i="18"/>
  <c r="B43" i="18"/>
  <c r="C43" i="18" s="1"/>
  <c r="F42" i="18"/>
  <c r="B42" i="18"/>
  <c r="F41" i="18"/>
  <c r="B41" i="18"/>
  <c r="F40" i="18"/>
  <c r="B40" i="18"/>
  <c r="C40" i="18" s="1"/>
  <c r="F39" i="18"/>
  <c r="B39" i="18"/>
  <c r="C39" i="18" s="1"/>
  <c r="F38" i="18"/>
  <c r="B38" i="18"/>
  <c r="F37" i="18"/>
  <c r="B37" i="18"/>
  <c r="F36" i="18"/>
  <c r="C36" i="18"/>
  <c r="B36" i="18"/>
  <c r="F35" i="18"/>
  <c r="B35" i="18"/>
  <c r="C35" i="18" s="1"/>
  <c r="F34" i="18"/>
  <c r="B34" i="18"/>
  <c r="C34" i="18" s="1"/>
  <c r="F33" i="18"/>
  <c r="B33" i="18"/>
  <c r="F32" i="18"/>
  <c r="C32" i="18"/>
  <c r="B32" i="18"/>
  <c r="F31" i="18"/>
  <c r="B31" i="18"/>
  <c r="C31" i="18" s="1"/>
  <c r="F30" i="18"/>
  <c r="B30" i="18"/>
  <c r="C30" i="18" s="1"/>
  <c r="F29" i="18"/>
  <c r="B29" i="18"/>
  <c r="F28" i="18"/>
  <c r="C28" i="18"/>
  <c r="B28" i="18"/>
  <c r="F27" i="18"/>
  <c r="B27" i="18"/>
  <c r="C27" i="18" s="1"/>
  <c r="F26" i="18"/>
  <c r="B26" i="18"/>
  <c r="F25" i="18"/>
  <c r="B25" i="18"/>
  <c r="C24" i="18" s="1"/>
  <c r="F24" i="18"/>
  <c r="B24" i="18"/>
  <c r="F23" i="18"/>
  <c r="B23" i="18"/>
  <c r="C23" i="18" s="1"/>
  <c r="F22" i="18"/>
  <c r="B22" i="18"/>
  <c r="C22" i="18" s="1"/>
  <c r="F21" i="18"/>
  <c r="B21" i="18"/>
  <c r="F20" i="18"/>
  <c r="B20" i="18"/>
  <c r="C20" i="18" s="1"/>
  <c r="F19" i="18"/>
  <c r="B19" i="18"/>
  <c r="F18" i="18"/>
  <c r="B18" i="18"/>
  <c r="F17" i="18"/>
  <c r="B17" i="18"/>
  <c r="F16" i="18"/>
  <c r="C16" i="18"/>
  <c r="B16" i="18"/>
  <c r="F15" i="18"/>
  <c r="B15" i="18"/>
  <c r="C15" i="18" s="1"/>
  <c r="F14" i="18"/>
  <c r="B14" i="18"/>
  <c r="C14" i="18" s="1"/>
  <c r="F13" i="18"/>
  <c r="B13" i="18"/>
  <c r="F12" i="18"/>
  <c r="C12" i="18"/>
  <c r="B12" i="18"/>
  <c r="F11" i="18"/>
  <c r="B11" i="18"/>
  <c r="C11" i="18" s="1"/>
  <c r="F10" i="18"/>
  <c r="B10" i="18"/>
  <c r="C10" i="18" s="1"/>
  <c r="B9" i="18"/>
  <c r="C9" i="18" s="1"/>
  <c r="B8" i="18"/>
  <c r="C7" i="18"/>
  <c r="B7" i="18"/>
  <c r="B6" i="18"/>
  <c r="C6" i="18" s="1"/>
  <c r="B5" i="18"/>
  <c r="B4" i="18"/>
  <c r="C4" i="18" s="1"/>
  <c r="B3" i="18"/>
  <c r="C3" i="18" s="1"/>
  <c r="B2" i="18"/>
  <c r="C2" i="18" s="1"/>
  <c r="B1" i="18"/>
  <c r="C1" i="18" s="1"/>
  <c r="F22" i="16"/>
  <c r="G22" i="16" s="1"/>
  <c r="H22" i="16" s="1"/>
  <c r="E22" i="16"/>
  <c r="E23" i="16" s="1"/>
  <c r="B5" i="16"/>
  <c r="E4" i="16"/>
  <c r="E5" i="16" s="1"/>
  <c r="B4" i="16"/>
  <c r="F3" i="16"/>
  <c r="G3" i="16" s="1"/>
  <c r="H3" i="16" s="1"/>
  <c r="E3" i="16"/>
  <c r="B3" i="16"/>
  <c r="G130" i="14"/>
  <c r="E130" i="14"/>
  <c r="E129" i="14"/>
  <c r="F128" i="14"/>
  <c r="E128" i="14"/>
  <c r="E127" i="14"/>
  <c r="F126" i="14"/>
  <c r="E126" i="14"/>
  <c r="AJ125" i="14"/>
  <c r="AK125" i="14" s="1"/>
  <c r="F125" i="14"/>
  <c r="E125" i="14"/>
  <c r="AJ124" i="14"/>
  <c r="AK124" i="14" s="1"/>
  <c r="F124" i="14"/>
  <c r="AL124" i="14" s="1"/>
  <c r="E124" i="14"/>
  <c r="AJ123" i="14"/>
  <c r="AK123" i="14" s="1"/>
  <c r="F123" i="14"/>
  <c r="E123" i="14"/>
  <c r="AL123" i="14" s="1"/>
  <c r="AJ122" i="14"/>
  <c r="AK122" i="14" s="1"/>
  <c r="F122" i="14"/>
  <c r="E122" i="14"/>
  <c r="AJ121" i="14"/>
  <c r="AK121" i="14" s="1"/>
  <c r="F121" i="14"/>
  <c r="AL121" i="14" s="1"/>
  <c r="E121" i="14"/>
  <c r="AJ120" i="14"/>
  <c r="AK120" i="14" s="1"/>
  <c r="F120" i="14"/>
  <c r="AL120" i="14" s="1"/>
  <c r="E120" i="14"/>
  <c r="AJ119" i="14"/>
  <c r="AK119" i="14" s="1"/>
  <c r="F119" i="14"/>
  <c r="E119" i="14"/>
  <c r="AL119" i="14" s="1"/>
  <c r="AJ118" i="14"/>
  <c r="AK118" i="14" s="1"/>
  <c r="F118" i="14"/>
  <c r="E118" i="14"/>
  <c r="AJ117" i="14"/>
  <c r="AK117" i="14" s="1"/>
  <c r="AG117" i="14"/>
  <c r="F117" i="14"/>
  <c r="E117" i="14"/>
  <c r="AJ116" i="14"/>
  <c r="AK116" i="14" s="1"/>
  <c r="F116" i="14"/>
  <c r="E116" i="14"/>
  <c r="AL116" i="14" s="1"/>
  <c r="AJ115" i="14"/>
  <c r="AK115" i="14" s="1"/>
  <c r="F115" i="14"/>
  <c r="E115" i="14"/>
  <c r="AL115" i="14" s="1"/>
  <c r="AJ114" i="14"/>
  <c r="AK114" i="14" s="1"/>
  <c r="F114" i="14"/>
  <c r="E114" i="14"/>
  <c r="AJ113" i="14"/>
  <c r="AK113" i="14" s="1"/>
  <c r="F113" i="14"/>
  <c r="E113" i="14"/>
  <c r="AJ112" i="14"/>
  <c r="AK112" i="14" s="1"/>
  <c r="F112" i="14"/>
  <c r="E112" i="14"/>
  <c r="AL112" i="14" s="1"/>
  <c r="AJ111" i="14"/>
  <c r="AK111" i="14" s="1"/>
  <c r="F111" i="14"/>
  <c r="E111" i="14"/>
  <c r="AL111" i="14" s="1"/>
  <c r="AJ110" i="14"/>
  <c r="AK110" i="14" s="1"/>
  <c r="F110" i="14"/>
  <c r="E110" i="14"/>
  <c r="AJ109" i="14"/>
  <c r="AK109" i="14" s="1"/>
  <c r="F109" i="14"/>
  <c r="E109" i="14"/>
  <c r="AJ108" i="14"/>
  <c r="AK108" i="14" s="1"/>
  <c r="F108" i="14"/>
  <c r="E108" i="14"/>
  <c r="F107" i="14"/>
  <c r="E107" i="14"/>
  <c r="AJ106" i="14"/>
  <c r="AK106" i="14" s="1"/>
  <c r="F106" i="14"/>
  <c r="E106" i="14"/>
  <c r="AJ105" i="14"/>
  <c r="AK105" i="14" s="1"/>
  <c r="F105" i="14"/>
  <c r="E105" i="14"/>
  <c r="F104" i="14"/>
  <c r="E104" i="14"/>
  <c r="AJ103" i="14"/>
  <c r="AK103" i="14" s="1"/>
  <c r="F103" i="14"/>
  <c r="AL103" i="14" s="1"/>
  <c r="E103" i="14"/>
  <c r="AJ102" i="14"/>
  <c r="AK102" i="14" s="1"/>
  <c r="F102" i="14"/>
  <c r="E102" i="14"/>
  <c r="E101" i="14"/>
  <c r="F100" i="14"/>
  <c r="E100" i="14"/>
  <c r="F99" i="14"/>
  <c r="E99" i="14"/>
  <c r="F98" i="14"/>
  <c r="E98" i="14"/>
  <c r="F97" i="14"/>
  <c r="E97" i="14"/>
  <c r="F96" i="14"/>
  <c r="E96" i="14"/>
  <c r="F95" i="14"/>
  <c r="E95" i="14"/>
  <c r="F94" i="14"/>
  <c r="E94" i="14"/>
  <c r="E93" i="14"/>
  <c r="AH93" i="14" s="1"/>
  <c r="F92" i="14"/>
  <c r="E92" i="14"/>
  <c r="AH92" i="14" s="1"/>
  <c r="F91" i="14"/>
  <c r="AH91" i="14" s="1"/>
  <c r="E91" i="14"/>
  <c r="F90" i="14"/>
  <c r="E90" i="14"/>
  <c r="F89" i="14"/>
  <c r="AH89" i="14" s="1"/>
  <c r="E89" i="14"/>
  <c r="F88" i="14"/>
  <c r="E88" i="14"/>
  <c r="AH88" i="14" s="1"/>
  <c r="F87" i="14"/>
  <c r="AH87" i="14" s="1"/>
  <c r="E87" i="14"/>
  <c r="F86" i="14"/>
  <c r="E86" i="14"/>
  <c r="F85" i="14"/>
  <c r="AH85" i="14" s="1"/>
  <c r="E85" i="14"/>
  <c r="F84" i="14"/>
  <c r="E84" i="14"/>
  <c r="F83" i="14"/>
  <c r="AH83" i="14" s="1"/>
  <c r="E83" i="14"/>
  <c r="F82" i="14"/>
  <c r="E82" i="14"/>
  <c r="F81" i="14"/>
  <c r="E81" i="14"/>
  <c r="F80" i="14"/>
  <c r="E80" i="14"/>
  <c r="AH80" i="14" s="1"/>
  <c r="F79" i="14"/>
  <c r="AH79" i="14" s="1"/>
  <c r="E79" i="14"/>
  <c r="E78" i="14"/>
  <c r="AH78" i="14" s="1"/>
  <c r="F77" i="14"/>
  <c r="E77" i="14"/>
  <c r="AH77" i="14" s="1"/>
  <c r="F76" i="14"/>
  <c r="AH76" i="14" s="1"/>
  <c r="E76" i="14"/>
  <c r="F75" i="14"/>
  <c r="E75" i="14"/>
  <c r="F74" i="14"/>
  <c r="AH74" i="14" s="1"/>
  <c r="E74" i="14"/>
  <c r="F73" i="14"/>
  <c r="E73" i="14"/>
  <c r="AH73" i="14" s="1"/>
  <c r="F72" i="14"/>
  <c r="E72" i="14"/>
  <c r="E71" i="14"/>
  <c r="AH71" i="14" s="1"/>
  <c r="F70" i="14"/>
  <c r="AH70" i="14" s="1"/>
  <c r="E70" i="14"/>
  <c r="F69" i="14"/>
  <c r="E69" i="14"/>
  <c r="F68" i="14"/>
  <c r="E68" i="14"/>
  <c r="F67" i="14"/>
  <c r="E67" i="14"/>
  <c r="F66" i="14"/>
  <c r="E66" i="14"/>
  <c r="F65" i="14"/>
  <c r="E65" i="14"/>
  <c r="F64" i="14"/>
  <c r="E64" i="14"/>
  <c r="E63" i="14"/>
  <c r="AH63" i="14" s="1"/>
  <c r="F62" i="14"/>
  <c r="E62" i="14"/>
  <c r="F61" i="14"/>
  <c r="E61" i="14"/>
  <c r="E60" i="14"/>
  <c r="F59" i="14"/>
  <c r="E59" i="14"/>
  <c r="F58" i="14"/>
  <c r="E58" i="14"/>
  <c r="F57" i="14"/>
  <c r="E57" i="14"/>
  <c r="F56" i="14"/>
  <c r="E56" i="14"/>
  <c r="F55" i="14"/>
  <c r="E55" i="14"/>
  <c r="F54" i="14"/>
  <c r="E54" i="14"/>
  <c r="F53" i="14"/>
  <c r="E53" i="14"/>
  <c r="F52" i="14"/>
  <c r="E52" i="14"/>
  <c r="F51" i="14"/>
  <c r="E51" i="14"/>
  <c r="F50" i="14"/>
  <c r="E50" i="14"/>
  <c r="F49" i="14"/>
  <c r="E49" i="14"/>
  <c r="E48" i="14"/>
  <c r="F47" i="14"/>
  <c r="E47" i="14"/>
  <c r="F46" i="14"/>
  <c r="AH46" i="14" s="1"/>
  <c r="E46" i="14"/>
  <c r="F45" i="14"/>
  <c r="E45" i="14"/>
  <c r="F44" i="14"/>
  <c r="E44" i="14"/>
  <c r="F43" i="14"/>
  <c r="AH43" i="14" s="1"/>
  <c r="E43" i="14"/>
  <c r="F42" i="14"/>
  <c r="E42" i="14"/>
  <c r="E41" i="14"/>
  <c r="E40" i="14"/>
  <c r="F39" i="14"/>
  <c r="E39" i="14"/>
  <c r="F38" i="14"/>
  <c r="E38" i="14"/>
  <c r="F37" i="14"/>
  <c r="E37" i="14"/>
  <c r="E36" i="14"/>
  <c r="F35" i="14"/>
  <c r="E35" i="14"/>
  <c r="F34" i="14"/>
  <c r="E34" i="14"/>
  <c r="F33" i="14"/>
  <c r="E33" i="14"/>
  <c r="E32" i="14"/>
  <c r="F31" i="14"/>
  <c r="E31" i="14"/>
  <c r="G30" i="14"/>
  <c r="F30" i="14"/>
  <c r="Z29" i="14"/>
  <c r="X29" i="14"/>
  <c r="V29" i="14"/>
  <c r="E29" i="14"/>
  <c r="Z28" i="14"/>
  <c r="X28" i="14"/>
  <c r="V28" i="14"/>
  <c r="F28" i="14"/>
  <c r="E28" i="14"/>
  <c r="W27" i="14"/>
  <c r="E27" i="14"/>
  <c r="AA26" i="14"/>
  <c r="Y26" i="14"/>
  <c r="F26" i="14"/>
  <c r="E26" i="14"/>
  <c r="Z25" i="14"/>
  <c r="X25" i="14"/>
  <c r="V25" i="14"/>
  <c r="T25" i="14"/>
  <c r="D25" i="14"/>
  <c r="X24" i="14"/>
  <c r="V24" i="14"/>
  <c r="D24" i="14"/>
  <c r="Z23" i="14"/>
  <c r="X23" i="14"/>
  <c r="V23" i="14"/>
  <c r="T23" i="14"/>
  <c r="D23" i="14"/>
  <c r="Z22" i="14"/>
  <c r="X22" i="14"/>
  <c r="V22" i="14"/>
  <c r="T22" i="14"/>
  <c r="E22" i="14"/>
  <c r="D22" i="14"/>
  <c r="Z21" i="14"/>
  <c r="X21" i="14"/>
  <c r="V21" i="14"/>
  <c r="T21" i="14"/>
  <c r="E21" i="14"/>
  <c r="D21" i="14"/>
  <c r="Z20" i="14"/>
  <c r="X20" i="14"/>
  <c r="V20" i="14"/>
  <c r="T20" i="14"/>
  <c r="E20" i="14"/>
  <c r="D20" i="14"/>
  <c r="Z19" i="14"/>
  <c r="X19" i="14"/>
  <c r="V19" i="14"/>
  <c r="T19" i="14"/>
  <c r="E19" i="14"/>
  <c r="D19" i="14"/>
  <c r="W18" i="14"/>
  <c r="U18" i="14"/>
  <c r="S18" i="14"/>
  <c r="E18" i="14"/>
  <c r="D18" i="14"/>
  <c r="W17" i="14"/>
  <c r="U17" i="14"/>
  <c r="S17" i="14"/>
  <c r="E17" i="14"/>
  <c r="D17" i="14"/>
  <c r="W16" i="14"/>
  <c r="U16" i="14"/>
  <c r="S16" i="14"/>
  <c r="E16" i="14"/>
  <c r="D16" i="14"/>
  <c r="U15" i="14"/>
  <c r="S15" i="14"/>
  <c r="Q15" i="14"/>
  <c r="D15" i="14"/>
  <c r="U14" i="14"/>
  <c r="S14" i="14"/>
  <c r="Q14" i="14"/>
  <c r="E14" i="14"/>
  <c r="D14" i="14"/>
  <c r="E12" i="14"/>
  <c r="D12" i="14"/>
  <c r="E11" i="14"/>
  <c r="D11" i="14"/>
  <c r="E10" i="14"/>
  <c r="D10" i="14"/>
  <c r="E9" i="14"/>
  <c r="D9" i="14"/>
  <c r="E8" i="14"/>
  <c r="D8" i="14"/>
  <c r="E7" i="14"/>
  <c r="D7" i="14"/>
  <c r="E6" i="14"/>
  <c r="D6" i="14"/>
  <c r="E5" i="14"/>
  <c r="D5" i="14"/>
  <c r="E4" i="14"/>
  <c r="D4" i="14"/>
  <c r="E3" i="14"/>
  <c r="D3" i="14"/>
  <c r="F117" i="13"/>
  <c r="E117" i="13"/>
  <c r="F116" i="13"/>
  <c r="E116" i="13"/>
  <c r="F115" i="13"/>
  <c r="E115" i="13"/>
  <c r="F114" i="13"/>
  <c r="E114" i="13"/>
  <c r="F113" i="13"/>
  <c r="E113" i="13"/>
  <c r="F112" i="13"/>
  <c r="E112" i="13"/>
  <c r="F111" i="13"/>
  <c r="E111" i="13"/>
  <c r="F110" i="13"/>
  <c r="E110" i="13"/>
  <c r="F109" i="13"/>
  <c r="E109" i="13"/>
  <c r="F108" i="13"/>
  <c r="E108" i="13"/>
  <c r="F107" i="13"/>
  <c r="E107" i="13"/>
  <c r="F106" i="13"/>
  <c r="E106" i="13"/>
  <c r="F105" i="13"/>
  <c r="E105" i="13"/>
  <c r="F104" i="13"/>
  <c r="E104" i="13"/>
  <c r="F103" i="13"/>
  <c r="E103" i="13"/>
  <c r="F102" i="13"/>
  <c r="E102" i="13"/>
  <c r="F101" i="13"/>
  <c r="E101" i="13"/>
  <c r="F100" i="13"/>
  <c r="E100" i="13"/>
  <c r="F99" i="13"/>
  <c r="E99" i="13"/>
  <c r="AD98" i="13"/>
  <c r="F98" i="13"/>
  <c r="E98" i="13"/>
  <c r="F97" i="13"/>
  <c r="E97" i="13"/>
  <c r="F96" i="13"/>
  <c r="E96" i="13"/>
  <c r="F95" i="13"/>
  <c r="E95" i="13"/>
  <c r="F94" i="13"/>
  <c r="E94" i="13"/>
  <c r="AJ93" i="13"/>
  <c r="AK93" i="13" s="1"/>
  <c r="F93" i="13"/>
  <c r="E93" i="13"/>
  <c r="AJ92" i="13"/>
  <c r="AK92" i="13" s="1"/>
  <c r="F92" i="13"/>
  <c r="E92" i="13"/>
  <c r="AJ91" i="13"/>
  <c r="AK91" i="13" s="1"/>
  <c r="F91" i="13"/>
  <c r="E91" i="13"/>
  <c r="AJ90" i="13"/>
  <c r="AK90" i="13" s="1"/>
  <c r="F90" i="13"/>
  <c r="E90" i="13"/>
  <c r="AJ89" i="13"/>
  <c r="AK89" i="13" s="1"/>
  <c r="F89" i="13"/>
  <c r="E89" i="13"/>
  <c r="AJ88" i="13"/>
  <c r="AK88" i="13" s="1"/>
  <c r="F88" i="13"/>
  <c r="E88" i="13"/>
  <c r="AJ87" i="13"/>
  <c r="AK87" i="13" s="1"/>
  <c r="F87" i="13"/>
  <c r="E87" i="13"/>
  <c r="AJ86" i="13"/>
  <c r="AK86" i="13" s="1"/>
  <c r="F86" i="13"/>
  <c r="E86" i="13"/>
  <c r="AJ85" i="13"/>
  <c r="AK85" i="13" s="1"/>
  <c r="F85" i="13"/>
  <c r="E85" i="13"/>
  <c r="F84" i="13"/>
  <c r="E84" i="13"/>
  <c r="AJ83" i="13"/>
  <c r="AK83" i="13" s="1"/>
  <c r="F83" i="13"/>
  <c r="E83" i="13"/>
  <c r="AL83" i="13" s="1"/>
  <c r="F82" i="13"/>
  <c r="E82" i="13"/>
  <c r="F81" i="13"/>
  <c r="E81" i="13"/>
  <c r="F80" i="13"/>
  <c r="E80" i="13"/>
  <c r="F79" i="13"/>
  <c r="E79" i="13"/>
  <c r="AJ78" i="13"/>
  <c r="AK78" i="13" s="1"/>
  <c r="F78" i="13"/>
  <c r="AL78" i="13" s="1"/>
  <c r="E78" i="13"/>
  <c r="AJ77" i="13"/>
  <c r="AK77" i="13" s="1"/>
  <c r="F77" i="13"/>
  <c r="AL77" i="13" s="1"/>
  <c r="E77" i="13"/>
  <c r="AJ76" i="13"/>
  <c r="AK76" i="13" s="1"/>
  <c r="AG76" i="13"/>
  <c r="F76" i="13"/>
  <c r="E76" i="13"/>
  <c r="F75" i="13"/>
  <c r="E75" i="13"/>
  <c r="F74" i="13"/>
  <c r="E74" i="13"/>
  <c r="F73" i="13"/>
  <c r="E73" i="13"/>
  <c r="F72" i="13"/>
  <c r="E72" i="13"/>
  <c r="AJ71" i="13"/>
  <c r="AK71" i="13" s="1"/>
  <c r="F71" i="13"/>
  <c r="E71" i="13"/>
  <c r="AJ70" i="13"/>
  <c r="AK70" i="13" s="1"/>
  <c r="F70" i="13"/>
  <c r="E70" i="13"/>
  <c r="AJ69" i="13"/>
  <c r="AK69" i="13" s="1"/>
  <c r="F69" i="13"/>
  <c r="E69" i="13"/>
  <c r="F68" i="13"/>
  <c r="E68" i="13"/>
  <c r="AJ67" i="13"/>
  <c r="AK67" i="13" s="1"/>
  <c r="Z67" i="13"/>
  <c r="F67" i="13"/>
  <c r="E67" i="13"/>
  <c r="AJ66" i="13"/>
  <c r="AK66" i="13" s="1"/>
  <c r="AG66" i="13"/>
  <c r="F66" i="13"/>
  <c r="E66" i="13"/>
  <c r="F65" i="13"/>
  <c r="E65" i="13"/>
  <c r="AJ64" i="13"/>
  <c r="AK64" i="13" s="1"/>
  <c r="F64" i="13"/>
  <c r="E64" i="13"/>
  <c r="F63" i="13"/>
  <c r="E63" i="13"/>
  <c r="AJ62" i="13"/>
  <c r="AK62" i="13" s="1"/>
  <c r="F62" i="13"/>
  <c r="E62" i="13"/>
  <c r="F61" i="13"/>
  <c r="E61" i="13"/>
  <c r="AJ60" i="13"/>
  <c r="AK60" i="13" s="1"/>
  <c r="F60" i="13"/>
  <c r="E60" i="13"/>
  <c r="AJ59" i="13"/>
  <c r="AK59" i="13" s="1"/>
  <c r="F59" i="13"/>
  <c r="E59" i="13"/>
  <c r="F58" i="13"/>
  <c r="E58" i="13"/>
  <c r="F57" i="13"/>
  <c r="E57" i="13"/>
  <c r="AJ56" i="13"/>
  <c r="AK56" i="13" s="1"/>
  <c r="F56" i="13"/>
  <c r="E56" i="13"/>
  <c r="AJ55" i="13"/>
  <c r="AK55" i="13" s="1"/>
  <c r="F55" i="13"/>
  <c r="E55" i="13"/>
  <c r="AJ54" i="13"/>
  <c r="AK54" i="13" s="1"/>
  <c r="F54" i="13"/>
  <c r="E54" i="13"/>
  <c r="F53" i="13"/>
  <c r="E53" i="13"/>
  <c r="F52" i="13"/>
  <c r="E52" i="13"/>
  <c r="AJ49" i="13"/>
  <c r="AK49" i="13" s="1"/>
  <c r="F49" i="13"/>
  <c r="E49" i="13"/>
  <c r="AJ48" i="13"/>
  <c r="AK48" i="13" s="1"/>
  <c r="F48" i="13"/>
  <c r="E48" i="13"/>
  <c r="AJ47" i="13"/>
  <c r="AK47" i="13" s="1"/>
  <c r="F47" i="13"/>
  <c r="E47" i="13"/>
  <c r="AJ46" i="13"/>
  <c r="AK46" i="13" s="1"/>
  <c r="F46" i="13"/>
  <c r="AL46" i="13" s="1"/>
  <c r="E46" i="13"/>
  <c r="AJ45" i="13"/>
  <c r="AK45" i="13" s="1"/>
  <c r="F45" i="13"/>
  <c r="E45" i="13"/>
  <c r="F44" i="13"/>
  <c r="E44" i="13"/>
  <c r="AK43" i="13"/>
  <c r="AJ43" i="13"/>
  <c r="F43" i="13"/>
  <c r="E43" i="13"/>
  <c r="AK41" i="13"/>
  <c r="AJ41" i="13"/>
  <c r="F41" i="13"/>
  <c r="E41" i="13"/>
  <c r="F40" i="13"/>
  <c r="E40" i="13"/>
  <c r="AJ39" i="13"/>
  <c r="AK39" i="13" s="1"/>
  <c r="F39" i="13"/>
  <c r="E39" i="13"/>
  <c r="AJ38" i="13"/>
  <c r="AK38" i="13" s="1"/>
  <c r="F38" i="13"/>
  <c r="E38" i="13"/>
  <c r="AJ37" i="13"/>
  <c r="AK37" i="13" s="1"/>
  <c r="F37" i="13"/>
  <c r="E37" i="13"/>
  <c r="AJ36" i="13"/>
  <c r="AK36" i="13" s="1"/>
  <c r="F36" i="13"/>
  <c r="E36" i="13"/>
  <c r="AL36" i="13" s="1"/>
  <c r="AK35" i="13"/>
  <c r="AJ35" i="13"/>
  <c r="F35" i="13"/>
  <c r="E35" i="13"/>
  <c r="F34" i="13"/>
  <c r="E34" i="13"/>
  <c r="AJ33" i="13"/>
  <c r="AK33" i="13" s="1"/>
  <c r="F33" i="13"/>
  <c r="E33" i="13"/>
  <c r="AJ32" i="13"/>
  <c r="AK32" i="13" s="1"/>
  <c r="F32" i="13"/>
  <c r="E32" i="13"/>
  <c r="AJ31" i="13"/>
  <c r="AK31" i="13" s="1"/>
  <c r="F31" i="13"/>
  <c r="E31" i="13"/>
  <c r="AJ30" i="13"/>
  <c r="AK30" i="13" s="1"/>
  <c r="F30" i="13"/>
  <c r="E30" i="13"/>
  <c r="AL30" i="13" s="1"/>
  <c r="AJ29" i="13"/>
  <c r="AK29" i="13" s="1"/>
  <c r="F29" i="13"/>
  <c r="E29" i="13"/>
  <c r="AJ28" i="13"/>
  <c r="F28" i="13"/>
  <c r="E28" i="13"/>
  <c r="F27" i="13"/>
  <c r="E27" i="13"/>
  <c r="AK26" i="13"/>
  <c r="AJ26" i="13"/>
  <c r="F26" i="13"/>
  <c r="E26" i="13"/>
  <c r="AK25" i="13"/>
  <c r="AJ25" i="13"/>
  <c r="F25" i="13"/>
  <c r="E25" i="13"/>
  <c r="AJ24" i="13"/>
  <c r="AK24" i="13" s="1"/>
  <c r="F24" i="13"/>
  <c r="E24" i="13"/>
  <c r="AK23" i="13"/>
  <c r="AJ23" i="13"/>
  <c r="F23" i="13"/>
  <c r="E23" i="13"/>
  <c r="AK22" i="13"/>
  <c r="AJ22" i="13"/>
  <c r="F22" i="13"/>
  <c r="E22" i="13"/>
  <c r="AJ21" i="13"/>
  <c r="AK21" i="13" s="1"/>
  <c r="F21" i="13"/>
  <c r="E21" i="13"/>
  <c r="AK19" i="13"/>
  <c r="AJ19" i="13"/>
  <c r="F19" i="13"/>
  <c r="E19" i="13"/>
  <c r="AJ18" i="13"/>
  <c r="AK18" i="13" s="1"/>
  <c r="F18" i="13"/>
  <c r="E18" i="13"/>
  <c r="AJ17" i="13"/>
  <c r="AK17" i="13" s="1"/>
  <c r="F17" i="13"/>
  <c r="E17" i="13"/>
  <c r="F16" i="13"/>
  <c r="E16" i="13"/>
  <c r="AK15" i="13"/>
  <c r="AJ15" i="13"/>
  <c r="F15" i="13"/>
  <c r="E15" i="13"/>
  <c r="F14" i="13"/>
  <c r="E14" i="13"/>
  <c r="F13" i="13"/>
  <c r="E13" i="13"/>
  <c r="F12" i="13"/>
  <c r="E12" i="13"/>
  <c r="AJ11" i="13"/>
  <c r="AK11" i="13" s="1"/>
  <c r="AI11" i="13"/>
  <c r="F11" i="13"/>
  <c r="E11" i="13"/>
  <c r="E10" i="13"/>
  <c r="F9" i="13"/>
  <c r="E9" i="13"/>
  <c r="F8" i="13"/>
  <c r="E8" i="13"/>
  <c r="AJ7" i="13"/>
  <c r="AK7" i="13" s="1"/>
  <c r="F7" i="13"/>
  <c r="E7" i="13"/>
  <c r="AJ6" i="13"/>
  <c r="AK6" i="13" s="1"/>
  <c r="F6" i="13"/>
  <c r="E6" i="13"/>
  <c r="F4" i="13"/>
  <c r="E4" i="13"/>
  <c r="F3" i="13"/>
  <c r="E3" i="13"/>
  <c r="F2" i="13"/>
  <c r="E2" i="13"/>
  <c r="AC27" i="12"/>
  <c r="AB27" i="12"/>
  <c r="L27" i="12"/>
  <c r="K27" i="12"/>
  <c r="J27" i="12"/>
  <c r="I27" i="12"/>
  <c r="AJ24" i="12"/>
  <c r="AK24" i="12" s="1"/>
  <c r="F24" i="12"/>
  <c r="E24" i="12"/>
  <c r="F23" i="12"/>
  <c r="E23" i="12"/>
  <c r="F22" i="12"/>
  <c r="E22" i="12"/>
  <c r="F21" i="12"/>
  <c r="E21" i="12"/>
  <c r="F20" i="12"/>
  <c r="AJ20" i="12" s="1"/>
  <c r="E20" i="12"/>
  <c r="F19" i="12"/>
  <c r="E19" i="12"/>
  <c r="E18" i="12"/>
  <c r="F17" i="12"/>
  <c r="E17" i="12"/>
  <c r="F16" i="12"/>
  <c r="E16" i="12"/>
  <c r="F15" i="12"/>
  <c r="E15" i="12"/>
  <c r="F14" i="12"/>
  <c r="E14" i="12"/>
  <c r="F13" i="12"/>
  <c r="E13" i="12"/>
  <c r="E12" i="12"/>
  <c r="AJ11" i="12"/>
  <c r="AK11" i="12" s="1"/>
  <c r="F11" i="12"/>
  <c r="E11" i="12"/>
  <c r="E10" i="12"/>
  <c r="AJ9" i="12"/>
  <c r="AK9" i="12" s="1"/>
  <c r="AG9" i="12"/>
  <c r="F9" i="12"/>
  <c r="E9" i="12"/>
  <c r="F8" i="12"/>
  <c r="E8" i="12"/>
  <c r="F7" i="12"/>
  <c r="E7" i="12"/>
  <c r="AJ6" i="12"/>
  <c r="AK6" i="12" s="1"/>
  <c r="F6" i="12"/>
  <c r="E6" i="12"/>
  <c r="AJ5" i="12"/>
  <c r="AK5" i="12" s="1"/>
  <c r="F5" i="12"/>
  <c r="E5" i="12"/>
  <c r="E4" i="12"/>
  <c r="E3" i="12"/>
  <c r="E2" i="12"/>
  <c r="AB38" i="11"/>
  <c r="Z38" i="11"/>
  <c r="Y38" i="11"/>
  <c r="X38" i="11"/>
  <c r="W38" i="11"/>
  <c r="V38" i="11"/>
  <c r="M38" i="11"/>
  <c r="L38" i="11"/>
  <c r="K38" i="11"/>
  <c r="J38" i="11"/>
  <c r="I38" i="11"/>
  <c r="Y37" i="11"/>
  <c r="AC36" i="11"/>
  <c r="AC38" i="11" s="1"/>
  <c r="AA36" i="11"/>
  <c r="AA38" i="11" s="1"/>
  <c r="F32" i="11"/>
  <c r="E32" i="11"/>
  <c r="F31" i="11"/>
  <c r="E31" i="11"/>
  <c r="F30" i="11"/>
  <c r="E30" i="11"/>
  <c r="F29" i="11"/>
  <c r="E29" i="11"/>
  <c r="F28" i="11"/>
  <c r="E28" i="11"/>
  <c r="F27" i="11"/>
  <c r="E27" i="11"/>
  <c r="AJ26" i="11"/>
  <c r="AK26" i="11" s="1"/>
  <c r="F25" i="11"/>
  <c r="E25" i="11"/>
  <c r="F24" i="11"/>
  <c r="E24" i="11"/>
  <c r="F23" i="11"/>
  <c r="E23" i="11"/>
  <c r="F22" i="11"/>
  <c r="E22" i="11"/>
  <c r="F21" i="11"/>
  <c r="E21" i="11"/>
  <c r="F20" i="11"/>
  <c r="E20" i="11"/>
  <c r="F19" i="11"/>
  <c r="E19" i="11"/>
  <c r="F18" i="11"/>
  <c r="E18" i="11"/>
  <c r="F17" i="11"/>
  <c r="E17" i="11"/>
  <c r="F16" i="11"/>
  <c r="E16" i="11"/>
  <c r="F15" i="11"/>
  <c r="E15" i="11"/>
  <c r="F14" i="11"/>
  <c r="E14" i="11"/>
  <c r="F13" i="11"/>
  <c r="E13" i="11"/>
  <c r="F12" i="11"/>
  <c r="E12" i="11"/>
  <c r="F11" i="11"/>
  <c r="E11" i="11"/>
  <c r="F10" i="11"/>
  <c r="E10" i="11"/>
  <c r="F9" i="11"/>
  <c r="E9" i="11"/>
  <c r="F8" i="11"/>
  <c r="E8" i="11"/>
  <c r="F7" i="11"/>
  <c r="E7" i="11"/>
  <c r="F6" i="11"/>
  <c r="E6" i="11"/>
  <c r="F5" i="11"/>
  <c r="E5" i="11"/>
  <c r="F4" i="11"/>
  <c r="E4" i="11"/>
  <c r="F3" i="11"/>
  <c r="E3" i="11"/>
  <c r="F2" i="11"/>
  <c r="E2" i="11"/>
  <c r="AD37" i="10"/>
  <c r="AC37" i="10"/>
  <c r="AB37" i="10"/>
  <c r="AA37" i="10"/>
  <c r="Z37" i="10"/>
  <c r="Y37" i="10"/>
  <c r="X37" i="10"/>
  <c r="W37" i="10"/>
  <c r="L37" i="10"/>
  <c r="K37" i="10"/>
  <c r="J37" i="10"/>
  <c r="I34" i="10"/>
  <c r="I37" i="10" s="1"/>
  <c r="F33" i="10"/>
  <c r="E33" i="10"/>
  <c r="F32" i="10"/>
  <c r="E32" i="10"/>
  <c r="F31" i="10"/>
  <c r="E31" i="10"/>
  <c r="F30" i="10"/>
  <c r="E30" i="10"/>
  <c r="F29" i="10"/>
  <c r="E29" i="10"/>
  <c r="F28" i="10"/>
  <c r="E28" i="10"/>
  <c r="F27" i="10"/>
  <c r="E27" i="10"/>
  <c r="E26" i="10"/>
  <c r="F25" i="10"/>
  <c r="E25" i="10"/>
  <c r="F24" i="10"/>
  <c r="E24" i="10"/>
  <c r="F23" i="10"/>
  <c r="E23" i="10"/>
  <c r="F22" i="10"/>
  <c r="E22" i="10"/>
  <c r="F21" i="10"/>
  <c r="E21" i="10"/>
  <c r="F20" i="10"/>
  <c r="E20" i="10"/>
  <c r="F19" i="10"/>
  <c r="E19" i="10"/>
  <c r="F18" i="10"/>
  <c r="E18" i="10"/>
  <c r="F17" i="10"/>
  <c r="E17" i="10"/>
  <c r="F16" i="10"/>
  <c r="E16" i="10"/>
  <c r="F15" i="10"/>
  <c r="E15" i="10"/>
  <c r="F14" i="10"/>
  <c r="E14" i="10"/>
  <c r="F13" i="10"/>
  <c r="E13" i="10"/>
  <c r="F12" i="10"/>
  <c r="E12" i="10"/>
  <c r="F11" i="10"/>
  <c r="E11" i="10"/>
  <c r="F10" i="10"/>
  <c r="E10" i="10"/>
  <c r="F9" i="10"/>
  <c r="E9" i="10"/>
  <c r="F8" i="10"/>
  <c r="E8" i="10"/>
  <c r="F7" i="10"/>
  <c r="E7" i="10"/>
  <c r="E6" i="10"/>
  <c r="F5" i="10"/>
  <c r="E5" i="10"/>
  <c r="F4" i="10"/>
  <c r="E4" i="10"/>
  <c r="F3" i="10"/>
  <c r="E3" i="10"/>
  <c r="F2" i="10"/>
  <c r="E2" i="10"/>
  <c r="AC29" i="9"/>
  <c r="AB29" i="9"/>
  <c r="AA29" i="9"/>
  <c r="Y29" i="9"/>
  <c r="X29" i="9"/>
  <c r="W29" i="9"/>
  <c r="L29" i="9"/>
  <c r="K29" i="9"/>
  <c r="J29" i="9"/>
  <c r="F7" i="1" s="1"/>
  <c r="I29" i="9"/>
  <c r="AD28" i="9"/>
  <c r="Z28" i="9"/>
  <c r="Z29" i="9" s="1"/>
  <c r="E25" i="9"/>
  <c r="F24" i="9"/>
  <c r="E24" i="9"/>
  <c r="F23" i="9"/>
  <c r="E23" i="9"/>
  <c r="F22" i="9"/>
  <c r="E22" i="9"/>
  <c r="E21" i="9"/>
  <c r="F20" i="9"/>
  <c r="E20" i="9"/>
  <c r="AJ19" i="9"/>
  <c r="AK19" i="9" s="1"/>
  <c r="F19" i="9"/>
  <c r="E19" i="9"/>
  <c r="F18" i="9"/>
  <c r="E18" i="9"/>
  <c r="F17" i="9"/>
  <c r="E17" i="9"/>
  <c r="F16" i="9"/>
  <c r="E16" i="9"/>
  <c r="F15" i="9"/>
  <c r="E15" i="9"/>
  <c r="F14" i="9"/>
  <c r="E14" i="9"/>
  <c r="F13" i="9"/>
  <c r="E13" i="9"/>
  <c r="AD12" i="9"/>
  <c r="AD29" i="9" s="1"/>
  <c r="F12" i="9"/>
  <c r="E12" i="9"/>
  <c r="E11" i="9"/>
  <c r="F10" i="9"/>
  <c r="E10" i="9"/>
  <c r="F9" i="9"/>
  <c r="E9" i="9"/>
  <c r="AJ8" i="9"/>
  <c r="AK8" i="9" s="1"/>
  <c r="F8" i="9"/>
  <c r="E8" i="9"/>
  <c r="F7" i="9"/>
  <c r="E7" i="9"/>
  <c r="F6" i="9"/>
  <c r="E6" i="9"/>
  <c r="F5" i="9"/>
  <c r="E5" i="9"/>
  <c r="AJ4" i="9"/>
  <c r="AK4" i="9" s="1"/>
  <c r="F4" i="9"/>
  <c r="E4" i="9"/>
  <c r="F3" i="9"/>
  <c r="E3" i="9"/>
  <c r="E2" i="9"/>
  <c r="AB40" i="8"/>
  <c r="M40" i="8"/>
  <c r="L40" i="8"/>
  <c r="K40" i="8"/>
  <c r="J40" i="8"/>
  <c r="I40" i="8"/>
  <c r="AC39" i="8"/>
  <c r="AC40" i="8" s="1"/>
  <c r="F36" i="8"/>
  <c r="E36" i="8"/>
  <c r="F35" i="8"/>
  <c r="E35" i="8"/>
  <c r="F34" i="8"/>
  <c r="E34" i="8"/>
  <c r="F33" i="8"/>
  <c r="E33" i="8"/>
  <c r="F32" i="8"/>
  <c r="E32" i="8"/>
  <c r="F31" i="8"/>
  <c r="E31" i="8"/>
  <c r="F30" i="8"/>
  <c r="E30" i="8"/>
  <c r="F29" i="8"/>
  <c r="E29" i="8"/>
  <c r="F28" i="8"/>
  <c r="E28" i="8"/>
  <c r="F27" i="8"/>
  <c r="E27" i="8"/>
  <c r="F26" i="8"/>
  <c r="E26" i="8"/>
  <c r="AJ25" i="8"/>
  <c r="AK25" i="8" s="1"/>
  <c r="F25" i="8"/>
  <c r="E25" i="8"/>
  <c r="AJ24" i="8"/>
  <c r="F24" i="8"/>
  <c r="E24" i="8"/>
  <c r="AJ23" i="8"/>
  <c r="AK23" i="8" s="1"/>
  <c r="F23" i="8"/>
  <c r="E23" i="8"/>
  <c r="F22" i="8"/>
  <c r="E22" i="8"/>
  <c r="AG21" i="8"/>
  <c r="F21" i="8"/>
  <c r="E21" i="8"/>
  <c r="E20" i="8"/>
  <c r="F19" i="8"/>
  <c r="E19" i="8"/>
  <c r="F18" i="8"/>
  <c r="E18" i="8"/>
  <c r="F17" i="8"/>
  <c r="E17" i="8"/>
  <c r="F16" i="8"/>
  <c r="E16" i="8"/>
  <c r="F15" i="8"/>
  <c r="E15" i="8"/>
  <c r="F14" i="8"/>
  <c r="E14" i="8"/>
  <c r="F13" i="8"/>
  <c r="E13" i="8"/>
  <c r="F12" i="8"/>
  <c r="E12" i="8"/>
  <c r="F11" i="8"/>
  <c r="E11" i="8"/>
  <c r="F10" i="8"/>
  <c r="E10" i="8"/>
  <c r="F9" i="8"/>
  <c r="E9" i="8"/>
  <c r="F8" i="8"/>
  <c r="E8" i="8"/>
  <c r="AJ7" i="8"/>
  <c r="AK7" i="8" s="1"/>
  <c r="F7" i="8"/>
  <c r="E7" i="8"/>
  <c r="F6" i="8"/>
  <c r="E6" i="8"/>
  <c r="F5" i="8"/>
  <c r="E5" i="8"/>
  <c r="F4" i="8"/>
  <c r="E4" i="8"/>
  <c r="F3" i="8"/>
  <c r="E3" i="8"/>
  <c r="E2" i="8"/>
  <c r="AC31" i="7"/>
  <c r="AB31" i="7"/>
  <c r="Z31" i="7"/>
  <c r="Y31" i="7"/>
  <c r="L31" i="7"/>
  <c r="K31" i="7"/>
  <c r="J31" i="7"/>
  <c r="I31" i="7"/>
  <c r="AA29" i="7"/>
  <c r="AA31" i="7" s="1"/>
  <c r="F28" i="7"/>
  <c r="E28" i="7"/>
  <c r="F27" i="7"/>
  <c r="E27" i="7"/>
  <c r="D26" i="7"/>
  <c r="E26" i="7" s="1"/>
  <c r="F25" i="7"/>
  <c r="E25" i="7"/>
  <c r="F24" i="7"/>
  <c r="E24" i="7"/>
  <c r="AJ23" i="7"/>
  <c r="AK23" i="7" s="1"/>
  <c r="F23" i="7"/>
  <c r="E23" i="7"/>
  <c r="F22" i="7"/>
  <c r="E22" i="7"/>
  <c r="F21" i="7"/>
  <c r="E21" i="7"/>
  <c r="F20" i="7"/>
  <c r="E20" i="7"/>
  <c r="F19" i="7"/>
  <c r="E19" i="7"/>
  <c r="F18" i="7"/>
  <c r="E18" i="7"/>
  <c r="F17" i="7"/>
  <c r="E17" i="7"/>
  <c r="F16" i="7"/>
  <c r="E16" i="7"/>
  <c r="F15" i="7"/>
  <c r="E15" i="7"/>
  <c r="F14" i="7"/>
  <c r="E14" i="7"/>
  <c r="F13" i="7"/>
  <c r="E13" i="7"/>
  <c r="F12" i="7"/>
  <c r="E12" i="7"/>
  <c r="F11" i="7"/>
  <c r="E11" i="7"/>
  <c r="F10" i="7"/>
  <c r="E10" i="7"/>
  <c r="F9" i="7"/>
  <c r="E9" i="7"/>
  <c r="F8" i="7"/>
  <c r="E8" i="7"/>
  <c r="F7" i="7"/>
  <c r="E7" i="7"/>
  <c r="E6" i="7"/>
  <c r="F5" i="7"/>
  <c r="E5" i="7"/>
  <c r="F4" i="7"/>
  <c r="E4" i="7"/>
  <c r="F3" i="7"/>
  <c r="E3" i="7"/>
  <c r="AJ2" i="7"/>
  <c r="AK2" i="7" s="1"/>
  <c r="AB2" i="7"/>
  <c r="F2" i="7"/>
  <c r="E2" i="7"/>
  <c r="AC28" i="6"/>
  <c r="AB28" i="6"/>
  <c r="AA28" i="6"/>
  <c r="Z28" i="6"/>
  <c r="Y28" i="6"/>
  <c r="X28" i="6"/>
  <c r="W28" i="6"/>
  <c r="M28" i="6"/>
  <c r="L28" i="6"/>
  <c r="K28" i="6"/>
  <c r="J28" i="6"/>
  <c r="F24" i="6"/>
  <c r="E24" i="6"/>
  <c r="F23" i="6"/>
  <c r="E23" i="6"/>
  <c r="F22" i="6"/>
  <c r="E22" i="6"/>
  <c r="F21" i="6"/>
  <c r="E21" i="6"/>
  <c r="F20" i="6"/>
  <c r="E20" i="6"/>
  <c r="AJ20" i="6" s="1"/>
  <c r="F19" i="6"/>
  <c r="E19" i="6"/>
  <c r="F18" i="6"/>
  <c r="E18" i="6"/>
  <c r="E17" i="6"/>
  <c r="F16" i="6"/>
  <c r="E16" i="6"/>
  <c r="E15" i="6"/>
  <c r="F14" i="6"/>
  <c r="E14" i="6"/>
  <c r="F13" i="6"/>
  <c r="E13" i="6"/>
  <c r="F12" i="6"/>
  <c r="E12" i="6"/>
  <c r="AJ11" i="6"/>
  <c r="AK11" i="6" s="1"/>
  <c r="F11" i="6"/>
  <c r="E11" i="6"/>
  <c r="F10" i="6"/>
  <c r="E10" i="6"/>
  <c r="F9" i="6"/>
  <c r="E9" i="6"/>
  <c r="F8" i="6"/>
  <c r="E8" i="6"/>
  <c r="AD7" i="6"/>
  <c r="I7" i="6"/>
  <c r="I28" i="6" s="1"/>
  <c r="E4" i="1" s="1"/>
  <c r="E7" i="6"/>
  <c r="E6" i="6"/>
  <c r="F5" i="6"/>
  <c r="E5" i="6"/>
  <c r="AD4" i="6"/>
  <c r="AD28" i="6" s="1"/>
  <c r="E4" i="6"/>
  <c r="F3" i="6"/>
  <c r="E3" i="6"/>
  <c r="F2" i="6"/>
  <c r="E2" i="6"/>
  <c r="W39" i="5"/>
  <c r="AC29" i="5"/>
  <c r="AB29" i="5"/>
  <c r="AA29" i="5"/>
  <c r="Z29" i="5"/>
  <c r="Y29" i="5"/>
  <c r="X29" i="5"/>
  <c r="W29" i="5"/>
  <c r="V29" i="5"/>
  <c r="M29" i="5"/>
  <c r="L29" i="5"/>
  <c r="K29" i="5"/>
  <c r="J29" i="5"/>
  <c r="I29" i="5"/>
  <c r="Y27" i="5"/>
  <c r="E26" i="5"/>
  <c r="F25" i="5"/>
  <c r="E25" i="5"/>
  <c r="F24" i="5"/>
  <c r="E24" i="5"/>
  <c r="F23" i="5"/>
  <c r="E23" i="5"/>
  <c r="F22" i="5"/>
  <c r="E22" i="5"/>
  <c r="F21" i="5"/>
  <c r="E21" i="5"/>
  <c r="AJ20" i="5"/>
  <c r="AK20" i="5" s="1"/>
  <c r="F20" i="5"/>
  <c r="E20" i="5"/>
  <c r="F19" i="5"/>
  <c r="E19" i="5"/>
  <c r="F18" i="5"/>
  <c r="E18" i="5"/>
  <c r="F17" i="5"/>
  <c r="E17" i="5"/>
  <c r="F16" i="5"/>
  <c r="E16" i="5"/>
  <c r="F15" i="5"/>
  <c r="E15" i="5"/>
  <c r="F14" i="5"/>
  <c r="E14" i="5"/>
  <c r="F13" i="5"/>
  <c r="E13" i="5"/>
  <c r="F12" i="5"/>
  <c r="E12" i="5"/>
  <c r="F11" i="5"/>
  <c r="E11" i="5"/>
  <c r="E10" i="5"/>
  <c r="E9" i="5"/>
  <c r="E8" i="5"/>
  <c r="F7" i="5"/>
  <c r="E7" i="5"/>
  <c r="E6" i="5"/>
  <c r="E5" i="5"/>
  <c r="F4" i="5"/>
  <c r="E4" i="5"/>
  <c r="E3" i="5"/>
  <c r="F2" i="5"/>
  <c r="E2" i="5"/>
  <c r="A316" i="4"/>
  <c r="A315" i="4"/>
  <c r="A314" i="4"/>
  <c r="A313" i="4"/>
  <c r="E312" i="4"/>
  <c r="A312" i="4"/>
  <c r="E311" i="4"/>
  <c r="A311" i="4"/>
  <c r="E310" i="4"/>
  <c r="A310" i="4"/>
  <c r="E309" i="4"/>
  <c r="A309" i="4"/>
  <c r="E308" i="4"/>
  <c r="A308" i="4"/>
  <c r="E307" i="4"/>
  <c r="A307" i="4"/>
  <c r="E306" i="4"/>
  <c r="A306" i="4"/>
  <c r="E305" i="4"/>
  <c r="A305" i="4"/>
  <c r="E304" i="4"/>
  <c r="A304" i="4"/>
  <c r="E303" i="4"/>
  <c r="A303" i="4"/>
  <c r="E302" i="4"/>
  <c r="A302" i="4"/>
  <c r="E301" i="4"/>
  <c r="A301" i="4"/>
  <c r="E300" i="4"/>
  <c r="A300" i="4"/>
  <c r="E299" i="4"/>
  <c r="A299" i="4"/>
  <c r="E298" i="4"/>
  <c r="A298" i="4"/>
  <c r="E297" i="4"/>
  <c r="A297" i="4"/>
  <c r="E296" i="4"/>
  <c r="A296" i="4"/>
  <c r="E295" i="4"/>
  <c r="A295" i="4"/>
  <c r="E294" i="4"/>
  <c r="A294" i="4"/>
  <c r="E293" i="4"/>
  <c r="A293" i="4"/>
  <c r="E292" i="4"/>
  <c r="A292" i="4"/>
  <c r="E291" i="4"/>
  <c r="A291" i="4"/>
  <c r="E290" i="4"/>
  <c r="A290" i="4"/>
  <c r="E289" i="4"/>
  <c r="A289" i="4"/>
  <c r="E288" i="4"/>
  <c r="A288" i="4"/>
  <c r="E287" i="4"/>
  <c r="A287" i="4"/>
  <c r="E286" i="4"/>
  <c r="A286" i="4"/>
  <c r="E285" i="4"/>
  <c r="A285" i="4"/>
  <c r="E284" i="4"/>
  <c r="A284" i="4"/>
  <c r="E283" i="4"/>
  <c r="A283" i="4"/>
  <c r="E282" i="4"/>
  <c r="A282" i="4"/>
  <c r="E281" i="4"/>
  <c r="A281" i="4"/>
  <c r="E280" i="4"/>
  <c r="A280" i="4"/>
  <c r="E279" i="4"/>
  <c r="A279" i="4"/>
  <c r="E278" i="4"/>
  <c r="A278" i="4"/>
  <c r="E277" i="4"/>
  <c r="A277" i="4"/>
  <c r="E276" i="4"/>
  <c r="A276" i="4"/>
  <c r="E275" i="4"/>
  <c r="A275" i="4"/>
  <c r="E274" i="4"/>
  <c r="A274" i="4"/>
  <c r="E273" i="4"/>
  <c r="A273" i="4"/>
  <c r="E272" i="4"/>
  <c r="A272" i="4"/>
  <c r="E271" i="4"/>
  <c r="A271" i="4"/>
  <c r="L270" i="4"/>
  <c r="K270" i="4"/>
  <c r="A270" i="4"/>
  <c r="L269" i="4"/>
  <c r="K269" i="4"/>
  <c r="A269" i="4"/>
  <c r="L268" i="4"/>
  <c r="K268" i="4"/>
  <c r="A268" i="4"/>
  <c r="E267" i="4"/>
  <c r="A267" i="4"/>
  <c r="E266" i="4"/>
  <c r="A266" i="4"/>
  <c r="E265" i="4"/>
  <c r="A265" i="4"/>
  <c r="L264" i="4"/>
  <c r="K264" i="4"/>
  <c r="A264" i="4"/>
  <c r="E263" i="4"/>
  <c r="A263" i="4"/>
  <c r="E262" i="4"/>
  <c r="A262" i="4"/>
  <c r="E261" i="4"/>
  <c r="A261" i="4"/>
  <c r="E260" i="4"/>
  <c r="A260" i="4"/>
  <c r="E259" i="4"/>
  <c r="A259" i="4"/>
  <c r="E258" i="4"/>
  <c r="A258" i="4"/>
  <c r="E257" i="4"/>
  <c r="A257" i="4"/>
  <c r="E256" i="4"/>
  <c r="A256" i="4"/>
  <c r="E255" i="4"/>
  <c r="A255" i="4"/>
  <c r="E254" i="4"/>
  <c r="A254" i="4"/>
  <c r="E253" i="4"/>
  <c r="A253" i="4"/>
  <c r="E252" i="4"/>
  <c r="A252" i="4"/>
  <c r="E251" i="4"/>
  <c r="A251" i="4"/>
  <c r="E250" i="4"/>
  <c r="A250" i="4"/>
  <c r="E249" i="4"/>
  <c r="A249" i="4"/>
  <c r="L248" i="4"/>
  <c r="K248" i="4"/>
  <c r="A248" i="4"/>
  <c r="E247" i="4"/>
  <c r="A247" i="4"/>
  <c r="E246" i="4"/>
  <c r="A246" i="4"/>
  <c r="E245" i="4"/>
  <c r="A245" i="4"/>
  <c r="E244" i="4"/>
  <c r="A244" i="4"/>
  <c r="E243" i="4"/>
  <c r="A243" i="4"/>
  <c r="E242" i="4"/>
  <c r="A242" i="4"/>
  <c r="E241" i="4"/>
  <c r="A241" i="4"/>
  <c r="E240" i="4"/>
  <c r="A240" i="4"/>
  <c r="E239" i="4"/>
  <c r="A239" i="4"/>
  <c r="E238" i="4"/>
  <c r="A238" i="4"/>
  <c r="E237" i="4"/>
  <c r="A237" i="4"/>
  <c r="E236" i="4"/>
  <c r="A236" i="4"/>
  <c r="E235" i="4"/>
  <c r="A235" i="4"/>
  <c r="E234" i="4"/>
  <c r="A234" i="4"/>
  <c r="E233" i="4"/>
  <c r="A233" i="4"/>
  <c r="E232" i="4"/>
  <c r="A232" i="4"/>
  <c r="L231" i="4"/>
  <c r="K231" i="4"/>
  <c r="A231" i="4"/>
  <c r="E230" i="4"/>
  <c r="A230" i="4"/>
  <c r="E229" i="4"/>
  <c r="A229" i="4"/>
  <c r="E228" i="4"/>
  <c r="A228" i="4"/>
  <c r="E227" i="4"/>
  <c r="A227" i="4"/>
  <c r="E226" i="4"/>
  <c r="A226" i="4"/>
  <c r="E225" i="4"/>
  <c r="A225" i="4"/>
  <c r="E224" i="4"/>
  <c r="A224" i="4"/>
  <c r="E223" i="4"/>
  <c r="A223" i="4"/>
  <c r="E222" i="4"/>
  <c r="A222" i="4"/>
  <c r="E221" i="4"/>
  <c r="A221" i="4"/>
  <c r="E220" i="4"/>
  <c r="A220" i="4"/>
  <c r="E219" i="4"/>
  <c r="A219" i="4"/>
  <c r="E218" i="4"/>
  <c r="A218" i="4"/>
  <c r="E217" i="4"/>
  <c r="A217" i="4"/>
  <c r="E216" i="4"/>
  <c r="A216" i="4"/>
  <c r="E215" i="4"/>
  <c r="A215" i="4"/>
  <c r="E214" i="4"/>
  <c r="A214" i="4"/>
  <c r="E213" i="4"/>
  <c r="A213" i="4"/>
  <c r="E212" i="4"/>
  <c r="A212" i="4"/>
  <c r="E211" i="4"/>
  <c r="A211" i="4"/>
  <c r="E210" i="4"/>
  <c r="A210" i="4"/>
  <c r="E209" i="4"/>
  <c r="A209" i="4"/>
  <c r="E208" i="4"/>
  <c r="A208" i="4"/>
  <c r="E207" i="4"/>
  <c r="A207" i="4"/>
  <c r="E206" i="4"/>
  <c r="A206" i="4"/>
  <c r="E205" i="4"/>
  <c r="A205" i="4"/>
  <c r="E204" i="4"/>
  <c r="A204" i="4"/>
  <c r="E203" i="4"/>
  <c r="A203" i="4"/>
  <c r="E202" i="4"/>
  <c r="A202" i="4"/>
  <c r="E201" i="4"/>
  <c r="A201" i="4"/>
  <c r="E200" i="4"/>
  <c r="A200" i="4"/>
  <c r="E199" i="4"/>
  <c r="A199" i="4"/>
  <c r="E198" i="4"/>
  <c r="A198" i="4"/>
  <c r="E197" i="4"/>
  <c r="A197" i="4"/>
  <c r="E196" i="4"/>
  <c r="A196" i="4"/>
  <c r="E195" i="4"/>
  <c r="A195" i="4"/>
  <c r="E194" i="4"/>
  <c r="A194" i="4"/>
  <c r="E193" i="4"/>
  <c r="A193" i="4"/>
  <c r="E192" i="4"/>
  <c r="A192" i="4"/>
  <c r="E191" i="4"/>
  <c r="A191" i="4"/>
  <c r="E190" i="4"/>
  <c r="A190" i="4"/>
  <c r="E189" i="4"/>
  <c r="A189" i="4"/>
  <c r="E188" i="4"/>
  <c r="A188" i="4"/>
  <c r="E187" i="4"/>
  <c r="A187" i="4"/>
  <c r="E186" i="4"/>
  <c r="A186" i="4"/>
  <c r="E185" i="4"/>
  <c r="A185" i="4"/>
  <c r="E184" i="4"/>
  <c r="A184" i="4"/>
  <c r="E183" i="4"/>
  <c r="A183" i="4"/>
  <c r="E182" i="4"/>
  <c r="A182" i="4"/>
  <c r="L181" i="4"/>
  <c r="K181" i="4"/>
  <c r="A181" i="4"/>
  <c r="E180" i="4"/>
  <c r="A180" i="4"/>
  <c r="E179" i="4"/>
  <c r="A179" i="4"/>
  <c r="E178" i="4"/>
  <c r="A178" i="4"/>
  <c r="E177" i="4"/>
  <c r="A177" i="4"/>
  <c r="E176" i="4"/>
  <c r="A176" i="4"/>
  <c r="E175" i="4"/>
  <c r="A175" i="4"/>
  <c r="E174" i="4"/>
  <c r="A174" i="4"/>
  <c r="E173" i="4"/>
  <c r="A173" i="4"/>
  <c r="E172" i="4"/>
  <c r="A172" i="4"/>
  <c r="E171" i="4"/>
  <c r="A171" i="4"/>
  <c r="E170" i="4"/>
  <c r="A170" i="4"/>
  <c r="E169" i="4"/>
  <c r="A169" i="4"/>
  <c r="E168" i="4"/>
  <c r="A168" i="4"/>
  <c r="E167" i="4"/>
  <c r="A167" i="4"/>
  <c r="E166" i="4"/>
  <c r="A166" i="4"/>
  <c r="E165" i="4"/>
  <c r="A165" i="4"/>
  <c r="E164" i="4"/>
  <c r="A164" i="4"/>
  <c r="E163" i="4"/>
  <c r="A163" i="4"/>
  <c r="E162" i="4"/>
  <c r="A162" i="4"/>
  <c r="E161" i="4"/>
  <c r="A161" i="4"/>
  <c r="E160" i="4"/>
  <c r="A160" i="4"/>
  <c r="E159" i="4"/>
  <c r="A159" i="4"/>
  <c r="E158" i="4"/>
  <c r="A158" i="4"/>
  <c r="E157" i="4"/>
  <c r="A157" i="4"/>
  <c r="E156" i="4"/>
  <c r="A156" i="4"/>
  <c r="E155" i="4"/>
  <c r="A155" i="4"/>
  <c r="E154" i="4"/>
  <c r="A154" i="4"/>
  <c r="E153" i="4"/>
  <c r="A153" i="4"/>
  <c r="E152" i="4"/>
  <c r="A152" i="4"/>
  <c r="E151" i="4"/>
  <c r="A151" i="4"/>
  <c r="E150" i="4"/>
  <c r="A150" i="4"/>
  <c r="E149" i="4"/>
  <c r="A149" i="4"/>
  <c r="E148" i="4"/>
  <c r="A148" i="4"/>
  <c r="E147" i="4"/>
  <c r="A147" i="4"/>
  <c r="E146" i="4"/>
  <c r="A146" i="4"/>
  <c r="E145" i="4"/>
  <c r="A145" i="4"/>
  <c r="E144" i="4"/>
  <c r="A144" i="4"/>
  <c r="E143" i="4"/>
  <c r="A143" i="4"/>
  <c r="E142" i="4"/>
  <c r="A142" i="4"/>
  <c r="E141" i="4"/>
  <c r="A141" i="4"/>
  <c r="E140" i="4"/>
  <c r="A140" i="4"/>
  <c r="E139" i="4"/>
  <c r="A139" i="4"/>
  <c r="E138" i="4"/>
  <c r="A138" i="4"/>
  <c r="E137" i="4"/>
  <c r="A137" i="4"/>
  <c r="E136" i="4"/>
  <c r="A136" i="4"/>
  <c r="E135" i="4"/>
  <c r="A135" i="4"/>
  <c r="E134" i="4"/>
  <c r="A134" i="4"/>
  <c r="E133" i="4"/>
  <c r="A133" i="4"/>
  <c r="E132" i="4"/>
  <c r="A132" i="4"/>
  <c r="E131" i="4"/>
  <c r="A131" i="4"/>
  <c r="E130" i="4"/>
  <c r="A130" i="4"/>
  <c r="E129" i="4"/>
  <c r="A129" i="4"/>
  <c r="E128" i="4"/>
  <c r="A128" i="4"/>
  <c r="E127" i="4"/>
  <c r="A127" i="4"/>
  <c r="E126" i="4"/>
  <c r="A126" i="4"/>
  <c r="E125" i="4"/>
  <c r="A125" i="4"/>
  <c r="E124" i="4"/>
  <c r="A124" i="4"/>
  <c r="E123" i="4"/>
  <c r="A123" i="4"/>
  <c r="E122" i="4"/>
  <c r="A122" i="4"/>
  <c r="E121" i="4"/>
  <c r="A121" i="4"/>
  <c r="E120" i="4"/>
  <c r="A120" i="4"/>
  <c r="E119" i="4"/>
  <c r="A119" i="4"/>
  <c r="E118" i="4"/>
  <c r="A118" i="4"/>
  <c r="E117" i="4"/>
  <c r="A117" i="4"/>
  <c r="E116" i="4"/>
  <c r="A116" i="4"/>
  <c r="E115" i="4"/>
  <c r="A115" i="4"/>
  <c r="E114" i="4"/>
  <c r="A114" i="4"/>
  <c r="E113" i="4"/>
  <c r="A113" i="4"/>
  <c r="E112" i="4"/>
  <c r="A112" i="4"/>
  <c r="E111" i="4"/>
  <c r="A111" i="4"/>
  <c r="E110" i="4"/>
  <c r="A110" i="4"/>
  <c r="E109" i="4"/>
  <c r="A109" i="4"/>
  <c r="E108" i="4"/>
  <c r="A108" i="4"/>
  <c r="E107" i="4"/>
  <c r="A107" i="4"/>
  <c r="E106" i="4"/>
  <c r="A106" i="4"/>
  <c r="E105" i="4"/>
  <c r="A105" i="4"/>
  <c r="E104" i="4"/>
  <c r="A104" i="4"/>
  <c r="E103" i="4"/>
  <c r="A103" i="4"/>
  <c r="E102" i="4"/>
  <c r="A102" i="4"/>
  <c r="E101" i="4"/>
  <c r="A101" i="4"/>
  <c r="E100" i="4"/>
  <c r="A100" i="4"/>
  <c r="E99" i="4"/>
  <c r="A99" i="4"/>
  <c r="E98" i="4"/>
  <c r="A98" i="4"/>
  <c r="E97" i="4"/>
  <c r="A97" i="4"/>
  <c r="E96" i="4"/>
  <c r="A96" i="4"/>
  <c r="E95" i="4"/>
  <c r="A95" i="4"/>
  <c r="E94" i="4"/>
  <c r="A94" i="4"/>
  <c r="E93" i="4"/>
  <c r="A93" i="4"/>
  <c r="E92" i="4"/>
  <c r="A92" i="4"/>
  <c r="E91" i="4"/>
  <c r="A91" i="4"/>
  <c r="E90" i="4"/>
  <c r="A90" i="4"/>
  <c r="E89" i="4"/>
  <c r="A89" i="4"/>
  <c r="E88" i="4"/>
  <c r="A88" i="4"/>
  <c r="E87" i="4"/>
  <c r="A87" i="4"/>
  <c r="E86" i="4"/>
  <c r="A86" i="4"/>
  <c r="E85" i="4"/>
  <c r="A85" i="4"/>
  <c r="E84" i="4"/>
  <c r="A84" i="4"/>
  <c r="E83" i="4"/>
  <c r="A83" i="4"/>
  <c r="E82" i="4"/>
  <c r="A82" i="4"/>
  <c r="E81" i="4"/>
  <c r="A81" i="4"/>
  <c r="E80" i="4"/>
  <c r="A80" i="4"/>
  <c r="E79" i="4"/>
  <c r="A79" i="4"/>
  <c r="E78" i="4"/>
  <c r="A78" i="4"/>
  <c r="E77" i="4"/>
  <c r="A77" i="4"/>
  <c r="E76" i="4"/>
  <c r="A76" i="4"/>
  <c r="E75" i="4"/>
  <c r="A75" i="4"/>
  <c r="E74" i="4"/>
  <c r="A74" i="4"/>
  <c r="E73" i="4"/>
  <c r="A73" i="4"/>
  <c r="E72" i="4"/>
  <c r="A72" i="4"/>
  <c r="E71" i="4"/>
  <c r="A71" i="4"/>
  <c r="E70" i="4"/>
  <c r="A70" i="4"/>
  <c r="E69" i="4"/>
  <c r="A69" i="4"/>
  <c r="E68" i="4"/>
  <c r="A68" i="4"/>
  <c r="E67" i="4"/>
  <c r="A67" i="4"/>
  <c r="E66" i="4"/>
  <c r="A66" i="4"/>
  <c r="E65" i="4"/>
  <c r="A65" i="4"/>
  <c r="E64" i="4"/>
  <c r="A64" i="4"/>
  <c r="E63" i="4"/>
  <c r="A63" i="4"/>
  <c r="E62" i="4"/>
  <c r="A62" i="4"/>
  <c r="E61" i="4"/>
  <c r="A61" i="4"/>
  <c r="E60" i="4"/>
  <c r="A60" i="4"/>
  <c r="E59" i="4"/>
  <c r="A59" i="4"/>
  <c r="E58" i="4"/>
  <c r="A58" i="4"/>
  <c r="E57" i="4"/>
  <c r="A57" i="4"/>
  <c r="E56" i="4"/>
  <c r="A56" i="4"/>
  <c r="E55" i="4"/>
  <c r="A55" i="4"/>
  <c r="E54" i="4"/>
  <c r="A54" i="4"/>
  <c r="E53" i="4"/>
  <c r="A53" i="4"/>
  <c r="E52" i="4"/>
  <c r="A52" i="4"/>
  <c r="E51" i="4"/>
  <c r="A51" i="4"/>
  <c r="E50" i="4"/>
  <c r="A50" i="4"/>
  <c r="E49" i="4"/>
  <c r="A49" i="4"/>
  <c r="E48" i="4"/>
  <c r="A48" i="4"/>
  <c r="E47" i="4"/>
  <c r="A47" i="4"/>
  <c r="E46" i="4"/>
  <c r="A46" i="4"/>
  <c r="E45" i="4"/>
  <c r="A45" i="4"/>
  <c r="E44" i="4"/>
  <c r="A44" i="4"/>
  <c r="E43" i="4"/>
  <c r="A43" i="4"/>
  <c r="E42" i="4"/>
  <c r="A42" i="4"/>
  <c r="E41" i="4"/>
  <c r="A41" i="4"/>
  <c r="E40" i="4"/>
  <c r="A40" i="4"/>
  <c r="E39" i="4"/>
  <c r="A39" i="4"/>
  <c r="E38" i="4"/>
  <c r="A38" i="4"/>
  <c r="E37" i="4"/>
  <c r="A37" i="4"/>
  <c r="E36" i="4"/>
  <c r="A36" i="4"/>
  <c r="E35" i="4"/>
  <c r="A35" i="4"/>
  <c r="E34" i="4"/>
  <c r="A34" i="4"/>
  <c r="E33" i="4"/>
  <c r="A33" i="4"/>
  <c r="E32" i="4"/>
  <c r="A32" i="4"/>
  <c r="E31" i="4"/>
  <c r="A31" i="4"/>
  <c r="E30" i="4"/>
  <c r="A30" i="4"/>
  <c r="E29" i="4"/>
  <c r="A29" i="4"/>
  <c r="E28" i="4"/>
  <c r="A28" i="4"/>
  <c r="E27" i="4"/>
  <c r="A27" i="4"/>
  <c r="E26" i="4"/>
  <c r="A26" i="4"/>
  <c r="E25" i="4"/>
  <c r="A25" i="4"/>
  <c r="E24" i="4"/>
  <c r="A24" i="4"/>
  <c r="E23" i="4"/>
  <c r="A23" i="4"/>
  <c r="E22" i="4"/>
  <c r="A22" i="4"/>
  <c r="E21" i="4"/>
  <c r="A21" i="4"/>
  <c r="E20" i="4"/>
  <c r="A20" i="4"/>
  <c r="E19" i="4"/>
  <c r="A19" i="4"/>
  <c r="E18" i="4"/>
  <c r="A18" i="4"/>
  <c r="E17" i="4"/>
  <c r="A17" i="4"/>
  <c r="E16" i="4"/>
  <c r="A16" i="4"/>
  <c r="E15" i="4"/>
  <c r="A15" i="4"/>
  <c r="E14" i="4"/>
  <c r="A14" i="4"/>
  <c r="E13" i="4"/>
  <c r="A13" i="4"/>
  <c r="E12" i="4"/>
  <c r="A12" i="4"/>
  <c r="E11" i="4"/>
  <c r="A11" i="4"/>
  <c r="E10" i="4"/>
  <c r="A10" i="4"/>
  <c r="K9" i="4"/>
  <c r="E9" i="4"/>
  <c r="A9" i="4"/>
  <c r="E8" i="4"/>
  <c r="A8" i="4"/>
  <c r="D4" i="4" s="1"/>
  <c r="E7" i="4"/>
  <c r="A7" i="4"/>
  <c r="E6" i="4"/>
  <c r="A6" i="4"/>
  <c r="E5" i="4"/>
  <c r="A5" i="4"/>
  <c r="E4" i="4"/>
  <c r="A4" i="4"/>
  <c r="E3" i="4"/>
  <c r="A3" i="4"/>
  <c r="E2" i="4"/>
  <c r="A2" i="4"/>
  <c r="F62" i="3"/>
  <c r="E62" i="3"/>
  <c r="F61" i="3"/>
  <c r="E61" i="3"/>
  <c r="F60" i="3"/>
  <c r="E60" i="3"/>
  <c r="F59" i="3"/>
  <c r="E59" i="3"/>
  <c r="F58" i="3"/>
  <c r="E58" i="3"/>
  <c r="F57" i="3"/>
  <c r="E57" i="3"/>
  <c r="F56" i="3"/>
  <c r="E56" i="3"/>
  <c r="F55" i="3"/>
  <c r="E55" i="3"/>
  <c r="F54" i="3"/>
  <c r="E54" i="3"/>
  <c r="F53" i="3"/>
  <c r="E53" i="3"/>
  <c r="F52" i="3"/>
  <c r="E52" i="3"/>
  <c r="F51" i="3"/>
  <c r="E51" i="3"/>
  <c r="F50" i="3"/>
  <c r="E50" i="3"/>
  <c r="F49" i="3"/>
  <c r="E49" i="3"/>
  <c r="F48" i="3"/>
  <c r="E48" i="3"/>
  <c r="F47" i="3"/>
  <c r="E47" i="3"/>
  <c r="F46" i="3"/>
  <c r="E46" i="3"/>
  <c r="F45" i="3"/>
  <c r="E45" i="3"/>
  <c r="F44" i="3"/>
  <c r="E44" i="3"/>
  <c r="F43" i="3"/>
  <c r="E43" i="3"/>
  <c r="F42" i="3"/>
  <c r="E42" i="3"/>
  <c r="F41" i="3"/>
  <c r="E41" i="3"/>
  <c r="F40" i="3"/>
  <c r="E40" i="3"/>
  <c r="F39" i="3"/>
  <c r="E39" i="3"/>
  <c r="F38" i="3"/>
  <c r="E38" i="3"/>
  <c r="F37" i="3"/>
  <c r="E37" i="3"/>
  <c r="F36" i="3"/>
  <c r="E36" i="3"/>
  <c r="F35" i="3"/>
  <c r="E35" i="3"/>
  <c r="F34" i="3"/>
  <c r="E34" i="3"/>
  <c r="F33" i="3"/>
  <c r="E33" i="3"/>
  <c r="F32" i="3"/>
  <c r="E32" i="3"/>
  <c r="F31" i="3"/>
  <c r="E31" i="3"/>
  <c r="F30" i="3"/>
  <c r="E30" i="3"/>
  <c r="F29" i="3"/>
  <c r="E29" i="3"/>
  <c r="F28" i="3"/>
  <c r="E28" i="3"/>
  <c r="F27" i="3"/>
  <c r="E27" i="3"/>
  <c r="F26" i="3"/>
  <c r="E26" i="3"/>
  <c r="F25" i="3"/>
  <c r="E25" i="3"/>
  <c r="F24" i="3"/>
  <c r="E24" i="3"/>
  <c r="F23" i="3"/>
  <c r="E23" i="3"/>
  <c r="F22" i="3"/>
  <c r="E22" i="3"/>
  <c r="F21" i="3"/>
  <c r="E21" i="3"/>
  <c r="F20" i="3"/>
  <c r="E20" i="3"/>
  <c r="F19" i="3"/>
  <c r="E19" i="3"/>
  <c r="F18" i="3"/>
  <c r="E18" i="3"/>
  <c r="F17" i="3"/>
  <c r="E17" i="3"/>
  <c r="F16" i="3"/>
  <c r="E16" i="3"/>
  <c r="F15" i="3"/>
  <c r="E15" i="3"/>
  <c r="F14" i="3"/>
  <c r="E14" i="3"/>
  <c r="F13" i="3"/>
  <c r="E13" i="3"/>
  <c r="F12" i="3"/>
  <c r="E12" i="3"/>
  <c r="F11" i="3"/>
  <c r="E11" i="3"/>
  <c r="F10" i="3"/>
  <c r="E10" i="3"/>
  <c r="F9" i="3"/>
  <c r="E9" i="3"/>
  <c r="F8" i="3"/>
  <c r="E8" i="3"/>
  <c r="F7" i="3"/>
  <c r="E7" i="3"/>
  <c r="D7" i="3"/>
  <c r="E6" i="3"/>
  <c r="D6" i="3"/>
  <c r="F6" i="3" s="1"/>
  <c r="D5" i="3"/>
  <c r="D4" i="3"/>
  <c r="E4" i="3" s="1"/>
  <c r="F3" i="3"/>
  <c r="D3" i="3"/>
  <c r="E3" i="3" s="1"/>
  <c r="D2" i="3"/>
  <c r="F2" i="3" s="1"/>
  <c r="E21" i="1"/>
  <c r="I20" i="1"/>
  <c r="H20" i="1"/>
  <c r="G20" i="1"/>
  <c r="F20" i="1"/>
  <c r="E20" i="1"/>
  <c r="I19" i="1"/>
  <c r="H19" i="1"/>
  <c r="G19" i="1"/>
  <c r="F19" i="1"/>
  <c r="E19" i="1"/>
  <c r="G18" i="1"/>
  <c r="I17" i="1"/>
  <c r="H17" i="1"/>
  <c r="G17" i="1"/>
  <c r="F17" i="1"/>
  <c r="E17" i="1"/>
  <c r="I15" i="1"/>
  <c r="E15" i="1"/>
  <c r="I14" i="1"/>
  <c r="H14" i="1"/>
  <c r="G14" i="1"/>
  <c r="F14" i="1"/>
  <c r="E14" i="1"/>
  <c r="I10" i="1"/>
  <c r="H10" i="1"/>
  <c r="G10" i="1"/>
  <c r="F10" i="1"/>
  <c r="E10" i="1"/>
  <c r="I9" i="1"/>
  <c r="H9" i="1"/>
  <c r="G9" i="1"/>
  <c r="F9" i="1"/>
  <c r="E9" i="1"/>
  <c r="I8" i="1"/>
  <c r="H8" i="1"/>
  <c r="G8" i="1"/>
  <c r="F8" i="1"/>
  <c r="E8" i="1"/>
  <c r="I7" i="1"/>
  <c r="H7" i="1"/>
  <c r="G7" i="1"/>
  <c r="E7" i="1"/>
  <c r="I6" i="1"/>
  <c r="H6" i="1"/>
  <c r="G6" i="1"/>
  <c r="F6" i="1"/>
  <c r="E6" i="1"/>
  <c r="B6" i="1"/>
  <c r="I5" i="1"/>
  <c r="H5" i="1"/>
  <c r="G5" i="1"/>
  <c r="F5" i="1"/>
  <c r="E5" i="1"/>
  <c r="I4" i="1"/>
  <c r="H4" i="1"/>
  <c r="G4" i="1"/>
  <c r="F4" i="1"/>
  <c r="I3" i="1"/>
  <c r="H3" i="1"/>
  <c r="G3" i="1"/>
  <c r="F3" i="1"/>
  <c r="E3" i="1"/>
  <c r="B3" i="1"/>
  <c r="B2" i="1"/>
  <c r="B4" i="1" s="1"/>
  <c r="W79" i="20"/>
  <c r="S79" i="20"/>
  <c r="O79" i="20"/>
  <c r="K79" i="20"/>
  <c r="G79" i="20"/>
  <c r="C79" i="20"/>
  <c r="X78" i="20"/>
  <c r="T78" i="20"/>
  <c r="P78" i="20"/>
  <c r="L78" i="20"/>
  <c r="H78" i="20"/>
  <c r="D78" i="20"/>
  <c r="Y77" i="20"/>
  <c r="U77" i="20"/>
  <c r="Q77" i="20"/>
  <c r="M77" i="20"/>
  <c r="I77" i="20"/>
  <c r="E77" i="20"/>
  <c r="A77" i="20"/>
  <c r="V76" i="20"/>
  <c r="R76" i="20"/>
  <c r="N76" i="20"/>
  <c r="J76" i="20"/>
  <c r="F76" i="20"/>
  <c r="B76" i="20"/>
  <c r="W75" i="20"/>
  <c r="S75" i="20"/>
  <c r="O75" i="20"/>
  <c r="K75" i="20"/>
  <c r="G75" i="20"/>
  <c r="C75" i="20"/>
  <c r="X74" i="20"/>
  <c r="T74" i="20"/>
  <c r="P74" i="20"/>
  <c r="L74" i="20"/>
  <c r="H74" i="20"/>
  <c r="D74" i="20"/>
  <c r="Y73" i="20"/>
  <c r="U73" i="20"/>
  <c r="Q73" i="20"/>
  <c r="M73" i="20"/>
  <c r="I73" i="20"/>
  <c r="E73" i="20"/>
  <c r="A73" i="20"/>
  <c r="V72" i="20"/>
  <c r="R72" i="20"/>
  <c r="N72" i="20"/>
  <c r="J72" i="20"/>
  <c r="F72" i="20"/>
  <c r="B72" i="20"/>
  <c r="W71" i="20"/>
  <c r="S71" i="20"/>
  <c r="O71" i="20"/>
  <c r="K71" i="20"/>
  <c r="G71" i="20"/>
  <c r="C71" i="20"/>
  <c r="X70" i="20"/>
  <c r="T70" i="20"/>
  <c r="P70" i="20"/>
  <c r="L70" i="20"/>
  <c r="H70" i="20"/>
  <c r="D70" i="20"/>
  <c r="Y69" i="20"/>
  <c r="U69" i="20"/>
  <c r="Q69" i="20"/>
  <c r="M69" i="20"/>
  <c r="I69" i="20"/>
  <c r="E69" i="20"/>
  <c r="A69" i="20"/>
  <c r="V68" i="20"/>
  <c r="R68" i="20"/>
  <c r="N68" i="20"/>
  <c r="J68" i="20"/>
  <c r="F68" i="20"/>
  <c r="B68" i="20"/>
  <c r="W67" i="20"/>
  <c r="S67" i="20"/>
  <c r="O67" i="20"/>
  <c r="K67" i="20"/>
  <c r="G67" i="20"/>
  <c r="C67" i="20"/>
  <c r="X66" i="20"/>
  <c r="T66" i="20"/>
  <c r="P66" i="20"/>
  <c r="L66" i="20"/>
  <c r="H66" i="20"/>
  <c r="D66" i="20"/>
  <c r="Y65" i="20"/>
  <c r="U65" i="20"/>
  <c r="Q65" i="20"/>
  <c r="M65" i="20"/>
  <c r="I65" i="20"/>
  <c r="E65" i="20"/>
  <c r="A65" i="20"/>
  <c r="V64" i="20"/>
  <c r="R64" i="20"/>
  <c r="N64" i="20"/>
  <c r="J64" i="20"/>
  <c r="F64" i="20"/>
  <c r="B64" i="20"/>
  <c r="W63" i="20"/>
  <c r="S63" i="20"/>
  <c r="O63" i="20"/>
  <c r="K63" i="20"/>
  <c r="G63" i="20"/>
  <c r="C63" i="20"/>
  <c r="X62" i="20"/>
  <c r="T62" i="20"/>
  <c r="P62" i="20"/>
  <c r="L62" i="20"/>
  <c r="H62" i="20"/>
  <c r="D62" i="20"/>
  <c r="Y61" i="20"/>
  <c r="U61" i="20"/>
  <c r="Q61" i="20"/>
  <c r="M61" i="20"/>
  <c r="I61" i="20"/>
  <c r="E61" i="20"/>
  <c r="A61" i="20"/>
  <c r="V60" i="20"/>
  <c r="R60" i="20"/>
  <c r="N60" i="20"/>
  <c r="J60" i="20"/>
  <c r="F60" i="20"/>
  <c r="B60" i="20"/>
  <c r="W59" i="20"/>
  <c r="S59" i="20"/>
  <c r="O59" i="20"/>
  <c r="K59" i="20"/>
  <c r="G59" i="20"/>
  <c r="C59" i="20"/>
  <c r="X58" i="20"/>
  <c r="T58" i="20"/>
  <c r="P58" i="20"/>
  <c r="L58" i="20"/>
  <c r="H58" i="20"/>
  <c r="D58" i="20"/>
  <c r="Y57" i="20"/>
  <c r="U57" i="20"/>
  <c r="Q57" i="20"/>
  <c r="M57" i="20"/>
  <c r="I57" i="20"/>
  <c r="E57" i="20"/>
  <c r="A57" i="20"/>
  <c r="V56" i="20"/>
  <c r="R56" i="20"/>
  <c r="N56" i="20"/>
  <c r="J56" i="20"/>
  <c r="F56" i="20"/>
  <c r="B56" i="20"/>
  <c r="W55" i="20"/>
  <c r="S55" i="20"/>
  <c r="O55" i="20"/>
  <c r="K55" i="20"/>
  <c r="G55" i="20"/>
  <c r="C55" i="20"/>
  <c r="X54" i="20"/>
  <c r="T54" i="20"/>
  <c r="P54" i="20"/>
  <c r="L54" i="20"/>
  <c r="H54" i="20"/>
  <c r="D54" i="20"/>
  <c r="Y53" i="20"/>
  <c r="U53" i="20"/>
  <c r="Q53" i="20"/>
  <c r="M53" i="20"/>
  <c r="I53" i="20"/>
  <c r="E53" i="20"/>
  <c r="A53" i="20"/>
  <c r="V52" i="20"/>
  <c r="R52" i="20"/>
  <c r="N52" i="20"/>
  <c r="J52" i="20"/>
  <c r="F52" i="20"/>
  <c r="B52" i="20"/>
  <c r="W51" i="20"/>
  <c r="S51" i="20"/>
  <c r="O51" i="20"/>
  <c r="K51" i="20"/>
  <c r="G51" i="20"/>
  <c r="C51" i="20"/>
  <c r="X50" i="20"/>
  <c r="T50" i="20"/>
  <c r="P50" i="20"/>
  <c r="L50" i="20"/>
  <c r="H50" i="20"/>
  <c r="D50" i="20"/>
  <c r="Y49" i="20"/>
  <c r="U49" i="20"/>
  <c r="Q49" i="20"/>
  <c r="M49" i="20"/>
  <c r="I49" i="20"/>
  <c r="E49" i="20"/>
  <c r="A49" i="20"/>
  <c r="V48" i="20"/>
  <c r="R48" i="20"/>
  <c r="N48" i="20"/>
  <c r="J48" i="20"/>
  <c r="F48" i="20"/>
  <c r="B48" i="20"/>
  <c r="W47" i="20"/>
  <c r="S47" i="20"/>
  <c r="O47" i="20"/>
  <c r="K47" i="20"/>
  <c r="G47" i="20"/>
  <c r="C47" i="20"/>
  <c r="X46" i="20"/>
  <c r="T46" i="20"/>
  <c r="P46" i="20"/>
  <c r="H31" i="24"/>
  <c r="X79" i="20"/>
  <c r="T79" i="20"/>
  <c r="P79" i="20"/>
  <c r="L79" i="20"/>
  <c r="H79" i="20"/>
  <c r="D79" i="20"/>
  <c r="Y78" i="20"/>
  <c r="U78" i="20"/>
  <c r="Q78" i="20"/>
  <c r="M78" i="20"/>
  <c r="I78" i="20"/>
  <c r="E78" i="20"/>
  <c r="A78" i="20"/>
  <c r="V77" i="20"/>
  <c r="R77" i="20"/>
  <c r="N77" i="20"/>
  <c r="J77" i="20"/>
  <c r="F77" i="20"/>
  <c r="B77" i="20"/>
  <c r="W76" i="20"/>
  <c r="S76" i="20"/>
  <c r="O76" i="20"/>
  <c r="K76" i="20"/>
  <c r="G76" i="20"/>
  <c r="C76" i="20"/>
  <c r="X75" i="20"/>
  <c r="T75" i="20"/>
  <c r="P75" i="20"/>
  <c r="L75" i="20"/>
  <c r="H75" i="20"/>
  <c r="D75" i="20"/>
  <c r="Y74" i="20"/>
  <c r="U74" i="20"/>
  <c r="Q74" i="20"/>
  <c r="M74" i="20"/>
  <c r="I74" i="20"/>
  <c r="E74" i="20"/>
  <c r="A74" i="20"/>
  <c r="V73" i="20"/>
  <c r="R73" i="20"/>
  <c r="N73" i="20"/>
  <c r="J73" i="20"/>
  <c r="F73" i="20"/>
  <c r="B73" i="20"/>
  <c r="W72" i="20"/>
  <c r="S72" i="20"/>
  <c r="O72" i="20"/>
  <c r="K72" i="20"/>
  <c r="G72" i="20"/>
  <c r="C72" i="20"/>
  <c r="X71" i="20"/>
  <c r="T71" i="20"/>
  <c r="P71" i="20"/>
  <c r="L71" i="20"/>
  <c r="H71" i="20"/>
  <c r="D71" i="20"/>
  <c r="Y70" i="20"/>
  <c r="U70" i="20"/>
  <c r="Q70" i="20"/>
  <c r="M70" i="20"/>
  <c r="I70" i="20"/>
  <c r="E70" i="20"/>
  <c r="A70" i="20"/>
  <c r="V69" i="20"/>
  <c r="R69" i="20"/>
  <c r="N69" i="20"/>
  <c r="J69" i="20"/>
  <c r="F69" i="20"/>
  <c r="B69" i="20"/>
  <c r="W68" i="20"/>
  <c r="S68" i="20"/>
  <c r="O68" i="20"/>
  <c r="K68" i="20"/>
  <c r="G68" i="20"/>
  <c r="C68" i="20"/>
  <c r="X67" i="20"/>
  <c r="T67" i="20"/>
  <c r="P67" i="20"/>
  <c r="Y79" i="20"/>
  <c r="U79" i="20"/>
  <c r="Q79" i="20"/>
  <c r="M79" i="20"/>
  <c r="I79" i="20"/>
  <c r="E79" i="20"/>
  <c r="A79" i="20"/>
  <c r="V78" i="20"/>
  <c r="R78" i="20"/>
  <c r="N78" i="20"/>
  <c r="J78" i="20"/>
  <c r="F78" i="20"/>
  <c r="B78" i="20"/>
  <c r="W77" i="20"/>
  <c r="S77" i="20"/>
  <c r="O77" i="20"/>
  <c r="K77" i="20"/>
  <c r="G77" i="20"/>
  <c r="C77" i="20"/>
  <c r="X76" i="20"/>
  <c r="T76" i="20"/>
  <c r="P76" i="20"/>
  <c r="L76" i="20"/>
  <c r="H76" i="20"/>
  <c r="D76" i="20"/>
  <c r="Y75" i="20"/>
  <c r="U75" i="20"/>
  <c r="Q75" i="20"/>
  <c r="M75" i="20"/>
  <c r="I75" i="20"/>
  <c r="E75" i="20"/>
  <c r="A75" i="20"/>
  <c r="V74" i="20"/>
  <c r="R74" i="20"/>
  <c r="N74" i="20"/>
  <c r="J74" i="20"/>
  <c r="F74" i="20"/>
  <c r="B74" i="20"/>
  <c r="W73" i="20"/>
  <c r="S73" i="20"/>
  <c r="O73" i="20"/>
  <c r="K73" i="20"/>
  <c r="G73" i="20"/>
  <c r="C73" i="20"/>
  <c r="X72" i="20"/>
  <c r="T72" i="20"/>
  <c r="P72" i="20"/>
  <c r="L72" i="20"/>
  <c r="H72" i="20"/>
  <c r="D72" i="20"/>
  <c r="Y71" i="20"/>
  <c r="U71" i="20"/>
  <c r="Q71" i="20"/>
  <c r="M71" i="20"/>
  <c r="I71" i="20"/>
  <c r="E71" i="20"/>
  <c r="A71" i="20"/>
  <c r="V70" i="20"/>
  <c r="R70" i="20"/>
  <c r="N70" i="20"/>
  <c r="J70" i="20"/>
  <c r="F70" i="20"/>
  <c r="B70" i="20"/>
  <c r="W69" i="20"/>
  <c r="S69" i="20"/>
  <c r="O69" i="20"/>
  <c r="K69" i="20"/>
  <c r="G69" i="20"/>
  <c r="C69" i="20"/>
  <c r="X68" i="20"/>
  <c r="T68" i="20"/>
  <c r="P68" i="20"/>
  <c r="L68" i="20"/>
  <c r="H68" i="20"/>
  <c r="D68" i="20"/>
  <c r="Y67" i="20"/>
  <c r="U67" i="20"/>
  <c r="Q67" i="20"/>
  <c r="M67" i="20"/>
  <c r="I67" i="20"/>
  <c r="E67" i="20"/>
  <c r="A67" i="20"/>
  <c r="V66" i="20"/>
  <c r="R66" i="20"/>
  <c r="N66" i="20"/>
  <c r="J66" i="20"/>
  <c r="F66" i="20"/>
  <c r="B66" i="20"/>
  <c r="W65" i="20"/>
  <c r="S65" i="20"/>
  <c r="O65" i="20"/>
  <c r="K65" i="20"/>
  <c r="G65" i="20"/>
  <c r="C65" i="20"/>
  <c r="X64" i="20"/>
  <c r="T64" i="20"/>
  <c r="P64" i="20"/>
  <c r="L64" i="20"/>
  <c r="H64" i="20"/>
  <c r="D64" i="20"/>
  <c r="Y63" i="20"/>
  <c r="U63" i="20"/>
  <c r="Q63" i="20"/>
  <c r="M63" i="20"/>
  <c r="I63" i="20"/>
  <c r="E63" i="20"/>
  <c r="A63" i="20"/>
  <c r="V62" i="20"/>
  <c r="R62" i="20"/>
  <c r="N62" i="20"/>
  <c r="J62" i="20"/>
  <c r="F62" i="20"/>
  <c r="B62" i="20"/>
  <c r="W61" i="20"/>
  <c r="S61" i="20"/>
  <c r="O61" i="20"/>
  <c r="K61" i="20"/>
  <c r="G61" i="20"/>
  <c r="C61" i="20"/>
  <c r="X60" i="20"/>
  <c r="T60" i="20"/>
  <c r="P60" i="20"/>
  <c r="L60" i="20"/>
  <c r="H60" i="20"/>
  <c r="D60" i="20"/>
  <c r="Y59" i="20"/>
  <c r="U59" i="20"/>
  <c r="Q59" i="20"/>
  <c r="M59" i="20"/>
  <c r="I59" i="20"/>
  <c r="E59" i="20"/>
  <c r="A59" i="20"/>
  <c r="V58" i="20"/>
  <c r="R58" i="20"/>
  <c r="N58" i="20"/>
  <c r="J58" i="20"/>
  <c r="F58" i="20"/>
  <c r="B58" i="20"/>
  <c r="W57" i="20"/>
  <c r="S57" i="20"/>
  <c r="O57" i="20"/>
  <c r="K57" i="20"/>
  <c r="G57" i="20"/>
  <c r="C57" i="20"/>
  <c r="X56" i="20"/>
  <c r="T56" i="20"/>
  <c r="P56" i="20"/>
  <c r="L56" i="20"/>
  <c r="H56" i="20"/>
  <c r="D56" i="20"/>
  <c r="Y55" i="20"/>
  <c r="U55" i="20"/>
  <c r="Q55" i="20"/>
  <c r="M55" i="20"/>
  <c r="I55" i="20"/>
  <c r="E55" i="20"/>
  <c r="A55" i="20"/>
  <c r="V54" i="20"/>
  <c r="R54" i="20"/>
  <c r="N54" i="20"/>
  <c r="J54" i="20"/>
  <c r="F54" i="20"/>
  <c r="B54" i="20"/>
  <c r="W53" i="20"/>
  <c r="S53" i="20"/>
  <c r="O53" i="20"/>
  <c r="K53" i="20"/>
  <c r="G53" i="20"/>
  <c r="C53" i="20"/>
  <c r="X52" i="20"/>
  <c r="T52" i="20"/>
  <c r="P52" i="20"/>
  <c r="L52" i="20"/>
  <c r="H52" i="20"/>
  <c r="D52" i="20"/>
  <c r="Y51" i="20"/>
  <c r="U51" i="20"/>
  <c r="Q51" i="20"/>
  <c r="M51" i="20"/>
  <c r="I51" i="20"/>
  <c r="E51" i="20"/>
  <c r="A51" i="20"/>
  <c r="V50" i="20"/>
  <c r="R50" i="20"/>
  <c r="N50" i="20"/>
  <c r="J50" i="20"/>
  <c r="F50" i="20"/>
  <c r="B50" i="20"/>
  <c r="W49" i="20"/>
  <c r="S49" i="20"/>
  <c r="O49" i="20"/>
  <c r="K49" i="20"/>
  <c r="G49" i="20"/>
  <c r="C49" i="20"/>
  <c r="X48" i="20"/>
  <c r="T48" i="20"/>
  <c r="P48" i="20"/>
  <c r="L48" i="20"/>
  <c r="H48" i="20"/>
  <c r="D48" i="20"/>
  <c r="Y47" i="20"/>
  <c r="U47" i="20"/>
  <c r="Q47" i="20"/>
  <c r="M47" i="20"/>
  <c r="I47" i="20"/>
  <c r="E47" i="20"/>
  <c r="A47" i="20"/>
  <c r="V46" i="20"/>
  <c r="R46" i="20"/>
  <c r="N46" i="20"/>
  <c r="J46" i="20"/>
  <c r="F46" i="20"/>
  <c r="B46" i="20"/>
  <c r="W45" i="20"/>
  <c r="S45" i="20"/>
  <c r="O45" i="20"/>
  <c r="K45" i="20"/>
  <c r="G45" i="20"/>
  <c r="C45" i="20"/>
  <c r="X44" i="20"/>
  <c r="T44" i="20"/>
  <c r="P44" i="20"/>
  <c r="L44" i="20"/>
  <c r="H44" i="20"/>
  <c r="D44" i="20"/>
  <c r="Y43" i="20"/>
  <c r="U43" i="20"/>
  <c r="Q43" i="20"/>
  <c r="M43" i="20"/>
  <c r="I43" i="20"/>
  <c r="E43" i="20"/>
  <c r="A43" i="20"/>
  <c r="V42" i="20"/>
  <c r="R42" i="20"/>
  <c r="N42" i="20"/>
  <c r="J42" i="20"/>
  <c r="F42" i="20"/>
  <c r="B42" i="20"/>
  <c r="W41" i="20"/>
  <c r="S41" i="20"/>
  <c r="O41" i="20"/>
  <c r="K41" i="20"/>
  <c r="G41" i="20"/>
  <c r="C41" i="20"/>
  <c r="X40" i="20"/>
  <c r="T40" i="20"/>
  <c r="P40" i="20"/>
  <c r="L40" i="20"/>
  <c r="H40" i="20"/>
  <c r="D40" i="20"/>
  <c r="Y39" i="20"/>
  <c r="U39" i="20"/>
  <c r="Q39" i="20"/>
  <c r="V79" i="20"/>
  <c r="R79" i="20"/>
  <c r="N79" i="20"/>
  <c r="J79" i="20"/>
  <c r="F79" i="20"/>
  <c r="B79" i="20"/>
  <c r="W78" i="20"/>
  <c r="S78" i="20"/>
  <c r="O78" i="20"/>
  <c r="K78" i="20"/>
  <c r="G78" i="20"/>
  <c r="C78" i="20"/>
  <c r="X77" i="20"/>
  <c r="T77" i="20"/>
  <c r="P77" i="20"/>
  <c r="L77" i="20"/>
  <c r="H77" i="20"/>
  <c r="D77" i="20"/>
  <c r="Y76" i="20"/>
  <c r="U76" i="20"/>
  <c r="Q76" i="20"/>
  <c r="M76" i="20"/>
  <c r="I76" i="20"/>
  <c r="E76" i="20"/>
  <c r="A76" i="20"/>
  <c r="V75" i="20"/>
  <c r="R75" i="20"/>
  <c r="N75" i="20"/>
  <c r="J75" i="20"/>
  <c r="F75" i="20"/>
  <c r="B75" i="20"/>
  <c r="W74" i="20"/>
  <c r="S74" i="20"/>
  <c r="O74" i="20"/>
  <c r="K74" i="20"/>
  <c r="G74" i="20"/>
  <c r="C74" i="20"/>
  <c r="X73" i="20"/>
  <c r="T73" i="20"/>
  <c r="P73" i="20"/>
  <c r="L73" i="20"/>
  <c r="H73" i="20"/>
  <c r="D73" i="20"/>
  <c r="Y72" i="20"/>
  <c r="U72" i="20"/>
  <c r="Q72" i="20"/>
  <c r="M72" i="20"/>
  <c r="I72" i="20"/>
  <c r="E72" i="20"/>
  <c r="A72" i="20"/>
  <c r="V71" i="20"/>
  <c r="R71" i="20"/>
  <c r="N71" i="20"/>
  <c r="J71" i="20"/>
  <c r="F71" i="20"/>
  <c r="B71" i="20"/>
  <c r="W70" i="20"/>
  <c r="S70" i="20"/>
  <c r="O70" i="20"/>
  <c r="K70" i="20"/>
  <c r="G70" i="20"/>
  <c r="C70" i="20"/>
  <c r="X69" i="20"/>
  <c r="T69" i="20"/>
  <c r="P69" i="20"/>
  <c r="L69" i="20"/>
  <c r="H69" i="20"/>
  <c r="D69" i="20"/>
  <c r="Y68" i="20"/>
  <c r="U68" i="20"/>
  <c r="Q68" i="20"/>
  <c r="M68" i="20"/>
  <c r="I68" i="20"/>
  <c r="E68" i="20"/>
  <c r="A68" i="20"/>
  <c r="V67" i="20"/>
  <c r="R67" i="20"/>
  <c r="N67" i="20"/>
  <c r="J67" i="20"/>
  <c r="F67" i="20"/>
  <c r="B67" i="20"/>
  <c r="W66" i="20"/>
  <c r="S66" i="20"/>
  <c r="O66" i="20"/>
  <c r="K66" i="20"/>
  <c r="G66" i="20"/>
  <c r="C66" i="20"/>
  <c r="X65" i="20"/>
  <c r="T65" i="20"/>
  <c r="P65" i="20"/>
  <c r="L65" i="20"/>
  <c r="H65" i="20"/>
  <c r="D65" i="20"/>
  <c r="Y64" i="20"/>
  <c r="U64" i="20"/>
  <c r="Q64" i="20"/>
  <c r="M64" i="20"/>
  <c r="I64" i="20"/>
  <c r="E64" i="20"/>
  <c r="A64" i="20"/>
  <c r="V63" i="20"/>
  <c r="R63" i="20"/>
  <c r="N63" i="20"/>
  <c r="J63" i="20"/>
  <c r="F63" i="20"/>
  <c r="B63" i="20"/>
  <c r="W62" i="20"/>
  <c r="S62" i="20"/>
  <c r="O62" i="20"/>
  <c r="K62" i="20"/>
  <c r="G62" i="20"/>
  <c r="C62" i="20"/>
  <c r="X61" i="20"/>
  <c r="T61" i="20"/>
  <c r="P61" i="20"/>
  <c r="L61" i="20"/>
  <c r="H61" i="20"/>
  <c r="D61" i="20"/>
  <c r="Y60" i="20"/>
  <c r="U60" i="20"/>
  <c r="Q60" i="20"/>
  <c r="M60" i="20"/>
  <c r="I60" i="20"/>
  <c r="E60" i="20"/>
  <c r="A60" i="20"/>
  <c r="V59" i="20"/>
  <c r="R59" i="20"/>
  <c r="N59" i="20"/>
  <c r="J59" i="20"/>
  <c r="F59" i="20"/>
  <c r="B59" i="20"/>
  <c r="W58" i="20"/>
  <c r="S58" i="20"/>
  <c r="O58" i="20"/>
  <c r="K58" i="20"/>
  <c r="G58" i="20"/>
  <c r="C58" i="20"/>
  <c r="X57" i="20"/>
  <c r="T57" i="20"/>
  <c r="P57" i="20"/>
  <c r="L57" i="20"/>
  <c r="H57" i="20"/>
  <c r="D57" i="20"/>
  <c r="Y56" i="20"/>
  <c r="U56" i="20"/>
  <c r="Q56" i="20"/>
  <c r="M56" i="20"/>
  <c r="I56" i="20"/>
  <c r="E56" i="20"/>
  <c r="A56" i="20"/>
  <c r="V55" i="20"/>
  <c r="R55" i="20"/>
  <c r="N55" i="20"/>
  <c r="J55" i="20"/>
  <c r="F55" i="20"/>
  <c r="B55" i="20"/>
  <c r="W54" i="20"/>
  <c r="S54" i="20"/>
  <c r="O54" i="20"/>
  <c r="K54" i="20"/>
  <c r="G54" i="20"/>
  <c r="C54" i="20"/>
  <c r="X53" i="20"/>
  <c r="T53" i="20"/>
  <c r="P53" i="20"/>
  <c r="L53" i="20"/>
  <c r="H53" i="20"/>
  <c r="D53" i="20"/>
  <c r="Y52" i="20"/>
  <c r="U52" i="20"/>
  <c r="Q52" i="20"/>
  <c r="M52" i="20"/>
  <c r="I52" i="20"/>
  <c r="E52" i="20"/>
  <c r="A52" i="20"/>
  <c r="V51" i="20"/>
  <c r="R51" i="20"/>
  <c r="N51" i="20"/>
  <c r="J51" i="20"/>
  <c r="F51" i="20"/>
  <c r="B51" i="20"/>
  <c r="W50" i="20"/>
  <c r="S50" i="20"/>
  <c r="O50" i="20"/>
  <c r="K50" i="20"/>
  <c r="G50" i="20"/>
  <c r="C50" i="20"/>
  <c r="X49" i="20"/>
  <c r="T49" i="20"/>
  <c r="P49" i="20"/>
  <c r="L49" i="20"/>
  <c r="H49" i="20"/>
  <c r="D49" i="20"/>
  <c r="Y48" i="20"/>
  <c r="U48" i="20"/>
  <c r="Q48" i="20"/>
  <c r="M48" i="20"/>
  <c r="I48" i="20"/>
  <c r="E48" i="20"/>
  <c r="A48" i="20"/>
  <c r="V47" i="20"/>
  <c r="R47" i="20"/>
  <c r="N47" i="20"/>
  <c r="J47" i="20"/>
  <c r="F47" i="20"/>
  <c r="B47" i="20"/>
  <c r="W46" i="20"/>
  <c r="S46" i="20"/>
  <c r="O46" i="20"/>
  <c r="K46" i="20"/>
  <c r="G46" i="20"/>
  <c r="C46" i="20"/>
  <c r="X45" i="20"/>
  <c r="T45" i="20"/>
  <c r="P45" i="20"/>
  <c r="L45" i="20"/>
  <c r="H45" i="20"/>
  <c r="D45" i="20"/>
  <c r="Y44" i="20"/>
  <c r="U44" i="20"/>
  <c r="Q44" i="20"/>
  <c r="M44" i="20"/>
  <c r="I44" i="20"/>
  <c r="E44" i="20"/>
  <c r="A44" i="20"/>
  <c r="V43" i="20"/>
  <c r="R43" i="20"/>
  <c r="N43" i="20"/>
  <c r="J43" i="20"/>
  <c r="F43" i="20"/>
  <c r="B43" i="20"/>
  <c r="W42" i="20"/>
  <c r="S42" i="20"/>
  <c r="O42" i="20"/>
  <c r="K42" i="20"/>
  <c r="G42" i="20"/>
  <c r="C42" i="20"/>
  <c r="X41" i="20"/>
  <c r="T41" i="20"/>
  <c r="P41" i="20"/>
  <c r="L41" i="20"/>
  <c r="H41" i="20"/>
  <c r="D41" i="20"/>
  <c r="Y40" i="20"/>
  <c r="U40" i="20"/>
  <c r="Q40" i="20"/>
  <c r="M40" i="20"/>
  <c r="I40" i="20"/>
  <c r="E40" i="20"/>
  <c r="A40" i="20"/>
  <c r="V39" i="20"/>
  <c r="R39" i="20"/>
  <c r="N39" i="20"/>
  <c r="J39" i="20"/>
  <c r="F39" i="20"/>
  <c r="B39" i="20"/>
  <c r="Y66" i="20"/>
  <c r="I66" i="20"/>
  <c r="R65" i="20"/>
  <c r="B65" i="20"/>
  <c r="K64" i="20"/>
  <c r="T63" i="20"/>
  <c r="D63" i="20"/>
  <c r="M62" i="20"/>
  <c r="V61" i="20"/>
  <c r="F61" i="20"/>
  <c r="O60" i="20"/>
  <c r="X59" i="20"/>
  <c r="H59" i="20"/>
  <c r="Q58" i="20"/>
  <c r="A58" i="20"/>
  <c r="J57" i="20"/>
  <c r="S56" i="20"/>
  <c r="C56" i="20"/>
  <c r="L55" i="20"/>
  <c r="U54" i="20"/>
  <c r="E54" i="20"/>
  <c r="N53" i="20"/>
  <c r="W52" i="20"/>
  <c r="G52" i="20"/>
  <c r="P51" i="20"/>
  <c r="Y50" i="20"/>
  <c r="I50" i="20"/>
  <c r="R49" i="20"/>
  <c r="B49" i="20"/>
  <c r="K48" i="20"/>
  <c r="T47" i="20"/>
  <c r="D47" i="20"/>
  <c r="M46" i="20"/>
  <c r="E46" i="20"/>
  <c r="V45" i="20"/>
  <c r="N45" i="20"/>
  <c r="F45" i="20"/>
  <c r="W44" i="20"/>
  <c r="O44" i="20"/>
  <c r="G44" i="20"/>
  <c r="X43" i="20"/>
  <c r="P43" i="20"/>
  <c r="H43" i="20"/>
  <c r="Y42" i="20"/>
  <c r="Q42" i="20"/>
  <c r="I42" i="20"/>
  <c r="A42" i="20"/>
  <c r="R41" i="20"/>
  <c r="J41" i="20"/>
  <c r="B41" i="20"/>
  <c r="S40" i="20"/>
  <c r="K40" i="20"/>
  <c r="C40" i="20"/>
  <c r="T39" i="20"/>
  <c r="M39" i="20"/>
  <c r="H39" i="20"/>
  <c r="C39" i="20"/>
  <c r="W38" i="20"/>
  <c r="S38" i="20"/>
  <c r="O38" i="20"/>
  <c r="D67" i="20"/>
  <c r="M66" i="20"/>
  <c r="V65" i="20"/>
  <c r="F65" i="20"/>
  <c r="O64" i="20"/>
  <c r="X63" i="20"/>
  <c r="H63" i="20"/>
  <c r="Q62" i="20"/>
  <c r="A62" i="20"/>
  <c r="J61" i="20"/>
  <c r="S60" i="20"/>
  <c r="C60" i="20"/>
  <c r="L59" i="20"/>
  <c r="U58" i="20"/>
  <c r="E58" i="20"/>
  <c r="N57" i="20"/>
  <c r="W56" i="20"/>
  <c r="G56" i="20"/>
  <c r="P55" i="20"/>
  <c r="Y54" i="20"/>
  <c r="I54" i="20"/>
  <c r="R53" i="20"/>
  <c r="B53" i="20"/>
  <c r="K52" i="20"/>
  <c r="T51" i="20"/>
  <c r="D51" i="20"/>
  <c r="M50" i="20"/>
  <c r="V49" i="20"/>
  <c r="F49" i="20"/>
  <c r="O48" i="20"/>
  <c r="X47" i="20"/>
  <c r="H47" i="20"/>
  <c r="Q46" i="20"/>
  <c r="H46" i="20"/>
  <c r="Y45" i="20"/>
  <c r="Q45" i="20"/>
  <c r="I45" i="20"/>
  <c r="A45" i="20"/>
  <c r="R44" i="20"/>
  <c r="J44" i="20"/>
  <c r="B44" i="20"/>
  <c r="S43" i="20"/>
  <c r="K43" i="20"/>
  <c r="C43" i="20"/>
  <c r="T42" i="20"/>
  <c r="L42" i="20"/>
  <c r="D42" i="20"/>
  <c r="U41" i="20"/>
  <c r="M41" i="20"/>
  <c r="E41" i="20"/>
  <c r="V40" i="20"/>
  <c r="N40" i="20"/>
  <c r="F40" i="20"/>
  <c r="W39" i="20"/>
  <c r="O39" i="20"/>
  <c r="I39" i="20"/>
  <c r="D39" i="20"/>
  <c r="X38" i="20"/>
  <c r="T38" i="20"/>
  <c r="P38" i="20"/>
  <c r="L38" i="20"/>
  <c r="H38" i="20"/>
  <c r="D38" i="20"/>
  <c r="Y37" i="20"/>
  <c r="U37" i="20"/>
  <c r="Q37" i="20"/>
  <c r="M37" i="20"/>
  <c r="I37" i="20"/>
  <c r="E37" i="20"/>
  <c r="A37" i="20"/>
  <c r="V36" i="20"/>
  <c r="R36" i="20"/>
  <c r="N36" i="20"/>
  <c r="J36" i="20"/>
  <c r="F36" i="20"/>
  <c r="B36" i="20"/>
  <c r="W35" i="20"/>
  <c r="S35" i="20"/>
  <c r="O35" i="20"/>
  <c r="K35" i="20"/>
  <c r="G35" i="20"/>
  <c r="C35" i="20"/>
  <c r="X34" i="20"/>
  <c r="T34" i="20"/>
  <c r="P34" i="20"/>
  <c r="L34" i="20"/>
  <c r="H34" i="20"/>
  <c r="D34" i="20"/>
  <c r="Y33" i="20"/>
  <c r="U33" i="20"/>
  <c r="Q33" i="20"/>
  <c r="M33" i="20"/>
  <c r="I33" i="20"/>
  <c r="E33" i="20"/>
  <c r="A33" i="20"/>
  <c r="V32" i="20"/>
  <c r="R32" i="20"/>
  <c r="N32" i="20"/>
  <c r="J32" i="20"/>
  <c r="F32" i="20"/>
  <c r="B32" i="20"/>
  <c r="W31" i="20"/>
  <c r="S31" i="20"/>
  <c r="O31" i="20"/>
  <c r="K31" i="20"/>
  <c r="G31" i="20"/>
  <c r="C31" i="20"/>
  <c r="X30" i="20"/>
  <c r="T30" i="20"/>
  <c r="P30" i="20"/>
  <c r="L30" i="20"/>
  <c r="H30" i="20"/>
  <c r="D30" i="20"/>
  <c r="Y29" i="20"/>
  <c r="U29" i="20"/>
  <c r="Q29" i="20"/>
  <c r="M29" i="20"/>
  <c r="I29" i="20"/>
  <c r="E29" i="20"/>
  <c r="A29" i="20"/>
  <c r="V28" i="20"/>
  <c r="R28" i="20"/>
  <c r="N28" i="20"/>
  <c r="J28" i="20"/>
  <c r="F28" i="20"/>
  <c r="B28" i="20"/>
  <c r="W27" i="20"/>
  <c r="S27" i="20"/>
  <c r="O27" i="20"/>
  <c r="K27" i="20"/>
  <c r="G27" i="20"/>
  <c r="C27" i="20"/>
  <c r="X26" i="20"/>
  <c r="T26" i="20"/>
  <c r="P26" i="20"/>
  <c r="L26" i="20"/>
  <c r="H26" i="20"/>
  <c r="D26" i="20"/>
  <c r="Y25" i="20"/>
  <c r="U25" i="20"/>
  <c r="Q25" i="20"/>
  <c r="M25" i="20"/>
  <c r="I25" i="20"/>
  <c r="E25" i="20"/>
  <c r="A25" i="20"/>
  <c r="V24" i="20"/>
  <c r="R24" i="20"/>
  <c r="N24" i="20"/>
  <c r="J24" i="20"/>
  <c r="F24" i="20"/>
  <c r="B24" i="20"/>
  <c r="W23" i="20"/>
  <c r="S23" i="20"/>
  <c r="O23" i="20"/>
  <c r="K23" i="20"/>
  <c r="G23" i="20"/>
  <c r="C23" i="20"/>
  <c r="X22" i="20"/>
  <c r="T22" i="20"/>
  <c r="P22" i="20"/>
  <c r="L22" i="20"/>
  <c r="H22" i="20"/>
  <c r="D22" i="20"/>
  <c r="Y21" i="20"/>
  <c r="U21" i="20"/>
  <c r="Q21" i="20"/>
  <c r="M21" i="20"/>
  <c r="I21" i="20"/>
  <c r="E21" i="20"/>
  <c r="A21" i="20"/>
  <c r="V20" i="20"/>
  <c r="R20" i="20"/>
  <c r="N20" i="20"/>
  <c r="J20" i="20"/>
  <c r="F20" i="20"/>
  <c r="B20" i="20"/>
  <c r="W19" i="20"/>
  <c r="S19" i="20"/>
  <c r="O19" i="20"/>
  <c r="K19" i="20"/>
  <c r="G19" i="20"/>
  <c r="C19" i="20"/>
  <c r="X18" i="20"/>
  <c r="T18" i="20"/>
  <c r="P18" i="20"/>
  <c r="L18" i="20"/>
  <c r="H18" i="20"/>
  <c r="D18" i="20"/>
  <c r="Y17" i="20"/>
  <c r="U17" i="20"/>
  <c r="Q17" i="20"/>
  <c r="M17" i="20"/>
  <c r="I17" i="20"/>
  <c r="E17" i="20"/>
  <c r="A17" i="20"/>
  <c r="V16" i="20"/>
  <c r="R16" i="20"/>
  <c r="N16" i="20"/>
  <c r="J16" i="20"/>
  <c r="F16" i="20"/>
  <c r="B16" i="20"/>
  <c r="W15" i="20"/>
  <c r="S15" i="20"/>
  <c r="O15" i="20"/>
  <c r="K15" i="20"/>
  <c r="G15" i="20"/>
  <c r="C15" i="20"/>
  <c r="X14" i="20"/>
  <c r="T14" i="20"/>
  <c r="P14" i="20"/>
  <c r="L14" i="20"/>
  <c r="H14" i="20"/>
  <c r="D14" i="20"/>
  <c r="Y13" i="20"/>
  <c r="U13" i="20"/>
  <c r="Q13" i="20"/>
  <c r="M13" i="20"/>
  <c r="I13" i="20"/>
  <c r="E13" i="20"/>
  <c r="A13" i="20"/>
  <c r="V12" i="20"/>
  <c r="R12" i="20"/>
  <c r="N12" i="20"/>
  <c r="J12" i="20"/>
  <c r="F12" i="20"/>
  <c r="B12" i="20"/>
  <c r="W11" i="20"/>
  <c r="S11" i="20"/>
  <c r="O11" i="20"/>
  <c r="K11" i="20"/>
  <c r="G11" i="20"/>
  <c r="C11" i="20"/>
  <c r="X10" i="20"/>
  <c r="T10" i="20"/>
  <c r="P10" i="20"/>
  <c r="L10" i="20"/>
  <c r="H10" i="20"/>
  <c r="D10" i="20"/>
  <c r="Y9" i="20"/>
  <c r="U9" i="20"/>
  <c r="Q9" i="20"/>
  <c r="M9" i="20"/>
  <c r="I9" i="20"/>
  <c r="E9" i="20"/>
  <c r="A9" i="20"/>
  <c r="V8" i="20"/>
  <c r="R8" i="20"/>
  <c r="N8" i="20"/>
  <c r="J8" i="20"/>
  <c r="F8" i="20"/>
  <c r="B8" i="20"/>
  <c r="W7" i="20"/>
  <c r="S7" i="20"/>
  <c r="O7" i="20"/>
  <c r="K7" i="20"/>
  <c r="G7" i="20"/>
  <c r="H67" i="20"/>
  <c r="Q66" i="20"/>
  <c r="A66" i="20"/>
  <c r="J65" i="20"/>
  <c r="S64" i="20"/>
  <c r="C64" i="20"/>
  <c r="L63" i="20"/>
  <c r="U62" i="20"/>
  <c r="E62" i="20"/>
  <c r="N61" i="20"/>
  <c r="W60" i="20"/>
  <c r="G60" i="20"/>
  <c r="P59" i="20"/>
  <c r="Y58" i="20"/>
  <c r="I58" i="20"/>
  <c r="R57" i="20"/>
  <c r="B57" i="20"/>
  <c r="K56" i="20"/>
  <c r="T55" i="20"/>
  <c r="D55" i="20"/>
  <c r="M54" i="20"/>
  <c r="V53" i="20"/>
  <c r="F53" i="20"/>
  <c r="O52" i="20"/>
  <c r="X51" i="20"/>
  <c r="H51" i="20"/>
  <c r="Q50" i="20"/>
  <c r="A50" i="20"/>
  <c r="J49" i="20"/>
  <c r="S48" i="20"/>
  <c r="C48" i="20"/>
  <c r="L47" i="20"/>
  <c r="U46" i="20"/>
  <c r="I46" i="20"/>
  <c r="A46" i="20"/>
  <c r="R45" i="20"/>
  <c r="J45" i="20"/>
  <c r="B45" i="20"/>
  <c r="S44" i="20"/>
  <c r="K44" i="20"/>
  <c r="C44" i="20"/>
  <c r="T43" i="20"/>
  <c r="L43" i="20"/>
  <c r="D43" i="20"/>
  <c r="U42" i="20"/>
  <c r="M42" i="20"/>
  <c r="E42" i="20"/>
  <c r="V41" i="20"/>
  <c r="N41" i="20"/>
  <c r="F41" i="20"/>
  <c r="W40" i="20"/>
  <c r="O40" i="20"/>
  <c r="G40" i="20"/>
  <c r="X39" i="20"/>
  <c r="P39" i="20"/>
  <c r="K39" i="20"/>
  <c r="E39" i="20"/>
  <c r="Y38" i="20"/>
  <c r="U38" i="20"/>
  <c r="Q38" i="20"/>
  <c r="M38" i="20"/>
  <c r="I38" i="20"/>
  <c r="E38" i="20"/>
  <c r="A38" i="20"/>
  <c r="V37" i="20"/>
  <c r="R37" i="20"/>
  <c r="N37" i="20"/>
  <c r="J37" i="20"/>
  <c r="F37" i="20"/>
  <c r="B37" i="20"/>
  <c r="W36" i="20"/>
  <c r="S36" i="20"/>
  <c r="O36" i="20"/>
  <c r="K36" i="20"/>
  <c r="G36" i="20"/>
  <c r="C36" i="20"/>
  <c r="X35" i="20"/>
  <c r="T35" i="20"/>
  <c r="P35" i="20"/>
  <c r="L35" i="20"/>
  <c r="H35" i="20"/>
  <c r="D35" i="20"/>
  <c r="Y34" i="20"/>
  <c r="U34" i="20"/>
  <c r="Q34" i="20"/>
  <c r="M34" i="20"/>
  <c r="I34" i="20"/>
  <c r="E34" i="20"/>
  <c r="A34" i="20"/>
  <c r="V33" i="20"/>
  <c r="R33" i="20"/>
  <c r="N33" i="20"/>
  <c r="J33" i="20"/>
  <c r="F33" i="20"/>
  <c r="B33" i="20"/>
  <c r="W32" i="20"/>
  <c r="S32" i="20"/>
  <c r="O32" i="20"/>
  <c r="K32" i="20"/>
  <c r="G32" i="20"/>
  <c r="C32" i="20"/>
  <c r="X31" i="20"/>
  <c r="T31" i="20"/>
  <c r="P31" i="20"/>
  <c r="L31" i="20"/>
  <c r="H31" i="20"/>
  <c r="D31" i="20"/>
  <c r="Y30" i="20"/>
  <c r="U30" i="20"/>
  <c r="Q30" i="20"/>
  <c r="M30" i="20"/>
  <c r="I30" i="20"/>
  <c r="E30" i="20"/>
  <c r="A30" i="20"/>
  <c r="V29" i="20"/>
  <c r="R29" i="20"/>
  <c r="N29" i="20"/>
  <c r="J29" i="20"/>
  <c r="F29" i="20"/>
  <c r="B29" i="20"/>
  <c r="W28" i="20"/>
  <c r="S28" i="20"/>
  <c r="O28" i="20"/>
  <c r="K28" i="20"/>
  <c r="G28" i="20"/>
  <c r="C28" i="20"/>
  <c r="X27" i="20"/>
  <c r="T27" i="20"/>
  <c r="P27" i="20"/>
  <c r="L27" i="20"/>
  <c r="H27" i="20"/>
  <c r="D27" i="20"/>
  <c r="Y26" i="20"/>
  <c r="U26" i="20"/>
  <c r="Q26" i="20"/>
  <c r="M26" i="20"/>
  <c r="I26" i="20"/>
  <c r="E26" i="20"/>
  <c r="A26" i="20"/>
  <c r="V25" i="20"/>
  <c r="R25" i="20"/>
  <c r="N25" i="20"/>
  <c r="J25" i="20"/>
  <c r="F25" i="20"/>
  <c r="B25" i="20"/>
  <c r="W24" i="20"/>
  <c r="S24" i="20"/>
  <c r="O24" i="20"/>
  <c r="K24" i="20"/>
  <c r="G24" i="20"/>
  <c r="C24" i="20"/>
  <c r="X23" i="20"/>
  <c r="T23" i="20"/>
  <c r="P23" i="20"/>
  <c r="L23" i="20"/>
  <c r="H23" i="20"/>
  <c r="D23" i="20"/>
  <c r="Y22" i="20"/>
  <c r="U22" i="20"/>
  <c r="Q22" i="20"/>
  <c r="M22" i="20"/>
  <c r="I22" i="20"/>
  <c r="E22" i="20"/>
  <c r="A22" i="20"/>
  <c r="V21" i="20"/>
  <c r="R21" i="20"/>
  <c r="N21" i="20"/>
  <c r="J21" i="20"/>
  <c r="F21" i="20"/>
  <c r="B21" i="20"/>
  <c r="W20" i="20"/>
  <c r="S20" i="20"/>
  <c r="O20" i="20"/>
  <c r="K20" i="20"/>
  <c r="G20" i="20"/>
  <c r="C20" i="20"/>
  <c r="X19" i="20"/>
  <c r="T19" i="20"/>
  <c r="P19" i="20"/>
  <c r="L19" i="20"/>
  <c r="H19" i="20"/>
  <c r="D19" i="20"/>
  <c r="Y18" i="20"/>
  <c r="U18" i="20"/>
  <c r="Q18" i="20"/>
  <c r="M18" i="20"/>
  <c r="I18" i="20"/>
  <c r="E18" i="20"/>
  <c r="A18" i="20"/>
  <c r="V17" i="20"/>
  <c r="R17" i="20"/>
  <c r="N17" i="20"/>
  <c r="J17" i="20"/>
  <c r="F17" i="20"/>
  <c r="B17" i="20"/>
  <c r="W16" i="20"/>
  <c r="S16" i="20"/>
  <c r="O16" i="20"/>
  <c r="K16" i="20"/>
  <c r="G16" i="20"/>
  <c r="C16" i="20"/>
  <c r="X15" i="20"/>
  <c r="T15" i="20"/>
  <c r="P15" i="20"/>
  <c r="L15" i="20"/>
  <c r="H15" i="20"/>
  <c r="D15" i="20"/>
  <c r="Y14" i="20"/>
  <c r="U14" i="20"/>
  <c r="Q14" i="20"/>
  <c r="M14" i="20"/>
  <c r="I14" i="20"/>
  <c r="E14" i="20"/>
  <c r="A14" i="20"/>
  <c r="V13" i="20"/>
  <c r="R13" i="20"/>
  <c r="N13" i="20"/>
  <c r="J13" i="20"/>
  <c r="F13" i="20"/>
  <c r="B13" i="20"/>
  <c r="W12" i="20"/>
  <c r="S12" i="20"/>
  <c r="O12" i="20"/>
  <c r="K12" i="20"/>
  <c r="G12" i="20"/>
  <c r="C12" i="20"/>
  <c r="X11" i="20"/>
  <c r="N65" i="20"/>
  <c r="Y62" i="20"/>
  <c r="K60" i="20"/>
  <c r="V57" i="20"/>
  <c r="H55" i="20"/>
  <c r="S52" i="20"/>
  <c r="E50" i="20"/>
  <c r="P47" i="20"/>
  <c r="U45" i="20"/>
  <c r="N44" i="20"/>
  <c r="G43" i="20"/>
  <c r="Y41" i="20"/>
  <c r="R40" i="20"/>
  <c r="L39" i="20"/>
  <c r="R38" i="20"/>
  <c r="G38" i="20"/>
  <c r="X37" i="20"/>
  <c r="P37" i="20"/>
  <c r="H37" i="20"/>
  <c r="Y36" i="20"/>
  <c r="Q36" i="20"/>
  <c r="I36" i="20"/>
  <c r="A36" i="20"/>
  <c r="R35" i="20"/>
  <c r="J35" i="20"/>
  <c r="B35" i="20"/>
  <c r="S34" i="20"/>
  <c r="K34" i="20"/>
  <c r="C34" i="20"/>
  <c r="T33" i="20"/>
  <c r="L33" i="20"/>
  <c r="D33" i="20"/>
  <c r="U32" i="20"/>
  <c r="M32" i="20"/>
  <c r="E32" i="20"/>
  <c r="V31" i="20"/>
  <c r="N31" i="20"/>
  <c r="F31" i="20"/>
  <c r="W30" i="20"/>
  <c r="O30" i="20"/>
  <c r="G30" i="20"/>
  <c r="X29" i="20"/>
  <c r="P29" i="20"/>
  <c r="H29" i="20"/>
  <c r="Y28" i="20"/>
  <c r="Q28" i="20"/>
  <c r="I28" i="20"/>
  <c r="A28" i="20"/>
  <c r="R27" i="20"/>
  <c r="J27" i="20"/>
  <c r="B27" i="20"/>
  <c r="S26" i="20"/>
  <c r="K26" i="20"/>
  <c r="C26" i="20"/>
  <c r="T25" i="20"/>
  <c r="L25" i="20"/>
  <c r="D25" i="20"/>
  <c r="U24" i="20"/>
  <c r="M24" i="20"/>
  <c r="E24" i="20"/>
  <c r="V23" i="20"/>
  <c r="N23" i="20"/>
  <c r="F23" i="20"/>
  <c r="W22" i="20"/>
  <c r="O22" i="20"/>
  <c r="G22" i="20"/>
  <c r="X21" i="20"/>
  <c r="P21" i="20"/>
  <c r="H21" i="20"/>
  <c r="Y20" i="20"/>
  <c r="Q20" i="20"/>
  <c r="I20" i="20"/>
  <c r="A20" i="20"/>
  <c r="R19" i="20"/>
  <c r="J19" i="20"/>
  <c r="B19" i="20"/>
  <c r="S18" i="20"/>
  <c r="K18" i="20"/>
  <c r="C18" i="20"/>
  <c r="T17" i="20"/>
  <c r="L17" i="20"/>
  <c r="D17" i="20"/>
  <c r="U16" i="20"/>
  <c r="M16" i="20"/>
  <c r="E16" i="20"/>
  <c r="V15" i="20"/>
  <c r="N15" i="20"/>
  <c r="F15" i="20"/>
  <c r="W14" i="20"/>
  <c r="O14" i="20"/>
  <c r="G14" i="20"/>
  <c r="X13" i="20"/>
  <c r="P13" i="20"/>
  <c r="H13" i="20"/>
  <c r="Y12" i="20"/>
  <c r="Q12" i="20"/>
  <c r="I12" i="20"/>
  <c r="A12" i="20"/>
  <c r="T11" i="20"/>
  <c r="N11" i="20"/>
  <c r="I11" i="20"/>
  <c r="D11" i="20"/>
  <c r="W10" i="20"/>
  <c r="R10" i="20"/>
  <c r="M10" i="20"/>
  <c r="G10" i="20"/>
  <c r="B10" i="20"/>
  <c r="V9" i="20"/>
  <c r="P9" i="20"/>
  <c r="K9" i="20"/>
  <c r="F9" i="20"/>
  <c r="Y8" i="20"/>
  <c r="T8" i="20"/>
  <c r="O8" i="20"/>
  <c r="I8" i="20"/>
  <c r="D8" i="20"/>
  <c r="X7" i="20"/>
  <c r="R7" i="20"/>
  <c r="M7" i="20"/>
  <c r="H7" i="20"/>
  <c r="C7" i="20"/>
  <c r="X6" i="20"/>
  <c r="T6" i="20"/>
  <c r="P6" i="20"/>
  <c r="L6" i="20"/>
  <c r="H6" i="20"/>
  <c r="D6" i="20"/>
  <c r="Y5" i="20"/>
  <c r="U5" i="20"/>
  <c r="Q5" i="20"/>
  <c r="M5" i="20"/>
  <c r="I5" i="20"/>
  <c r="E5" i="20"/>
  <c r="A5" i="20"/>
  <c r="V4" i="20"/>
  <c r="R4" i="20"/>
  <c r="N4" i="20"/>
  <c r="J4" i="20"/>
  <c r="F4" i="20"/>
  <c r="B4" i="20"/>
  <c r="W3" i="20"/>
  <c r="S3" i="20"/>
  <c r="O3" i="20"/>
  <c r="K3" i="20"/>
  <c r="G3" i="20"/>
  <c r="C3" i="20"/>
  <c r="X2" i="20"/>
  <c r="T2" i="20"/>
  <c r="P2" i="20"/>
  <c r="L2" i="20"/>
  <c r="H2" i="20"/>
  <c r="D2" i="20"/>
  <c r="Y1" i="20"/>
  <c r="U1" i="20"/>
  <c r="Q1" i="20"/>
  <c r="M1" i="20"/>
  <c r="I1" i="20"/>
  <c r="E1" i="20"/>
  <c r="A1" i="20"/>
  <c r="H35" i="14"/>
  <c r="H27" i="14"/>
  <c r="E66" i="20"/>
  <c r="P63" i="20"/>
  <c r="B61" i="20"/>
  <c r="M58" i="20"/>
  <c r="X55" i="20"/>
  <c r="J53" i="20"/>
  <c r="U50" i="20"/>
  <c r="G48" i="20"/>
  <c r="D46" i="20"/>
  <c r="V44" i="20"/>
  <c r="O43" i="20"/>
  <c r="H42" i="20"/>
  <c r="A41" i="20"/>
  <c r="S39" i="20"/>
  <c r="V38" i="20"/>
  <c r="J38" i="20"/>
  <c r="B38" i="20"/>
  <c r="S37" i="20"/>
  <c r="K37" i="20"/>
  <c r="C37" i="20"/>
  <c r="T36" i="20"/>
  <c r="L36" i="20"/>
  <c r="D36" i="20"/>
  <c r="U35" i="20"/>
  <c r="M35" i="20"/>
  <c r="E35" i="20"/>
  <c r="V34" i="20"/>
  <c r="N34" i="20"/>
  <c r="F34" i="20"/>
  <c r="W33" i="20"/>
  <c r="O33" i="20"/>
  <c r="G33" i="20"/>
  <c r="X32" i="20"/>
  <c r="P32" i="20"/>
  <c r="H32" i="20"/>
  <c r="Y31" i="20"/>
  <c r="Q31" i="20"/>
  <c r="I31" i="20"/>
  <c r="A31" i="20"/>
  <c r="R30" i="20"/>
  <c r="J30" i="20"/>
  <c r="B30" i="20"/>
  <c r="S29" i="20"/>
  <c r="K29" i="20"/>
  <c r="C29" i="20"/>
  <c r="T28" i="20"/>
  <c r="L28" i="20"/>
  <c r="D28" i="20"/>
  <c r="U27" i="20"/>
  <c r="M27" i="20"/>
  <c r="E27" i="20"/>
  <c r="V26" i="20"/>
  <c r="N26" i="20"/>
  <c r="F26" i="20"/>
  <c r="W25" i="20"/>
  <c r="O25" i="20"/>
  <c r="G25" i="20"/>
  <c r="X24" i="20"/>
  <c r="P24" i="20"/>
  <c r="H24" i="20"/>
  <c r="Y23" i="20"/>
  <c r="Q23" i="20"/>
  <c r="I23" i="20"/>
  <c r="A23" i="20"/>
  <c r="R22" i="20"/>
  <c r="J22" i="20"/>
  <c r="B22" i="20"/>
  <c r="S21" i="20"/>
  <c r="K21" i="20"/>
  <c r="C21" i="20"/>
  <c r="T20" i="20"/>
  <c r="L20" i="20"/>
  <c r="D20" i="20"/>
  <c r="U19" i="20"/>
  <c r="M19" i="20"/>
  <c r="E19" i="20"/>
  <c r="V18" i="20"/>
  <c r="N18" i="20"/>
  <c r="F18" i="20"/>
  <c r="W17" i="20"/>
  <c r="O17" i="20"/>
  <c r="G17" i="20"/>
  <c r="X16" i="20"/>
  <c r="P16" i="20"/>
  <c r="H16" i="20"/>
  <c r="Y15" i="20"/>
  <c r="Q15" i="20"/>
  <c r="I15" i="20"/>
  <c r="A15" i="20"/>
  <c r="R14" i="20"/>
  <c r="J14" i="20"/>
  <c r="B14" i="20"/>
  <c r="S13" i="20"/>
  <c r="K13" i="20"/>
  <c r="C13" i="20"/>
  <c r="T12" i="20"/>
  <c r="L12" i="20"/>
  <c r="D12" i="20"/>
  <c r="U11" i="20"/>
  <c r="P11" i="20"/>
  <c r="J11" i="20"/>
  <c r="E11" i="20"/>
  <c r="Y10" i="20"/>
  <c r="S10" i="20"/>
  <c r="N10" i="20"/>
  <c r="I10" i="20"/>
  <c r="C10" i="20"/>
  <c r="W9" i="20"/>
  <c r="R9" i="20"/>
  <c r="L9" i="20"/>
  <c r="G9" i="20"/>
  <c r="B9" i="20"/>
  <c r="U8" i="20"/>
  <c r="P8" i="20"/>
  <c r="K8" i="20"/>
  <c r="E8" i="20"/>
  <c r="Y7" i="20"/>
  <c r="T7" i="20"/>
  <c r="N7" i="20"/>
  <c r="I7" i="20"/>
  <c r="D7" i="20"/>
  <c r="Y6" i="20"/>
  <c r="U6" i="20"/>
  <c r="Q6" i="20"/>
  <c r="M6" i="20"/>
  <c r="I6" i="20"/>
  <c r="E6" i="20"/>
  <c r="A6" i="20"/>
  <c r="V5" i="20"/>
  <c r="R5" i="20"/>
  <c r="N5" i="20"/>
  <c r="J5" i="20"/>
  <c r="F5" i="20"/>
  <c r="B5" i="20"/>
  <c r="W4" i="20"/>
  <c r="S4" i="20"/>
  <c r="O4" i="20"/>
  <c r="K4" i="20"/>
  <c r="G4" i="20"/>
  <c r="C4" i="20"/>
  <c r="X3" i="20"/>
  <c r="T3" i="20"/>
  <c r="P3" i="20"/>
  <c r="L3" i="20"/>
  <c r="H3" i="20"/>
  <c r="D3" i="20"/>
  <c r="Y2" i="20"/>
  <c r="U2" i="20"/>
  <c r="Q2" i="20"/>
  <c r="M2" i="20"/>
  <c r="I2" i="20"/>
  <c r="E2" i="20"/>
  <c r="A2" i="20"/>
  <c r="V1" i="20"/>
  <c r="R1" i="20"/>
  <c r="N1" i="20"/>
  <c r="J1" i="20"/>
  <c r="F1" i="20"/>
  <c r="B1" i="20"/>
  <c r="A87" i="17"/>
  <c r="H38" i="14"/>
  <c r="H34" i="14"/>
  <c r="H31" i="14"/>
  <c r="H28" i="14"/>
  <c r="U66" i="20"/>
  <c r="G64" i="20"/>
  <c r="R61" i="20"/>
  <c r="D59" i="20"/>
  <c r="O56" i="20"/>
  <c r="A54" i="20"/>
  <c r="L51" i="20"/>
  <c r="W48" i="20"/>
  <c r="L46" i="20"/>
  <c r="E45" i="20"/>
  <c r="W43" i="20"/>
  <c r="P42" i="20"/>
  <c r="I41" i="20"/>
  <c r="B40" i="20"/>
  <c r="A39" i="20"/>
  <c r="K38" i="20"/>
  <c r="C38" i="20"/>
  <c r="T37" i="20"/>
  <c r="L37" i="20"/>
  <c r="D37" i="20"/>
  <c r="U36" i="20"/>
  <c r="M36" i="20"/>
  <c r="E36" i="20"/>
  <c r="V35" i="20"/>
  <c r="N35" i="20"/>
  <c r="F35" i="20"/>
  <c r="W34" i="20"/>
  <c r="O34" i="20"/>
  <c r="G34" i="20"/>
  <c r="X33" i="20"/>
  <c r="P33" i="20"/>
  <c r="H33" i="20"/>
  <c r="Y32" i="20"/>
  <c r="Q32" i="20"/>
  <c r="I32" i="20"/>
  <c r="A32" i="20"/>
  <c r="R31" i="20"/>
  <c r="J31" i="20"/>
  <c r="B31" i="20"/>
  <c r="S30" i="20"/>
  <c r="K30" i="20"/>
  <c r="C30" i="20"/>
  <c r="T29" i="20"/>
  <c r="L29" i="20"/>
  <c r="D29" i="20"/>
  <c r="U28" i="20"/>
  <c r="M28" i="20"/>
  <c r="E28" i="20"/>
  <c r="V27" i="20"/>
  <c r="N27" i="20"/>
  <c r="F27" i="20"/>
  <c r="W26" i="20"/>
  <c r="O26" i="20"/>
  <c r="G26" i="20"/>
  <c r="X25" i="20"/>
  <c r="P25" i="20"/>
  <c r="H25" i="20"/>
  <c r="Y24" i="20"/>
  <c r="Q24" i="20"/>
  <c r="I24" i="20"/>
  <c r="A24" i="20"/>
  <c r="R23" i="20"/>
  <c r="J23" i="20"/>
  <c r="B23" i="20"/>
  <c r="S22" i="20"/>
  <c r="K22" i="20"/>
  <c r="C22" i="20"/>
  <c r="T21" i="20"/>
  <c r="L21" i="20"/>
  <c r="D21" i="20"/>
  <c r="U20" i="20"/>
  <c r="M20" i="20"/>
  <c r="E20" i="20"/>
  <c r="V19" i="20"/>
  <c r="N19" i="20"/>
  <c r="F19" i="20"/>
  <c r="W18" i="20"/>
  <c r="O18" i="20"/>
  <c r="G18" i="20"/>
  <c r="X17" i="20"/>
  <c r="P17" i="20"/>
  <c r="H17" i="20"/>
  <c r="Y16" i="20"/>
  <c r="Q16" i="20"/>
  <c r="I16" i="20"/>
  <c r="A16" i="20"/>
  <c r="R15" i="20"/>
  <c r="J15" i="20"/>
  <c r="B15" i="20"/>
  <c r="S14" i="20"/>
  <c r="K14" i="20"/>
  <c r="C14" i="20"/>
  <c r="T13" i="20"/>
  <c r="L13" i="20"/>
  <c r="D13" i="20"/>
  <c r="U12" i="20"/>
  <c r="M12" i="20"/>
  <c r="E12" i="20"/>
  <c r="V11" i="20"/>
  <c r="Q11" i="20"/>
  <c r="L11" i="20"/>
  <c r="F11" i="20"/>
  <c r="A11" i="20"/>
  <c r="U10" i="20"/>
  <c r="O10" i="20"/>
  <c r="J10" i="20"/>
  <c r="E10" i="20"/>
  <c r="X9" i="20"/>
  <c r="S9" i="20"/>
  <c r="N9" i="20"/>
  <c r="H9" i="20"/>
  <c r="C9" i="20"/>
  <c r="W8" i="20"/>
  <c r="Q8" i="20"/>
  <c r="L8" i="20"/>
  <c r="G8" i="20"/>
  <c r="A8" i="20"/>
  <c r="U7" i="20"/>
  <c r="P7" i="20"/>
  <c r="J7" i="20"/>
  <c r="E7" i="20"/>
  <c r="A7" i="20"/>
  <c r="V6" i="20"/>
  <c r="R6" i="20"/>
  <c r="N6" i="20"/>
  <c r="J6" i="20"/>
  <c r="F6" i="20"/>
  <c r="B6" i="20"/>
  <c r="W5" i="20"/>
  <c r="S5" i="20"/>
  <c r="O5" i="20"/>
  <c r="K5" i="20"/>
  <c r="G5" i="20"/>
  <c r="C5" i="20"/>
  <c r="X4" i="20"/>
  <c r="T4" i="20"/>
  <c r="P4" i="20"/>
  <c r="L4" i="20"/>
  <c r="H4" i="20"/>
  <c r="D4" i="20"/>
  <c r="Y3" i="20"/>
  <c r="U3" i="20"/>
  <c r="Q3" i="20"/>
  <c r="M3" i="20"/>
  <c r="I3" i="20"/>
  <c r="E3" i="20"/>
  <c r="A3" i="20"/>
  <c r="V2" i="20"/>
  <c r="R2" i="20"/>
  <c r="N2" i="20"/>
  <c r="J2" i="20"/>
  <c r="F2" i="20"/>
  <c r="B2" i="20"/>
  <c r="W1" i="20"/>
  <c r="S1" i="20"/>
  <c r="O1" i="20"/>
  <c r="K1" i="20"/>
  <c r="G1" i="20"/>
  <c r="C1" i="20"/>
  <c r="L67" i="20"/>
  <c r="W64" i="20"/>
  <c r="I62" i="20"/>
  <c r="T59" i="20"/>
  <c r="F57" i="20"/>
  <c r="Q54" i="20"/>
  <c r="C52" i="20"/>
  <c r="N49" i="20"/>
  <c r="Y46" i="20"/>
  <c r="M45" i="20"/>
  <c r="F44" i="20"/>
  <c r="X42" i="20"/>
  <c r="Q41" i="20"/>
  <c r="J40" i="20"/>
  <c r="G39" i="20"/>
  <c r="N38" i="20"/>
  <c r="F38" i="20"/>
  <c r="W37" i="20"/>
  <c r="O37" i="20"/>
  <c r="G37" i="20"/>
  <c r="X36" i="20"/>
  <c r="P36" i="20"/>
  <c r="H36" i="20"/>
  <c r="Y35" i="20"/>
  <c r="Q35" i="20"/>
  <c r="I35" i="20"/>
  <c r="A35" i="20"/>
  <c r="R34" i="20"/>
  <c r="J34" i="20"/>
  <c r="B34" i="20"/>
  <c r="S33" i="20"/>
  <c r="K33" i="20"/>
  <c r="C33" i="20"/>
  <c r="T32" i="20"/>
  <c r="L32" i="20"/>
  <c r="D32" i="20"/>
  <c r="U31" i="20"/>
  <c r="M31" i="20"/>
  <c r="E31" i="20"/>
  <c r="V30" i="20"/>
  <c r="N30" i="20"/>
  <c r="F30" i="20"/>
  <c r="W29" i="20"/>
  <c r="O29" i="20"/>
  <c r="G29" i="20"/>
  <c r="X28" i="20"/>
  <c r="P28" i="20"/>
  <c r="H28" i="20"/>
  <c r="Y27" i="20"/>
  <c r="Q27" i="20"/>
  <c r="I27" i="20"/>
  <c r="A27" i="20"/>
  <c r="R26" i="20"/>
  <c r="J26" i="20"/>
  <c r="B26" i="20"/>
  <c r="S25" i="20"/>
  <c r="K25" i="20"/>
  <c r="C25" i="20"/>
  <c r="T24" i="20"/>
  <c r="L24" i="20"/>
  <c r="D24" i="20"/>
  <c r="U23" i="20"/>
  <c r="M23" i="20"/>
  <c r="E23" i="20"/>
  <c r="V22" i="20"/>
  <c r="N22" i="20"/>
  <c r="F22" i="20"/>
  <c r="W21" i="20"/>
  <c r="O21" i="20"/>
  <c r="G21" i="20"/>
  <c r="X20" i="20"/>
  <c r="P20" i="20"/>
  <c r="H20" i="20"/>
  <c r="Y19" i="20"/>
  <c r="Q19" i="20"/>
  <c r="I19" i="20"/>
  <c r="A19" i="20"/>
  <c r="R18" i="20"/>
  <c r="J18" i="20"/>
  <c r="B18" i="20"/>
  <c r="S17" i="20"/>
  <c r="K17" i="20"/>
  <c r="C17" i="20"/>
  <c r="T16" i="20"/>
  <c r="L16" i="20"/>
  <c r="D16" i="20"/>
  <c r="U15" i="20"/>
  <c r="M15" i="20"/>
  <c r="E15" i="20"/>
  <c r="V14" i="20"/>
  <c r="N14" i="20"/>
  <c r="F14" i="20"/>
  <c r="W13" i="20"/>
  <c r="O13" i="20"/>
  <c r="G13" i="20"/>
  <c r="X12" i="20"/>
  <c r="P12" i="20"/>
  <c r="H12" i="20"/>
  <c r="Y11" i="20"/>
  <c r="R11" i="20"/>
  <c r="M11" i="20"/>
  <c r="H11" i="20"/>
  <c r="B11" i="20"/>
  <c r="V10" i="20"/>
  <c r="Q10" i="20"/>
  <c r="K10" i="20"/>
  <c r="F10" i="20"/>
  <c r="A10" i="20"/>
  <c r="T9" i="20"/>
  <c r="O9" i="20"/>
  <c r="J9" i="20"/>
  <c r="D9" i="20"/>
  <c r="X8" i="20"/>
  <c r="S8" i="20"/>
  <c r="M8" i="20"/>
  <c r="H8" i="20"/>
  <c r="C8" i="20"/>
  <c r="V7" i="20"/>
  <c r="Q7" i="20"/>
  <c r="L7" i="20"/>
  <c r="F7" i="20"/>
  <c r="B7" i="20"/>
  <c r="W6" i="20"/>
  <c r="S6" i="20"/>
  <c r="O6" i="20"/>
  <c r="K6" i="20"/>
  <c r="G6" i="20"/>
  <c r="C6" i="20"/>
  <c r="X5" i="20"/>
  <c r="T5" i="20"/>
  <c r="P5" i="20"/>
  <c r="L5" i="20"/>
  <c r="H5" i="20"/>
  <c r="D5" i="20"/>
  <c r="Y4" i="20"/>
  <c r="U4" i="20"/>
  <c r="Q4" i="20"/>
  <c r="M4" i="20"/>
  <c r="I4" i="20"/>
  <c r="E4" i="20"/>
  <c r="A4" i="20"/>
  <c r="V3" i="20"/>
  <c r="R3" i="20"/>
  <c r="N3" i="20"/>
  <c r="J3" i="20"/>
  <c r="F3" i="20"/>
  <c r="B3" i="20"/>
  <c r="W2" i="20"/>
  <c r="S2" i="20"/>
  <c r="O2" i="20"/>
  <c r="K2" i="20"/>
  <c r="G2" i="20"/>
  <c r="C2" i="20"/>
  <c r="X1" i="20"/>
  <c r="T1" i="20"/>
  <c r="P1" i="20"/>
  <c r="L1" i="20"/>
  <c r="H1" i="20"/>
  <c r="D1" i="20"/>
  <c r="H36" i="14"/>
  <c r="H32" i="14"/>
  <c r="H29" i="14"/>
  <c r="I30" i="14"/>
  <c r="H37" i="14"/>
  <c r="H33" i="14"/>
  <c r="AL64" i="13" l="1"/>
  <c r="AH51" i="14"/>
  <c r="AH75" i="14"/>
  <c r="AH86" i="14"/>
  <c r="AL108" i="14"/>
  <c r="C26" i="18"/>
  <c r="C42" i="18"/>
  <c r="AH45" i="14"/>
  <c r="AH64" i="14"/>
  <c r="B6" i="16"/>
  <c r="AL17" i="13"/>
  <c r="AL32" i="13"/>
  <c r="AL60" i="13"/>
  <c r="AH82" i="14"/>
  <c r="AL113" i="14"/>
  <c r="AL117" i="14"/>
  <c r="F15" i="1"/>
  <c r="C38" i="18"/>
  <c r="E2" i="3"/>
  <c r="AL18" i="13"/>
  <c r="AL66" i="13"/>
  <c r="AL114" i="14"/>
  <c r="AL118" i="14"/>
  <c r="AL122" i="14"/>
  <c r="C5" i="18"/>
  <c r="D7" i="4"/>
  <c r="AH84" i="14"/>
  <c r="AL102" i="14"/>
  <c r="C18" i="18"/>
  <c r="AH42" i="14"/>
  <c r="H18" i="1"/>
  <c r="AL76" i="13"/>
  <c r="AH68" i="14"/>
  <c r="AH90" i="14"/>
  <c r="C19" i="18"/>
  <c r="D268" i="4"/>
  <c r="C268" i="4" s="1"/>
  <c r="C8" i="18"/>
  <c r="C46" i="18"/>
  <c r="J3" i="1"/>
  <c r="J6" i="1"/>
  <c r="J4" i="1"/>
  <c r="J9" i="1"/>
  <c r="J7" i="1"/>
  <c r="J8" i="1"/>
  <c r="J19" i="1"/>
  <c r="J17" i="1"/>
  <c r="J14" i="1"/>
  <c r="J5" i="1"/>
  <c r="J10" i="1"/>
  <c r="J20" i="1"/>
  <c r="T29" i="14"/>
  <c r="T28" i="14"/>
  <c r="U27" i="14"/>
  <c r="AC35" i="14"/>
  <c r="F21" i="1"/>
  <c r="G21" i="1"/>
  <c r="I21" i="1"/>
  <c r="E6" i="16"/>
  <c r="F5" i="16"/>
  <c r="D11" i="4"/>
  <c r="D43" i="4"/>
  <c r="C43" i="4" s="1"/>
  <c r="D62" i="4"/>
  <c r="D75" i="4"/>
  <c r="C75" i="4" s="1"/>
  <c r="D79" i="4"/>
  <c r="C79" i="4" s="1"/>
  <c r="D85" i="4"/>
  <c r="C85" i="4" s="1"/>
  <c r="D91" i="4"/>
  <c r="C91" i="4" s="1"/>
  <c r="D99" i="4"/>
  <c r="D111" i="4"/>
  <c r="D123" i="4"/>
  <c r="D132" i="4"/>
  <c r="C132" i="4" s="1"/>
  <c r="D140" i="4"/>
  <c r="C140" i="4" s="1"/>
  <c r="D152" i="4"/>
  <c r="C152" i="4" s="1"/>
  <c r="D168" i="4"/>
  <c r="C168" i="4" s="1"/>
  <c r="D180" i="4"/>
  <c r="C180" i="4" s="1"/>
  <c r="D253" i="4"/>
  <c r="C253" i="4" s="1"/>
  <c r="D261" i="4"/>
  <c r="C261" i="4" s="1"/>
  <c r="H15" i="1"/>
  <c r="F18" i="1"/>
  <c r="D8" i="4"/>
  <c r="D15" i="4"/>
  <c r="D18" i="4"/>
  <c r="D25" i="4"/>
  <c r="D31" i="4"/>
  <c r="C31" i="4" s="1"/>
  <c r="D40" i="4"/>
  <c r="D44" i="4"/>
  <c r="C44" i="4" s="1"/>
  <c r="D54" i="4"/>
  <c r="D60" i="4"/>
  <c r="D69" i="4"/>
  <c r="D80" i="4"/>
  <c r="D83" i="4"/>
  <c r="D100" i="4"/>
  <c r="D106" i="4"/>
  <c r="C106" i="4" s="1"/>
  <c r="D129" i="4"/>
  <c r="C129" i="4" s="1"/>
  <c r="D133" i="4"/>
  <c r="C133" i="4" s="1"/>
  <c r="D137" i="4"/>
  <c r="C137" i="4" s="1"/>
  <c r="D141" i="4"/>
  <c r="C141" i="4" s="1"/>
  <c r="D145" i="4"/>
  <c r="C145" i="4" s="1"/>
  <c r="D149" i="4"/>
  <c r="C149" i="4" s="1"/>
  <c r="D153" i="4"/>
  <c r="C153" i="4" s="1"/>
  <c r="D157" i="4"/>
  <c r="C157" i="4" s="1"/>
  <c r="D161" i="4"/>
  <c r="C161" i="4" s="1"/>
  <c r="D165" i="4"/>
  <c r="C165" i="4" s="1"/>
  <c r="D169" i="4"/>
  <c r="C169" i="4" s="1"/>
  <c r="D173" i="4"/>
  <c r="C173" i="4" s="1"/>
  <c r="D177" i="4"/>
  <c r="C177" i="4" s="1"/>
  <c r="D181" i="4"/>
  <c r="C181" i="4" s="1"/>
  <c r="D233" i="4"/>
  <c r="C233" i="4" s="1"/>
  <c r="D235" i="4"/>
  <c r="C235" i="4" s="1"/>
  <c r="D237" i="4"/>
  <c r="C237" i="4" s="1"/>
  <c r="D239" i="4"/>
  <c r="C239" i="4" s="1"/>
  <c r="D241" i="4"/>
  <c r="C241" i="4" s="1"/>
  <c r="D243" i="4"/>
  <c r="C243" i="4" s="1"/>
  <c r="D245" i="4"/>
  <c r="C245" i="4" s="1"/>
  <c r="D247" i="4"/>
  <c r="C247" i="4" s="1"/>
  <c r="D272" i="4"/>
  <c r="C272" i="4" s="1"/>
  <c r="D274" i="4"/>
  <c r="C274" i="4" s="1"/>
  <c r="D276" i="4"/>
  <c r="C276" i="4" s="1"/>
  <c r="D278" i="4"/>
  <c r="C278" i="4" s="1"/>
  <c r="D280" i="4"/>
  <c r="C280" i="4" s="1"/>
  <c r="D282" i="4"/>
  <c r="C282" i="4" s="1"/>
  <c r="D284" i="4"/>
  <c r="C284" i="4" s="1"/>
  <c r="D286" i="4"/>
  <c r="C286" i="4" s="1"/>
  <c r="D288" i="4"/>
  <c r="C288" i="4" s="1"/>
  <c r="D290" i="4"/>
  <c r="C290" i="4" s="1"/>
  <c r="D292" i="4"/>
  <c r="C292" i="4" s="1"/>
  <c r="D294" i="4"/>
  <c r="C294" i="4" s="1"/>
  <c r="D296" i="4"/>
  <c r="C296" i="4" s="1"/>
  <c r="D298" i="4"/>
  <c r="C298" i="4" s="1"/>
  <c r="D300" i="4"/>
  <c r="C300" i="4" s="1"/>
  <c r="D302" i="4"/>
  <c r="C302" i="4" s="1"/>
  <c r="D304" i="4"/>
  <c r="C304" i="4" s="1"/>
  <c r="D306" i="4"/>
  <c r="C306" i="4" s="1"/>
  <c r="D308" i="4"/>
  <c r="C308" i="4" s="1"/>
  <c r="D310" i="4"/>
  <c r="C310" i="4" s="1"/>
  <c r="D312" i="4"/>
  <c r="C312" i="4" s="1"/>
  <c r="AH52" i="14"/>
  <c r="C7" i="4"/>
  <c r="B7" i="4"/>
  <c r="D24" i="4"/>
  <c r="D39" i="4"/>
  <c r="D56" i="4"/>
  <c r="D68" i="4"/>
  <c r="D87" i="4"/>
  <c r="C87" i="4" s="1"/>
  <c r="D105" i="4"/>
  <c r="D125" i="4"/>
  <c r="C125" i="4" s="1"/>
  <c r="D136" i="4"/>
  <c r="C136" i="4" s="1"/>
  <c r="D148" i="4"/>
  <c r="C148" i="4" s="1"/>
  <c r="D160" i="4"/>
  <c r="C160" i="4" s="1"/>
  <c r="D172" i="4"/>
  <c r="C172" i="4" s="1"/>
  <c r="D251" i="4"/>
  <c r="C251" i="4" s="1"/>
  <c r="D257" i="4"/>
  <c r="C257" i="4" s="1"/>
  <c r="D263" i="4"/>
  <c r="C263" i="4" s="1"/>
  <c r="G15" i="1"/>
  <c r="E18" i="1"/>
  <c r="I18" i="1"/>
  <c r="D2" i="4"/>
  <c r="D19" i="4"/>
  <c r="D29" i="4"/>
  <c r="D32" i="4"/>
  <c r="D38" i="4"/>
  <c r="C38" i="4" s="1"/>
  <c r="D41" i="4"/>
  <c r="C41" i="4" s="1"/>
  <c r="D52" i="4"/>
  <c r="D61" i="4"/>
  <c r="C61" i="4" s="1"/>
  <c r="D63" i="4"/>
  <c r="C63" i="4" s="1"/>
  <c r="D70" i="4"/>
  <c r="D76" i="4"/>
  <c r="C76" i="4" s="1"/>
  <c r="D78" i="4"/>
  <c r="D81" i="4"/>
  <c r="C81" i="4" s="1"/>
  <c r="D84" i="4"/>
  <c r="C84" i="4" s="1"/>
  <c r="D86" i="4"/>
  <c r="C86" i="4" s="1"/>
  <c r="D88" i="4"/>
  <c r="C88" i="4" s="1"/>
  <c r="D90" i="4"/>
  <c r="C90" i="4" s="1"/>
  <c r="D92" i="4"/>
  <c r="C92" i="4" s="1"/>
  <c r="D94" i="4"/>
  <c r="D112" i="4"/>
  <c r="C112" i="4" s="1"/>
  <c r="D114" i="4"/>
  <c r="C114" i="4" s="1"/>
  <c r="D124" i="4"/>
  <c r="C124" i="4" s="1"/>
  <c r="D126" i="4"/>
  <c r="C126" i="4" s="1"/>
  <c r="D130" i="4"/>
  <c r="C130" i="4" s="1"/>
  <c r="D134" i="4"/>
  <c r="C134" i="4" s="1"/>
  <c r="D138" i="4"/>
  <c r="C138" i="4" s="1"/>
  <c r="D142" i="4"/>
  <c r="C142" i="4" s="1"/>
  <c r="D146" i="4"/>
  <c r="C146" i="4" s="1"/>
  <c r="D150" i="4"/>
  <c r="C150" i="4" s="1"/>
  <c r="D154" i="4"/>
  <c r="C154" i="4" s="1"/>
  <c r="D158" i="4"/>
  <c r="C158" i="4" s="1"/>
  <c r="D162" i="4"/>
  <c r="C162" i="4" s="1"/>
  <c r="D166" i="4"/>
  <c r="C166" i="4" s="1"/>
  <c r="D170" i="4"/>
  <c r="C170" i="4" s="1"/>
  <c r="D174" i="4"/>
  <c r="C174" i="4" s="1"/>
  <c r="D178" i="4"/>
  <c r="C178" i="4" s="1"/>
  <c r="D250" i="4"/>
  <c r="C250" i="4" s="1"/>
  <c r="D252" i="4"/>
  <c r="C252" i="4" s="1"/>
  <c r="D254" i="4"/>
  <c r="C254" i="4" s="1"/>
  <c r="D256" i="4"/>
  <c r="C256" i="4" s="1"/>
  <c r="D258" i="4"/>
  <c r="C258" i="4" s="1"/>
  <c r="D260" i="4"/>
  <c r="C260" i="4" s="1"/>
  <c r="D262" i="4"/>
  <c r="C262" i="4" s="1"/>
  <c r="D264" i="4"/>
  <c r="C264" i="4" s="1"/>
  <c r="D265" i="4"/>
  <c r="C265" i="4" s="1"/>
  <c r="D270" i="4"/>
  <c r="C270" i="4" s="1"/>
  <c r="D314" i="4"/>
  <c r="C314" i="4" s="1"/>
  <c r="D316" i="4"/>
  <c r="C316" i="4" s="1"/>
  <c r="B4" i="4"/>
  <c r="C4" i="4"/>
  <c r="F5" i="3"/>
  <c r="E5" i="3"/>
  <c r="D3" i="4"/>
  <c r="D104" i="4"/>
  <c r="C104" i="4" s="1"/>
  <c r="D103" i="4"/>
  <c r="D98" i="4"/>
  <c r="C98" i="4" s="1"/>
  <c r="D97" i="4"/>
  <c r="C97" i="4" s="1"/>
  <c r="D96" i="4"/>
  <c r="D82" i="4"/>
  <c r="D73" i="4"/>
  <c r="C73" i="4" s="1"/>
  <c r="D72" i="4"/>
  <c r="D67" i="4"/>
  <c r="C67" i="4" s="1"/>
  <c r="D66" i="4"/>
  <c r="C66" i="4" s="1"/>
  <c r="D65" i="4"/>
  <c r="D59" i="4"/>
  <c r="C59" i="4" s="1"/>
  <c r="D58" i="4"/>
  <c r="C58" i="4" s="1"/>
  <c r="D57" i="4"/>
  <c r="D51" i="4"/>
  <c r="C51" i="4" s="1"/>
  <c r="D50" i="4"/>
  <c r="C50" i="4" s="1"/>
  <c r="D49" i="4"/>
  <c r="C49" i="4" s="1"/>
  <c r="D48" i="4"/>
  <c r="C48" i="4" s="1"/>
  <c r="D47" i="4"/>
  <c r="C47" i="4" s="1"/>
  <c r="D46" i="4"/>
  <c r="C46" i="4" s="1"/>
  <c r="D45" i="4"/>
  <c r="D35" i="4"/>
  <c r="C35" i="4" s="1"/>
  <c r="D34" i="4"/>
  <c r="D28" i="4"/>
  <c r="C28" i="4" s="1"/>
  <c r="D27" i="4"/>
  <c r="C27" i="4" s="1"/>
  <c r="D26" i="4"/>
  <c r="D22" i="4"/>
  <c r="C22" i="4" s="1"/>
  <c r="D21" i="4"/>
  <c r="D17" i="4"/>
  <c r="C17" i="4" s="1"/>
  <c r="D16" i="4"/>
  <c r="D12" i="4"/>
  <c r="D9" i="4"/>
  <c r="D5" i="4"/>
  <c r="E24" i="16"/>
  <c r="F23" i="16"/>
  <c r="G23" i="16" s="1"/>
  <c r="H23" i="16" s="1"/>
  <c r="D14" i="4"/>
  <c r="D37" i="4"/>
  <c r="C37" i="4" s="1"/>
  <c r="D77" i="4"/>
  <c r="C77" i="4" s="1"/>
  <c r="D89" i="4"/>
  <c r="C89" i="4" s="1"/>
  <c r="D93" i="4"/>
  <c r="C93" i="4" s="1"/>
  <c r="D102" i="4"/>
  <c r="D108" i="4"/>
  <c r="D113" i="4"/>
  <c r="C113" i="4" s="1"/>
  <c r="D128" i="4"/>
  <c r="C128" i="4" s="1"/>
  <c r="D144" i="4"/>
  <c r="C144" i="4" s="1"/>
  <c r="D156" i="4"/>
  <c r="C156" i="4" s="1"/>
  <c r="D164" i="4"/>
  <c r="C164" i="4" s="1"/>
  <c r="D176" i="4"/>
  <c r="C176" i="4" s="1"/>
  <c r="D249" i="4"/>
  <c r="C249" i="4" s="1"/>
  <c r="D255" i="4"/>
  <c r="C255" i="4" s="1"/>
  <c r="D259" i="4"/>
  <c r="C259" i="4" s="1"/>
  <c r="D267" i="4"/>
  <c r="C267" i="4" s="1"/>
  <c r="H21" i="1"/>
  <c r="D6" i="4"/>
  <c r="D10" i="4"/>
  <c r="D13" i="4"/>
  <c r="D20" i="4"/>
  <c r="D23" i="4"/>
  <c r="D30" i="4"/>
  <c r="D33" i="4"/>
  <c r="C33" i="4" s="1"/>
  <c r="D36" i="4"/>
  <c r="D42" i="4"/>
  <c r="C42" i="4" s="1"/>
  <c r="D53" i="4"/>
  <c r="C53" i="4" s="1"/>
  <c r="D55" i="4"/>
  <c r="C55" i="4" s="1"/>
  <c r="D64" i="4"/>
  <c r="D71" i="4"/>
  <c r="C71" i="4" s="1"/>
  <c r="D74" i="4"/>
  <c r="D95" i="4"/>
  <c r="D101" i="4"/>
  <c r="C101" i="4" s="1"/>
  <c r="D107" i="4"/>
  <c r="D110" i="4"/>
  <c r="D115" i="4"/>
  <c r="D122" i="4"/>
  <c r="D127" i="4"/>
  <c r="D131" i="4"/>
  <c r="C131" i="4" s="1"/>
  <c r="D135" i="4"/>
  <c r="C135" i="4" s="1"/>
  <c r="D139" i="4"/>
  <c r="C139" i="4" s="1"/>
  <c r="D143" i="4"/>
  <c r="C143" i="4" s="1"/>
  <c r="D147" i="4"/>
  <c r="C147" i="4" s="1"/>
  <c r="D151" i="4"/>
  <c r="C151" i="4" s="1"/>
  <c r="D155" i="4"/>
  <c r="C155" i="4" s="1"/>
  <c r="D159" i="4"/>
  <c r="C159" i="4" s="1"/>
  <c r="D163" i="4"/>
  <c r="C163" i="4" s="1"/>
  <c r="D167" i="4"/>
  <c r="C167" i="4" s="1"/>
  <c r="D171" i="4"/>
  <c r="C171" i="4" s="1"/>
  <c r="D175" i="4"/>
  <c r="C175" i="4" s="1"/>
  <c r="D179" i="4"/>
  <c r="C179" i="4" s="1"/>
  <c r="D232" i="4"/>
  <c r="C232" i="4" s="1"/>
  <c r="D234" i="4"/>
  <c r="C234" i="4" s="1"/>
  <c r="D236" i="4"/>
  <c r="C236" i="4" s="1"/>
  <c r="D238" i="4"/>
  <c r="C238" i="4" s="1"/>
  <c r="D240" i="4"/>
  <c r="C240" i="4" s="1"/>
  <c r="D242" i="4"/>
  <c r="C242" i="4" s="1"/>
  <c r="D244" i="4"/>
  <c r="C244" i="4" s="1"/>
  <c r="D246" i="4"/>
  <c r="C246" i="4" s="1"/>
  <c r="D248" i="4"/>
  <c r="C248" i="4" s="1"/>
  <c r="D266" i="4"/>
  <c r="C266" i="4" s="1"/>
  <c r="D271" i="4"/>
  <c r="C271" i="4" s="1"/>
  <c r="D273" i="4"/>
  <c r="C273" i="4" s="1"/>
  <c r="D275" i="4"/>
  <c r="C275" i="4" s="1"/>
  <c r="D277" i="4"/>
  <c r="C277" i="4" s="1"/>
  <c r="D279" i="4"/>
  <c r="C279" i="4" s="1"/>
  <c r="D281" i="4"/>
  <c r="C281" i="4" s="1"/>
  <c r="D283" i="4"/>
  <c r="C283" i="4" s="1"/>
  <c r="D285" i="4"/>
  <c r="C285" i="4" s="1"/>
  <c r="D287" i="4"/>
  <c r="C287" i="4" s="1"/>
  <c r="D289" i="4"/>
  <c r="C289" i="4" s="1"/>
  <c r="D291" i="4"/>
  <c r="C291" i="4" s="1"/>
  <c r="D293" i="4"/>
  <c r="C293" i="4" s="1"/>
  <c r="D295" i="4"/>
  <c r="C295" i="4" s="1"/>
  <c r="D297" i="4"/>
  <c r="C297" i="4" s="1"/>
  <c r="D299" i="4"/>
  <c r="C299" i="4" s="1"/>
  <c r="D301" i="4"/>
  <c r="C301" i="4" s="1"/>
  <c r="D303" i="4"/>
  <c r="C303" i="4" s="1"/>
  <c r="D305" i="4"/>
  <c r="C305" i="4" s="1"/>
  <c r="D307" i="4"/>
  <c r="C307" i="4" s="1"/>
  <c r="D309" i="4"/>
  <c r="C309" i="4" s="1"/>
  <c r="D311" i="4"/>
  <c r="C311" i="4" s="1"/>
  <c r="D313" i="4"/>
  <c r="C313" i="4" s="1"/>
  <c r="AH81" i="14"/>
  <c r="D109" i="4"/>
  <c r="D116" i="4"/>
  <c r="D117" i="4"/>
  <c r="C117" i="4" s="1"/>
  <c r="D118" i="4"/>
  <c r="C118" i="4" s="1"/>
  <c r="D119" i="4"/>
  <c r="C119" i="4" s="1"/>
  <c r="D120" i="4"/>
  <c r="C120" i="4" s="1"/>
  <c r="D121" i="4"/>
  <c r="C121" i="4" s="1"/>
  <c r="D182" i="4"/>
  <c r="C182" i="4" s="1"/>
  <c r="D183" i="4"/>
  <c r="C183" i="4" s="1"/>
  <c r="D184" i="4"/>
  <c r="C184" i="4" s="1"/>
  <c r="D185" i="4"/>
  <c r="C185" i="4" s="1"/>
  <c r="D186" i="4"/>
  <c r="C186" i="4" s="1"/>
  <c r="D187" i="4"/>
  <c r="C187" i="4" s="1"/>
  <c r="D188" i="4"/>
  <c r="C188" i="4" s="1"/>
  <c r="D189" i="4"/>
  <c r="C189" i="4" s="1"/>
  <c r="D190" i="4"/>
  <c r="C190" i="4" s="1"/>
  <c r="D191" i="4"/>
  <c r="C191" i="4" s="1"/>
  <c r="D192" i="4"/>
  <c r="C192" i="4" s="1"/>
  <c r="D193" i="4"/>
  <c r="C193" i="4" s="1"/>
  <c r="D194" i="4"/>
  <c r="C194" i="4" s="1"/>
  <c r="D195" i="4"/>
  <c r="C195" i="4" s="1"/>
  <c r="D196" i="4"/>
  <c r="C196" i="4" s="1"/>
  <c r="D197" i="4"/>
  <c r="C197" i="4" s="1"/>
  <c r="D198" i="4"/>
  <c r="C198" i="4" s="1"/>
  <c r="D199" i="4"/>
  <c r="C199" i="4" s="1"/>
  <c r="D200" i="4"/>
  <c r="C200" i="4" s="1"/>
  <c r="D201" i="4"/>
  <c r="C201" i="4" s="1"/>
  <c r="D202" i="4"/>
  <c r="C202" i="4" s="1"/>
  <c r="D203" i="4"/>
  <c r="C203" i="4" s="1"/>
  <c r="D204" i="4"/>
  <c r="C204" i="4" s="1"/>
  <c r="D205" i="4"/>
  <c r="C205" i="4" s="1"/>
  <c r="D206" i="4"/>
  <c r="C206" i="4" s="1"/>
  <c r="D207" i="4"/>
  <c r="C207" i="4" s="1"/>
  <c r="D208" i="4"/>
  <c r="C208" i="4" s="1"/>
  <c r="D209" i="4"/>
  <c r="C209" i="4" s="1"/>
  <c r="D210" i="4"/>
  <c r="C210" i="4" s="1"/>
  <c r="D211" i="4"/>
  <c r="C211" i="4" s="1"/>
  <c r="D212" i="4"/>
  <c r="C212" i="4" s="1"/>
  <c r="D213" i="4"/>
  <c r="C213" i="4" s="1"/>
  <c r="D214" i="4"/>
  <c r="C214" i="4" s="1"/>
  <c r="D215" i="4"/>
  <c r="C215" i="4" s="1"/>
  <c r="D216" i="4"/>
  <c r="C216" i="4" s="1"/>
  <c r="D217" i="4"/>
  <c r="C217" i="4" s="1"/>
  <c r="D218" i="4"/>
  <c r="C218" i="4" s="1"/>
  <c r="D219" i="4"/>
  <c r="C219" i="4" s="1"/>
  <c r="D220" i="4"/>
  <c r="C220" i="4" s="1"/>
  <c r="D221" i="4"/>
  <c r="C221" i="4" s="1"/>
  <c r="D222" i="4"/>
  <c r="C222" i="4" s="1"/>
  <c r="D223" i="4"/>
  <c r="C223" i="4" s="1"/>
  <c r="D224" i="4"/>
  <c r="C224" i="4" s="1"/>
  <c r="D225" i="4"/>
  <c r="C225" i="4" s="1"/>
  <c r="D226" i="4"/>
  <c r="C226" i="4" s="1"/>
  <c r="D227" i="4"/>
  <c r="C227" i="4" s="1"/>
  <c r="D228" i="4"/>
  <c r="C228" i="4" s="1"/>
  <c r="D229" i="4"/>
  <c r="C229" i="4" s="1"/>
  <c r="D230" i="4"/>
  <c r="C230" i="4" s="1"/>
  <c r="D231" i="4"/>
  <c r="C231" i="4" s="1"/>
  <c r="D269" i="4"/>
  <c r="C269" i="4" s="1"/>
  <c r="D315" i="4"/>
  <c r="C315" i="4" s="1"/>
  <c r="C13" i="18"/>
  <c r="C17" i="18"/>
  <c r="C21" i="18"/>
  <c r="C25" i="18"/>
  <c r="C29" i="18"/>
  <c r="C33" i="18"/>
  <c r="C37" i="18"/>
  <c r="C41" i="18"/>
  <c r="C45" i="18"/>
  <c r="F4" i="3"/>
  <c r="F26" i="7"/>
  <c r="F4" i="16"/>
  <c r="G4" i="16" s="1"/>
  <c r="H4" i="16" s="1"/>
  <c r="J21" i="1" l="1"/>
  <c r="J15" i="1"/>
  <c r="B56" i="4"/>
  <c r="C56" i="4"/>
  <c r="C123" i="4"/>
  <c r="B123" i="4"/>
  <c r="E7" i="16"/>
  <c r="F6" i="16"/>
  <c r="H16" i="1"/>
  <c r="I16" i="1"/>
  <c r="E16" i="1"/>
  <c r="F16" i="1"/>
  <c r="G16" i="1"/>
  <c r="B116" i="4"/>
  <c r="C116" i="4"/>
  <c r="B127" i="4"/>
  <c r="C127" i="4"/>
  <c r="C107" i="4"/>
  <c r="B107" i="4"/>
  <c r="C23" i="4"/>
  <c r="B23" i="4"/>
  <c r="C6" i="4"/>
  <c r="B6" i="4"/>
  <c r="B108" i="4"/>
  <c r="C108" i="4"/>
  <c r="E25" i="16"/>
  <c r="F24" i="16"/>
  <c r="G24" i="16" s="1"/>
  <c r="H24" i="16" s="1"/>
  <c r="B16" i="4"/>
  <c r="C16" i="4"/>
  <c r="B26" i="4"/>
  <c r="C26" i="4"/>
  <c r="B57" i="4"/>
  <c r="C57" i="4"/>
  <c r="B82" i="4"/>
  <c r="C82" i="4"/>
  <c r="B103" i="4"/>
  <c r="C103" i="4"/>
  <c r="C94" i="4"/>
  <c r="B94" i="4"/>
  <c r="C52" i="4"/>
  <c r="B52" i="4"/>
  <c r="C29" i="4"/>
  <c r="B29" i="4"/>
  <c r="C68" i="4"/>
  <c r="B68" i="4"/>
  <c r="C83" i="4"/>
  <c r="B83" i="4"/>
  <c r="C54" i="4"/>
  <c r="B54" i="4"/>
  <c r="B25" i="4"/>
  <c r="C25" i="4"/>
  <c r="C62" i="4"/>
  <c r="B62" i="4"/>
  <c r="J18" i="1"/>
  <c r="G5" i="16"/>
  <c r="H5" i="16" s="1"/>
  <c r="B109" i="4"/>
  <c r="C109" i="4"/>
  <c r="C36" i="4"/>
  <c r="B36" i="4"/>
  <c r="B102" i="4"/>
  <c r="C102" i="4"/>
  <c r="B5" i="4"/>
  <c r="C5" i="4"/>
  <c r="B45" i="4"/>
  <c r="C45" i="4"/>
  <c r="B96" i="4"/>
  <c r="C96" i="4"/>
  <c r="B70" i="4"/>
  <c r="C70" i="4"/>
  <c r="C19" i="4"/>
  <c r="B19" i="4"/>
  <c r="B80" i="4"/>
  <c r="C80" i="4"/>
  <c r="C18" i="4"/>
  <c r="B18" i="4"/>
  <c r="C110" i="4"/>
  <c r="B110" i="4"/>
  <c r="C74" i="4"/>
  <c r="B74" i="4"/>
  <c r="C30" i="4"/>
  <c r="B30" i="4"/>
  <c r="C10" i="4"/>
  <c r="B10" i="4"/>
  <c r="B12" i="4"/>
  <c r="C12" i="4"/>
  <c r="B34" i="4"/>
  <c r="C34" i="4"/>
  <c r="B65" i="4"/>
  <c r="C65" i="4"/>
  <c r="C78" i="4"/>
  <c r="B78" i="4"/>
  <c r="B32" i="4"/>
  <c r="C32" i="4"/>
  <c r="C24" i="4"/>
  <c r="B24" i="4"/>
  <c r="C100" i="4"/>
  <c r="B100" i="4"/>
  <c r="C60" i="4"/>
  <c r="B60" i="4"/>
  <c r="B8" i="4"/>
  <c r="C8" i="4"/>
  <c r="C99" i="4"/>
  <c r="B99" i="4"/>
  <c r="C122" i="4"/>
  <c r="B122" i="4"/>
  <c r="B64" i="4"/>
  <c r="C64" i="4"/>
  <c r="B20" i="4"/>
  <c r="C20" i="4"/>
  <c r="B115" i="4"/>
  <c r="C115" i="4"/>
  <c r="B95" i="4"/>
  <c r="C95" i="4"/>
  <c r="C13" i="4"/>
  <c r="B13" i="4"/>
  <c r="C14" i="4"/>
  <c r="B14" i="4"/>
  <c r="B9" i="4"/>
  <c r="C9" i="4"/>
  <c r="B21" i="4"/>
  <c r="C21" i="4"/>
  <c r="B72" i="4"/>
  <c r="C72" i="4"/>
  <c r="C3" i="4"/>
  <c r="B3" i="4"/>
  <c r="C2" i="4"/>
  <c r="B2" i="4"/>
  <c r="C105" i="4"/>
  <c r="B105" i="4"/>
  <c r="C39" i="4"/>
  <c r="B39" i="4"/>
  <c r="C69" i="4"/>
  <c r="B69" i="4"/>
  <c r="B40" i="4"/>
  <c r="C40" i="4"/>
  <c r="B15" i="4"/>
  <c r="C15" i="4"/>
  <c r="C111" i="4"/>
  <c r="B111" i="4"/>
  <c r="B11" i="4"/>
  <c r="C11" i="4"/>
  <c r="J16" i="1" l="1"/>
  <c r="E8" i="16"/>
  <c r="F7" i="16"/>
  <c r="G7" i="16" s="1"/>
  <c r="H7" i="16" s="1"/>
  <c r="G6" i="16"/>
  <c r="H6" i="16" s="1"/>
  <c r="E26" i="16"/>
  <c r="F25" i="16"/>
  <c r="G25" i="16" s="1"/>
  <c r="H25" i="16" s="1"/>
  <c r="E9" i="16" l="1"/>
  <c r="F8" i="16"/>
  <c r="G8" i="16" s="1"/>
  <c r="H8" i="16" s="1"/>
  <c r="E27" i="16"/>
  <c r="F26" i="16"/>
  <c r="G26" i="16" s="1"/>
  <c r="H26" i="16" s="1"/>
  <c r="E10" i="16" l="1"/>
  <c r="F9" i="16"/>
  <c r="G9" i="16" s="1"/>
  <c r="H9" i="16" s="1"/>
  <c r="E28" i="16"/>
  <c r="F27" i="16"/>
  <c r="G27" i="16" s="1"/>
  <c r="H27" i="16" s="1"/>
  <c r="E11" i="16" l="1"/>
  <c r="F10" i="16"/>
  <c r="G10" i="16" s="1"/>
  <c r="H10" i="16" s="1"/>
  <c r="E29" i="16"/>
  <c r="F28" i="16"/>
  <c r="G28" i="16" s="1"/>
  <c r="H28" i="16" s="1"/>
  <c r="E30" i="16" l="1"/>
  <c r="F29" i="16"/>
  <c r="G29" i="16" s="1"/>
  <c r="H29" i="16" s="1"/>
  <c r="E12" i="16"/>
  <c r="F11" i="16"/>
  <c r="G11" i="16" s="1"/>
  <c r="H11" i="16" s="1"/>
  <c r="E13" i="16" l="1"/>
  <c r="F12" i="16"/>
  <c r="G12" i="16" s="1"/>
  <c r="H12" i="16" s="1"/>
  <c r="E31" i="16"/>
  <c r="F30" i="16"/>
  <c r="G30" i="16" s="1"/>
  <c r="H30" i="16" s="1"/>
  <c r="E32" i="16" l="1"/>
  <c r="F31" i="16"/>
  <c r="G31" i="16" s="1"/>
  <c r="H31" i="16" s="1"/>
  <c r="E14" i="16"/>
  <c r="F13" i="16"/>
  <c r="G13" i="16" s="1"/>
  <c r="H13" i="16" s="1"/>
  <c r="E33" i="16" l="1"/>
  <c r="F32" i="16"/>
  <c r="G32" i="16" s="1"/>
  <c r="H32" i="16" s="1"/>
  <c r="E15" i="16"/>
  <c r="F14" i="16"/>
  <c r="G14" i="16" s="1"/>
  <c r="H14" i="16" s="1"/>
  <c r="E34" i="16" l="1"/>
  <c r="F33" i="16"/>
  <c r="G33" i="16" s="1"/>
  <c r="H33" i="16" s="1"/>
  <c r="E16" i="16"/>
  <c r="F15" i="16"/>
  <c r="G15" i="16" s="1"/>
  <c r="H15" i="16" s="1"/>
  <c r="E35" i="16" l="1"/>
  <c r="F34" i="16"/>
  <c r="G34" i="16" s="1"/>
  <c r="H34" i="16" s="1"/>
  <c r="E17" i="16"/>
  <c r="F17" i="16" s="1"/>
  <c r="G17" i="16" s="1"/>
  <c r="H17" i="16" s="1"/>
  <c r="F16" i="16"/>
  <c r="G16" i="16" s="1"/>
  <c r="H16" i="16" s="1"/>
  <c r="E36" i="16" l="1"/>
  <c r="F36" i="16" s="1"/>
  <c r="F35" i="16"/>
  <c r="G35" i="16" s="1"/>
  <c r="H35" i="16" s="1"/>
  <c r="G36" i="16" l="1"/>
  <c r="H36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4" authorId="0" shapeId="0" xr:uid="{00000000-0006-0000-0400-000001000000}">
      <text>
        <r>
          <rPr>
            <sz val="10"/>
            <color rgb="FF000000"/>
            <rFont val="Arial"/>
            <family val="2"/>
          </rPr>
          <t>http://probaseballexperience.jcink.net/index.php?showtopic=4758</t>
        </r>
      </text>
    </comment>
    <comment ref="N22" authorId="0" shapeId="0" xr:uid="{00000000-0006-0000-0400-000002000000}">
      <text>
        <r>
          <rPr>
            <sz val="10"/>
            <color rgb="FF000000"/>
            <rFont val="Arial"/>
            <family val="2"/>
          </rPr>
          <t xml:space="preserve">s12 pay scale based on s11 end of season TPE
375 - 5m
325 - 4.5m
275 - 4m
otherwise 3m
Same scale rate (+200,150,100) for s13 based on s12 gain
MO in year 3
</t>
        </r>
      </text>
    </comment>
    <comment ref="N23" authorId="0" shapeId="0" xr:uid="{00000000-0006-0000-0400-000003000000}">
      <text>
        <r>
          <rPr>
            <sz val="10"/>
            <color rgb="FF000000"/>
            <rFont val="Arial"/>
            <family val="2"/>
          </rPr>
          <t xml:space="preserve">S12: 2M - If TPE gained during S11 is at least 100, salary goes up to 3M
S13: 2M (MO) - If TPE gained during S12 is at least 100, salary goes up to 3M
s12 trigger: 231 at end of s11
s13 trigger: ??? at end of s13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22" authorId="0" shapeId="0" xr:uid="{00000000-0006-0000-0500-000001000000}">
      <text>
        <r>
          <rPr>
            <sz val="10"/>
            <color rgb="FF000000"/>
            <rFont val="Arial"/>
            <family val="2"/>
          </rPr>
          <t>http://probaseballexperience.jcink.net/index.php?showtopic=6161</t>
        </r>
      </text>
    </comment>
    <comment ref="N23" authorId="0" shapeId="0" xr:uid="{00000000-0006-0000-0500-000002000000}">
      <text>
        <r>
          <rPr>
            <sz val="10"/>
            <color rgb="FF000000"/>
            <rFont val="Arial"/>
            <family val="2"/>
          </rPr>
          <t>http://probaseballexperience.jcink.net/index.php?showtopic=6161</t>
        </r>
      </text>
    </comment>
    <comment ref="N24" authorId="0" shapeId="0" xr:uid="{00000000-0006-0000-0500-000003000000}">
      <text>
        <r>
          <rPr>
            <sz val="10"/>
            <color rgb="FF000000"/>
            <rFont val="Arial"/>
            <family val="2"/>
          </rPr>
          <t>http://probaseballexperience.jcink.net/index.php?showtopic=6161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22" authorId="0" shapeId="0" xr:uid="{00000000-0006-0000-0600-000001000000}">
      <text>
        <r>
          <rPr>
            <sz val="10"/>
            <color rgb="FF000000"/>
            <rFont val="Arial"/>
            <family val="2"/>
          </rPr>
          <t>http://probaseballexperience.jcink.net/index.php?showtopic=4745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28" authorId="0" shapeId="0" xr:uid="{00000000-0006-0000-0700-000001000000}">
      <text>
        <r>
          <rPr>
            <sz val="10"/>
            <color rgb="FF000000"/>
            <rFont val="Arial"/>
            <family val="2"/>
          </rPr>
          <t xml:space="preserve">if 100 is gained in s11, s12 is 3m, otherwise 2m
100 in s12 -&gt; 3m
s15 MO?
</t>
        </r>
      </text>
    </comment>
    <comment ref="N29" authorId="0" shapeId="0" xr:uid="{00000000-0006-0000-0700-000002000000}">
      <text>
        <r>
          <rPr>
            <sz val="10"/>
            <color rgb="FF000000"/>
            <rFont val="Arial"/>
            <family val="2"/>
          </rPr>
          <t>if 100 TPE gained in each prior season, 3m, otherwise 1.5m
s14 TO</t>
        </r>
      </text>
    </comment>
    <comment ref="N30" authorId="0" shapeId="0" xr:uid="{00000000-0006-0000-0700-000003000000}">
      <text>
        <r>
          <rPr>
            <sz val="10"/>
            <color rgb="FF000000"/>
            <rFont val="Arial"/>
            <family val="2"/>
          </rPr>
          <t>if 100 TPE gained in each prior season, 3m, otherwise 1.5m
s14 TO</t>
        </r>
      </text>
    </comment>
    <comment ref="N31" authorId="0" shapeId="0" xr:uid="{00000000-0006-0000-0700-000004000000}">
      <text>
        <r>
          <rPr>
            <sz val="10"/>
            <color rgb="FF000000"/>
            <rFont val="Arial"/>
            <family val="2"/>
          </rPr>
          <t>scale up bonus of 3m (1.5m base)
s11 -&gt; 100 TPE earned
s12 -&gt; 100 TPE earned
s13 -&gt; 100 TPE eacned
s14 TO</t>
        </r>
      </text>
    </comment>
    <comment ref="N36" authorId="0" shapeId="0" xr:uid="{00000000-0006-0000-0700-000005000000}">
      <text>
        <r>
          <rPr>
            <sz val="10"/>
            <color rgb="FF000000"/>
            <rFont val="Arial"/>
            <family val="2"/>
          </rPr>
          <t>http://probaseballexperience.jcink.net/index.php?showtopic=4745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23" authorId="0" shapeId="0" xr:uid="{00000000-0006-0000-0800-000001000000}">
      <text>
        <r>
          <rPr>
            <sz val="10"/>
            <color rgb="FF000000"/>
            <rFont val="Arial"/>
            <family val="2"/>
          </rPr>
          <t>+500k for gaining 100 TPE, 125 TPE, and 150 TPE. begins in s12
s14 MO</t>
        </r>
      </text>
    </comment>
    <comment ref="N24" authorId="0" shapeId="0" xr:uid="{00000000-0006-0000-0800-000002000000}">
      <text>
        <r>
          <rPr>
            <sz val="10"/>
            <color rgb="FF000000"/>
            <rFont val="Arial"/>
            <family val="2"/>
          </rPr>
          <t>1m base in each
s12 bonuses activate if
1.5m - 150TPE in s11
2m - 200 TPE in s11
s13 bonuses activate if 
1.5m if 250TPE in s12
2m if 300 TPE in s12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2" authorId="0" shapeId="0" xr:uid="{00000000-0006-0000-0900-000001000000}">
      <text>
        <r>
          <rPr>
            <sz val="10"/>
            <color rgb="FF000000"/>
            <rFont val="Arial"/>
            <family val="2"/>
          </rPr>
          <t>http://probaseballexperience.jcink.net/index.php?showtopic=4730</t>
        </r>
      </text>
    </comment>
    <comment ref="N20" authorId="0" shapeId="0" xr:uid="{00000000-0006-0000-0900-000002000000}">
      <text>
        <r>
          <rPr>
            <sz val="10"/>
            <color rgb="FF000000"/>
            <rFont val="Arial"/>
            <family val="2"/>
          </rPr>
          <t>http://probaseballexperience.jcink.net/index.php?showtopic=4758</t>
        </r>
      </text>
    </comment>
    <comment ref="N21" authorId="0" shapeId="0" xr:uid="{00000000-0006-0000-0900-000003000000}">
      <text>
        <r>
          <rPr>
            <sz val="10"/>
            <color rgb="FF000000"/>
            <rFont val="Arial"/>
            <family val="2"/>
          </rPr>
          <t>http://probaseballexperience.jcink.net/index.php?showtopic=4758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27" authorId="0" shapeId="0" xr:uid="{00000000-0006-0000-0A00-000001000000}">
      <text>
        <r>
          <rPr>
            <sz val="10"/>
            <color rgb="FF000000"/>
            <rFont val="Arial"/>
            <family val="2"/>
          </rPr>
          <t>Becomes 4 if the following landmarks are reached
s12: 250
s13: 400
s14: 550
Otherwise 3m
s14 MO</t>
        </r>
      </text>
    </comment>
    <comment ref="N29" authorId="0" shapeId="0" xr:uid="{00000000-0006-0000-0A00-000002000000}">
      <text>
        <r>
          <rPr>
            <sz val="10"/>
            <color rgb="FF000000"/>
            <rFont val="Arial"/>
            <family val="2"/>
          </rPr>
          <t>becomes 4m if TPE landmarks are reached otherwise 2m
s12: 250
s13: 400</t>
        </r>
      </text>
    </comment>
    <comment ref="N31" authorId="0" shapeId="0" xr:uid="{00000000-0006-0000-0A00-000003000000}">
      <text>
        <r>
          <rPr>
            <sz val="10"/>
            <color rgb="FF000000"/>
            <rFont val="Arial"/>
            <family val="2"/>
          </rPr>
          <t>Becomes 4 if the following landmarks are reached
s12: 250
s13: 400
s14: 550
Otherwise 2m
s14 MO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6" authorId="0" shapeId="0" xr:uid="{00000000-0006-0000-0B00-000001000000}">
      <text>
        <r>
          <rPr>
            <sz val="10"/>
            <color rgb="FF000000"/>
            <rFont val="Arial"/>
            <family val="2"/>
          </rPr>
          <t>http://probaseballexperience.jcink.net/index.php?showtopic=4745</t>
        </r>
      </text>
    </comment>
    <comment ref="N22" authorId="0" shapeId="0" xr:uid="{00000000-0006-0000-0B00-000002000000}">
      <text>
        <r>
          <rPr>
            <sz val="10"/>
            <color rgb="FF000000"/>
            <rFont val="Arial"/>
            <family val="2"/>
          </rPr>
          <t>1m if 140 TPE is earned the previous season
s12: 240
s13: ??
s14: ?? (TO)</t>
        </r>
      </text>
    </comment>
    <comment ref="N23" authorId="0" shapeId="0" xr:uid="{00000000-0006-0000-0B00-000003000000}">
      <text>
        <r>
          <rPr>
            <sz val="10"/>
            <color rgb="FF000000"/>
            <rFont val="Arial"/>
            <family val="2"/>
          </rPr>
          <t>if 100 TPE earned in s13, s14 is 6m, otherwise it is only 3m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58" authorId="0" shapeId="0" xr:uid="{00000000-0006-0000-0C00-000001000000}">
      <text>
        <r>
          <rPr>
            <sz val="10"/>
            <color rgb="FF000000"/>
            <rFont val="Arial"/>
            <family val="2"/>
          </rPr>
          <t>http://probaseballexperience.jcink.net/index.php?showtopic=4758</t>
        </r>
      </text>
    </comment>
    <comment ref="N117" authorId="0" shapeId="0" xr:uid="{00000000-0006-0000-0C00-000002000000}">
      <text>
        <r>
          <rPr>
            <sz val="10"/>
            <color rgb="FF000000"/>
            <rFont val="Arial"/>
            <family val="2"/>
          </rPr>
          <t>http://probaseballexperience.jcink.net/index.php?showtopic=6161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5" authorId="0" shapeId="0" xr:uid="{00000000-0006-0000-0E00-000001000000}">
      <text>
        <r>
          <rPr>
            <sz val="10"/>
            <color rgb="FF000000"/>
            <rFont val="Arial"/>
            <family val="2"/>
          </rPr>
          <t>http://probaseballexperience.jcink.net/index.php?showtopic=5928
http://probaseballexperience.jcink.net/index.php?showtopic=5581</t>
        </r>
      </text>
    </comment>
    <comment ref="K21" authorId="0" shapeId="0" xr:uid="{00000000-0006-0000-0E00-000002000000}">
      <text>
        <r>
          <rPr>
            <sz val="10"/>
            <color rgb="FF000000"/>
            <rFont val="Arial"/>
            <family val="2"/>
          </rPr>
          <t>http://probaseballexperience.jcink.net/index.php?showtopic=5928</t>
        </r>
      </text>
    </comment>
    <comment ref="H22" authorId="0" shapeId="0" xr:uid="{00000000-0006-0000-0E00-000003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I22" authorId="0" shapeId="0" xr:uid="{00000000-0006-0000-0E00-000004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K22" authorId="0" shapeId="0" xr:uid="{00000000-0006-0000-0E00-000005000000}">
      <text>
        <r>
          <rPr>
            <sz val="10"/>
            <color rgb="FF000000"/>
            <rFont val="Arial"/>
            <family val="2"/>
          </rPr>
          <t>http://probaseballexperience.jcink.net/index.php?showtopic=5928
http://probaseballexperience.jcink.net/index.php?showtopic=5607&amp;view=findpost&amp;p=67220</t>
        </r>
      </text>
    </comment>
    <comment ref="E24" authorId="0" shapeId="0" xr:uid="{00000000-0006-0000-0E00-000006000000}">
      <text>
        <r>
          <rPr>
            <sz val="10"/>
            <color rgb="FF000000"/>
            <rFont val="Arial"/>
            <family val="2"/>
          </rPr>
          <t>http://probaseballexperience.jcink.net/index.php?showtopic=5639&amp;view=findpost&amp;p=67945
http://probaseballexperience.jcink.net/index.php?showtopic=5580</t>
        </r>
      </text>
    </comment>
    <comment ref="H24" authorId="0" shapeId="0" xr:uid="{00000000-0006-0000-0E00-000007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N42" authorId="0" shapeId="0" xr:uid="{00000000-0006-0000-0E00-000008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B43" authorId="0" shapeId="0" xr:uid="{00000000-0006-0000-0E00-000009000000}">
      <text>
        <r>
          <rPr>
            <sz val="10"/>
            <color rgb="FF000000"/>
            <rFont val="Arial"/>
            <family val="2"/>
          </rPr>
          <t>http://probaseballexperience.jcink.net/index.php?showtopic=5276</t>
        </r>
      </text>
    </comment>
    <comment ref="E43" authorId="0" shapeId="0" xr:uid="{00000000-0006-0000-0E00-00000A000000}">
      <text>
        <r>
          <rPr>
            <sz val="10"/>
            <color rgb="FF000000"/>
            <rFont val="Arial"/>
            <family val="2"/>
          </rPr>
          <t>http://probaseballexperience.jcink.net/index.php?showtopic=5907</t>
        </r>
      </text>
    </comment>
    <comment ref="H43" authorId="0" shapeId="0" xr:uid="{00000000-0006-0000-0E00-00000B000000}">
      <text>
        <r>
          <rPr>
            <sz val="10"/>
            <color rgb="FF000000"/>
            <rFont val="Arial"/>
            <family val="2"/>
          </rPr>
          <t>http://probaseballexperience.jcink.net/index.php?showtopic=5928</t>
        </r>
      </text>
    </comment>
    <comment ref="I43" authorId="0" shapeId="0" xr:uid="{00000000-0006-0000-0E00-00000C000000}">
      <text>
        <r>
          <rPr>
            <sz val="10"/>
            <color rgb="FF000000"/>
            <rFont val="Arial"/>
            <family val="2"/>
          </rPr>
          <t>http://probaseballexperience.jcink.net/index.php?showtopic=5928
http://probaseballexperience.jcink.net/index.php?showtopic=5581</t>
        </r>
      </text>
    </comment>
    <comment ref="K43" authorId="0" shapeId="0" xr:uid="{00000000-0006-0000-0E00-00000D000000}">
      <text>
        <r>
          <rPr>
            <sz val="10"/>
            <color rgb="FF000000"/>
            <rFont val="Arial"/>
            <family val="2"/>
          </rPr>
          <t>http://probaseballexperience.jcink.net/index.php?showtopic=5907</t>
        </r>
      </text>
    </comment>
    <comment ref="N43" authorId="0" shapeId="0" xr:uid="{00000000-0006-0000-0E00-00000E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B44" authorId="0" shapeId="0" xr:uid="{00000000-0006-0000-0E00-00000F000000}">
      <text>
        <r>
          <rPr>
            <sz val="10"/>
            <color rgb="FF000000"/>
            <rFont val="Arial"/>
            <family val="2"/>
          </rPr>
          <t>S10 Soft Salary Cap Violations</t>
        </r>
      </text>
    </comment>
    <comment ref="E44" authorId="0" shapeId="0" xr:uid="{00000000-0006-0000-0E00-000010000000}">
      <text>
        <r>
          <rPr>
            <sz val="10"/>
            <color rgb="FF000000"/>
            <rFont val="Arial"/>
            <family val="2"/>
          </rPr>
          <t>http://probaseballexperience.jcink.net/index.php?showtopic=5273</t>
        </r>
      </text>
    </comment>
    <comment ref="K44" authorId="0" shapeId="0" xr:uid="{00000000-0006-0000-0E00-000011000000}">
      <text>
        <r>
          <rPr>
            <sz val="10"/>
            <color rgb="FF000000"/>
            <rFont val="Arial"/>
            <family val="2"/>
          </rPr>
          <t>http://probaseballexperience.jcink.net/index.php?showtopic=5907
http://probaseballexperience.jcink.net/index.php?showtopic=5706
http://probaseballexperience.jcink.net/index.php?showtopic=5631&amp;view=findpost&amp;p=67737</t>
        </r>
      </text>
    </comment>
    <comment ref="B45" authorId="0" shapeId="0" xr:uid="{00000000-0006-0000-0E00-000012000000}">
      <text>
        <r>
          <rPr>
            <sz val="10"/>
            <color rgb="FF000000"/>
            <rFont val="Arial"/>
            <family val="2"/>
          </rPr>
          <t>http://probaseballexperience.jcink.net/index.php?showtopic=5474&amp;view=findpost&amp;p=65019</t>
        </r>
      </text>
    </comment>
    <comment ref="E45" authorId="0" shapeId="0" xr:uid="{00000000-0006-0000-0E00-000013000000}">
      <text>
        <r>
          <rPr>
            <sz val="10"/>
            <color rgb="FF000000"/>
            <rFont val="Arial"/>
            <family val="2"/>
          </rPr>
          <t>S10 Soft Salary Cap Violations</t>
        </r>
      </text>
    </comment>
    <comment ref="K45" authorId="0" shapeId="0" xr:uid="{00000000-0006-0000-0E00-000014000000}">
      <text>
        <r>
          <rPr>
            <sz val="10"/>
            <color rgb="FF000000"/>
            <rFont val="Arial"/>
            <family val="2"/>
          </rPr>
          <t>http://probaseballexperience.jcink.net/index.php?showtopic=5325</t>
        </r>
      </text>
    </comment>
    <comment ref="B46" authorId="0" shapeId="0" xr:uid="{00000000-0006-0000-0E00-000015000000}">
      <text>
        <r>
          <rPr>
            <sz val="10"/>
            <color rgb="FF000000"/>
            <rFont val="Arial"/>
            <family val="2"/>
          </rPr>
          <t>S10 Soft Salary Cap Violations</t>
        </r>
      </text>
    </comment>
    <comment ref="E46" authorId="0" shapeId="0" xr:uid="{00000000-0006-0000-0E00-000016000000}">
      <text>
        <r>
          <rPr>
            <sz val="10"/>
            <color rgb="FF000000"/>
            <rFont val="Arial"/>
            <family val="2"/>
          </rPr>
          <t>S10 Soft Salary Cap Violations</t>
        </r>
      </text>
    </comment>
    <comment ref="H46" authorId="0" shapeId="0" xr:uid="{00000000-0006-0000-0E00-000017000000}">
      <text>
        <r>
          <rPr>
            <sz val="10"/>
            <color rgb="FF000000"/>
            <rFont val="Arial"/>
            <family val="2"/>
          </rPr>
          <t>http://probaseballexperience.jcink.net/index.php?showtopic=5702&amp;st=0&amp;#entry69450</t>
        </r>
      </text>
    </comment>
    <comment ref="H47" authorId="0" shapeId="0" xr:uid="{00000000-0006-0000-0E00-000018000000}">
      <text>
        <r>
          <rPr>
            <sz val="10"/>
            <color rgb="FF000000"/>
            <rFont val="Arial"/>
            <family val="2"/>
          </rPr>
          <t>http://probaseballexperience.jcink.net/index.php?showtopic=5591</t>
        </r>
      </text>
    </comment>
    <comment ref="H48" authorId="0" shapeId="0" xr:uid="{00000000-0006-0000-0E00-000019000000}">
      <text>
        <r>
          <rPr>
            <sz val="10"/>
            <color rgb="FF000000"/>
            <rFont val="Arial"/>
            <family val="2"/>
          </rPr>
          <t>http://probaseballexperience.jcink.net/index.php?showtopic=5278</t>
        </r>
      </text>
    </comment>
    <comment ref="H49" authorId="0" shapeId="0" xr:uid="{00000000-0006-0000-0E00-00001A000000}">
      <text>
        <r>
          <rPr>
            <sz val="10"/>
            <color rgb="FF000000"/>
            <rFont val="Arial"/>
            <family val="2"/>
          </rPr>
          <t>http://probaseballexperience.jcink.net/index.php?showtopic=5588
http://probaseballexperience.jcink.net/index.php?showtopic=5296</t>
        </r>
      </text>
    </comment>
    <comment ref="H50" authorId="0" shapeId="0" xr:uid="{00000000-0006-0000-0E00-00001B000000}">
      <text>
        <r>
          <rPr>
            <sz val="10"/>
            <color rgb="FF000000"/>
            <rFont val="Arial"/>
            <family val="2"/>
          </rPr>
          <t>http://probaseballexperience.jcink.net/index.php?showtopic=5462</t>
        </r>
      </text>
    </comment>
    <comment ref="N50" authorId="0" shapeId="0" xr:uid="{00000000-0006-0000-0E00-00001C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K57" authorId="0" shapeId="0" xr:uid="{00000000-0006-0000-0E00-00001D000000}">
      <text>
        <r>
          <rPr>
            <sz val="10"/>
            <color rgb="FF000000"/>
            <rFont val="Arial"/>
            <family val="2"/>
          </rPr>
          <t xml:space="preserve">http://probaseballexperience.jcink.net/index.php?showtopic=5928
http://probaseballexperience.jcink.net/index.php?showtopic=5246
</t>
        </r>
      </text>
    </comment>
    <comment ref="B58" authorId="0" shapeId="0" xr:uid="{00000000-0006-0000-0E00-00001E000000}">
      <text>
        <r>
          <rPr>
            <sz val="10"/>
            <color rgb="FF000000"/>
            <rFont val="Arial"/>
            <family val="2"/>
          </rPr>
          <t>http://probaseballexperience.jcink.net/index.php?showtopic=5580</t>
        </r>
      </text>
    </comment>
    <comment ref="H58" authorId="0" shapeId="0" xr:uid="{00000000-0006-0000-0E00-00001F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H59" authorId="0" shapeId="0" xr:uid="{00000000-0006-0000-0E00-000020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K59" authorId="0" shapeId="0" xr:uid="{00000000-0006-0000-0E00-000021000000}">
      <text>
        <r>
          <rPr>
            <sz val="10"/>
            <color rgb="FF000000"/>
            <rFont val="Arial"/>
            <family val="2"/>
          </rPr>
          <t>S10 Soft Salary Cap Violations</t>
        </r>
      </text>
    </comment>
    <comment ref="L59" authorId="0" shapeId="0" xr:uid="{00000000-0006-0000-0E00-000022000000}">
      <text>
        <r>
          <rPr>
            <sz val="10"/>
            <color rgb="FF000000"/>
            <rFont val="Arial"/>
            <family val="2"/>
          </rPr>
          <t>http://probaseballexperience.jcink.net/index.php?showtopic=5928</t>
        </r>
      </text>
    </comment>
    <comment ref="H60" authorId="0" shapeId="0" xr:uid="{00000000-0006-0000-0E00-000023000000}">
      <text>
        <r>
          <rPr>
            <sz val="10"/>
            <color rgb="FF000000"/>
            <rFont val="Arial"/>
            <family val="2"/>
          </rPr>
          <t>http://probaseballexperience.jcink.net/index.php?showtopic=5273</t>
        </r>
      </text>
    </comment>
    <comment ref="I60" authorId="0" shapeId="0" xr:uid="{00000000-0006-0000-0E00-000024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K60" authorId="0" shapeId="0" xr:uid="{00000000-0006-0000-0E00-000025000000}">
      <text>
        <r>
          <rPr>
            <sz val="10"/>
            <color rgb="FF000000"/>
            <rFont val="Arial"/>
            <family val="2"/>
          </rPr>
          <t>http://probaseballexperience.jcink.net/index.php?showtopic=5305</t>
        </r>
      </text>
    </comment>
    <comment ref="L60" authorId="0" shapeId="0" xr:uid="{00000000-0006-0000-0E00-000026000000}">
      <text>
        <r>
          <rPr>
            <sz val="10"/>
            <color rgb="FF000000"/>
            <rFont val="Arial"/>
            <family val="2"/>
          </rPr>
          <t>http://probaseballexperience.jcink.net/index.php?showtopic=5928
http://probaseballexperience.jcink.net/index.php?showtopic=5607&amp;view=findpost&amp;p=67220</t>
        </r>
      </text>
    </comment>
    <comment ref="B61" authorId="0" shapeId="0" xr:uid="{00000000-0006-0000-0E00-000027000000}">
      <text>
        <r>
          <rPr>
            <sz val="10"/>
            <color rgb="FF000000"/>
            <rFont val="Arial"/>
            <family val="2"/>
          </rPr>
          <t>S10 Soft Salary Cap Violations</t>
        </r>
      </text>
    </comment>
    <comment ref="F62" authorId="0" shapeId="0" xr:uid="{00000000-0006-0000-0E00-000028000000}">
      <text>
        <r>
          <rPr>
            <sz val="10"/>
            <color rgb="FF000000"/>
            <rFont val="Arial"/>
            <family val="2"/>
          </rPr>
          <t>http://probaseballexperience.jcink.net/index.php?showtopic=5639&amp;view=findpost&amp;p=67945
http://probaseballexperience.jcink.net/index.php?showtopic=5580</t>
        </r>
      </text>
    </comment>
    <comment ref="I62" authorId="0" shapeId="0" xr:uid="{00000000-0006-0000-0E00-000029000000}">
      <text>
        <r>
          <rPr>
            <sz val="10"/>
            <color rgb="FF000000"/>
            <rFont val="Arial"/>
            <family val="2"/>
          </rPr>
          <t>http://probaseballexperience.jcink.net/index.php?showtopic=5296</t>
        </r>
      </text>
    </comment>
    <comment ref="K62" authorId="0" shapeId="0" xr:uid="{00000000-0006-0000-0E00-00002A000000}">
      <text>
        <r>
          <rPr>
            <sz val="10"/>
            <color rgb="FF000000"/>
            <rFont val="Arial"/>
            <family val="2"/>
          </rPr>
          <t>S10 Soft Salary Cap Violations</t>
        </r>
      </text>
    </comment>
    <comment ref="B81" authorId="0" shapeId="0" xr:uid="{00000000-0006-0000-0E00-00002B000000}">
      <text>
        <r>
          <rPr>
            <sz val="10"/>
            <color rgb="FF000000"/>
            <rFont val="Arial"/>
            <family val="2"/>
          </rPr>
          <t>http://probaseballexperience.jcink.net/index.php?showtopic=5246
http://probaseballexperience.jcink.net/index.php?showtopic=4335&amp;st=0&amp;#entry50199</t>
        </r>
      </text>
    </comment>
    <comment ref="H82" authorId="0" shapeId="0" xr:uid="{00000000-0006-0000-0E00-00002C000000}">
      <text>
        <r>
          <rPr>
            <sz val="10"/>
            <color rgb="FF000000"/>
            <rFont val="Arial"/>
            <family val="2"/>
          </rPr>
          <t xml:space="preserve">http://probaseballexperience.jcink.net/index.php?showtopic=5246
</t>
        </r>
      </text>
    </comment>
    <comment ref="I82" authorId="0" shapeId="0" xr:uid="{00000000-0006-0000-0E00-00002D000000}">
      <text>
        <r>
          <rPr>
            <sz val="10"/>
            <color rgb="FF000000"/>
            <rFont val="Arial"/>
            <family val="2"/>
          </rPr>
          <t xml:space="preserve">http://probaseballexperience.jcink.net/index.php?showtopic=5246
</t>
        </r>
      </text>
    </comment>
    <comment ref="K82" authorId="0" shapeId="0" xr:uid="{00000000-0006-0000-0E00-00002E000000}">
      <text>
        <r>
          <rPr>
            <sz val="10"/>
            <color rgb="FF000000"/>
            <rFont val="Arial"/>
            <family val="2"/>
          </rPr>
          <t>http://probaseballexperience.jcink.net/index.php?showtopic=4503</t>
        </r>
      </text>
    </comment>
    <comment ref="B83" authorId="0" shapeId="0" xr:uid="{00000000-0006-0000-0E00-00002F000000}">
      <text>
        <r>
          <rPr>
            <sz val="10"/>
            <color rgb="FF000000"/>
            <rFont val="Arial"/>
            <family val="2"/>
          </rPr>
          <t>http://probaseballexperience.jcink.net/index.php?showtopic=4999&amp;view=findpost&amp;p=59852</t>
        </r>
      </text>
    </comment>
    <comment ref="H83" authorId="0" shapeId="0" xr:uid="{00000000-0006-0000-0E00-000030000000}">
      <text>
        <r>
          <rPr>
            <sz val="10"/>
            <color rgb="FF000000"/>
            <rFont val="Arial"/>
            <family val="2"/>
          </rPr>
          <t>http://probaseballexperience.jcink.net/index.php?showtopic=4466</t>
        </r>
      </text>
    </comment>
    <comment ref="K84" authorId="0" shapeId="0" xr:uid="{00000000-0006-0000-0E00-000031000000}">
      <text>
        <r>
          <rPr>
            <sz val="10"/>
            <color rgb="FF000000"/>
            <rFont val="Arial"/>
            <family val="2"/>
          </rPr>
          <t>http://probaseballexperience.jcink.net/index.php?showtopic=4689
http://probaseballexperience.jcink.net/index.php?showtopic=4581</t>
        </r>
      </text>
    </comment>
    <comment ref="E86" authorId="0" shapeId="0" xr:uid="{00000000-0006-0000-0E00-000032000000}">
      <text>
        <r>
          <rPr>
            <sz val="10"/>
            <color rgb="FF000000"/>
            <rFont val="Arial"/>
            <family val="2"/>
          </rPr>
          <t>S9 Soft Salary Cap Penalty</t>
        </r>
      </text>
    </comment>
    <comment ref="H93" authorId="0" shapeId="0" xr:uid="{00000000-0006-0000-0E00-000033000000}">
      <text>
        <r>
          <rPr>
            <sz val="10"/>
            <color rgb="FF000000"/>
            <rFont val="Arial"/>
            <family val="2"/>
          </rPr>
          <t>http://probaseballexperience.jcink.net/index.php?showtopic=4581</t>
        </r>
      </text>
    </comment>
    <comment ref="H94" authorId="0" shapeId="0" xr:uid="{00000000-0006-0000-0E00-000034000000}">
      <text>
        <r>
          <rPr>
            <sz val="10"/>
            <color rgb="FF000000"/>
            <rFont val="Arial"/>
            <family val="2"/>
          </rPr>
          <t>http://probaseballexperience.jcink.net/index.php?showtopic=4503</t>
        </r>
      </text>
    </comment>
    <comment ref="K94" authorId="0" shapeId="0" xr:uid="{00000000-0006-0000-0E00-000035000000}">
      <text>
        <r>
          <rPr>
            <sz val="10"/>
            <color rgb="FF000000"/>
            <rFont val="Arial"/>
            <family val="2"/>
          </rPr>
          <t>http://probaseballexperience.jcink.net/index.php?showtopic=4992&amp;view=findpost&amp;p=59691</t>
        </r>
      </text>
    </comment>
    <comment ref="B95" authorId="0" shapeId="0" xr:uid="{00000000-0006-0000-0E00-000036000000}">
      <text>
        <r>
          <rPr>
            <sz val="10"/>
            <color rgb="FF000000"/>
            <rFont val="Arial"/>
            <family val="2"/>
          </rPr>
          <t>S9 Soft Salary Cap Penalty</t>
        </r>
      </text>
    </comment>
    <comment ref="E95" authorId="0" shapeId="0" xr:uid="{00000000-0006-0000-0E00-000037000000}">
      <text>
        <r>
          <rPr>
            <sz val="10"/>
            <color rgb="FF000000"/>
            <rFont val="Arial"/>
            <family val="2"/>
          </rPr>
          <t>http://probaseballexperience.jcink.net/index.php?showtopic=4330</t>
        </r>
      </text>
    </comment>
    <comment ref="H95" authorId="0" shapeId="0" xr:uid="{00000000-0006-0000-0E00-000038000000}">
      <text>
        <r>
          <rPr>
            <sz val="10"/>
            <color rgb="FF000000"/>
            <rFont val="Arial"/>
            <family val="2"/>
          </rPr>
          <t>http://probaseballexperience.jcink.net/index.php?showtopic=4992&amp;view=findpost&amp;p=59691</t>
        </r>
      </text>
    </comment>
    <comment ref="H96" authorId="0" shapeId="0" xr:uid="{00000000-0006-0000-0E00-000039000000}">
      <text>
        <r>
          <rPr>
            <sz val="10"/>
            <color rgb="FF000000"/>
            <rFont val="Arial"/>
            <family val="2"/>
          </rPr>
          <t>http://probaseballexperience.jcink.net/index.php?showtopic=4999&amp;view=findpost&amp;p=59852
http://probaseballexperience.jcink.net/index.php?showtopic=4992&amp;view=findpost&amp;p=59691</t>
        </r>
      </text>
    </comment>
    <comment ref="K96" authorId="0" shapeId="0" xr:uid="{00000000-0006-0000-0E00-00003A000000}">
      <text>
        <r>
          <rPr>
            <sz val="10"/>
            <color rgb="FF000000"/>
            <rFont val="Arial"/>
            <family val="2"/>
          </rPr>
          <t>http://probaseballexperience.jcink.net/index.php?showtopic=5117</t>
        </r>
      </text>
    </comment>
    <comment ref="B97" authorId="0" shapeId="0" xr:uid="{00000000-0006-0000-0E00-00003B000000}">
      <text>
        <r>
          <rPr>
            <sz val="10"/>
            <color rgb="FF000000"/>
            <rFont val="Arial"/>
            <family val="2"/>
          </rPr>
          <t>S9 Soft Salary Cap Penalty</t>
        </r>
      </text>
    </comment>
    <comment ref="E97" authorId="0" shapeId="0" xr:uid="{00000000-0006-0000-0E00-00003C000000}">
      <text>
        <r>
          <rPr>
            <sz val="10"/>
            <color rgb="FF000000"/>
            <rFont val="Arial"/>
            <family val="2"/>
          </rPr>
          <t>http://probaseballexperience.jcink.net/index.php?showtopic=5198
http://probaseballexperience.jcink.net/index.php?showtopic=4495</t>
        </r>
      </text>
    </comment>
    <comment ref="K97" authorId="0" shapeId="0" xr:uid="{00000000-0006-0000-0E00-00003D000000}">
      <text>
        <r>
          <rPr>
            <sz val="10"/>
            <color rgb="FF000000"/>
            <rFont val="Arial"/>
            <family val="2"/>
          </rPr>
          <t>http://probaseballexperience.jcink.net/index.php?showtopic=5198</t>
        </r>
      </text>
    </comment>
    <comment ref="E98" authorId="0" shapeId="0" xr:uid="{00000000-0006-0000-0E00-00003E000000}">
      <text>
        <r>
          <rPr>
            <sz val="10"/>
            <color rgb="FF000000"/>
            <rFont val="Arial"/>
            <family val="2"/>
          </rPr>
          <t>http://probaseballexperience.jcink.net/index.php?showtopic=5198
http://probaseballexperience.jcink.net/index.php?showtopic=4587</t>
        </r>
      </text>
    </comment>
    <comment ref="K98" authorId="0" shapeId="0" xr:uid="{00000000-0006-0000-0E00-00003F000000}">
      <text>
        <r>
          <rPr>
            <sz val="10"/>
            <color rgb="FF000000"/>
            <rFont val="Arial"/>
            <family val="2"/>
          </rPr>
          <t>S9 Soft Salary Cap Penalty</t>
        </r>
      </text>
    </comment>
    <comment ref="B113" authorId="0" shapeId="0" xr:uid="{00000000-0006-0000-0E00-000040000000}">
      <text>
        <r>
          <rPr>
            <sz val="10"/>
            <color rgb="FF000000"/>
            <rFont val="Arial"/>
            <family val="2"/>
          </rPr>
          <t xml:space="preserve">S8 Soft Salary Cap Penalty
</t>
        </r>
      </text>
    </comment>
    <comment ref="H113" authorId="0" shapeId="0" xr:uid="{00000000-0006-0000-0E00-000041000000}">
      <text>
        <r>
          <rPr>
            <sz val="10"/>
            <color rgb="FF000000"/>
            <rFont val="Arial"/>
            <family val="2"/>
          </rPr>
          <t>http://probaseballexperience.jcink.net/index.php?showtopic=4335&amp;st=0&amp;#entry50199</t>
        </r>
      </text>
    </comment>
    <comment ref="H114" authorId="0" shapeId="0" xr:uid="{00000000-0006-0000-0E00-000042000000}">
      <text>
        <r>
          <rPr>
            <sz val="10"/>
            <color rgb="FF000000"/>
            <rFont val="Arial"/>
            <family val="2"/>
          </rPr>
          <t>http://probaseballexperience.jcink.net/index.php?showtopic=4619
http://probaseballexperience.jcink.net/index.php?showtopic=4338</t>
        </r>
      </text>
    </comment>
    <comment ref="I114" authorId="0" shapeId="0" xr:uid="{00000000-0006-0000-0E00-000043000000}">
      <text>
        <r>
          <rPr>
            <sz val="10"/>
            <color rgb="FF000000"/>
            <rFont val="Arial"/>
            <family val="2"/>
          </rPr>
          <t>http://probaseballexperience.jcink.net/index.php?showtopic=4466</t>
        </r>
      </text>
    </comment>
    <comment ref="L114" authorId="0" shapeId="0" xr:uid="{00000000-0006-0000-0E00-000044000000}">
      <text>
        <r>
          <rPr>
            <sz val="10"/>
            <color rgb="FF000000"/>
            <rFont val="Arial"/>
            <family val="2"/>
          </rPr>
          <t>http://probaseballexperience.jcink.net/index.php?showtopic=4503</t>
        </r>
      </text>
    </comment>
    <comment ref="B115" authorId="0" shapeId="0" xr:uid="{00000000-0006-0000-0E00-000045000000}">
      <text>
        <r>
          <rPr>
            <sz val="10"/>
            <color rgb="FF000000"/>
            <rFont val="Arial"/>
            <family val="2"/>
          </rPr>
          <t xml:space="preserve">S8 Soft Salary Cap Penalty
</t>
        </r>
      </text>
    </comment>
    <comment ref="H115" authorId="0" shapeId="0" xr:uid="{00000000-0006-0000-0E00-000046000000}">
      <text>
        <r>
          <rPr>
            <sz val="10"/>
            <color rgb="FF000000"/>
            <rFont val="Arial"/>
            <family val="2"/>
          </rPr>
          <t>http://probaseballexperience.jcink.net/index.php?showtopic=4466</t>
        </r>
      </text>
    </comment>
    <comment ref="K115" authorId="0" shapeId="0" xr:uid="{00000000-0006-0000-0E00-000047000000}">
      <text>
        <r>
          <rPr>
            <sz val="10"/>
            <color rgb="FF000000"/>
            <rFont val="Arial"/>
            <family val="2"/>
          </rPr>
          <t>http://probaseballexperience.jcink.net/index.php?showtopic=4689</t>
        </r>
      </text>
    </comment>
    <comment ref="H116" authorId="0" shapeId="0" xr:uid="{00000000-0006-0000-0E00-000048000000}">
      <text>
        <r>
          <rPr>
            <sz val="10"/>
            <color rgb="FF000000"/>
            <rFont val="Arial"/>
            <family val="2"/>
          </rPr>
          <t>http://probaseballexperience.jcink.net/index.php?showtopic=4341</t>
        </r>
      </text>
    </comment>
    <comment ref="I116" authorId="0" shapeId="0" xr:uid="{00000000-0006-0000-0E00-000049000000}">
      <text>
        <r>
          <rPr>
            <sz val="10"/>
            <color rgb="FF000000"/>
            <rFont val="Arial"/>
            <family val="2"/>
          </rPr>
          <t>http://probaseballexperience.jcink.net/index.php?showtopic=4335&amp;st=0&amp;#entry50199</t>
        </r>
      </text>
    </comment>
    <comment ref="K116" authorId="0" shapeId="0" xr:uid="{00000000-0006-0000-0E00-00004A000000}">
      <text>
        <r>
          <rPr>
            <sz val="10"/>
            <color rgb="FF000000"/>
            <rFont val="Arial"/>
            <family val="2"/>
          </rPr>
          <t>http://probaseballexperience.jcink.net/index.php?showtopic=4689</t>
        </r>
      </text>
    </comment>
    <comment ref="L116" authorId="0" shapeId="0" xr:uid="{00000000-0006-0000-0E00-00004B000000}">
      <text>
        <r>
          <rPr>
            <sz val="10"/>
            <color rgb="FF000000"/>
            <rFont val="Arial"/>
            <family val="2"/>
          </rPr>
          <t>http://probaseballexperience.jcink.net/index.php?showtopic=4689
http://probaseballexperience.jcink.net/index.php?showtopic=4581</t>
        </r>
      </text>
    </comment>
    <comment ref="H125" authorId="0" shapeId="0" xr:uid="{00000000-0006-0000-0E00-00004C000000}">
      <text>
        <r>
          <rPr>
            <sz val="10"/>
            <color rgb="FF000000"/>
            <rFont val="Arial"/>
            <family val="2"/>
          </rPr>
          <t>http://probaseballexperience.jcink.net/index.php?showtopic=4335&amp;st=0&amp;#entry50199</t>
        </r>
      </text>
    </comment>
    <comment ref="I125" authorId="0" shapeId="0" xr:uid="{00000000-0006-0000-0E00-00004D000000}">
      <text>
        <r>
          <rPr>
            <sz val="10"/>
            <color rgb="FF000000"/>
            <rFont val="Arial"/>
            <family val="2"/>
          </rPr>
          <t>http://probaseballexperience.jcink.net/index.php?showtopic=4581</t>
        </r>
      </text>
    </comment>
    <comment ref="K125" authorId="0" shapeId="0" xr:uid="{00000000-0006-0000-0E00-00004E000000}">
      <text>
        <r>
          <rPr>
            <sz val="10"/>
            <color rgb="FF000000"/>
            <rFont val="Arial"/>
            <family val="2"/>
          </rPr>
          <t>http://probaseballexperience.jcink.net/index.php?showtopic=4466</t>
        </r>
      </text>
    </comment>
    <comment ref="E126" authorId="0" shapeId="0" xr:uid="{00000000-0006-0000-0E00-00004F000000}">
      <text>
        <r>
          <rPr>
            <sz val="10"/>
            <color rgb="FF000000"/>
            <rFont val="Arial"/>
            <family val="2"/>
          </rPr>
          <t>http://probaseballexperience.jcink.net/index.php?showtopic=4640
http://probaseballexperience.jcink.net/index.php?showtopic=3924&amp;view=findpost&amp;p=44417</t>
        </r>
      </text>
    </comment>
    <comment ref="I126" authorId="0" shapeId="0" xr:uid="{00000000-0006-0000-0E00-000050000000}">
      <text>
        <r>
          <rPr>
            <sz val="10"/>
            <color rgb="FF000000"/>
            <rFont val="Arial"/>
            <family val="2"/>
          </rPr>
          <t>http://probaseballexperience.jcink.net/index.php?showtopic=4503</t>
        </r>
      </text>
    </comment>
    <comment ref="B127" authorId="0" shapeId="0" xr:uid="{00000000-0006-0000-0E00-000051000000}">
      <text>
        <r>
          <rPr>
            <sz val="10"/>
            <color rgb="FF000000"/>
            <rFont val="Arial"/>
            <family val="2"/>
          </rPr>
          <t xml:space="preserve">S8 Soft Salary Cap Penalty
</t>
        </r>
      </text>
    </comment>
    <comment ref="E127" authorId="0" shapeId="0" xr:uid="{00000000-0006-0000-0E00-000052000000}">
      <text>
        <r>
          <rPr>
            <sz val="10"/>
            <color rgb="FF000000"/>
            <rFont val="Arial"/>
            <family val="2"/>
          </rPr>
          <t>http://probaseballexperience.jcink.net/index.php?showtopic=4619
http://probaseballexperience.jcink.net/index.php?showtopic=3886</t>
        </r>
      </text>
    </comment>
    <comment ref="K127" authorId="0" shapeId="0" xr:uid="{00000000-0006-0000-0E00-000053000000}">
      <text>
        <r>
          <rPr>
            <sz val="10"/>
            <color rgb="FF000000"/>
            <rFont val="Arial"/>
            <family val="2"/>
          </rPr>
          <t>http://probaseballexperience.jcink.net/index.php?showtopic=4495</t>
        </r>
      </text>
    </comment>
    <comment ref="L127" authorId="0" shapeId="0" xr:uid="{00000000-0006-0000-0E00-000054000000}">
      <text>
        <r>
          <rPr>
            <sz val="10"/>
            <color rgb="FF000000"/>
            <rFont val="Arial"/>
            <family val="2"/>
          </rPr>
          <t>http://probaseballexperience.jcink.net/index.php?showtopic=4495</t>
        </r>
      </text>
    </comment>
    <comment ref="E128" authorId="0" shapeId="0" xr:uid="{00000000-0006-0000-0E00-000055000000}">
      <text>
        <r>
          <rPr>
            <sz val="10"/>
            <color rgb="FF000000"/>
            <rFont val="Arial"/>
            <family val="2"/>
          </rPr>
          <t>S7 Salary Cap Penalty</t>
        </r>
      </text>
    </comment>
    <comment ref="F128" authorId="0" shapeId="0" xr:uid="{00000000-0006-0000-0E00-000056000000}">
      <text>
        <r>
          <rPr>
            <sz val="10"/>
            <color rgb="FF000000"/>
            <rFont val="Arial"/>
            <family val="2"/>
          </rPr>
          <t>http://probaseballexperience.jcink.net/index.php?showtopic=4330</t>
        </r>
      </text>
    </comment>
    <comment ref="L128" authorId="0" shapeId="0" xr:uid="{00000000-0006-0000-0E00-000057000000}">
      <text>
        <r>
          <rPr>
            <sz val="10"/>
            <color rgb="FF000000"/>
            <rFont val="Arial"/>
            <family val="2"/>
          </rPr>
          <t>S10 SAS 3rd</t>
        </r>
      </text>
    </comment>
    <comment ref="H129" authorId="0" shapeId="0" xr:uid="{00000000-0006-0000-0E00-000058000000}">
      <text>
        <r>
          <rPr>
            <sz val="10"/>
            <color rgb="FF000000"/>
            <rFont val="Arial"/>
            <family val="2"/>
          </rPr>
          <t xml:space="preserve">S8 Soft Salary Cap Penalty
</t>
        </r>
      </text>
    </comment>
    <comment ref="E130" authorId="0" shapeId="0" xr:uid="{00000000-0006-0000-0E00-000059000000}">
      <text>
        <r>
          <rPr>
            <sz val="10"/>
            <color rgb="FF000000"/>
            <rFont val="Arial"/>
            <family val="2"/>
          </rPr>
          <t>http://probaseballexperience.jcink.net/index.php?showtopic=4330</t>
        </r>
      </text>
    </comment>
    <comment ref="E132" authorId="0" shapeId="0" xr:uid="{00000000-0006-0000-0E00-00005A000000}">
      <text>
        <r>
          <rPr>
            <sz val="10"/>
            <color rgb="FF000000"/>
            <rFont val="Arial"/>
            <family val="2"/>
          </rPr>
          <t>http://probaseballexperience.jcink.net/index.php?showtopic=4379</t>
        </r>
      </text>
    </comment>
  </commentList>
</comments>
</file>

<file path=xl/sharedStrings.xml><?xml version="1.0" encoding="utf-8"?>
<sst xmlns="http://schemas.openxmlformats.org/spreadsheetml/2006/main" count="11733" uniqueCount="2298">
  <si>
    <t>Why are the bonsuses included in the budget from the moment they are put in?</t>
  </si>
  <si>
    <t>Basically, thank LoneDigger's amazing contract with San Antonio.  Because we don't want a team to go over the hard cap, we're setting the budgets with the max possible earning and then scaling down rather than the other way.</t>
  </si>
  <si>
    <t>Is your team updated for the start of the season?</t>
  </si>
  <si>
    <t>PRO</t>
  </si>
  <si>
    <t>done</t>
  </si>
  <si>
    <t>OBX</t>
  </si>
  <si>
    <t>Team</t>
  </si>
  <si>
    <t>Forum Handle</t>
  </si>
  <si>
    <t>NYV</t>
  </si>
  <si>
    <t>FL</t>
  </si>
  <si>
    <t>DVS</t>
  </si>
  <si>
    <t>SAS</t>
  </si>
  <si>
    <t>VAN</t>
  </si>
  <si>
    <t>UTA</t>
  </si>
  <si>
    <t>Player Thread</t>
  </si>
  <si>
    <t>Player Name</t>
  </si>
  <si>
    <t>Position</t>
  </si>
  <si>
    <t>Archetype</t>
  </si>
  <si>
    <t>TPE</t>
  </si>
  <si>
    <t>S11</t>
  </si>
  <si>
    <t>S12</t>
  </si>
  <si>
    <t>S13</t>
  </si>
  <si>
    <t>S14</t>
  </si>
  <si>
    <t>Contract Notes</t>
  </si>
  <si>
    <t>Season Drafted</t>
  </si>
  <si>
    <t>Drafted Overall</t>
  </si>
  <si>
    <t>Regression class</t>
  </si>
  <si>
    <t>Mi Team</t>
  </si>
  <si>
    <t>Mi Draft</t>
  </si>
  <si>
    <t>MiTaken</t>
  </si>
  <si>
    <t>Inactive</t>
  </si>
  <si>
    <t>S3 Salary</t>
  </si>
  <si>
    <t>S4</t>
  </si>
  <si>
    <t>S5</t>
  </si>
  <si>
    <t>S6</t>
  </si>
  <si>
    <t>S7</t>
  </si>
  <si>
    <t>S8</t>
  </si>
  <si>
    <t>S9</t>
  </si>
  <si>
    <t>S10</t>
  </si>
  <si>
    <t>S9 Start TPE</t>
  </si>
  <si>
    <t>25.03.2018 TPE</t>
  </si>
  <si>
    <t>18.03.2018 TPE</t>
  </si>
  <si>
    <t>11.03.2018 TPE</t>
  </si>
  <si>
    <t>05.03.2018 TPE</t>
  </si>
  <si>
    <t>DRA</t>
  </si>
  <si>
    <t>thehonbtw</t>
  </si>
  <si>
    <t>Power/React</t>
  </si>
  <si>
    <t>N/A</t>
  </si>
  <si>
    <t>Vandelay</t>
  </si>
  <si>
    <t>Middle/Long Relief</t>
  </si>
  <si>
    <t>Leafer</t>
  </si>
  <si>
    <t>G</t>
  </si>
  <si>
    <t>Fotp</t>
  </si>
  <si>
    <t>Pos</t>
  </si>
  <si>
    <t>Tt</t>
  </si>
  <si>
    <t>Power</t>
  </si>
  <si>
    <t xml:space="preserve"> </t>
  </si>
  <si>
    <t>Boss</t>
  </si>
  <si>
    <t>Poer/Strong Arm</t>
  </si>
  <si>
    <t>gucci</t>
  </si>
  <si>
    <t>Contact/Strong Arm</t>
  </si>
  <si>
    <t>aboutbeer</t>
  </si>
  <si>
    <t>Contact/Speedy</t>
  </si>
  <si>
    <t>http://probaseballexperience.jcink.net/index.php?showtopic=79</t>
  </si>
  <si>
    <t>kckolbe</t>
  </si>
  <si>
    <t>Kevin Biggio - CF</t>
  </si>
  <si>
    <t>Kevin Biggio</t>
  </si>
  <si>
    <t>CF</t>
  </si>
  <si>
    <t>Speed/Speed</t>
  </si>
  <si>
    <t>http://probaseballexperience.jcink.net/index.php?showtopic=4994</t>
  </si>
  <si>
    <t>S1</t>
  </si>
  <si>
    <t>http://probaseballexperience.jcink.net/index.php?showtopic=1114</t>
  </si>
  <si>
    <t>timeconsumer</t>
  </si>
  <si>
    <t>Eduardo Dinero - SS</t>
  </si>
  <si>
    <t>Eduardo Dinero</t>
  </si>
  <si>
    <t>SS</t>
  </si>
  <si>
    <t xml:space="preserve">Balanced/Balanced </t>
  </si>
  <si>
    <t>http://probaseballexperience.jcink.net/index.php?showtopic=4883</t>
  </si>
  <si>
    <t>S2</t>
  </si>
  <si>
    <t>http://probaseballexperience.jcink.net/index.php?showtopic=104</t>
  </si>
  <si>
    <t>Rabidsponge21</t>
  </si>
  <si>
    <t>Connor Macdonald - 2B</t>
  </si>
  <si>
    <t>Connor Macdonald</t>
  </si>
  <si>
    <t>2B</t>
  </si>
  <si>
    <t>Contact/Balanced</t>
  </si>
  <si>
    <t>NTC S10 MO</t>
  </si>
  <si>
    <t>http://probaseballexperience.jcink.net/index.php?showtopic=1154</t>
  </si>
  <si>
    <t>Asawisemansaid</t>
  </si>
  <si>
    <t>Greg Steiner - SP</t>
  </si>
  <si>
    <t>Greg Steiner</t>
  </si>
  <si>
    <t>SP</t>
  </si>
  <si>
    <t>:rangers:</t>
  </si>
  <si>
    <t>:rangers: [b][url=http://probaseballexperience.jcink.net/index.php?showtopic=1154]Greg Steiner - SP[/url][/b] TPE: 1521, Regression Class: S2</t>
  </si>
  <si>
    <t>http://probaseballexperience.jcink.net/index.php?showtopic=345</t>
  </si>
  <si>
    <t>Mavfatha</t>
  </si>
  <si>
    <t>Ozamataz Buckshank - SS</t>
  </si>
  <si>
    <t>Ozamataz Buckshank</t>
  </si>
  <si>
    <t>Balanced/Balanced</t>
  </si>
  <si>
    <t>S5-S10 MO</t>
  </si>
  <si>
    <t>http://probaseballexperience.jcink.net/index.php?showtopic=180</t>
  </si>
  <si>
    <t>JuOSu</t>
  </si>
  <si>
    <t>Julian O'Sullivan - C</t>
  </si>
  <si>
    <t>Julian O'Sullivan</t>
  </si>
  <si>
    <t>C</t>
  </si>
  <si>
    <t>Power/Quick</t>
  </si>
  <si>
    <t>http://probaseballexperience.jcink.net/index.php?showtopic=405</t>
  </si>
  <si>
    <t>JKortesi81</t>
  </si>
  <si>
    <t>Penny Kowers - CL</t>
  </si>
  <si>
    <t>Penny Kowers</t>
  </si>
  <si>
    <t>Balanced</t>
  </si>
  <si>
    <t>S10 PO</t>
  </si>
  <si>
    <t>http://probaseballexperience.jcink.net/index.php?showtopic=156</t>
  </si>
  <si>
    <t>Evok</t>
  </si>
  <si>
    <t>Victoria Secret - SP</t>
  </si>
  <si>
    <t>Finesse</t>
  </si>
  <si>
    <t>S10-11 PO</t>
  </si>
  <si>
    <t>http://probaseballexperience.jcink.net/index.php?showtopic=1161</t>
  </si>
  <si>
    <t>LGM2018</t>
  </si>
  <si>
    <t>Phillip Thompson - SP</t>
  </si>
  <si>
    <t>Phillip Thompson</t>
  </si>
  <si>
    <t>Knuckleball</t>
  </si>
  <si>
    <t>S9/12/14 TO</t>
  </si>
  <si>
    <t>http://probaseballexperience.jcink.net/index.php?showtopic=1560</t>
  </si>
  <si>
    <t>bovo</t>
  </si>
  <si>
    <t>D'Aroldis Borkman - CL</t>
  </si>
  <si>
    <t>D'Aroldis Borkman</t>
  </si>
  <si>
    <t>S3</t>
  </si>
  <si>
    <t>http://probaseballexperience.jcink.net/index.php?showtopic=1732</t>
  </si>
  <si>
    <t>majesiu</t>
  </si>
  <si>
    <t>Paulo Di Stephano - RF</t>
  </si>
  <si>
    <t>Paulo Di Stephano</t>
  </si>
  <si>
    <t>RF</t>
  </si>
  <si>
    <t>Power/Arm</t>
  </si>
  <si>
    <t>S6-S14 MO</t>
  </si>
  <si>
    <t>S11 Draft</t>
  </si>
  <si>
    <t>http://probaseballexperience.jcink.net/index.php?showtopic=122</t>
  </si>
  <si>
    <t>iamslm22</t>
  </si>
  <si>
    <t>Team Budgets</t>
  </si>
  <si>
    <t>Esteban Rodriguez - SP</t>
  </si>
  <si>
    <t>Upcoming Draftees</t>
  </si>
  <si>
    <t>Esteban Rodriguez</t>
  </si>
  <si>
    <t>as GM</t>
  </si>
  <si>
    <t>S15</t>
  </si>
  <si>
    <t>Sum</t>
  </si>
  <si>
    <t>Pitchers</t>
  </si>
  <si>
    <t>:rangers: [b][url=http://probaseballexperience.jcink.net/index.php?showtopic=122]Esteban Rodriguez - SP[/url][/b] TPE: 1612, Regression Class: S1</t>
  </si>
  <si>
    <t>http://probaseballexperience.jcink.net/index.php?showtopic=211</t>
  </si>
  <si>
    <t>Jonstradamus</t>
  </si>
  <si>
    <t>Johnny Runakiwi - SS</t>
  </si>
  <si>
    <t>Batters</t>
  </si>
  <si>
    <t>Johnny Runakiwi</t>
  </si>
  <si>
    <t>Contact/Quick</t>
  </si>
  <si>
    <t>S10-12 MO</t>
  </si>
  <si>
    <t>:rangers: [b][url=http://probaseballexperience.jcink.net/index.php?showtopic=211]Johnny Runakiwi - SS[/url][/b] TPE: 1564, Regression Class: S1</t>
  </si>
  <si>
    <t>http://probaseballexperience.jcink.net/index.php?showtopic=1045</t>
  </si>
  <si>
    <t>Free Agents</t>
  </si>
  <si>
    <t>MrStennett</t>
  </si>
  <si>
    <t>Jake Stennett - RF</t>
  </si>
  <si>
    <t>Jake Stennett</t>
  </si>
  <si>
    <t>Balanced/Arm</t>
  </si>
  <si>
    <t>Soft Salary Cap</t>
  </si>
  <si>
    <t>http://probaseballexperience.jcink.net/index.php?showtopic=191</t>
  </si>
  <si>
    <t>Hard Salary Cap</t>
  </si>
  <si>
    <t>goilers</t>
  </si>
  <si>
    <t>Sophia Bennett - RF</t>
  </si>
  <si>
    <t>Sophia Bennett</t>
  </si>
  <si>
    <t>Contact/Speed</t>
  </si>
  <si>
    <t>Last Update</t>
  </si>
  <si>
    <t>4/23/2019</t>
  </si>
  <si>
    <t>Team Rosters</t>
  </si>
  <si>
    <t>Starters</t>
  </si>
  <si>
    <t>Closers</t>
  </si>
  <si>
    <t>Catchers</t>
  </si>
  <si>
    <t>Infielders</t>
  </si>
  <si>
    <t>Outfielders</t>
  </si>
  <si>
    <t>Total</t>
  </si>
  <si>
    <t>http://probaseballexperience.jcink.net/index.php?showtopic=153</t>
  </si>
  <si>
    <t>PigSnout</t>
  </si>
  <si>
    <t>Vick Thunder - LF</t>
  </si>
  <si>
    <t>Vick Thunder</t>
  </si>
  <si>
    <t>LF</t>
  </si>
  <si>
    <t>Power/Speed</t>
  </si>
  <si>
    <t>S7-S14 TO</t>
  </si>
  <si>
    <t>http://probaseballexperience.jcink.net/index.php?showtopic=120</t>
  </si>
  <si>
    <t>manicmav36</t>
  </si>
  <si>
    <t>Shooty McLish - 1B</t>
  </si>
  <si>
    <t>Shooty McLish</t>
  </si>
  <si>
    <t>1B</t>
  </si>
  <si>
    <t>http://probaseballexperience.jcink.net/index.php?showtopic=101</t>
  </si>
  <si>
    <t>Beaver</t>
  </si>
  <si>
    <t>Do Min-joon - 1B</t>
  </si>
  <si>
    <t>Do Min-joon</t>
  </si>
  <si>
    <t>Power/Balanced</t>
  </si>
  <si>
    <t>S9-S12 MO</t>
  </si>
  <si>
    <t>http://probaseballexperience.jcink.net/index.php?showtopic=627</t>
  </si>
  <si>
    <t>Jarrod Stanton - 2B</t>
  </si>
  <si>
    <t>Jarrod Stanton</t>
  </si>
  <si>
    <t>S10-S12</t>
  </si>
  <si>
    <t>http://probaseballexperience.jcink.net/index.php?showtopic=88</t>
  </si>
  <si>
    <t>Shadowz</t>
  </si>
  <si>
    <t>Elston Sinclair - SP</t>
  </si>
  <si>
    <t>Elston Sinclair</t>
  </si>
  <si>
    <t>S8-10 MO</t>
  </si>
  <si>
    <t>:voyagers:</t>
  </si>
  <si>
    <t>:voyagers: [b][url=http://probaseballexperience.jcink.net/index.php?showtopic=88]Elston Sinclair - SP[/url][/b] TPE: 1355, Regression Class: S1</t>
  </si>
  <si>
    <t>http://probaseballexperience.jcink.net/index.php?showtopic=66</t>
  </si>
  <si>
    <t>ckroyal92</t>
  </si>
  <si>
    <t>Kenny McCormick - 2B</t>
  </si>
  <si>
    <t>Kenny McCormick</t>
  </si>
  <si>
    <t>:aviators:</t>
  </si>
  <si>
    <t>:aviators: [b][url=http://probaseballexperience.jcink.net/index.php?showtopic=66]Kenny McCormick - 2B[/url][/b] TPE: 1368, Regression Class: S1</t>
  </si>
  <si>
    <t>http://probaseballexperience.jcink.net/index.php?showtopic=1042</t>
  </si>
  <si>
    <t>vasolinetigers</t>
  </si>
  <si>
    <t>Simon Hans - SS</t>
  </si>
  <si>
    <t>Simon Hans</t>
  </si>
  <si>
    <t>3B</t>
  </si>
  <si>
    <t>S12 MO NTC</t>
  </si>
  <si>
    <t>http://probaseballexperience.jcink.net/index.php?showtopic=2155</t>
  </si>
  <si>
    <t>Moosecop</t>
  </si>
  <si>
    <t>Clem Johnson - 2B</t>
  </si>
  <si>
    <t>http://probaseballexperience.jcink.net/index.php?showtopic=792</t>
  </si>
  <si>
    <t>Clem Johnson</t>
  </si>
  <si>
    <t>CDub2</t>
  </si>
  <si>
    <t>S9-12 MO</t>
  </si>
  <si>
    <t>Ziggy Coffey - SS</t>
  </si>
  <si>
    <t>Speed/Quick</t>
  </si>
  <si>
    <t>S8-9 MO</t>
  </si>
  <si>
    <t>http://probaseballexperience.jcink.net/index.php?showtopic=2598</t>
  </si>
  <si>
    <t>http://probaseballexperience.jcink.net/index.php?showtopic=2467</t>
  </si>
  <si>
    <t>Trautner</t>
  </si>
  <si>
    <t>Bayley</t>
  </si>
  <si>
    <t>Jimmy Dong - CF</t>
  </si>
  <si>
    <t>Mookie Banks - SP</t>
  </si>
  <si>
    <t>Mookie Banks</t>
  </si>
  <si>
    <t>S7-S11 MO</t>
  </si>
  <si>
    <t>http://probaseballexperience.jcink.net/index.php?showtopic=2604</t>
  </si>
  <si>
    <t>Halfygar</t>
  </si>
  <si>
    <t>http://probaseballexperience.jcink.net/index.php?showtopic=2154</t>
  </si>
  <si>
    <t>Guy Walker - CL</t>
  </si>
  <si>
    <t>pazuzu</t>
  </si>
  <si>
    <t>Phillip J Fry - RF</t>
  </si>
  <si>
    <t>http://probaseballexperience.jcink.net/index.php?showtopic=2906</t>
  </si>
  <si>
    <t>caltroit_red_flames</t>
  </si>
  <si>
    <t>Phillip J Fry</t>
  </si>
  <si>
    <t>Speedy Boi - CF</t>
  </si>
  <si>
    <t>http://probaseballexperience.jcink.net/index.php?showtopic=2591</t>
  </si>
  <si>
    <t>http://probaseballexperience.jcink.net/index.php?showtopic=84</t>
  </si>
  <si>
    <t>Anderson Pooper</t>
  </si>
  <si>
    <t>tlk742</t>
  </si>
  <si>
    <t>Anderson Pooper - SP</t>
  </si>
  <si>
    <t>Randy Koufax - SP</t>
  </si>
  <si>
    <t>Randy Koufax</t>
  </si>
  <si>
    <t>http://probaseballexperience.jcink.net/index.php?showtopic=3476</t>
  </si>
  <si>
    <t>Blastmeaway</t>
  </si>
  <si>
    <t>Amp Bogart - RF</t>
  </si>
  <si>
    <t>http://probaseballexperience.jcink.net/index.php?showtopic=5553</t>
  </si>
  <si>
    <t>Ziggy Coffey</t>
  </si>
  <si>
    <t>5 (0)</t>
  </si>
  <si>
    <t>http://probaseballexperience.jcink.net/index.php?showtopic=4032</t>
  </si>
  <si>
    <t>kentuckycolonel</t>
  </si>
  <si>
    <t>Frederick Birdington - SP</t>
  </si>
  <si>
    <t>http://probaseballexperience.jcink.net/index.php?showtopic=3104</t>
  </si>
  <si>
    <t>Jimmy Dong</t>
  </si>
  <si>
    <t>andybj</t>
  </si>
  <si>
    <t>Catolo Kittone - C</t>
  </si>
  <si>
    <t>Contact/React</t>
  </si>
  <si>
    <t>ASE</t>
  </si>
  <si>
    <t>http://probaseballexperience.jcink.net/index.php?showtopic=2455</t>
  </si>
  <si>
    <t>PersonMann</t>
  </si>
  <si>
    <t>BWIII</t>
  </si>
  <si>
    <t>Firstname Lastname - C</t>
  </si>
  <si>
    <t>Weldon Borthwell - 3B</t>
  </si>
  <si>
    <t>Weldon Borthwell</t>
  </si>
  <si>
    <t>S11 TO</t>
  </si>
  <si>
    <t>0(5)</t>
  </si>
  <si>
    <t>http://probaseballexperience.jcink.net/index.php?showtopic=1741</t>
  </si>
  <si>
    <t>http://probaseballexperience.jcink.net/index.php?showtopic=1209</t>
  </si>
  <si>
    <t>jaskins811</t>
  </si>
  <si>
    <t>yoye</t>
  </si>
  <si>
    <t>Rodney Flecha - CL</t>
  </si>
  <si>
    <t>Roger Baton - 2B</t>
  </si>
  <si>
    <t>AdamS</t>
  </si>
  <si>
    <t>Roger Baton</t>
  </si>
  <si>
    <t>Mountain Thunderfist - 1B</t>
  </si>
  <si>
    <t>Balanced/DH</t>
  </si>
  <si>
    <t>http://probaseballexperience.jcink.net/index.php?showtopic=5319</t>
  </si>
  <si>
    <t>Its_Paco</t>
  </si>
  <si>
    <t>http://probaseballexperience.jcink.net/index.php?showtopic=2569</t>
  </si>
  <si>
    <t>Paco Dunbar - CL</t>
  </si>
  <si>
    <t>cpetrella</t>
  </si>
  <si>
    <t>MR/LR</t>
  </si>
  <si>
    <t>Billy Benson - C</t>
  </si>
  <si>
    <t>http://probaseballexperience.jcink.net/index.php?showtopic=5393</t>
  </si>
  <si>
    <t>Billy Benson</t>
  </si>
  <si>
    <t>Balanced/React</t>
  </si>
  <si>
    <t>PoopsMagee</t>
  </si>
  <si>
    <t>Arthur Meebles - LF</t>
  </si>
  <si>
    <t>http://probaseballexperience.jcink.net/index.php?showtopic=195</t>
  </si>
  <si>
    <t>Contact/Arm</t>
  </si>
  <si>
    <t>Bzerkap</t>
  </si>
  <si>
    <t>🐨Wombat🐨</t>
  </si>
  <si>
    <t>Toshihiro Ishikawa - C</t>
  </si>
  <si>
    <t>Ed Barker - SP</t>
  </si>
  <si>
    <t>Toshihiro Ishikawa</t>
  </si>
  <si>
    <t>FA</t>
  </si>
  <si>
    <t>Guy Walker</t>
  </si>
  <si>
    <t>http://probaseballexperience.jcink.net/index.php?showtopic=2984</t>
  </si>
  <si>
    <t>Muf BeatsBy Crit Feinstein</t>
  </si>
  <si>
    <t>http://probaseballexperience.jcink.net/index.php?showtopic=2606</t>
  </si>
  <si>
    <t>Damien Walec - SP</t>
  </si>
  <si>
    <t>AndrewWarren13</t>
  </si>
  <si>
    <t>Gamaliel</t>
  </si>
  <si>
    <t>Ludwig Groetzinger - CL</t>
  </si>
  <si>
    <t>Harry Styles - CL</t>
  </si>
  <si>
    <t>Ludwig Groetzinger</t>
  </si>
  <si>
    <t>http://probaseballexperience.jcink.net/index.php?showtopic=6042</t>
  </si>
  <si>
    <t>http://probaseballexperience.jcink.net/index.php?showtopic=2142</t>
  </si>
  <si>
    <t>Clarkbar36</t>
  </si>
  <si>
    <t>Keygan</t>
  </si>
  <si>
    <t>Henry Chadwick - SP</t>
  </si>
  <si>
    <t>Connor Tanner - 3B</t>
  </si>
  <si>
    <t>Connor Tanner</t>
  </si>
  <si>
    <t>:aviators: [b][url=http://probaseballexperience.jcink.net/index.php?showtopic=2142]Connor Tanner - 3B[/url][/b] TPE: 977, Regression Class: S4</t>
  </si>
  <si>
    <t>Krowley</t>
  </si>
  <si>
    <t>Jackson Krowley - SS</t>
  </si>
  <si>
    <t>Speedy Boi</t>
  </si>
  <si>
    <t>ReggieMontoya</t>
  </si>
  <si>
    <t>Reggie Montoya - 3B</t>
  </si>
  <si>
    <t>http://probaseballexperience.jcink.net/index.php?showtopic=1232</t>
  </si>
  <si>
    <t>Contact/Utility</t>
  </si>
  <si>
    <t>Kahn</t>
  </si>
  <si>
    <t>Khamati Kahn - SP</t>
  </si>
  <si>
    <t>http://probaseballexperience.jcink.net/index.php?showtopic=4070</t>
  </si>
  <si>
    <t>Khamati Kahn</t>
  </si>
  <si>
    <t>Looofah</t>
  </si>
  <si>
    <t>Corey Bradford - RP</t>
  </si>
  <si>
    <t>CL</t>
  </si>
  <si>
    <t>http://probaseballexperience.jcink.net/index.php?showtopic=2590</t>
  </si>
  <si>
    <t>Retained salary</t>
  </si>
  <si>
    <t>Ryan0413</t>
  </si>
  <si>
    <t>Cut players</t>
  </si>
  <si>
    <t>Ryan Stryker - SP</t>
  </si>
  <si>
    <t>Ryan Stryker</t>
  </si>
  <si>
    <t>Legend</t>
  </si>
  <si>
    <t>0(5) - Contract guaranteed for $5M if whole year spent down in MiLPBE</t>
  </si>
  <si>
    <t>Player Option ETO Year</t>
  </si>
  <si>
    <t>http://probaseballexperience.jcink.net/index.php?showtopic=2614</t>
  </si>
  <si>
    <t>Team Option Year</t>
  </si>
  <si>
    <t>Mutual Option Year</t>
  </si>
  <si>
    <t>Frozen Rope</t>
  </si>
  <si>
    <t>NTC</t>
  </si>
  <si>
    <t>Godfrey Bowman - RF</t>
  </si>
  <si>
    <t>Godfrey Bowman</t>
  </si>
  <si>
    <t>http://probaseballexperience.jcink.net/index.php?showtopic=288</t>
  </si>
  <si>
    <t>OnceAndFutureKing</t>
  </si>
  <si>
    <t>Sebastian Musgrave-Smythe - CL</t>
  </si>
  <si>
    <t>Sebastian Musgrave-Smythe</t>
  </si>
  <si>
    <t>http://probaseballexperience.jcink.net/index.php?showtopic=1664</t>
  </si>
  <si>
    <t>Tindomul</t>
  </si>
  <si>
    <t>Pete Rose - CL</t>
  </si>
  <si>
    <t>Pete Rose</t>
  </si>
  <si>
    <t>http://probaseballexperience.jcink.net/index.php?showtopic=258</t>
  </si>
  <si>
    <t>TheWoZy</t>
  </si>
  <si>
    <t>Eijun Wozy - SP</t>
  </si>
  <si>
    <t>Eijun Wozy</t>
  </si>
  <si>
    <t>http://probaseballexperience.jcink.net/index.php?showtopic=213</t>
  </si>
  <si>
    <t>loneDigger</t>
  </si>
  <si>
    <t>Chaz LaLocke - SP</t>
  </si>
  <si>
    <t>Chaz LaLocke</t>
  </si>
  <si>
    <t>http://probaseballexperience.jcink.net/index.php?showtopic=3087</t>
  </si>
  <si>
    <t>StormZ_23</t>
  </si>
  <si>
    <t>Louis Storm - 2B</t>
  </si>
  <si>
    <t>Louis Storm</t>
  </si>
  <si>
    <t>S12 MO</t>
  </si>
  <si>
    <t>SCS</t>
  </si>
  <si>
    <t>Y</t>
  </si>
  <si>
    <t>http://probaseballexperience.jcink.net/index.php?showtopic=100</t>
  </si>
  <si>
    <t>Raven</t>
  </si>
  <si>
    <t>Laddy McBantershire - C</t>
  </si>
  <si>
    <t>Laddy McBantershire</t>
  </si>
  <si>
    <t>http://probaseballexperience.jcink.net/index.php?showtopic=5123&amp;view=findpost&amp;p=61652</t>
  </si>
  <si>
    <t>http://probaseballexperience.jcink.net/index.php?showtopic=256</t>
  </si>
  <si>
    <t>FTR</t>
  </si>
  <si>
    <t>Pepe Alazar - LF</t>
  </si>
  <si>
    <t>Pepe Alazar</t>
  </si>
  <si>
    <t>http://probaseballexperience.jcink.net/index.php?showtopic=3046&amp;st=0&amp;#entry32489</t>
  </si>
  <si>
    <t>Whatistheinternet</t>
  </si>
  <si>
    <t>Bobby Hill - SP</t>
  </si>
  <si>
    <t>Bobby Hill</t>
  </si>
  <si>
    <t>:sloths:</t>
  </si>
  <si>
    <t>:sloths: [b][url=http://probaseballexperience.jcink.net/index.php?showtopic=3046&amp;st=0&amp;#entry32489]Bobby Hill - SP[/url][/b] TPE: 665, Regression Class: S6</t>
  </si>
  <si>
    <t>http://probaseballexperience.jcink.net/index.php?showtopic=453</t>
  </si>
  <si>
    <t>Mike Boss - 1B</t>
  </si>
  <si>
    <t>Mike Boss</t>
  </si>
  <si>
    <t>http://probaseballexperience.jcink.net/index.php?showtopic=123</t>
  </si>
  <si>
    <t>Unicorn</t>
  </si>
  <si>
    <t>Matthew Valentine - CF</t>
  </si>
  <si>
    <t>Matthew Valentine</t>
  </si>
  <si>
    <t>Balanced/Speed</t>
  </si>
  <si>
    <t>http://probaseballexperience.jcink.net/index.php?showtopic=72</t>
  </si>
  <si>
    <t>4D Chess</t>
  </si>
  <si>
    <t>Jackson Jackson - C</t>
  </si>
  <si>
    <t>Jackson Jackson</t>
  </si>
  <si>
    <t>http://probaseballexperience.jcink.net/index.php?showtopic=2599</t>
  </si>
  <si>
    <t>NamelessNate</t>
  </si>
  <si>
    <t>Nate Piazza - C</t>
  </si>
  <si>
    <t>Nate Piazza</t>
  </si>
  <si>
    <t>http://probaseballexperience.jcink.net/index.php?showtopic=4884</t>
  </si>
  <si>
    <t>http://probaseballexperience.jcink.net/index.php?showtopic=2165</t>
  </si>
  <si>
    <t>adam2552</t>
  </si>
  <si>
    <t>Hawk Russell - LF</t>
  </si>
  <si>
    <t>Hawk Russell</t>
  </si>
  <si>
    <t>:rangers: [b][url=http://probaseballexperience.jcink.net/index.php?showtopic=2165]Hawk Russell - LF[/url][/b] TPE: 684, Regression Class: S4</t>
  </si>
  <si>
    <t>http://probaseballexperience.jcink.net/index.php?showtopic=3586</t>
  </si>
  <si>
    <t>PSanchez55</t>
  </si>
  <si>
    <t>Johnathon Livingston - CL</t>
  </si>
  <si>
    <t>Johnathon Livingston</t>
  </si>
  <si>
    <t>S10 TO</t>
  </si>
  <si>
    <t>http://probaseballexperience.jcink.net/index.php?showtopic=3123</t>
  </si>
  <si>
    <t>JVMjrDOT</t>
  </si>
  <si>
    <t>Jordan von Matt - LF</t>
  </si>
  <si>
    <t>Jordan von Matt</t>
  </si>
  <si>
    <t>http://probaseballexperience.jcink.net/index.php?showtopic=3561</t>
  </si>
  <si>
    <t>BigTittySmitty</t>
  </si>
  <si>
    <t>JJ Windsor - CL</t>
  </si>
  <si>
    <t>JJ Windsor</t>
  </si>
  <si>
    <t>http://probaseballexperience.jcink.net/index.php?showtopic=3108</t>
  </si>
  <si>
    <t>rog</t>
  </si>
  <si>
    <t>Huki Hawaii - C</t>
  </si>
  <si>
    <t>Huki Hawaii</t>
  </si>
  <si>
    <t>http://probaseballexperience.jcink.net/index.php?showtopic=3019</t>
  </si>
  <si>
    <t>CactusLeague</t>
  </si>
  <si>
    <t>Kellan Buchanan - CF</t>
  </si>
  <si>
    <t>Kellan Buchanan</t>
  </si>
  <si>
    <t>http://probaseballexperience.jcink.net/index.php?showtopic=5382</t>
  </si>
  <si>
    <t>:aviators: [b][url=http://probaseballexperience.jcink.net/index.php?showtopic=3019]Kellan Buchanan - CF[/url][/b] TPE: 626, Regression Class: S6</t>
  </si>
  <si>
    <t>http://probaseballexperience.jcink.net/index.php?showtopic=2518</t>
  </si>
  <si>
    <t>to12143</t>
  </si>
  <si>
    <t>Tyler Oles - SP</t>
  </si>
  <si>
    <t>Tyler Oles</t>
  </si>
  <si>
    <t>Mi Eligible</t>
  </si>
  <si>
    <t>IA</t>
  </si>
  <si>
    <t>http://probaseballexperience.jcink.net/index.php?showtopic=354</t>
  </si>
  <si>
    <t>Symmetrik</t>
  </si>
  <si>
    <t>Marcos Gonzalez - CF</t>
  </si>
  <si>
    <t>Marcos Gonzalez</t>
  </si>
  <si>
    <t>http://probaseballexperience.jcink.net/index.php?showtopic=3117</t>
  </si>
  <si>
    <t>Daybe</t>
  </si>
  <si>
    <t>Jax Hunter - SP</t>
  </si>
  <si>
    <t>Jax Hunter</t>
  </si>
  <si>
    <t>http://probaseballexperience.jcink.net/index.php?showtopic=618</t>
  </si>
  <si>
    <t>HalfEatenOnionBagel</t>
  </si>
  <si>
    <t>Chuck Gamble - CL</t>
  </si>
  <si>
    <t>Chuck Gamble</t>
  </si>
  <si>
    <t>http://probaseballexperience.jcink.net/index.php?showtopic=3909</t>
  </si>
  <si>
    <t>StamkosFan</t>
  </si>
  <si>
    <t>Barry Keller - SP</t>
  </si>
  <si>
    <t>Barry Keller</t>
  </si>
  <si>
    <t>Balance</t>
  </si>
  <si>
    <t>S11 MO</t>
  </si>
  <si>
    <t>http://probaseballexperience.jcink.net/index.php?showtopic=3764</t>
  </si>
  <si>
    <t>DeathOnReddit</t>
  </si>
  <si>
    <t>Arbin Asipi Jr - SS</t>
  </si>
  <si>
    <t>Arbin Asipi Jr</t>
  </si>
  <si>
    <t>http://probaseballexperience.jcink.net/index.php?showtopic=2525</t>
  </si>
  <si>
    <t>Rindiee</t>
  </si>
  <si>
    <t>Kimetrius Webster - 2B</t>
  </si>
  <si>
    <t>Kimetrius Webster</t>
  </si>
  <si>
    <t>http://probaseballexperience.jcink.net/index.php?showtopic=1934</t>
  </si>
  <si>
    <t>Dweaves08</t>
  </si>
  <si>
    <t>Matthew Auston - SP</t>
  </si>
  <si>
    <t>Matthew Auston</t>
  </si>
  <si>
    <t>http://probaseballexperience.jcink.net/index.php?showtopic=3018</t>
  </si>
  <si>
    <t>Isaac</t>
  </si>
  <si>
    <t>George McBash - 3B</t>
  </si>
  <si>
    <t>http://probaseballexperience.jcink.net/index.php?showtopic=4057</t>
  </si>
  <si>
    <t>George McBash</t>
  </si>
  <si>
    <t>Patdatass</t>
  </si>
  <si>
    <t>:rangers: [b][url=http://probaseballexperience.jcink.net/index.php?showtopic=3018]George McBash - 3B[/url][/b] TPE: 508, Regression Class: S6</t>
  </si>
  <si>
    <t>Patrick Kelley - SS</t>
  </si>
  <si>
    <t>http://probaseballexperience.jcink.net/index.php?showtopic=3979</t>
  </si>
  <si>
    <t>YeliBoy</t>
  </si>
  <si>
    <t>Yeliboy Uecker - RF</t>
  </si>
  <si>
    <t>Patrick Kelley</t>
  </si>
  <si>
    <t>http://probaseballexperience.jcink.net/index.php?showtopic=138</t>
  </si>
  <si>
    <t>sapp2013</t>
  </si>
  <si>
    <t>http://probaseballexperience.jcink.net/index.php?showtopic=4072</t>
  </si>
  <si>
    <t>Felipe Fernandez - SP</t>
  </si>
  <si>
    <t>speculadora</t>
  </si>
  <si>
    <t>Hunter Harrison - 3B</t>
  </si>
  <si>
    <t>Hunter Harrison</t>
  </si>
  <si>
    <t>http://probaseballexperience.jcink.net/index.php?showtopic=3934</t>
  </si>
  <si>
    <t>TheLobman</t>
  </si>
  <si>
    <t>http://probaseballexperience.jcink.net/index.php?showtopic=114</t>
  </si>
  <si>
    <t>Brock Lobster - RP</t>
  </si>
  <si>
    <t>ADwyer87</t>
  </si>
  <si>
    <t>http://probaseballexperience.jcink.net/index.php?showtopic=3360</t>
  </si>
  <si>
    <t>Austin Dye - SS</t>
  </si>
  <si>
    <t>Aweseven</t>
  </si>
  <si>
    <t>Austin Dye</t>
  </si>
  <si>
    <t>Balanced/Strong Arm</t>
  </si>
  <si>
    <t>Dionte Washington - CL</t>
  </si>
  <si>
    <t>SS - Austin Dye</t>
  </si>
  <si>
    <t>Leafs4ever</t>
  </si>
  <si>
    <t>http://probaseballexperience.jcink.net/index.php?showtopic=3634</t>
  </si>
  <si>
    <t>Ash Dragon - CF</t>
  </si>
  <si>
    <t>Muford</t>
  </si>
  <si>
    <t>Mikhail Burgen - SP</t>
  </si>
  <si>
    <t>http://probaseballexperience.jcink.net/index.php?showtopic=5277&amp;st=0&amp;#entry63484</t>
  </si>
  <si>
    <t>Mikhail Burgen</t>
  </si>
  <si>
    <t>:utah:</t>
  </si>
  <si>
    <t>:utah: [b][url=http://probaseballexperience.jcink.net/index.php?showtopic=3634]Mikhail Burgen - SP[/url][/b] TPE: 403, Regression Class: S7</t>
  </si>
  <si>
    <t>http://probaseballexperience.jcink.net/index.php?showtopic=1218</t>
  </si>
  <si>
    <t>Jider4</t>
  </si>
  <si>
    <t>Mariano Riviera - CL</t>
  </si>
  <si>
    <t>Amp Bogart</t>
  </si>
  <si>
    <t>S10 MO</t>
  </si>
  <si>
    <t>http://probaseballexperience.jcink.net/index.php?showtopic=3791</t>
  </si>
  <si>
    <t>SAA</t>
  </si>
  <si>
    <t>Eggy216</t>
  </si>
  <si>
    <t>Jasper Clayton - C</t>
  </si>
  <si>
    <t>nlj04</t>
  </si>
  <si>
    <t>Frederick Birdington</t>
  </si>
  <si>
    <t>S10 MO http://probaseballexperience.jcink.net/index.php?showtopic=4214</t>
  </si>
  <si>
    <t>Noah Johns - SP</t>
  </si>
  <si>
    <t>S13 TO</t>
  </si>
  <si>
    <t>FalloutSteel</t>
  </si>
  <si>
    <t>Vince MacArthur II - 3B</t>
  </si>
  <si>
    <t>Catolo Kittone</t>
  </si>
  <si>
    <t>MFazio23</t>
  </si>
  <si>
    <t>http://probaseballexperience.jcink.net/index.php?showtopic=2307</t>
  </si>
  <si>
    <t>Michael Fazio - 2B</t>
  </si>
  <si>
    <t>Neb</t>
  </si>
  <si>
    <t>Trent Boult - SP</t>
  </si>
  <si>
    <t>Trent Boult</t>
  </si>
  <si>
    <t>http://probaseballexperience.jcink.net/index.php?showtopic=4939</t>
  </si>
  <si>
    <t>http://probaseballexperience.jcink.net/index.php?showtopic=3539</t>
  </si>
  <si>
    <t>J.G.10</t>
  </si>
  <si>
    <t>Coreys Brother - SP</t>
  </si>
  <si>
    <t>Coreys Brother</t>
  </si>
  <si>
    <t>S10 TO NTC</t>
  </si>
  <si>
    <t>http://probaseballexperience.jcink.net/index.php?showtopic=3980</t>
  </si>
  <si>
    <t>McWolf</t>
  </si>
  <si>
    <t>Isidore Fox - CF</t>
  </si>
  <si>
    <t>Isidore Fox</t>
  </si>
  <si>
    <t>S10 MO http://probaseballexperience.jcink.net/index.php?showtopic=4215</t>
  </si>
  <si>
    <t>http://probaseballexperience.jcink.net/index.php?showtopic=115</t>
  </si>
  <si>
    <t>DrunkenTeddy</t>
  </si>
  <si>
    <t>Robert Phelps - LF</t>
  </si>
  <si>
    <t>Robert Phelps</t>
  </si>
  <si>
    <t>http://probaseballexperience.jcink.net/index.php?showtopic=3967</t>
  </si>
  <si>
    <t>Yurt6</t>
  </si>
  <si>
    <t>Ulysses Rove - SS</t>
  </si>
  <si>
    <t>Ulysses Rove</t>
  </si>
  <si>
    <t>Power/Speedy</t>
  </si>
  <si>
    <t>http://probaseballexperience.jcink.net/index.php?showtopic=188</t>
  </si>
  <si>
    <t>StevenO'Sullivan</t>
  </si>
  <si>
    <t>Steven O'Sullivan - CF</t>
  </si>
  <si>
    <t>Steven O'Sullivan</t>
  </si>
  <si>
    <t>http://probaseballexperience.jcink.net/index.php?showtopic=3576</t>
  </si>
  <si>
    <t>klitmania</t>
  </si>
  <si>
    <t>Alexander Blitz - SS</t>
  </si>
  <si>
    <t>Alexander Blitz</t>
  </si>
  <si>
    <t>John DeMars</t>
  </si>
  <si>
    <t>John DeMars - RF</t>
  </si>
  <si>
    <t>Balanced/Speedy</t>
  </si>
  <si>
    <t>http://probaseballexperience.jcink.net/index.php?showtopic=4745&amp;hl=kramer</t>
  </si>
  <si>
    <t>http://probaseballexperience.jcink.net/index.php?showtopic=2575</t>
  </si>
  <si>
    <t>Carbine</t>
  </si>
  <si>
    <t>Mac Kaarbine - SP</t>
  </si>
  <si>
    <t>Mac Kaarbine</t>
  </si>
  <si>
    <t>S11 PO</t>
  </si>
  <si>
    <t>http://probaseballexperience.jcink.net/index.php?showtopic=2601</t>
  </si>
  <si>
    <t>Nathan_Hall</t>
  </si>
  <si>
    <t>AJ Robertson - 3B</t>
  </si>
  <si>
    <t>AJ Robertson</t>
  </si>
  <si>
    <t>Mi Taken</t>
  </si>
  <si>
    <t>http://probaseballexperience.jcink.net/index.php?showtopic=3619</t>
  </si>
  <si>
    <t>ml002</t>
  </si>
  <si>
    <t>Micheal Lang - SP</t>
  </si>
  <si>
    <t>Micheal Lang</t>
  </si>
  <si>
    <t>http://probaseballexperience.jcink.net/index.php?showtopic=2989</t>
  </si>
  <si>
    <t>Dawegg</t>
  </si>
  <si>
    <t>Lucas North - SP</t>
  </si>
  <si>
    <t>Lucas North</t>
  </si>
  <si>
    <t>http://probaseballexperience.jcink.net/index.php?showtopic=2674</t>
  </si>
  <si>
    <t>JSS</t>
  </si>
  <si>
    <t>Zack Malatesta - CF</t>
  </si>
  <si>
    <t>Zack Malatesta</t>
  </si>
  <si>
    <t>Speed/Balanced</t>
  </si>
  <si>
    <t>http://probaseballexperience.jcink.net/index.php?showtopic=1740</t>
  </si>
  <si>
    <t>ATRDCI</t>
  </si>
  <si>
    <t>OBESE</t>
  </si>
  <si>
    <t>Alvin Enax - CP</t>
  </si>
  <si>
    <t>Brett Smoky - CL</t>
  </si>
  <si>
    <t>Brett Smoky</t>
  </si>
  <si>
    <t>http://probaseballexperience.jcink.net/index.php?showtopic=2337</t>
  </si>
  <si>
    <t>run_CMC</t>
  </si>
  <si>
    <t>Orlando Jackson - LF</t>
  </si>
  <si>
    <t>Orlando Jackson</t>
  </si>
  <si>
    <t>http://probaseballexperience.jcink.net/index.php?showtopic=141</t>
  </si>
  <si>
    <t>TheMemeMaestro</t>
  </si>
  <si>
    <t>Lazaro Hernandez - 1B</t>
  </si>
  <si>
    <t>Lazaro Hernandez</t>
  </si>
  <si>
    <t>http://probaseballexperience.jcink.net/index.php?showtopic=5540&amp;st=0&amp;#entry66298</t>
  </si>
  <si>
    <t>:voyagers: [b][url=http://probaseballexperience.jcink.net/index.php?showtopic=141]Lazaro Hernandez - 1B[/url][/b] TPE: 477, Regression Class: S1</t>
  </si>
  <si>
    <t>http://probaseballexperience.jcink.net/index.php?showtopic=3430&amp;view=findpost&amp;p=37310</t>
  </si>
  <si>
    <t>luketd</t>
  </si>
  <si>
    <t>Pete Peters - SP</t>
  </si>
  <si>
    <t>maxcrazy</t>
  </si>
  <si>
    <t>Pete Peters</t>
  </si>
  <si>
    <t>Kyle Bellinger - 2B</t>
  </si>
  <si>
    <t>S12 TO</t>
  </si>
  <si>
    <t>http://probaseballexperience.jcink.net/index.php?showtopic=3153</t>
  </si>
  <si>
    <t>dieselj123</t>
  </si>
  <si>
    <t>Ace</t>
  </si>
  <si>
    <t>Peter Dawson - SP</t>
  </si>
  <si>
    <t>Ace Faulkner - SP</t>
  </si>
  <si>
    <t>Wkdfire53</t>
  </si>
  <si>
    <t>Ace Faulkner</t>
  </si>
  <si>
    <t>Hendrix Lamar - C</t>
  </si>
  <si>
    <t>:utah: [b][url=http://probaseballexperience.jcink.net/index.php?showtopic=3153]Ace Faulkner - SP[/url][/b] TPE: 353, Regression Class: S6</t>
  </si>
  <si>
    <t>uncleleo'skomrade</t>
  </si>
  <si>
    <t>Leo Komarov - CL</t>
  </si>
  <si>
    <t>HubDogg</t>
  </si>
  <si>
    <t>Dafydd Davies - SP</t>
  </si>
  <si>
    <t>Yeliboy Uecker</t>
  </si>
  <si>
    <t>http://probaseballexperience.jcink.net/index.php?showtopic=3601</t>
  </si>
  <si>
    <t>Jiggly_333</t>
  </si>
  <si>
    <t>enigmatic</t>
  </si>
  <si>
    <t>Kosuke Yamauchi - SP</t>
  </si>
  <si>
    <t>Dorothy Morimura - RF</t>
  </si>
  <si>
    <t>Dorothy Morimura</t>
  </si>
  <si>
    <t>0 (5)</t>
  </si>
  <si>
    <t>Mashtaters</t>
  </si>
  <si>
    <t>Theodore Crunkleton - SS</t>
  </si>
  <si>
    <t>Firstname Lastname</t>
  </si>
  <si>
    <t>Blueline Naptime</t>
  </si>
  <si>
    <t>Blu Line - CL</t>
  </si>
  <si>
    <t>http://probaseballexperience.jcink.net/index.php?showtopic=1441</t>
  </si>
  <si>
    <t>Sir Earl</t>
  </si>
  <si>
    <t>KeeksMarone</t>
  </si>
  <si>
    <t>Mamoru Okonomi - CL</t>
  </si>
  <si>
    <t>Keeks Marone - CF</t>
  </si>
  <si>
    <t>bluesfan55</t>
  </si>
  <si>
    <t>Keeks Marone</t>
  </si>
  <si>
    <t>Thor Sigurdsson - CF</t>
  </si>
  <si>
    <t>:bulldogs:</t>
  </si>
  <si>
    <t>:bulldogs: [b][url=http://probaseballexperience.jcink.net/index.php?showtopic=1441]Keeks Marone - CF[/url][/b] TPE: 394, Regression Class: S2</t>
  </si>
  <si>
    <t>Fire-Bred</t>
  </si>
  <si>
    <t>http://probaseballexperience.jcink.net/index.php?showtopic=2605</t>
  </si>
  <si>
    <t>Mason Brown 2.0 - LF</t>
  </si>
  <si>
    <t>Doctor Topher</t>
  </si>
  <si>
    <t>Chris Bennett - CL</t>
  </si>
  <si>
    <t>SJMcWalless06</t>
  </si>
  <si>
    <t>Hayley MaConnell - SP</t>
  </si>
  <si>
    <t>Chris Bennett</t>
  </si>
  <si>
    <t>KC Philip</t>
  </si>
  <si>
    <t>http://probaseballexperience.jcink.net/index.php?showtopic=247</t>
  </si>
  <si>
    <t>Seth Crossland - CF</t>
  </si>
  <si>
    <t>mmfootball</t>
  </si>
  <si>
    <t>Seth Crossland</t>
  </si>
  <si>
    <t>Speed/Speedy</t>
  </si>
  <si>
    <t>Michael Martin - C</t>
  </si>
  <si>
    <t>Hayley MaConnell</t>
  </si>
  <si>
    <t>Legally_Blind_Gamer</t>
  </si>
  <si>
    <t>http://probaseballexperience.jcink.net/index.php?showtopic=3736</t>
  </si>
  <si>
    <t>Chris King - 3B</t>
  </si>
  <si>
    <t>Banackock</t>
  </si>
  <si>
    <t>Tristan Cameron - LF</t>
  </si>
  <si>
    <t>s13 TO</t>
  </si>
  <si>
    <t>Tristan Cameron</t>
  </si>
  <si>
    <t>Jonny2x</t>
  </si>
  <si>
    <t>JAJabs</t>
  </si>
  <si>
    <t>KnightMc</t>
  </si>
  <si>
    <t>J.A. Jabs - SP</t>
  </si>
  <si>
    <t>Colby Kidd - CL</t>
  </si>
  <si>
    <t>J.A. Jabs</t>
  </si>
  <si>
    <t>MasterDolphin19</t>
  </si>
  <si>
    <t>Randy Drumbo - C</t>
  </si>
  <si>
    <t>Jdre17</t>
  </si>
  <si>
    <t>JD Jacks - SS</t>
  </si>
  <si>
    <t>JD Jacks</t>
  </si>
  <si>
    <t>jsteele14</t>
  </si>
  <si>
    <t>Damien Walec</t>
  </si>
  <si>
    <t>Josh Steele - 2B</t>
  </si>
  <si>
    <t>AlainJohns12</t>
  </si>
  <si>
    <t>PaytonM34</t>
  </si>
  <si>
    <t>Chanandler Bong - 1B</t>
  </si>
  <si>
    <t>Alain Johns - CF</t>
  </si>
  <si>
    <t>Chanandler Bong</t>
  </si>
  <si>
    <t>Power/DH</t>
  </si>
  <si>
    <t>http://probaseballexperience.jcink.net/index.php?showtopic=5303</t>
  </si>
  <si>
    <t>http://probaseballexperience.jcink.net/index.php?showtopic=2930</t>
  </si>
  <si>
    <t>nunccoepi</t>
  </si>
  <si>
    <t>Grapehead</t>
  </si>
  <si>
    <t>Epictitus Milburn - SP</t>
  </si>
  <si>
    <t>Adam Squiggly - CL</t>
  </si>
  <si>
    <t>Adam Squiggly</t>
  </si>
  <si>
    <t>Finnese</t>
  </si>
  <si>
    <t>Baron von Jobi</t>
  </si>
  <si>
    <t>Moises Hammond - C</t>
  </si>
  <si>
    <t>http://probaseballexperience.jcink.net/index.php?showtopic=5307</t>
  </si>
  <si>
    <t>Josh Steele</t>
  </si>
  <si>
    <t>RBden</t>
  </si>
  <si>
    <t>Cisco Xochipilli - C</t>
  </si>
  <si>
    <t>thedangazone</t>
  </si>
  <si>
    <t>Fenway Turner - RF</t>
  </si>
  <si>
    <t>iseedoug</t>
  </si>
  <si>
    <t>Fenway Turner</t>
  </si>
  <si>
    <t>Icy Douglas - LF</t>
  </si>
  <si>
    <t>soryantyler</t>
  </si>
  <si>
    <t>Colben Fairborn - CL</t>
  </si>
  <si>
    <t>Jahseh Tentacion - LF</t>
  </si>
  <si>
    <t>Jahseh Tentacion</t>
  </si>
  <si>
    <t>jfh1503</t>
  </si>
  <si>
    <t>Jake Grinz - SS</t>
  </si>
  <si>
    <t>Kyle Bellinger</t>
  </si>
  <si>
    <t>Mozer92</t>
  </si>
  <si>
    <t>Jason Lester - 1B</t>
  </si>
  <si>
    <t>http://probaseballexperience.jcink.net/index.php?showtopic=3581</t>
  </si>
  <si>
    <t>http://probaseballexperience.jcink.net/index.php?showtopic=5315</t>
  </si>
  <si>
    <t>WALDO</t>
  </si>
  <si>
    <t>Jeffery Murphy - 3B</t>
  </si>
  <si>
    <t>Jeffery Murphy</t>
  </si>
  <si>
    <t>http://probaseballexperience.jcink.net/index.php?showtopic=2227</t>
  </si>
  <si>
    <t>http://probaseballexperience.jcink.net/index.php?showtopic=192</t>
  </si>
  <si>
    <t>xdave2456</t>
  </si>
  <si>
    <t>Zodak Pink</t>
  </si>
  <si>
    <t>Bobby Shmurda - SS</t>
  </si>
  <si>
    <t>Omar Wright - SP</t>
  </si>
  <si>
    <t>Bobby Shmurda</t>
  </si>
  <si>
    <t>00U812</t>
  </si>
  <si>
    <t>Bobson Dugnutt - CL</t>
  </si>
  <si>
    <t>Alvin Enax</t>
  </si>
  <si>
    <t>http://probaseballexperience.jcink.net/index.php?showtopic=5904&amp;st=0&amp;#entry73214</t>
  </si>
  <si>
    <t>http://probaseballexperience.jcink.net/index.php?showtopic=1058</t>
  </si>
  <si>
    <t>ProfessorHotBot</t>
  </si>
  <si>
    <t>George Delrod - 3B</t>
  </si>
  <si>
    <t>George Delrod</t>
  </si>
  <si>
    <t>Balanced/Quick</t>
  </si>
  <si>
    <t>http://probaseballexperience.jcink.net/index.php?showtopic=1738</t>
  </si>
  <si>
    <t>leftyonleftycrime</t>
  </si>
  <si>
    <t>Peter Dawson</t>
  </si>
  <si>
    <t>Kahlil Callahan - CL</t>
  </si>
  <si>
    <t>AlexF</t>
  </si>
  <si>
    <t>Hendrix Lamar</t>
  </si>
  <si>
    <t>Blake Faux - SP</t>
  </si>
  <si>
    <t>http://probaseballexperience.jcink.net/index.php?showtopic=3286</t>
  </si>
  <si>
    <t xml:space="preserve">Knuckleball </t>
  </si>
  <si>
    <t>s14 TO</t>
  </si>
  <si>
    <t>DonnoMania</t>
  </si>
  <si>
    <t>Bryan Barnes - 3B</t>
  </si>
  <si>
    <t>Toledo  Jones - 1B</t>
  </si>
  <si>
    <t>Toledo Jones</t>
  </si>
  <si>
    <t>sthorn23</t>
  </si>
  <si>
    <t>Amp Dupree - SP</t>
  </si>
  <si>
    <t>http://probaseballexperience.jcink.net/index.php?showtopic=2450</t>
  </si>
  <si>
    <t>OneAndOnly</t>
  </si>
  <si>
    <t>http://probaseballexperience.jcink.net/index.php?showtopic=6027</t>
  </si>
  <si>
    <t>Takumi Fujiwara - 2B</t>
  </si>
  <si>
    <t>Takumi Fujiwara</t>
  </si>
  <si>
    <t>efiug</t>
  </si>
  <si>
    <t>Bruce Thursday - CL</t>
  </si>
  <si>
    <t>http://probaseballexperience.jcink.net/index.php?showtopic=918</t>
  </si>
  <si>
    <t>http://probaseballexperience.jcink.net/index.php?showtopic=6014</t>
  </si>
  <si>
    <t>BlcknGld18</t>
  </si>
  <si>
    <t>Phil Macioce - 2B</t>
  </si>
  <si>
    <t>Jakooboo</t>
  </si>
  <si>
    <t>Phil Macioce</t>
  </si>
  <si>
    <t>Pipo DeRani - C</t>
  </si>
  <si>
    <t>2B - Phil Macioce</t>
  </si>
  <si>
    <t>:bulldogs: [b][url=http://probaseballexperience.jcink.net/index.php?showtopic=918]Phil Macioce - 2B[/url][/b] TPE: 314, Regression Class: S1</t>
  </si>
  <si>
    <t>http://probaseballexperience.jcink.net/index.php?showtopic=3567</t>
  </si>
  <si>
    <t>DanFirecatcher</t>
  </si>
  <si>
    <t>Gumland</t>
  </si>
  <si>
    <t>Dexter Paquette - LF</t>
  </si>
  <si>
    <t>Alexei Brusilov - CL</t>
  </si>
  <si>
    <t>Dexter Paquette</t>
  </si>
  <si>
    <t>http://probaseballexperience.jcink.net/index.php?showtopic=6048</t>
  </si>
  <si>
    <t>cataclysm</t>
  </si>
  <si>
    <t>http://probaseballexperience.jcink.net/index.php?showtopic=1532</t>
  </si>
  <si>
    <t>Hisoka Ito - CL</t>
  </si>
  <si>
    <t>Kristy95</t>
  </si>
  <si>
    <t>Joffrey Baratheon - C</t>
  </si>
  <si>
    <t>jblock3</t>
  </si>
  <si>
    <t>Joffrey Baratheon</t>
  </si>
  <si>
    <t>Holden MaGroin - CL</t>
  </si>
  <si>
    <t>dmills3</t>
  </si>
  <si>
    <t>Dale Miller - LF</t>
  </si>
  <si>
    <t>TopGunSheelay</t>
  </si>
  <si>
    <t>TopGun Sheelay - C</t>
  </si>
  <si>
    <t>Ty3</t>
  </si>
  <si>
    <t>TopGun Sheelay</t>
  </si>
  <si>
    <t>Josh Kings - 2B</t>
  </si>
  <si>
    <t>Power/Utility</t>
  </si>
  <si>
    <t>kramerattack</t>
  </si>
  <si>
    <t>Philip Pryor</t>
  </si>
  <si>
    <t>Richard Small - LF</t>
  </si>
  <si>
    <t>Kris Kramer - 3B</t>
  </si>
  <si>
    <t>Richard Small</t>
  </si>
  <si>
    <t>Bonuses</t>
  </si>
  <si>
    <t>http://probaseballexperience.jcink.net/index.php?showtopic=3627</t>
  </si>
  <si>
    <t>GrilledTwinkiez</t>
  </si>
  <si>
    <t>Brock Beck - SS</t>
  </si>
  <si>
    <t>Brock Beck</t>
  </si>
  <si>
    <t>Shaquill</t>
  </si>
  <si>
    <t>Artem Maximovich - C</t>
  </si>
  <si>
    <t>Artem Maximovich</t>
  </si>
  <si>
    <t>http://probaseballexperience.jcink.net/index.php?showtopic=287</t>
  </si>
  <si>
    <t>Darnell</t>
  </si>
  <si>
    <t>Darnell Turner-Pitcher</t>
  </si>
  <si>
    <t>:bulldogs: [b][url=http://probaseballexperience.jcink.net/index.php?showtopic=287]Darnell Turner-Pitcher[/url][/b] TPE: 280, Regression Class: S1</t>
  </si>
  <si>
    <t>shoxwon</t>
  </si>
  <si>
    <t>Mitch McIntyre - SP</t>
  </si>
  <si>
    <t>Leo Komarov</t>
  </si>
  <si>
    <t>http://probaseballexperience.jcink.net/index.php?showtopic=3781</t>
  </si>
  <si>
    <t>FinesseDaGame</t>
  </si>
  <si>
    <t>Alyssa Elliot - SP</t>
  </si>
  <si>
    <t>Alain Johns</t>
  </si>
  <si>
    <t xml:space="preserve">Finesse </t>
  </si>
  <si>
    <t>http://probaseballexperience.jcink.net/index.php?showtopic=3910</t>
  </si>
  <si>
    <t>Snussu</t>
  </si>
  <si>
    <t>Catchy Boija - 2B</t>
  </si>
  <si>
    <t>http://probaseballexperience.jcink.net/index.php?showtopic=3773</t>
  </si>
  <si>
    <t>Wizedex</t>
  </si>
  <si>
    <t>PrettySimple</t>
  </si>
  <si>
    <t>Chris Gentry - SP</t>
  </si>
  <si>
    <t>Joshua Linton - 2B</t>
  </si>
  <si>
    <t>Joshua Linton</t>
  </si>
  <si>
    <t>Nykonax</t>
  </si>
  <si>
    <t>Paul DiMirio III - 2B</t>
  </si>
  <si>
    <t>Mitch McIntyre</t>
  </si>
  <si>
    <t>http://probaseballexperience.jcink.net/index.php?showtopic=5914</t>
  </si>
  <si>
    <t>Felipe Fernandez</t>
  </si>
  <si>
    <t>Epictitus Milburn</t>
  </si>
  <si>
    <t>http://probaseballexperience.jcink.net/index.php?showtopic=3145</t>
  </si>
  <si>
    <t>Jad</t>
  </si>
  <si>
    <t>SlimJim8511</t>
  </si>
  <si>
    <t>Jad McFearson - CF</t>
  </si>
  <si>
    <t>Jimmy Caliburn - CF</t>
  </si>
  <si>
    <t>Jimmy Caliburn</t>
  </si>
  <si>
    <t>s14 MO</t>
  </si>
  <si>
    <t>http://probaseballexperience.jcink.net/index.php?showtopic=268</t>
  </si>
  <si>
    <t>Falco Von Adler - CL</t>
  </si>
  <si>
    <t>kennyg.zus</t>
  </si>
  <si>
    <t>Kenny Gzus - LF</t>
  </si>
  <si>
    <t>Kenny Gzus</t>
  </si>
  <si>
    <t>http://probaseballexperience.jcink.net/index.php?showtopic=6180</t>
  </si>
  <si>
    <t>spoon22</t>
  </si>
  <si>
    <t>Tony Stark - 3B</t>
  </si>
  <si>
    <t>Dafydd Davies</t>
  </si>
  <si>
    <t>http://probaseballexperience.jcink.net/index.php?showtopic=2781</t>
  </si>
  <si>
    <t>Waters</t>
  </si>
  <si>
    <t>Ben Waters - 2B</t>
  </si>
  <si>
    <t>Ben Waters</t>
  </si>
  <si>
    <t>S9 MO</t>
  </si>
  <si>
    <t>Waivers</t>
  </si>
  <si>
    <t>:aviators: [b][url=http://probaseballexperience.jcink.net/index.php?showtopic=2781]Ben Waters - 2B[/url][/b] TPE: 260, Regression Class: S5</t>
  </si>
  <si>
    <t>Alyssa Elliot</t>
  </si>
  <si>
    <t>http://probaseballexperience.jcink.net/index.php?showtopic=4043</t>
  </si>
  <si>
    <t>Lewis Robertson - 3B</t>
  </si>
  <si>
    <t>Lewis Robertson</t>
  </si>
  <si>
    <t>Moises Hammond</t>
  </si>
  <si>
    <t>S9 Draft Start</t>
  </si>
  <si>
    <t>http://probaseballexperience.jcink.net/index.php?showtopic=1358</t>
  </si>
  <si>
    <t>Angels_Otani</t>
  </si>
  <si>
    <t>Dongus Dio - 1B</t>
  </si>
  <si>
    <t>Dongus Dio</t>
  </si>
  <si>
    <t>:bulldogs: [b][url=http://probaseballexperience.jcink.net/index.php?showtopic=1358]Dongus Dio - 1B[/url][/b] TPE: 254, Regression Class: S2</t>
  </si>
  <si>
    <t>1B - Dongus Dio</t>
  </si>
  <si>
    <t>http://probaseballexperience.jcink.net/index.php?showtopic=176</t>
  </si>
  <si>
    <t>Den_Tex_Mix2</t>
  </si>
  <si>
    <t>Lance Travis - 2B</t>
  </si>
  <si>
    <t>Lance Travis</t>
  </si>
  <si>
    <t>:bulldogs: [b][url=http://probaseballexperience.jcink.net/index.php?showtopic=176]Lance Travis - 2B[/url][/b] TPE: 250, Regression Class: S1</t>
  </si>
  <si>
    <t>http://probaseballexperience.jcink.net/index.php?showtopic=3211</t>
  </si>
  <si>
    <t>DollarAndADream</t>
  </si>
  <si>
    <t>Rye Tiffielder - RF</t>
  </si>
  <si>
    <t>Rye Tiffielder</t>
  </si>
  <si>
    <t>Cisco Xochipilli</t>
  </si>
  <si>
    <t>http://probaseballexperience.jcink.net/index.php?showtopic=3438</t>
  </si>
  <si>
    <t>Radsin</t>
  </si>
  <si>
    <t>Antonio "Tony" Pisano - SP</t>
  </si>
  <si>
    <t>Antonio "Tony" Pisano</t>
  </si>
  <si>
    <t>S14 MO</t>
  </si>
  <si>
    <t>Michael Marti</t>
  </si>
  <si>
    <t>:bulldogs: [b][url=http://probaseballexperience.jcink.net/index.php?showtopic=247]Michael Martin - C[/url][/b] TPE: 243, Regression Class: S1</t>
  </si>
  <si>
    <t>http://probaseballexperience.jcink.net/index.php?showtopic=1035</t>
  </si>
  <si>
    <t>Wally</t>
  </si>
  <si>
    <t>http://probaseballexperience.jcink.net/index.php?showtopic=3881</t>
  </si>
  <si>
    <t>Asipi Cantor - CL</t>
  </si>
  <si>
    <t>CampinKiller</t>
  </si>
  <si>
    <t>Asipi Cantor</t>
  </si>
  <si>
    <t>Colton Hagan - SP</t>
  </si>
  <si>
    <t>YoungTB</t>
  </si>
  <si>
    <t>Noble</t>
  </si>
  <si>
    <t>Chase Petten - SP</t>
  </si>
  <si>
    <t>Adrian Kaine - SP</t>
  </si>
  <si>
    <t>Chase Petten</t>
  </si>
  <si>
    <t>Ramzavail</t>
  </si>
  <si>
    <t>http://probaseballexperience.jcink.net/index.php?showtopic=1757</t>
  </si>
  <si>
    <t>Shovel Bryant - 2B</t>
  </si>
  <si>
    <t>tbone415</t>
  </si>
  <si>
    <t>Speed/Arm</t>
  </si>
  <si>
    <t>CatmanIndustries</t>
  </si>
  <si>
    <t>Fastguy Pitcherman - SP</t>
  </si>
  <si>
    <t>Mork Spaghettelli - 3B</t>
  </si>
  <si>
    <t>Fastguy Pitcherman</t>
  </si>
  <si>
    <t>http://probaseballexperience.jcink.net/index.php?showtopic=5312</t>
  </si>
  <si>
    <t>Jepox</t>
  </si>
  <si>
    <t>Mitchell McDowell - SP</t>
  </si>
  <si>
    <t>hexx55</t>
  </si>
  <si>
    <t>Justin Verbeek - CL</t>
  </si>
  <si>
    <t>Catchy Boija</t>
  </si>
  <si>
    <t>Ben Beck - 1B</t>
  </si>
  <si>
    <t>YeetBuddy</t>
  </si>
  <si>
    <t>Mike McSlapp - CF</t>
  </si>
  <si>
    <t>Kosuke Yamauchi</t>
  </si>
  <si>
    <t>doublea</t>
  </si>
  <si>
    <t>Alan Abel - SP</t>
  </si>
  <si>
    <t>Colton Hagan</t>
  </si>
  <si>
    <t>Blandryt</t>
  </si>
  <si>
    <t>Tyler Findling - SS</t>
  </si>
  <si>
    <t>Totally_Not_Moosecop</t>
  </si>
  <si>
    <t>Theodore Crunkleton</t>
  </si>
  <si>
    <t>Bartolo Pizza - CL</t>
  </si>
  <si>
    <t>http://probaseballexperience.jcink.net/index.php?showtopic=3582</t>
  </si>
  <si>
    <t>mattycarr134</t>
  </si>
  <si>
    <t>Johny Matthews - 2B</t>
  </si>
  <si>
    <t>BigRudy</t>
  </si>
  <si>
    <t>Johny Matthews</t>
  </si>
  <si>
    <t>Fliff Cloyd - LF</t>
  </si>
  <si>
    <t>:bulldogs: [b][url=http://probaseballexperience.jcink.net/index.php?showtopic=3582]Johny Matthews - 2B[/url][/b] TPE: 228, Regression Class: S7</t>
  </si>
  <si>
    <t>http://probaseballexperience.jcink.net/index.php?showtopic=3048</t>
  </si>
  <si>
    <t>Mason Brown - CL</t>
  </si>
  <si>
    <t>Mason Brown</t>
  </si>
  <si>
    <t>S11-13 TO</t>
  </si>
  <si>
    <t>http://probaseballexperience.jcink.net/index.php?showtopic=2921</t>
  </si>
  <si>
    <t>dropbear</t>
  </si>
  <si>
    <t>Sidney Swing - LF</t>
  </si>
  <si>
    <t>Sidney Swing</t>
  </si>
  <si>
    <t>S8 MO</t>
  </si>
  <si>
    <t>:bulldogs: [b][url=http://probaseballexperience.jcink.net/index.php?showtopic=2921]Sidney Swing - LF[/url][/b] TPE: 218, Regression Class: S6</t>
  </si>
  <si>
    <t>yahuckleberry</t>
  </si>
  <si>
    <t>http://probaseballexperience.jcink.net/index.php?showtopic=1564</t>
  </si>
  <si>
    <t>Rockiesfan4ever</t>
  </si>
  <si>
    <t>Chip Bowman - SP</t>
  </si>
  <si>
    <t>Travis Ritchie - CF</t>
  </si>
  <si>
    <t>Travis Ritchie</t>
  </si>
  <si>
    <t>Contact/Hit</t>
  </si>
  <si>
    <t>:bulldogs: [b][url=http://probaseballexperience.jcink.net/index.php?showtopic=1564]Travis Ritchie - CF[/url][/b] TPE: 218, Regression Class: S2</t>
  </si>
  <si>
    <t>http://probaseballexperience.jcink.net/index.php?showtopic=1092</t>
  </si>
  <si>
    <t>dano1934</t>
  </si>
  <si>
    <t>Bobby Outman - SP</t>
  </si>
  <si>
    <t>Bobby Outman</t>
  </si>
  <si>
    <t>:crabs:</t>
  </si>
  <si>
    <t>:crabs: [b][url=http://probaseballexperience.jcink.net/index.php?showtopic=1092]Bobby Outman - SP[/url][/b] TPE: 215, Regression Class: S2</t>
  </si>
  <si>
    <t>oilmandan</t>
  </si>
  <si>
    <t>Dan Wilinsky - SP</t>
  </si>
  <si>
    <t>Adrian Kaine</t>
  </si>
  <si>
    <t>http://probaseballexperience.jcink.net/index.php?showtopic=6073</t>
  </si>
  <si>
    <t>slothfacekilla</t>
  </si>
  <si>
    <t>Joey Slothface - SP</t>
  </si>
  <si>
    <t>Blu Line</t>
  </si>
  <si>
    <t>http://probaseballexperience.jcink.net/index.php?showtopic=6073&amp;st=0&amp;#entry74866</t>
  </si>
  <si>
    <t>Thomas Trey Oudekerk - 1B</t>
  </si>
  <si>
    <t>Josh Kings</t>
  </si>
  <si>
    <t>Cheeseisstupid</t>
  </si>
  <si>
    <t>Jack Bauer II - SS</t>
  </si>
  <si>
    <t>http://probaseballexperience.jcink.net/index.php?showtopic=1246</t>
  </si>
  <si>
    <t>tangboynyc</t>
  </si>
  <si>
    <t>John Cheng - SP</t>
  </si>
  <si>
    <t>http://probaseballexperience.jcink.net/index.php?showtopic=3889</t>
  </si>
  <si>
    <t>John Cheng</t>
  </si>
  <si>
    <t>PricklyBoi</t>
  </si>
  <si>
    <t>:crabs: [b][url=http://probaseballexperience.jcink.net/index.php?showtopic=1246]John Cheng - SP[/url][/b] TPE: 203, Regression Class: S2</t>
  </si>
  <si>
    <t>Prickly Pearboi - SP</t>
  </si>
  <si>
    <t>http://probaseballexperience.jcink.net/index.php?showtopic=106</t>
  </si>
  <si>
    <t>SuperDick</t>
  </si>
  <si>
    <t>ztevans</t>
  </si>
  <si>
    <t>Stryker Killian - 3B</t>
  </si>
  <si>
    <t>Pablo Sanchez - 3B</t>
  </si>
  <si>
    <t>MiniMan561</t>
  </si>
  <si>
    <t>Pablo Sanchez</t>
  </si>
  <si>
    <t>:bulldogs: [b][url=http://probaseballexperience.jcink.net/index.php?showtopic=106]Pablo Sanchez - 3B[/url][/b] TPE: 202, Regression Class: S1</t>
  </si>
  <si>
    <t>Eric Tsai - 2B</t>
  </si>
  <si>
    <t>retained salary</t>
  </si>
  <si>
    <t>Acerayz</t>
  </si>
  <si>
    <t>Signing Bonus</t>
  </si>
  <si>
    <t>Yamcha Pu'ar - CL</t>
  </si>
  <si>
    <t>http://probaseballexperience.jcink.net/index.php?showtopic=5313</t>
  </si>
  <si>
    <t>Omar Wright</t>
  </si>
  <si>
    <t>Hydracronis</t>
  </si>
  <si>
    <t>A.C. Payton - SP</t>
  </si>
  <si>
    <t>Esso2264</t>
  </si>
  <si>
    <t>Stryker Killian</t>
  </si>
  <si>
    <t>John Bill - CL</t>
  </si>
  <si>
    <t>http://probaseballexperience.jcink.net/index.php?showtopic=2551</t>
  </si>
  <si>
    <t>kit</t>
  </si>
  <si>
    <t>Tylar Finch - SP</t>
  </si>
  <si>
    <t>Sleve McDichael - RF</t>
  </si>
  <si>
    <t>Sleve McDichael</t>
  </si>
  <si>
    <t>Plasman</t>
  </si>
  <si>
    <t>Orin Valeryn - CL</t>
  </si>
  <si>
    <t>Eric Tsai</t>
  </si>
  <si>
    <t>JerseyBorn</t>
  </si>
  <si>
    <t>Olle Sylvegaard - RF</t>
  </si>
  <si>
    <t>PDXBaller</t>
  </si>
  <si>
    <t>Ryusei Makunouchi - C</t>
  </si>
  <si>
    <t>Mariano Riviera</t>
  </si>
  <si>
    <t>CL - Mariano Riviera</t>
  </si>
  <si>
    <t>DaquanNibbason</t>
  </si>
  <si>
    <t>Daquan Nibbason - SP</t>
  </si>
  <si>
    <t>http://probaseballexperience.jcink.net/index.php?showtopic=5473</t>
  </si>
  <si>
    <t>Yamcha Pu'ar</t>
  </si>
  <si>
    <t>http://probaseballexperience.jcink.net/index.php?showtopic=2183</t>
  </si>
  <si>
    <t>Penguin</t>
  </si>
  <si>
    <t>Michael Rapinski- 3B</t>
  </si>
  <si>
    <t>Michael Rapinsk</t>
  </si>
  <si>
    <t>:bulldogs: [b][url=http://probaseballexperience.jcink.net/index.php?showtopic=2183]Michael Rapinski- 3B[/url][/b] TPE: 190, Regression Class: S4</t>
  </si>
  <si>
    <t>SDCore</t>
  </si>
  <si>
    <t>Speedy Gonzales - 2B</t>
  </si>
  <si>
    <t>Speedy Gonzales</t>
  </si>
  <si>
    <t>Speed/Utility</t>
  </si>
  <si>
    <t>http://probaseballexperience.jcink.net/index.php?showtopic=5301</t>
  </si>
  <si>
    <t>Darnell Turner - SP</t>
  </si>
  <si>
    <t>A.C. Peyton - SP</t>
  </si>
  <si>
    <t>A.C. Peyton</t>
  </si>
  <si>
    <t>Guriinwoodo</t>
  </si>
  <si>
    <t>Kosei Yoshida - CL</t>
  </si>
  <si>
    <t>http://probaseballexperience.jcink.net/index.php?showtopic=168</t>
  </si>
  <si>
    <t>Justice</t>
  </si>
  <si>
    <t>http://probaseballexperience.jcink.net/index.php?showtopic=6010</t>
  </si>
  <si>
    <t>Ty Justice - 3B</t>
  </si>
  <si>
    <t>Ty Justice</t>
  </si>
  <si>
    <t>Yes</t>
  </si>
  <si>
    <t>:bulldogs: [b][url=http://probaseballexperience.jcink.net/index.php?showtopic=168]Ty Justice - 3B[/url][/b] TPE: 187, Regression Class: S1</t>
  </si>
  <si>
    <t>Archer Fisch - SS</t>
  </si>
  <si>
    <t>3B - Ty Justice</t>
  </si>
  <si>
    <t>http://probaseballexperience.jcink.net/index.php?showtopic=3043&amp;st=0&amp;#entry32473</t>
  </si>
  <si>
    <t>Smitty</t>
  </si>
  <si>
    <t>Keksecutioner</t>
  </si>
  <si>
    <t>Smitty Springfield - 2B</t>
  </si>
  <si>
    <t>Jim Kekton - SS</t>
  </si>
  <si>
    <t>Jim Kekton</t>
  </si>
  <si>
    <t>Balanced/Utility</t>
  </si>
  <si>
    <t>Speed/Balance</t>
  </si>
  <si>
    <t>S9 TO</t>
  </si>
  <si>
    <t>:bulldogs: [b][url=http://probaseballexperience.jcink.net/index.php?showtopic=3043&amp;st=0&amp;#entry32473]Jim Kekton - SS[/url][/b] TPE: 186, Regression Class: S6</t>
  </si>
  <si>
    <t>Pio15</t>
  </si>
  <si>
    <t>Rob Cena - CF</t>
  </si>
  <si>
    <t>Shovel Bryant</t>
  </si>
  <si>
    <t>DONG</t>
  </si>
  <si>
    <t>Juan Dong - 1B</t>
  </si>
  <si>
    <t>Icy Douglas</t>
  </si>
  <si>
    <t>Royals1613</t>
  </si>
  <si>
    <t>Ben Crump - SS</t>
  </si>
  <si>
    <t>Arch Changes</t>
  </si>
  <si>
    <t>Penalties/Punishments</t>
  </si>
  <si>
    <t>Rodney Flecha</t>
  </si>
  <si>
    <t>Update Active Players</t>
  </si>
  <si>
    <t>Average per active</t>
  </si>
  <si>
    <t>Colben Fairborn</t>
  </si>
  <si>
    <t>http://probaseballexperience.jcink.net/index.php?showtopic=164</t>
  </si>
  <si>
    <t>daBenchwarmer</t>
  </si>
  <si>
    <t>Alex Sincario - 2B</t>
  </si>
  <si>
    <t>Alex Sincario</t>
  </si>
  <si>
    <t>:bulldogs: [b][url=http://probaseballexperience.jcink.net/index.php?showtopic=164]Alex Sincario - 2B[/url][/b] TPE: 181, Regression Class: S1</t>
  </si>
  <si>
    <t>2B - Alex Sincario</t>
  </si>
  <si>
    <t>http://probaseballexperience.jcink.net/index.php?showtopic=248</t>
  </si>
  <si>
    <t>Majlouni21</t>
  </si>
  <si>
    <t>Mahmoud Ajlouni - C</t>
  </si>
  <si>
    <t>Mahmoud Ajlouni</t>
  </si>
  <si>
    <t>:utah: [b][url=http://probaseballexperience.jcink.net/index.php?showtopic=248]Mahmoud Ajlouni - C[/url][/b] TPE: 179, Regression Class: S1</t>
  </si>
  <si>
    <t>MikeGravy</t>
  </si>
  <si>
    <t>Kenga Yunai - RF</t>
  </si>
  <si>
    <t>Kenga Yunai</t>
  </si>
  <si>
    <t>:swifties:</t>
  </si>
  <si>
    <t>Mork Spaghettelli</t>
  </si>
  <si>
    <t>Kris Kramer</t>
  </si>
  <si>
    <t>http://probaseballexperience.jcink.net/index.php?showtopic=2506</t>
  </si>
  <si>
    <t>CptSquall</t>
  </si>
  <si>
    <t>Richard Physt - 1B</t>
  </si>
  <si>
    <t>Richard Physt</t>
  </si>
  <si>
    <t>:scorpions:</t>
  </si>
  <si>
    <t>:scorpions: [b][url=http://probaseballexperience.jcink.net/index.php?showtopic=2506]Richard Physt - 1B[/url][/b] TPE: 172, Regression Class: S4</t>
  </si>
  <si>
    <t>http://probaseballexperience.jcink.net/index.php?showtopic=1075</t>
  </si>
  <si>
    <t>c_braun</t>
  </si>
  <si>
    <t>Cody Braun - 2B</t>
  </si>
  <si>
    <t>Cody Braun</t>
  </si>
  <si>
    <t>:bulldogs: [b][url=http://probaseballexperience.jcink.net/index.php?showtopic=1075]Cody Braun - 2B[/url][/b] TPE: 172, Regression Class: S2</t>
  </si>
  <si>
    <t>2B - Cody Braun</t>
  </si>
  <si>
    <t>http://probaseballexperience.jcink.net/index.php?showtopic=219</t>
  </si>
  <si>
    <t>BigolPHD</t>
  </si>
  <si>
    <t>Dave Cope - 3B</t>
  </si>
  <si>
    <t>Dave Cope</t>
  </si>
  <si>
    <t>:bulldogs: [b][url=http://probaseballexperience.jcink.net/index.php?showtopic=219]Dave Cope - 3B[/url][/b] TPE: 170, Regression Class: S1</t>
  </si>
  <si>
    <t>3B - Dave Cope</t>
  </si>
  <si>
    <t>http://probaseballexperience.jcink.net/index.php?showtopic=607</t>
  </si>
  <si>
    <t>kymiller17</t>
  </si>
  <si>
    <t>Kai-Wei Mai - CL</t>
  </si>
  <si>
    <t>Kai-Wei Mai</t>
  </si>
  <si>
    <t>http://probaseballexperience.jcink.net/index.php?showtopic=98</t>
  </si>
  <si>
    <t>Gooney</t>
  </si>
  <si>
    <t>Dirty Dongs - RF</t>
  </si>
  <si>
    <t>Dirty Dongs</t>
  </si>
  <si>
    <t>:bulldogs: [b][url=http://probaseballexperience.jcink.net/index.php?showtopic=98]Dirty Dongs - RF[/url][/b] TPE: 168, Regression Class: S1</t>
  </si>
  <si>
    <t>RF - Dirty Dongs</t>
  </si>
  <si>
    <t>http://probaseballexperience.jcink.net/index.php?showtopic=1810</t>
  </si>
  <si>
    <t>fruitbatattack</t>
  </si>
  <si>
    <t>Eric Bilitnikov - C</t>
  </si>
  <si>
    <t>Eric Bilitniko</t>
  </si>
  <si>
    <t>:bulldogs: [b][url=http://probaseballexperience.jcink.net/index.php?showtopic=1810]Eric Bilitnikov - C[/url][/b] TPE: 168, Regression Class: S3</t>
  </si>
  <si>
    <t>Justin Verbeek</t>
  </si>
  <si>
    <t>Eaphus</t>
  </si>
  <si>
    <t>Mitchell McDowell</t>
  </si>
  <si>
    <t>Tater Sewell- C</t>
  </si>
  <si>
    <t>Mamoru Okonomi</t>
  </si>
  <si>
    <t>dankoa</t>
  </si>
  <si>
    <t>Tyler Finch - SP</t>
  </si>
  <si>
    <t>Jasper Clayton</t>
  </si>
  <si>
    <t>http://probaseballexperience.jcink.net/index.php?showtopic=3027</t>
  </si>
  <si>
    <t>cosbornballboy</t>
  </si>
  <si>
    <t>Jayran Mackson - SP</t>
  </si>
  <si>
    <t>Jayran Mackson</t>
  </si>
  <si>
    <t>:bulldogs: [b][url=http://probaseballexperience.jcink.net/index.php?showtopic=3027]Jayran Mackson - SP[/url][/b] TPE: 164, Regression Class: S6</t>
  </si>
  <si>
    <t>http://probaseballexperience.jcink.net/index.php?showtopic=220</t>
  </si>
  <si>
    <t>Tubzaphobia</t>
  </si>
  <si>
    <t>Landon Hope - SP</t>
  </si>
  <si>
    <t>Landon Hope</t>
  </si>
  <si>
    <t>BALLS</t>
  </si>
  <si>
    <t>Seth Porter - SP</t>
  </si>
  <si>
    <t>Seth Porter</t>
  </si>
  <si>
    <t>MantoRune</t>
  </si>
  <si>
    <t>Chip Bowman</t>
  </si>
  <si>
    <t>Manto Rune - 3B</t>
  </si>
  <si>
    <t>Ben Beck</t>
  </si>
  <si>
    <t>http://probaseballexperience.jcink.net/index.php?showtopic=1836</t>
  </si>
  <si>
    <t>SuperSquare04</t>
  </si>
  <si>
    <t>Curtis Kane - SP</t>
  </si>
  <si>
    <t>Mountain Thunderfist</t>
  </si>
  <si>
    <t>TBD</t>
  </si>
  <si>
    <t>mtaylor</t>
  </si>
  <si>
    <t>Mark Taylor - SP</t>
  </si>
  <si>
    <t>http://probaseballexperience.jcink.net/index.php?showtopic=309</t>
  </si>
  <si>
    <t>drenandtarb</t>
  </si>
  <si>
    <t>Jack Westin - 1B</t>
  </si>
  <si>
    <t>Drennifer Tarbington - CL</t>
  </si>
  <si>
    <t>Jack Westin</t>
  </si>
  <si>
    <t>http://probaseballexperience.jcink.net/index.php?showtopic=6002&amp;st=0&amp;#entry75079</t>
  </si>
  <si>
    <t>HyperboleJoe</t>
  </si>
  <si>
    <t>Mountain Quick - C</t>
  </si>
  <si>
    <t>Brock Lobster</t>
  </si>
  <si>
    <t>http://probaseballexperience.jcink.net/index.php?showtopic=2502</t>
  </si>
  <si>
    <t>Sour_Chin_Music</t>
  </si>
  <si>
    <t>Chris Gentry</t>
  </si>
  <si>
    <t>Michael O'Dowd - CL</t>
  </si>
  <si>
    <t>Retained Salary</t>
  </si>
  <si>
    <t>http://probaseballexperience.jcink.net/index.php?showtopic=5852</t>
  </si>
  <si>
    <t>Jake Grinz</t>
  </si>
  <si>
    <t>Curtis Kane</t>
  </si>
  <si>
    <t>SP - Curtis Kane</t>
  </si>
  <si>
    <t>http://probaseballexperience.jcink.net/index.php?showtopic=2999</t>
  </si>
  <si>
    <t>evryday</t>
  </si>
  <si>
    <t>Refugio Castro - C</t>
  </si>
  <si>
    <t>Refugio Castr</t>
  </si>
  <si>
    <t>http://probaseballexperience.jcink.net/index.php?showtopic=5703</t>
  </si>
  <si>
    <t>:bulldogs: [b][url=http://probaseballexperience.jcink.net/index.php?showtopic=2999]Refugio Castro - C[/url][/b] TPE: 146, Regression Class: S6</t>
  </si>
  <si>
    <t>Dionte Washington</t>
  </si>
  <si>
    <t>Mike McSlapp</t>
  </si>
  <si>
    <t>Bartolo Pizza</t>
  </si>
  <si>
    <t>John Bill</t>
  </si>
  <si>
    <t>Michael O'Dowd</t>
  </si>
  <si>
    <t>Cut</t>
  </si>
  <si>
    <t>:aviators: [b][url=http://probaseballexperience.jcink.net/index.php?showtopic=2502]Michael O'Dowd - CL[/url][/b] TPE: 141, Regression Class: S4</t>
  </si>
  <si>
    <t>http://probaseballexperience.jcink.net/index.php?showtopic=1735</t>
  </si>
  <si>
    <t>OllieDaniels</t>
  </si>
  <si>
    <t>Ollie Daniels - CF</t>
  </si>
  <si>
    <t>Ollie Daniels</t>
  </si>
  <si>
    <t xml:space="preserve">Speed/Speed </t>
  </si>
  <si>
    <t>:bulldogs: [b][url=http://probaseballexperience.jcink.net/index.php?showtopic=1735]Ollie Daniels - CF[/url][/b] TPE: 140, Regression Class: S3</t>
  </si>
  <si>
    <t>http://probaseballexperience.jcink.net/index.php?showtopic=3942</t>
  </si>
  <si>
    <t>Shaggy28</t>
  </si>
  <si>
    <t>CJ Henderson - SP</t>
  </si>
  <si>
    <t>CJ Henderson</t>
  </si>
  <si>
    <t xml:space="preserve">Power </t>
  </si>
  <si>
    <t>http://probaseballexperience.jcink.net/index.php?showtopic=1477</t>
  </si>
  <si>
    <t>Confusion</t>
  </si>
  <si>
    <t>Kazuya Miyuki - C</t>
  </si>
  <si>
    <t>Kazuya Miyuk</t>
  </si>
  <si>
    <t>:bulldogs: [b][url=http://probaseballexperience.jcink.net/index.php?showtopic=1477]Kazuya Miyuki - C[/url][/b] TPE: 139, Regression Class: S2</t>
  </si>
  <si>
    <t>http://probaseballexperience.jcink.net/index.php?showtopic=3435</t>
  </si>
  <si>
    <t>.bojo</t>
  </si>
  <si>
    <t>Boogie Flowers - 3B</t>
  </si>
  <si>
    <t>Boogie Flowers</t>
  </si>
  <si>
    <t>:bulldogs: [b][url=http://probaseballexperience.jcink.net/index.php?showtopic=3435]Boogie Flowers - 3B[/url][/b] TPE: 138, Regression Class: S6</t>
  </si>
  <si>
    <t>Ash Dragon</t>
  </si>
  <si>
    <t>Thor Sigurdsson</t>
  </si>
  <si>
    <t>Manto Rune</t>
  </si>
  <si>
    <t>http://probaseballexperience.jcink.net/index.php?act=ST&amp;f=2&amp;t=2524</t>
  </si>
  <si>
    <t>Trifecta</t>
  </si>
  <si>
    <t>Esteban Julio Ricardo Montoya de la Rosa Ramirez - CF</t>
  </si>
  <si>
    <t>Esteban Julio Ricardo Montoya de la Rosa Ramirez</t>
  </si>
  <si>
    <t>:bulldogs: [b][url=http://probaseballexperience.jcink.net/index.php?act=ST&amp;f=2&amp;t=2524]Esteban Julio Ricardo Montoya de la Rosa Ramirez - CF[/url][/b] TPE: 132, Regression Class: S5</t>
  </si>
  <si>
    <t>http://probaseballexperience.jcink.net/index.php?showtopic=1734</t>
  </si>
  <si>
    <t>Redsfan12c</t>
  </si>
  <si>
    <t>Sam Cheung - 2B</t>
  </si>
  <si>
    <t>Sam Cheung</t>
  </si>
  <si>
    <t>:bulldogs: [b][url=http://probaseballexperience.jcink.net/index.php?showtopic=1734]Sam Cheung - 2B[/url][/b] TPE: 132, Regression Class: S3</t>
  </si>
  <si>
    <t>2B - Sam Cheung</t>
  </si>
  <si>
    <t>Tylar Finch</t>
  </si>
  <si>
    <t>http://probaseballexperience.jcink.net/index.php?showtopic=3621</t>
  </si>
  <si>
    <t>Shaun319</t>
  </si>
  <si>
    <t>Shaun Parrish - CF</t>
  </si>
  <si>
    <t>Shaun Parrish</t>
  </si>
  <si>
    <t>:bulldogs: [b][url=http://probaseballexperience.jcink.net/index.php?showtopic=3621]Shaun Parrish - CF[/url][/b] TPE: 131, Regression Class: S7</t>
  </si>
  <si>
    <t>Corey Bradford</t>
  </si>
  <si>
    <t>Alan Abel</t>
  </si>
  <si>
    <t>http://probaseballexperience.jcink.net/index.php?showtopic=2615</t>
  </si>
  <si>
    <t>Those players are not in cumulative table</t>
  </si>
  <si>
    <t>Money</t>
  </si>
  <si>
    <t>Reggie Malone - LF</t>
  </si>
  <si>
    <t>Constantine Armstrong II - CF</t>
  </si>
  <si>
    <t>Reggie Malone</t>
  </si>
  <si>
    <t>S7 PO</t>
  </si>
  <si>
    <t>:bulldogs: [b][url=http://probaseballexperience.jcink.net/index.php?showtopic=2615]Reggie Malone - LF[/url][/b] TPE: 129, Regression Class: S5</t>
  </si>
  <si>
    <t>RETIRED</t>
  </si>
  <si>
    <t>http://probaseballexperience.jcink.net/index.php?showtopic=1377</t>
  </si>
  <si>
    <t>Cuauhtémoc Rodriguez - LF</t>
  </si>
  <si>
    <t>k0ala</t>
  </si>
  <si>
    <t>Ben O'Leary - C</t>
  </si>
  <si>
    <t>Undrafted</t>
  </si>
  <si>
    <t>Ben O'Lear</t>
  </si>
  <si>
    <t>Sigurđ Bjarnason - 2B</t>
  </si>
  <si>
    <t>:bulldogs: [b][url=http://probaseballexperience.jcink.net/index.php?showtopic=1377]Ben O'Leary - C[/url][/b] TPE: 129, Regression Class: S2</t>
  </si>
  <si>
    <t>Aztec</t>
  </si>
  <si>
    <t>Nolan Anderson - 3B</t>
  </si>
  <si>
    <t>http://probaseballexperience.jcink.net/index.php?showtopic=3272</t>
  </si>
  <si>
    <t>Jason Lester</t>
  </si>
  <si>
    <t>39alaska39</t>
  </si>
  <si>
    <t>Kristy O'Sullivan - SP</t>
  </si>
  <si>
    <t>Kevin Winters - C</t>
  </si>
  <si>
    <t>http://probaseballexperience.jcink.net/index.php?showtopic=5585</t>
  </si>
  <si>
    <t>Joseph Askins - 3B</t>
  </si>
  <si>
    <t>Prickly Pearboi</t>
  </si>
  <si>
    <t>Vincent Gramatica - 3B</t>
  </si>
  <si>
    <t>BentonMacKaye</t>
  </si>
  <si>
    <t>Benton MacKaye - SP</t>
  </si>
  <si>
    <t>Kevin Winter</t>
  </si>
  <si>
    <t>Miwa Langley - LF</t>
  </si>
  <si>
    <t>Warped</t>
  </si>
  <si>
    <t>http://probaseballexperience.jcink.net/index.php?showtopic=4076</t>
  </si>
  <si>
    <t>Jet Lange - LF</t>
  </si>
  <si>
    <t>Tbeowulf</t>
  </si>
  <si>
    <t>Mendo "El Dorado" Brazos - SP</t>
  </si>
  <si>
    <t>Mendo "El Dorado" Brazos</t>
  </si>
  <si>
    <t>Thomas Beowulf - CF</t>
  </si>
  <si>
    <t>WJMorris3</t>
  </si>
  <si>
    <t>Thomas Beowulf</t>
  </si>
  <si>
    <t>Will Morris - SP</t>
  </si>
  <si>
    <t>:bulldogs: [b][url=http://probaseballexperience.jcink.net/index.php?showtopic=4076]Thomas Beowulf - CF[/url][/b] TPE: 126, Regression Class: S8</t>
  </si>
  <si>
    <t>S4 TO</t>
  </si>
  <si>
    <t>http://probaseballexperience.jcink.net/index.php?showtopic=3097</t>
  </si>
  <si>
    <t>Felipe Rios - RF</t>
  </si>
  <si>
    <t>Merkury86</t>
  </si>
  <si>
    <t>:bulldogs: [b][url=http://probaseballexperience.jcink.net/index.php?showtopic=3272]Kevin Winters - C[/url][/b] TPE: 126, Regression Class: S6</t>
  </si>
  <si>
    <t>Eddie Spaghetti - 3B</t>
  </si>
  <si>
    <t>Mew Ford - 1B</t>
  </si>
  <si>
    <t>BarnabyEarl</t>
  </si>
  <si>
    <t>Barnaby Earl - 1B</t>
  </si>
  <si>
    <t>Keygan Hankins - C</t>
  </si>
  <si>
    <t>akick31</t>
  </si>
  <si>
    <t>BaseballManiac</t>
  </si>
  <si>
    <t>Pretzels McCringleberry III - 3B</t>
  </si>
  <si>
    <t>Diego Duque de Estrada - SP</t>
  </si>
  <si>
    <t>Paco Dunbar</t>
  </si>
  <si>
    <t>Virgil Fox - 1B</t>
  </si>
  <si>
    <t>http://probaseballexperience.jcink.net/index.php?showtopic=2571</t>
  </si>
  <si>
    <t>Stockton</t>
  </si>
  <si>
    <t>S5 TO</t>
  </si>
  <si>
    <t>Ike Thompson - 2B</t>
  </si>
  <si>
    <t>Barnaby Earl</t>
  </si>
  <si>
    <t>Benson Bayley - SS</t>
  </si>
  <si>
    <t>S7 TO</t>
  </si>
  <si>
    <t>Aenir</t>
  </si>
  <si>
    <t>http://probaseballexperience.jcink.net/index.php?showtopic=1799</t>
  </si>
  <si>
    <t>Chris Orosz - CL</t>
  </si>
  <si>
    <t>Cox2j8</t>
  </si>
  <si>
    <t>Logan Cox - C</t>
  </si>
  <si>
    <t>Eddie Spaghetti</t>
  </si>
  <si>
    <t>Ricky Vaughn - SP</t>
  </si>
  <si>
    <t>:bulldogs: [b][url=http://probaseballexperience.jcink.net/index.php?showtopic=3097]Eddie Spaghetti - 3B[/url][/b] TPE: 118, Regression Class: S6</t>
  </si>
  <si>
    <t>http://probaseballexperience.jcink.net/index.php?showtopic=127</t>
  </si>
  <si>
    <t>http://probaseballexperience.jcink.net/index.php?showtopic=3594</t>
  </si>
  <si>
    <t>Pene Pequeño - SP</t>
  </si>
  <si>
    <t>Squeeze</t>
  </si>
  <si>
    <t>dreadlordking</t>
  </si>
  <si>
    <t>S4 PO</t>
  </si>
  <si>
    <t>Buddy McKnight - SP</t>
  </si>
  <si>
    <t>Marc Steele - RF</t>
  </si>
  <si>
    <t>Buddy McKnight</t>
  </si>
  <si>
    <t>Daniel Brown - SP</t>
  </si>
  <si>
    <t>http://probaseballexperience.jcink.net/index.php?showtopic=3080</t>
  </si>
  <si>
    <t>drphillysblunt</t>
  </si>
  <si>
    <t>Jesper Manning - 1B</t>
  </si>
  <si>
    <t>Phil Blunt - CF</t>
  </si>
  <si>
    <t>Diego Duque de Estrada</t>
  </si>
  <si>
    <t>http://probaseballexperience.jcink.net/index.php?showtopic=1041</t>
  </si>
  <si>
    <t>King Cuddles II - 2B</t>
  </si>
  <si>
    <t>http://probaseballexperience.jcink.net/index.php?showtopic=239</t>
  </si>
  <si>
    <t>lasershow1507</t>
  </si>
  <si>
    <t>christian</t>
  </si>
  <si>
    <t>Brandon Adams - SP</t>
  </si>
  <si>
    <t>Christian Augustine - SP</t>
  </si>
  <si>
    <t>http://probaseballexperience.jcink.net/index.php?showtopic=2364</t>
  </si>
  <si>
    <t>Brandon Adams</t>
  </si>
  <si>
    <t>Billy Baxter - 1B</t>
  </si>
  <si>
    <t>http://probaseballexperience.jcink.net/index.php?showtopic=2229</t>
  </si>
  <si>
    <t>CompleteBelter</t>
  </si>
  <si>
    <t>Stuart Westerkamp - C</t>
  </si>
  <si>
    <t>http://probaseballexperience.jcink.net/index.php?showtopic=69</t>
  </si>
  <si>
    <t>Ike Thompson</t>
  </si>
  <si>
    <t>:bulldogs: [b][url=http://probaseballexperience.jcink.net/index.php?showtopic=2571]Ike Thompson - 2B[/url][/b] TPE: 114, Regression Class: S5</t>
  </si>
  <si>
    <t>Boopity Booper - SP</t>
  </si>
  <si>
    <t>fade17</t>
  </si>
  <si>
    <t>Bishop Chomke - RF</t>
  </si>
  <si>
    <t>http://probaseballexperience.jcink.net/index.php?showtopic=304</t>
  </si>
  <si>
    <t>Boom™</t>
  </si>
  <si>
    <t>:bulldogs: [b][url=http://probaseballexperience.jcink.net/index.php?showtopic=1041]Brandon Adams - SP[/url][/b] TPE: 114, Regression Class: S2</t>
  </si>
  <si>
    <t>http://probaseballexperience.jcink.net/index.php?showtopic=2194</t>
  </si>
  <si>
    <t>Colton Hunter - SS</t>
  </si>
  <si>
    <t>adfalcon</t>
  </si>
  <si>
    <t>Alex Rolison - SP</t>
  </si>
  <si>
    <t>y</t>
  </si>
  <si>
    <t>http://probaseballexperience.jcink.net/index.php?showtopic=2847</t>
  </si>
  <si>
    <t>Marc Steele</t>
  </si>
  <si>
    <t>Duke Williams - RF</t>
  </si>
  <si>
    <t>http://probaseballexperience.jcink.net/index.php?showtopic=2596</t>
  </si>
  <si>
    <t>KingSwampTroll</t>
  </si>
  <si>
    <t>King Swamp Troll RF</t>
  </si>
  <si>
    <t>http://probaseballexperience.jcink.net/index.php?showtopic=1731</t>
  </si>
  <si>
    <t>boomeranggoblin</t>
  </si>
  <si>
    <t>Logan Co</t>
  </si>
  <si>
    <t>http://probaseballexperience.jcink.net/index.php?showtopic=3196</t>
  </si>
  <si>
    <t>:bulldogs: [b][url=http://probaseballexperience.jcink.net/index.php?showtopic=1799]Logan Cox - C[/url][/b] TPE: 113, Regression Class: S3</t>
  </si>
  <si>
    <t>C - Logan Co</t>
  </si>
  <si>
    <t>Boomerang Goblin - SS</t>
  </si>
  <si>
    <t>Macsimusx</t>
  </si>
  <si>
    <t>Benjamin Beaux - SS</t>
  </si>
  <si>
    <t>http://probaseballexperience.jcink.net/index.php?showtopic=142</t>
  </si>
  <si>
    <t>Phil Blunt</t>
  </si>
  <si>
    <t>http://probaseballexperience.jcink.net/index.php?showtopic=3610</t>
  </si>
  <si>
    <t>:bulldogs: [b][url=http://probaseballexperience.jcink.net/index.php?showtopic=3080]Phil Blunt - CF[/url][/b] TPE: 112, Regression Class: S6</t>
  </si>
  <si>
    <t>datboi</t>
  </si>
  <si>
    <t>Arbin Asipi - RF</t>
  </si>
  <si>
    <t>http://probaseballexperience.jcink.net/index.php?showtopic=1147</t>
  </si>
  <si>
    <t>Andrew Cathington - CF</t>
  </si>
  <si>
    <t>CrashDavis</t>
  </si>
  <si>
    <t>http://probaseballexperience.jcink.net/index.php?showtopic=216</t>
  </si>
  <si>
    <t>Ulysses Covfefe - CF</t>
  </si>
  <si>
    <t>letsmaybeLP92</t>
  </si>
  <si>
    <t>Ulysses Covfefe</t>
  </si>
  <si>
    <t xml:space="preserve">Speed/Balanced </t>
  </si>
  <si>
    <t>Tim "Knuckler" Jackson - CL</t>
  </si>
  <si>
    <t>http://probaseballexperience.jcink.net/index.php?showtopic=3573</t>
  </si>
  <si>
    <t>:bulldogs: [b][url=http://probaseballexperience.jcink.net/index.php?showtopic=1147]Ulysses Covfefe - CF[/url][/b] TPE: 112, Regression Class: S2</t>
  </si>
  <si>
    <t>CF - Ulysses Covfefe</t>
  </si>
  <si>
    <t>Nbrown55</t>
  </si>
  <si>
    <t>http://probaseballexperience.jcink.net/index.php?showtopic=155</t>
  </si>
  <si>
    <t>Dino Panini - SP</t>
  </si>
  <si>
    <t>Knuckles Deep - SP</t>
  </si>
  <si>
    <t>Bishop Chomke</t>
  </si>
  <si>
    <t>http://probaseballexperience.jcink.net/index.php?showtopic=3585</t>
  </si>
  <si>
    <t>GM</t>
  </si>
  <si>
    <t>http://probaseballexperience.jcink.net/index.php?showtopic=2405</t>
  </si>
  <si>
    <t>Mawcuzz</t>
  </si>
  <si>
    <t>Marc Courtremanche - 3B</t>
  </si>
  <si>
    <t>Randy Magnum - SP</t>
  </si>
  <si>
    <t>Good_Ole_Kimmy</t>
  </si>
  <si>
    <t>http://probaseballexperience.jcink.net/index.php?showtopic=335</t>
  </si>
  <si>
    <t>Jack Blll - CL</t>
  </si>
  <si>
    <t>Christian Augustine</t>
  </si>
  <si>
    <t>Lolos</t>
  </si>
  <si>
    <t>Alexander Ovechkin - CL</t>
  </si>
  <si>
    <t>UnderdogWSNC</t>
  </si>
  <si>
    <t>Goose Boozer - CL</t>
  </si>
  <si>
    <t>http://probaseballexperience.jcink.net/index.php?showtopic=1293</t>
  </si>
  <si>
    <t>Beaniegoose</t>
  </si>
  <si>
    <t>Stuart Westerkam</t>
  </si>
  <si>
    <t>Akamai Kalawaiʻa - SP</t>
  </si>
  <si>
    <t>:bulldogs: [b][url=http://probaseballexperience.jcink.net/index.php?showtopic=2229]Stuart Westerkamp - C[/url][/b] TPE: 111, Regression Class: S4</t>
  </si>
  <si>
    <t>C - Stuart Westerkam</t>
  </si>
  <si>
    <t>http://probaseballexperience.jcink.net/index.php?showtopic=1062</t>
  </si>
  <si>
    <t>Jbm3333</t>
  </si>
  <si>
    <t>http://probaseballexperience.jcink.net/index.php?showtopic=720</t>
  </si>
  <si>
    <t>Sky23</t>
  </si>
  <si>
    <t>Elon Bezos - SS</t>
  </si>
  <si>
    <t>Addison Steinbach - SP</t>
  </si>
  <si>
    <t>J.R. Wilson - SP</t>
  </si>
  <si>
    <t>http://probaseballexperience.jcink.net/index.php?showtopic=2190</t>
  </si>
  <si>
    <t>Addison Steinbach</t>
  </si>
  <si>
    <t>:bulldogs: [b][url=http://probaseballexperience.jcink.net/index.php?showtopic=1062]Addison Steinbach - SP[/url][/b] TPE: 111, Regression Class: S2</t>
  </si>
  <si>
    <t>mako1355</t>
  </si>
  <si>
    <t>http://probaseballexperience.jcink.net/index.php?showtopic=89</t>
  </si>
  <si>
    <t>chucky267</t>
  </si>
  <si>
    <t>TJ Sparks - SP</t>
  </si>
  <si>
    <t>Dinero Torres - SP</t>
  </si>
  <si>
    <t>Sturgill Rove - SP</t>
  </si>
  <si>
    <t>http://probaseballexperience.jcink.net/index.php?showtopic=1426</t>
  </si>
  <si>
    <t>http://probaseballexperience.jcink.net/index.php?showtopic=105</t>
  </si>
  <si>
    <t>Ramicus</t>
  </si>
  <si>
    <t>crutchfield</t>
  </si>
  <si>
    <t>Gray Goose McGillicuddy - CL</t>
  </si>
  <si>
    <t>Keith Shields - CL</t>
  </si>
  <si>
    <t>http://probaseballexperience.jcink.net/index.php?showtopic=5586</t>
  </si>
  <si>
    <t>http://probaseballexperience.jcink.net/index.php?showtopic=2121</t>
  </si>
  <si>
    <t>Arthur Meebles</t>
  </si>
  <si>
    <t>http://probaseballexperience.jcink.net/index.php?showtopic=1070</t>
  </si>
  <si>
    <t>Peter R Kotsay</t>
  </si>
  <si>
    <t>Goosebumps Walkaway - CL</t>
  </si>
  <si>
    <t>Peter R Kotsay - CL</t>
  </si>
  <si>
    <t>http://probaseballexperience.jcink.net/index.php?showtopic=64</t>
  </si>
  <si>
    <t>http://probaseballexperience.jcink.net/index.php?showtopic=5587</t>
  </si>
  <si>
    <t>Orin Valeryn</t>
  </si>
  <si>
    <t>Willie Mays Hayes - CF</t>
  </si>
  <si>
    <t>Lt. Gregory Stevens</t>
  </si>
  <si>
    <t>Gregory Stevens - 1B</t>
  </si>
  <si>
    <t>http://probaseballexperience.jcink.net/index.php?showtopic=953</t>
  </si>
  <si>
    <t>kooda69</t>
  </si>
  <si>
    <t>robinson5932</t>
  </si>
  <si>
    <t>Trippie Redd - LF</t>
  </si>
  <si>
    <t>Goose Boozer</t>
  </si>
  <si>
    <t>Gary Banks - SS</t>
  </si>
  <si>
    <t>http://probaseballexperience.jcink.net/index.php?showtopic=1053</t>
  </si>
  <si>
    <t>jaredwideman</t>
  </si>
  <si>
    <t>Jared Wideman - 3B</t>
  </si>
  <si>
    <t>Kenny Kawaguchi - SP</t>
  </si>
  <si>
    <t>Jack Blll</t>
  </si>
  <si>
    <t>0,5 Bonus for &lt;3 ERA</t>
  </si>
  <si>
    <t>http://probaseballexperience.jcink.net/index.php?showtopic=496</t>
  </si>
  <si>
    <t>PandOGod</t>
  </si>
  <si>
    <t>Benis</t>
  </si>
  <si>
    <t>Orlando Mcclain - C</t>
  </si>
  <si>
    <t>Ez Eldin Deng - CL</t>
  </si>
  <si>
    <t>http://probaseballexperience.jcink.net/index.php?showtopic=1673</t>
  </si>
  <si>
    <t>http://probaseballexperience.jcink.net/index.php?showtopic=162</t>
  </si>
  <si>
    <t>Tyler Findling</t>
  </si>
  <si>
    <t>Tyler</t>
  </si>
  <si>
    <t>Clint Eastwood</t>
  </si>
  <si>
    <t>Nico Evans - 3B</t>
  </si>
  <si>
    <t>Clint Eastwood - 2B</t>
  </si>
  <si>
    <t>http://probaseballexperience.jcink.net/index.php?showtopic=2312</t>
  </si>
  <si>
    <t>themadbatter</t>
  </si>
  <si>
    <t>BaseScoutX1</t>
  </si>
  <si>
    <t>Benjamin Beaux</t>
  </si>
  <si>
    <t>Alison Wunderland - SS</t>
  </si>
  <si>
    <t>J.W. Doyle - SP</t>
  </si>
  <si>
    <t>http://probaseballexperience.jcink.net/index.php?showtopic=383</t>
  </si>
  <si>
    <t>Doc Holliday</t>
  </si>
  <si>
    <t>Adrian Columbus - RF</t>
  </si>
  <si>
    <t>http://probaseballexperience.jcink.net/index.php?showtopic=2622</t>
  </si>
  <si>
    <t>cesarb182</t>
  </si>
  <si>
    <t>http://probaseballexperience.jcink.net/index.php?showtopic=210</t>
  </si>
  <si>
    <t>Cesar Ellis - CL</t>
  </si>
  <si>
    <t>Castillo</t>
  </si>
  <si>
    <t>Ernesto Castillo - SP</t>
  </si>
  <si>
    <t>http://probaseballexperience.jcink.net/index.php?showtopic=3174</t>
  </si>
  <si>
    <t>Elon Bezos</t>
  </si>
  <si>
    <t>Goofus Maximus</t>
  </si>
  <si>
    <t>http://probaseballexperience.jcink.net/index.php?showtopic=1236</t>
  </si>
  <si>
    <t>Leonard Church- 2B</t>
  </si>
  <si>
    <t>Anna Joosten - SP</t>
  </si>
  <si>
    <t>http://probaseballexperience.jcink.net/index.php?showtopic=3170</t>
  </si>
  <si>
    <t>http://probaseballexperience.jcink.net/index.php?showtopic=797</t>
  </si>
  <si>
    <t>TYP0</t>
  </si>
  <si>
    <t>Andrew Cathington</t>
  </si>
  <si>
    <t>:bulldogs: [b][url=http://probaseballexperience.jcink.net/index.php?showtopic=3610]Andrew Cathington - CF[/url][/b] TPE: 108, Regression Class: S7</t>
  </si>
  <si>
    <t>Michael Oxard- SP</t>
  </si>
  <si>
    <t>Bryce Harden - RF</t>
  </si>
  <si>
    <t>http://probaseballexperience.jcink.net/index.php?showtopic=327</t>
  </si>
  <si>
    <t>aceguy</t>
  </si>
  <si>
    <t>Dino Panini</t>
  </si>
  <si>
    <t>Joester09</t>
  </si>
  <si>
    <t>Justin Moreland- 3B</t>
  </si>
  <si>
    <t>:bulldogs: [b][url=http://probaseballexperience.jcink.net/index.php?showtopic=3573]Dino Panini - SP[/url][/b] TPE: 108, Regression Class: S7</t>
  </si>
  <si>
    <t>Joey McCarty - CL</t>
  </si>
  <si>
    <t>http://probaseballexperience.jcink.net/index.php?showtopic=3186</t>
  </si>
  <si>
    <t>http://probaseballexperience.jcink.net/index.php?showtopic=840</t>
  </si>
  <si>
    <t>qtwillis</t>
  </si>
  <si>
    <t>incitehysteria</t>
  </si>
  <si>
    <t>Marc Courtremanche</t>
  </si>
  <si>
    <t>Martinez Pedro - SP</t>
  </si>
  <si>
    <t>Gabriel Verhaegen - CL</t>
  </si>
  <si>
    <t>:bulldogs: [b][url=http://probaseballexperience.jcink.net/index.php?showtopic=3585]Marc Courtremanche - 3B[/url][/b] TPE: 108, Regression Class: S7</t>
  </si>
  <si>
    <t>http://probaseballexperience.jcink.net/index.php?showtopic=2967</t>
  </si>
  <si>
    <t>Tyreek Williams VII - SP</t>
  </si>
  <si>
    <t>lordbubbington</t>
  </si>
  <si>
    <t>Cole Davenport - SP</t>
  </si>
  <si>
    <t>http://probaseballexperience.jcink.net/index.php?showtopic=158</t>
  </si>
  <si>
    <t>King Swamp Tro</t>
  </si>
  <si>
    <t>:bulldogs: [b][url=http://probaseballexperience.jcink.net/index.php?showtopic=2596]King Swamp Troll RF[/url][/b] TPE: 108, Regression Class: S5</t>
  </si>
  <si>
    <t>John Smoltz Jr. - CL</t>
  </si>
  <si>
    <t>http://probaseballexperience.jcink.net/index.php?showtopic=2905</t>
  </si>
  <si>
    <t>http://probaseballexperience.jcink.net/index.php?showtopic=215</t>
  </si>
  <si>
    <t>Tiddlywink McTicklestick - SP</t>
  </si>
  <si>
    <t>pris</t>
  </si>
  <si>
    <t>Alex Rolison</t>
  </si>
  <si>
    <t>Mikael Martinez - CL</t>
  </si>
  <si>
    <t>:bulldogs: [b][url=http://probaseballexperience.jcink.net/index.php?showtopic=2194]Alex Rolison - SP[/url][/b] TPE: 108, Regression Class: S4</t>
  </si>
  <si>
    <t>SP - Alex Rolison</t>
  </si>
  <si>
    <t>http://probaseballexperience.jcink.net/index.php?showtopic=2444</t>
  </si>
  <si>
    <t>GoodLeftUndone</t>
  </si>
  <si>
    <t>http://probaseballexperience.jcink.net/index.php?showtopic=3008</t>
  </si>
  <si>
    <t>Tormund Gingerbomb - 3B</t>
  </si>
  <si>
    <t>Preza</t>
  </si>
  <si>
    <t>Tormund Gingerbomb</t>
  </si>
  <si>
    <t>Chase Preza - 1B</t>
  </si>
  <si>
    <t>Thunder Strokeharder - C</t>
  </si>
  <si>
    <t>http://probaseballexperience.jcink.net/index.php?showtopic=5362</t>
  </si>
  <si>
    <t>http://probaseballexperience.jcink.net/index.php?showtopic=1152</t>
  </si>
  <si>
    <t>http://probaseballexperience.jcink.net/index.php?showtopic=2966#</t>
  </si>
  <si>
    <t>Steven Moore - 3B</t>
  </si>
  <si>
    <t>http://probaseballexperience.jcink.net/index.php?showtopic=177</t>
  </si>
  <si>
    <t>Olle Sylvegaard</t>
  </si>
  <si>
    <t>AsylumParty</t>
  </si>
  <si>
    <t>:wheelers:</t>
  </si>
  <si>
    <t>Dustin Evans - C</t>
  </si>
  <si>
    <t>abrod8</t>
  </si>
  <si>
    <t>Aidan Broderick - RF</t>
  </si>
  <si>
    <t>http://probaseballexperience.jcink.net/index.php?showtopic=75</t>
  </si>
  <si>
    <t>Perry</t>
  </si>
  <si>
    <t>Don Kelly - SP</t>
  </si>
  <si>
    <t>http://probaseballexperience.jcink.net/index.php?showtopic=230</t>
  </si>
  <si>
    <t>http://probaseballexperience.jcink.net/index.php?showtopic=3606</t>
  </si>
  <si>
    <t>TJ Sparks</t>
  </si>
  <si>
    <t>jRuutu</t>
  </si>
  <si>
    <t>Hannu Karpotsev - CL</t>
  </si>
  <si>
    <t>:bulldogs: [b][url=http://probaseballexperience.jcink.net/index.php?showtopic=2190]TJ Sparks - SP[/url][/b] TPE: 105, Regression Class: S4</t>
  </si>
  <si>
    <t>SP - TJ Sparks</t>
  </si>
  <si>
    <t>Troy Castlefield-Pfloog - C</t>
  </si>
  <si>
    <t>http://probaseballexperience.jcink.net/index.php?showtopic=805</t>
  </si>
  <si>
    <t>SnuggleNugget</t>
  </si>
  <si>
    <t>OwlStrike13</t>
  </si>
  <si>
    <t>Paul DiMirio III</t>
  </si>
  <si>
    <t>Marcus Strikeout - SP</t>
  </si>
  <si>
    <t>Bobby Donger - SP</t>
  </si>
  <si>
    <t>http://probaseballexperience.jcink.net/index.php?showtopic=1032</t>
  </si>
  <si>
    <t>http://probaseballexperience.jcink.net/index.php?showtopic=118</t>
  </si>
  <si>
    <t>atcovin</t>
  </si>
  <si>
    <t>Sopath</t>
  </si>
  <si>
    <t>Felix Meier - SP</t>
  </si>
  <si>
    <t>Harvey Bones - SP</t>
  </si>
  <si>
    <t>Frederick Holland - CF</t>
  </si>
  <si>
    <t>Harvey Bones</t>
  </si>
  <si>
    <t>BradyMac2438</t>
  </si>
  <si>
    <t>:bulldogs: [b][url=http://probaseballexperience.jcink.net/index.php?showtopic=1032]Harvey Bones - SP[/url][/b] TPE: 103, Regression Class: S2</t>
  </si>
  <si>
    <t>http://probaseballexperience.jcink.net/index.php?showtopic=132</t>
  </si>
  <si>
    <t>:swans:</t>
  </si>
  <si>
    <t>Brady McKenzie - SP</t>
  </si>
  <si>
    <t>TheFlash</t>
  </si>
  <si>
    <t>Jason</t>
  </si>
  <si>
    <t>Randy Savage - SP</t>
  </si>
  <si>
    <t>Al "Scarface" Capone - 3B</t>
  </si>
  <si>
    <t>sableye2</t>
  </si>
  <si>
    <t>Stratfer Wakera - SS</t>
  </si>
  <si>
    <t>http://probaseballexperience.jcink.net/index.php?showtopic=238</t>
  </si>
  <si>
    <t>ApacheChief</t>
  </si>
  <si>
    <t>S11  TO</t>
  </si>
  <si>
    <t>Brock Harris - LF</t>
  </si>
  <si>
    <t>Albert Blueballs - 1B</t>
  </si>
  <si>
    <t>http://probaseballexperience.jcink.net/index.php?showtopic=112</t>
  </si>
  <si>
    <t>Billy Bob Booker V - 2B</t>
  </si>
  <si>
    <t>samee</t>
  </si>
  <si>
    <t>Kellertime</t>
  </si>
  <si>
    <t>Ash2020</t>
  </si>
  <si>
    <t>Shahid Afridi - 1B</t>
  </si>
  <si>
    <t>Jaxsin Tyler - LF</t>
  </si>
  <si>
    <t>http://probaseballexperience.jcink.net/index.php?showtopic=183</t>
  </si>
  <si>
    <t>Nonsense</t>
  </si>
  <si>
    <t>Trent Vain - RF</t>
  </si>
  <si>
    <t>Dante</t>
  </si>
  <si>
    <t>http://probaseballexperience.jcink.net/index.php?showtopic=140</t>
  </si>
  <si>
    <t>Dante Zarazel - CF</t>
  </si>
  <si>
    <t>kcheng686</t>
  </si>
  <si>
    <t>Dante Zarazel</t>
  </si>
  <si>
    <t>Nathaniel Zhou - LF</t>
  </si>
  <si>
    <t>http://probaseballexperience.jcink.net/index.php?showtopic=477</t>
  </si>
  <si>
    <t>CFJ</t>
  </si>
  <si>
    <t>Ed Barker</t>
  </si>
  <si>
    <t>DripDropDrippin</t>
  </si>
  <si>
    <t>Carlos Delgado Jr. - 1B</t>
  </si>
  <si>
    <t>Glenn Cahill - 3B</t>
  </si>
  <si>
    <t>http://probaseballexperience.jcink.net/index.php?showtopic=762</t>
  </si>
  <si>
    <t>acki</t>
  </si>
  <si>
    <t>Billy Bates - 2B</t>
  </si>
  <si>
    <t>Fliff Cloyd</t>
  </si>
  <si>
    <t>jeremyl11</t>
  </si>
  <si>
    <t>http://probaseballexperience.jcink.net/index.php?showtopic=67</t>
  </si>
  <si>
    <t>Jerome Lome - C</t>
  </si>
  <si>
    <t>Sleepy</t>
  </si>
  <si>
    <t>Seth Graves - SS</t>
  </si>
  <si>
    <t>http://probaseballexperience.jcink.net/index.php?showtopic=126</t>
  </si>
  <si>
    <t>Ryusei Makunouchi</t>
  </si>
  <si>
    <t>nextchampionleafsorjays</t>
  </si>
  <si>
    <t>Mdubz</t>
  </si>
  <si>
    <t>Rickadosz Zimmermencha - CL</t>
  </si>
  <si>
    <t>Michael Walker - 1B</t>
  </si>
  <si>
    <t>http://probaseballexperience.jcink.net/index.php?showtopic=498</t>
  </si>
  <si>
    <t>Carmack</t>
  </si>
  <si>
    <t>Bharris8550</t>
  </si>
  <si>
    <t>Adam Wiggins - 3B</t>
  </si>
  <si>
    <t>Glenn Cahill</t>
  </si>
  <si>
    <t>Brian Harris - SP</t>
  </si>
  <si>
    <t>http://probaseballexperience.jcink.net/index.php?showtopic=96</t>
  </si>
  <si>
    <t>CerranoWantsToBat</t>
  </si>
  <si>
    <t>RAJ88</t>
  </si>
  <si>
    <t>Pedro Cerrano - RF</t>
  </si>
  <si>
    <t>R.A. Johnston - SP</t>
  </si>
  <si>
    <t>http://probaseballexperience.jcink.net/index.php?showtopic=242</t>
  </si>
  <si>
    <t>Daquan Nibbason</t>
  </si>
  <si>
    <t>HunterTuzero</t>
  </si>
  <si>
    <t>Bj4web</t>
  </si>
  <si>
    <t>Hunter Tuzero - RF</t>
  </si>
  <si>
    <t>Sancho Webner - LF</t>
  </si>
  <si>
    <t>http://probaseballexperience.jcink.net/index.php?showtopic=221</t>
  </si>
  <si>
    <t>SuperKmanrocks</t>
  </si>
  <si>
    <t>Kyle Bryant - 2B</t>
  </si>
  <si>
    <t>Tyler Finch</t>
  </si>
  <si>
    <t>http://probaseballexperience.jcink.net/index.php?showtopic=147</t>
  </si>
  <si>
    <t>Tylar</t>
  </si>
  <si>
    <t>Orlando Delgado - 1B</t>
  </si>
  <si>
    <t>Sami Steen - CF</t>
  </si>
  <si>
    <t>Mason Brown 2.0</t>
  </si>
  <si>
    <t>http://probaseballexperience.jcink.net/index.php?showtopic=235</t>
  </si>
  <si>
    <t>wshea50</t>
  </si>
  <si>
    <t>Shea Stockton - SP</t>
  </si>
  <si>
    <t>http://probaseballexperience.jcink.net/index.php?showtopic=362</t>
  </si>
  <si>
    <t>Jimmd724</t>
  </si>
  <si>
    <t>Stratfer Wakera</t>
  </si>
  <si>
    <t>Harley Weewax - 3B</t>
  </si>
  <si>
    <t>Jerryyyy</t>
  </si>
  <si>
    <t>http://probaseballexperience.jcink.net/index.php?showtopic=144</t>
  </si>
  <si>
    <t>Jerry Parker - SP</t>
  </si>
  <si>
    <t>G00ney</t>
  </si>
  <si>
    <t>Tater Sewel</t>
  </si>
  <si>
    <t>Big Dongs - 1B</t>
  </si>
  <si>
    <t>kingGoomba</t>
  </si>
  <si>
    <t>http://probaseballexperience.jcink.net/index.php?showtopic=490</t>
  </si>
  <si>
    <t>Jack Goff - SP</t>
  </si>
  <si>
    <t>RedV7</t>
  </si>
  <si>
    <t>Guacamole Quesorito - CL</t>
  </si>
  <si>
    <t>kaleum</t>
  </si>
  <si>
    <t>Bobby Donger</t>
  </si>
  <si>
    <t>http://probaseballexperience.jcink.net/index.php?showtopic=217</t>
  </si>
  <si>
    <t>Pete Davidson - SS</t>
  </si>
  <si>
    <t>zmp1924</t>
  </si>
  <si>
    <t>Zach Peterson - SP</t>
  </si>
  <si>
    <t>http://probaseballexperience.jcink.net/index.php?showtopic=397</t>
  </si>
  <si>
    <t>Felix Meier</t>
  </si>
  <si>
    <t>TheStrawberry</t>
  </si>
  <si>
    <t>Lazaro McInnis - SP</t>
  </si>
  <si>
    <t>http://probaseballexperience.jcink.net/index.php?showtopic=249</t>
  </si>
  <si>
    <t>Brady McKenzie</t>
  </si>
  <si>
    <t>Becks89</t>
  </si>
  <si>
    <t>Randominoe</t>
  </si>
  <si>
    <t>Kazuto Nagai - SP</t>
  </si>
  <si>
    <t>Espen Knutsen Jr. - CL</t>
  </si>
  <si>
    <t>http://probaseballexperience.jcink.net/index.php?showtopic=109</t>
  </si>
  <si>
    <t>loco</t>
  </si>
  <si>
    <t>Troy Castlefield-Pfloo</t>
  </si>
  <si>
    <t>Clark Canuck - SS</t>
  </si>
  <si>
    <t>SecondSucks22</t>
  </si>
  <si>
    <t>http://probaseballexperience.jcink.net/index.php?showtopic=342</t>
  </si>
  <si>
    <t>Jax Duggan - C</t>
  </si>
  <si>
    <t>Jax</t>
  </si>
  <si>
    <t>Jax MacDoo - SP</t>
  </si>
  <si>
    <t>Billy Bob Booker V</t>
  </si>
  <si>
    <t>http://probaseballexperience.jcink.net/index.php?showtopic=917</t>
  </si>
  <si>
    <t>bengreedy</t>
  </si>
  <si>
    <t>Kip Houston - SS</t>
  </si>
  <si>
    <t>Jaxsin Tyler</t>
  </si>
  <si>
    <t>traplrod</t>
  </si>
  <si>
    <t>http://probaseballexperience.jcink.net/index.php?showtopic=303</t>
  </si>
  <si>
    <t>Lucky Luciano - SP</t>
  </si>
  <si>
    <t>Hetz</t>
  </si>
  <si>
    <t>Kyle Dallas - 3B</t>
  </si>
  <si>
    <t>http://probaseballexperience.jcink.net/index.php?showtopic=218</t>
  </si>
  <si>
    <t>Leonard Churc</t>
  </si>
  <si>
    <t>LymesAgent</t>
  </si>
  <si>
    <t>:bulldogs: [b][url=http://probaseballexperience.jcink.net/index.php?showtopic=3174]Leonard Church- 2B[/url][/b] TPE: 100, Regression Class: S6</t>
  </si>
  <si>
    <t>Henry Lyme CF</t>
  </si>
  <si>
    <t>http://probaseballexperience.jcink.net/index.php?showtopic=276</t>
  </si>
  <si>
    <t>RodofIron</t>
  </si>
  <si>
    <t>Rodrigo de Hierro - LF</t>
  </si>
  <si>
    <t>Michael Oxar</t>
  </si>
  <si>
    <t>http://probaseballexperience.jcink.net/index.php?showtopic=228</t>
  </si>
  <si>
    <t>:bulldogs: [b][url=http://probaseballexperience.jcink.net/index.php?showtopic=3170]Michael Oxard- SP[/url][/b] TPE: 100, Regression Class: S6</t>
  </si>
  <si>
    <t>BigboyB73</t>
  </si>
  <si>
    <t>Justin Thompson - RF</t>
  </si>
  <si>
    <t>http://probaseballexperience.jcink.net/index.php?showtopic=384</t>
  </si>
  <si>
    <t>ChrisBenji</t>
  </si>
  <si>
    <t>Justin Morelan</t>
  </si>
  <si>
    <t>Chris Benji - SS</t>
  </si>
  <si>
    <t>:bulldogs: [b][url=http://probaseballexperience.jcink.net/index.php?showtopic=3097]Justin Moreland- 3B[/url][/b] TPE: 100, Regression Class: S6</t>
  </si>
  <si>
    <t>http://probaseballexperience.jcink.net/index.php?showtopic=173</t>
  </si>
  <si>
    <t>jcfbey01</t>
  </si>
  <si>
    <t>Victor Ball - CL</t>
  </si>
  <si>
    <t>http://probaseballexperience.jcink.net/index.php?showtopic=71</t>
  </si>
  <si>
    <t>Martinez Pedro</t>
  </si>
  <si>
    <t>:bulldogs: [b][url=http://probaseballexperience.jcink.net/index.php?showtopic=3186]Martinez Pedro - SP[/url][/b] TPE: 100, Regression Class: S6</t>
  </si>
  <si>
    <t>Danny McGlover - C</t>
  </si>
  <si>
    <t>Cole Davenport</t>
  </si>
  <si>
    <t>:bulldogs: [b][url=http://probaseballexperience.jcink.net/index.php?showtopic=2967]Cole Davenport - SP[/url][/b] TPE: 100, Regression Class: S6</t>
  </si>
  <si>
    <t>Jack Bauer - SP</t>
  </si>
  <si>
    <t>Tiddlywink McTicklestick</t>
  </si>
  <si>
    <t>Finnesse</t>
  </si>
  <si>
    <t>:bulldogs: [b][url=http://probaseballexperience.jcink.net/index.php?showtopic=2905]Tiddlywink McTicklestick - SP[/url][/b] TPE: 100, Regression Class: S6</t>
  </si>
  <si>
    <t>Chase Preza</t>
  </si>
  <si>
    <t>:bulldogs: [b][url=http://probaseballexperience.jcink.net/index.php?showtopic=3008]Chase Preza - 1B[/url][/b] TPE: 100, Regression Class: S6</t>
  </si>
  <si>
    <t>Aidan Broderick</t>
  </si>
  <si>
    <t>:bulldogs: [b][url=http://probaseballexperience.jcink.net/index.php?showtopic=2966#]Aidan Broderick - RF[/url][/b] TPE: 100, Regression Class: S6</t>
  </si>
  <si>
    <t>Cesar Ellis</t>
  </si>
  <si>
    <t>:bulldogs: [b][url=http://probaseballexperience.jcink.net/index.php?showtopic=2622]Cesar Ellis - CL[/url][/b] TPE: 100, Regression Class: S5</t>
  </si>
  <si>
    <t>Nico Evans</t>
  </si>
  <si>
    <t>:bulldogs: [b][url=http://probaseballexperience.jcink.net/index.php?showtopic=1673]Nico Evans - 3B[/url][/b] TPE: 100, Regression Class: S3</t>
  </si>
  <si>
    <t>3B - Nico Evans</t>
  </si>
  <si>
    <t>Kahlil Callahan</t>
  </si>
  <si>
    <t>:bulldogs: [b][url=http://probaseballexperience.jcink.net/index.php?showtopic=1738]Kahlil Callahan - CL[/url][/b] TPE: 100, Regression Class: S3</t>
  </si>
  <si>
    <t>:bulldogs: [b][url=http://probaseballexperience.jcink.net/index.php?showtopic=1070]Peter R Kotsay - CL[/url][/b] TPE: 100, Regression Class: S2</t>
  </si>
  <si>
    <t>CL - Peter R Kotsay</t>
  </si>
  <si>
    <t>http://probaseballexperience.jcink.net/index.php?showtopic=1093</t>
  </si>
  <si>
    <t>Mcdirty3</t>
  </si>
  <si>
    <t>Rex Pennebaker - 2B</t>
  </si>
  <si>
    <t>Rex Pennebaker</t>
  </si>
  <si>
    <t>:bulldogs: [b][url=http://probaseballexperience.jcink.net/index.php?showtopic=1093]Rex Pennebaker - 2B[/url][/b] TPE: 100, Regression Class: S2</t>
  </si>
  <si>
    <t>2B - Rex Pennebaker</t>
  </si>
  <si>
    <t>http://probaseballexperience.jcink.net/index.php?showtopic=1097</t>
  </si>
  <si>
    <t>Someguy9500</t>
  </si>
  <si>
    <t>Sam Sinister - SS</t>
  </si>
  <si>
    <t>Sam Sinister</t>
  </si>
  <si>
    <t>:bulldogs: [b][url=http://probaseballexperience.jcink.net/index.php?showtopic=1097]Sam Sinister - SS[/url][/b] TPE: 100, Regression Class: S2</t>
  </si>
  <si>
    <t>SS - Sam Sinister</t>
  </si>
  <si>
    <t>http://probaseballexperience.jcink.net/index.php?showtopic=1148</t>
  </si>
  <si>
    <t>Kruton</t>
  </si>
  <si>
    <t>Kruton Bazko - CL</t>
  </si>
  <si>
    <t>Kruton Bazko</t>
  </si>
  <si>
    <t>:bulldogs: [b][url=http://probaseballexperience.jcink.net/index.php?showtopic=1148]Kruton Bazko - CL[/url][/b] TPE: 100, Regression Class: S2</t>
  </si>
  <si>
    <t>CL - Kruton Bazko</t>
  </si>
  <si>
    <t>http://probaseballexperience.jcink.net/index.php?showtopic=1048</t>
  </si>
  <si>
    <t>Twitchy</t>
  </si>
  <si>
    <t>John Luther - CL</t>
  </si>
  <si>
    <t>John Luther</t>
  </si>
  <si>
    <t>:bulldogs: [b][url=http://probaseballexperience.jcink.net/index.php?showtopic=1048]John Luther - CL[/url][/b] TPE: 100, Regression Class: S2</t>
  </si>
  <si>
    <t>CL - John Luther</t>
  </si>
  <si>
    <t>http://probaseballexperience.jcink.net/index.php?showtopic=1104</t>
  </si>
  <si>
    <t>bl0903</t>
  </si>
  <si>
    <t>Bouf LeBeef - CL</t>
  </si>
  <si>
    <t>Bouf LeBeef</t>
  </si>
  <si>
    <t>:bulldogs: [b][url=http://probaseballexperience.jcink.net/index.php?showtopic=1104]Bouf LeBeef - CL[/url][/b] TPE: 100, Regression Class: S2</t>
  </si>
  <si>
    <t>CL - Bouf LeBeef</t>
  </si>
  <si>
    <t>http://probaseballexperience.jcink.net/index.php?showtopic=1076</t>
  </si>
  <si>
    <t>NYRangers2227</t>
  </si>
  <si>
    <t>Hans Herjólfur - CL</t>
  </si>
  <si>
    <t>Hans Herjólfur</t>
  </si>
  <si>
    <t>:bulldogs: [b][url=http://probaseballexperience.jcink.net/index.php?showtopic=1076]Hans Herjólfur - CL[/url][/b] TPE: 100, Regression Class: S2</t>
  </si>
  <si>
    <t>CL - Hans Herjólfur</t>
  </si>
  <si>
    <t>http://probaseballexperience.jcink.net/index.php?showtopic=1064</t>
  </si>
  <si>
    <t>Mpaolino88</t>
  </si>
  <si>
    <t>Mike Paolino - C</t>
  </si>
  <si>
    <t>Mike Paolin</t>
  </si>
  <si>
    <t>:bulldogs: [b][url=http://probaseballexperience.jcink.net/index.php?showtopic=1064]Mike Paolino - C[/url][/b] TPE: 100, Regression Class: S2</t>
  </si>
  <si>
    <t>C - Mike Paolin</t>
  </si>
  <si>
    <t>Gray Goose McGillicuddy</t>
  </si>
  <si>
    <t>:bulldogs: [b][url=http://probaseballexperience.jcink.net/index.php?showtopic=1426]Gray Goose McGillicuddy - CL[/url][/b] TPE: 100, Regression Class: S2</t>
  </si>
  <si>
    <t>CL - Gray Goose McGillicuddy</t>
  </si>
  <si>
    <t>http://probaseballexperience.jcink.net/index.php?showtopic=1082</t>
  </si>
  <si>
    <t>Evan_beckett</t>
  </si>
  <si>
    <t>Evan Beckett 1B</t>
  </si>
  <si>
    <t>Evan Becke</t>
  </si>
  <si>
    <t>:bulldogs: [b][url=http://probaseballexperience.jcink.net/index.php?showtopic=1082]Evan Beckett 1B[/url][/b] TPE: 100, Regression Class: S2</t>
  </si>
  <si>
    <t>1B - Evan Becke</t>
  </si>
  <si>
    <t>http://probaseballexperience.jcink.net/index.php?showtopic=1541</t>
  </si>
  <si>
    <t>badrajlouni</t>
  </si>
  <si>
    <t>Badr Ajlouni - CF</t>
  </si>
  <si>
    <t>Badr Ajlouni</t>
  </si>
  <si>
    <t>:bulldogs: [b][url=http://probaseballexperience.jcink.net/index.php?showtopic=1541]Badr Ajlouni - CF[/url][/b] TPE: 100, Regression Class: S2</t>
  </si>
  <si>
    <t>CF - Badr Ajlouni</t>
  </si>
  <si>
    <t>http://probaseballexperience.jcink.net/index.php?showtopic=1083</t>
  </si>
  <si>
    <t>Cubzlover84</t>
  </si>
  <si>
    <t>Austin Schwartz SP</t>
  </si>
  <si>
    <t>Austin Schwar</t>
  </si>
  <si>
    <t>:bulldogs: [b][url=http://probaseballexperience.jcink.net/index.php?showtopic=1083]Austin Schwartz SP[/url][/b] TPE: 100, Regression Class: S2</t>
  </si>
  <si>
    <t>SP - Austin Schwar</t>
  </si>
  <si>
    <t>http://probaseballexperience.jcink.net/index.php?showtopic=1085</t>
  </si>
  <si>
    <t>Bhill_Kosbi</t>
  </si>
  <si>
    <t>Mike Honcho - SS</t>
  </si>
  <si>
    <t>Mike Honcho</t>
  </si>
  <si>
    <t>:bulldogs: [b][url=http://probaseballexperience.jcink.net/index.php?showtopic=1085]Mike Honcho - SS[/url][/b] TPE: 100, Regression Class: S2</t>
  </si>
  <si>
    <t>SS - Mike Honcho</t>
  </si>
  <si>
    <t>http://probaseballexperience.jcink.net/index.php?showtopic=1174</t>
  </si>
  <si>
    <t>NeckBird</t>
  </si>
  <si>
    <t>Mam Siller - 3B</t>
  </si>
  <si>
    <t>Mam Siller</t>
  </si>
  <si>
    <t>:bulldogs: [b][url=http://probaseballexperience.jcink.net/index.php?showtopic=1174]Mam Siller - 3B[/url][/b] TPE: 100, Regression Class: S2</t>
  </si>
  <si>
    <t>3B - Mam Siller</t>
  </si>
  <si>
    <t>http://probaseballexperience.jcink.net/index.php?showtopic=1034</t>
  </si>
  <si>
    <t>mjg13x</t>
  </si>
  <si>
    <t>Marc Garvey - CF</t>
  </si>
  <si>
    <t>Marc Garvey</t>
  </si>
  <si>
    <t>:bulldogs: [b][url=http://probaseballexperience.jcink.net/index.php?showtopic=1034]Marc Garvey - CF[/url][/b] TPE: 100, Regression Class: S2</t>
  </si>
  <si>
    <t xml:space="preserve">:armadillos: </t>
  </si>
  <si>
    <t>Gregory Stevens</t>
  </si>
  <si>
    <t>Gary Banks</t>
  </si>
  <si>
    <t>Jared Wideman</t>
  </si>
  <si>
    <t>Orlando Mcclain</t>
  </si>
  <si>
    <t>LiPete</t>
  </si>
  <si>
    <t>Performancia Artisto - LF</t>
  </si>
  <si>
    <t>Last Trade Processed : http://probaseballexperience.jcink.net/index.php?showtopic=4588         (Changed 02/03/19 12:51 CEST)</t>
  </si>
  <si>
    <t>San Antonio Sloths</t>
  </si>
  <si>
    <t>Death Valley Scorpions</t>
  </si>
  <si>
    <t xml:space="preserve">	Vancouver Vandals </t>
  </si>
  <si>
    <t>Utah Railroaders</t>
  </si>
  <si>
    <t>S12 SAS 1st</t>
  </si>
  <si>
    <t>S13 SAS 1st</t>
  </si>
  <si>
    <t>S12 DVS 1st</t>
  </si>
  <si>
    <t>S13 DVS 1st</t>
  </si>
  <si>
    <t>S12 VAN 1st</t>
  </si>
  <si>
    <t>S12 UTA 1st</t>
  </si>
  <si>
    <t>S13 UTA 1st</t>
  </si>
  <si>
    <t>S12 SAS 2nd</t>
  </si>
  <si>
    <t>S13 SAS 2nd</t>
  </si>
  <si>
    <t>S12 DVS 2nd</t>
  </si>
  <si>
    <t>S13 DVS 2nd</t>
  </si>
  <si>
    <t>S12 VAN 3rd</t>
  </si>
  <si>
    <t>S13 VAN 2nd</t>
  </si>
  <si>
    <t>S12 UTA 2nd</t>
  </si>
  <si>
    <t>S13 UTA 2nd</t>
  </si>
  <si>
    <t>S12 SAS 3rd</t>
  </si>
  <si>
    <t>S13 SAS 3rd</t>
  </si>
  <si>
    <t>S12 FLA 3rd</t>
  </si>
  <si>
    <t>S13 DVS 3rd</t>
  </si>
  <si>
    <t>S12 VAN 4th</t>
  </si>
  <si>
    <t>S13 VAN 3rd</t>
  </si>
  <si>
    <t>S12 UTA 3rd</t>
  </si>
  <si>
    <t>S13 UTA 3rd</t>
  </si>
  <si>
    <t>S12 SAS 4th</t>
  </si>
  <si>
    <t>S13 SAS 4th</t>
  </si>
  <si>
    <t>S12 DVS 3rd</t>
  </si>
  <si>
    <t>S13 DVS 4th</t>
  </si>
  <si>
    <t>S12 VAN 6th</t>
  </si>
  <si>
    <t>S13 VAN 4th</t>
  </si>
  <si>
    <t>S12 UTA 4th</t>
  </si>
  <si>
    <t>S13 UTA 4th</t>
  </si>
  <si>
    <t>S12 SAS 6th</t>
  </si>
  <si>
    <t>S13 SAS 6th</t>
  </si>
  <si>
    <t>S12 DVS 4th</t>
  </si>
  <si>
    <t>S13 DVS 5th</t>
  </si>
  <si>
    <t>S12 VAN 7th</t>
  </si>
  <si>
    <t>S13 VAN 5th</t>
  </si>
  <si>
    <t>S12 UTA 5th</t>
  </si>
  <si>
    <t>S13 UTA 5th</t>
  </si>
  <si>
    <t>S12 SAS 7th</t>
  </si>
  <si>
    <t>S13 SAS 7th</t>
  </si>
  <si>
    <t>S12 DVS 5th</t>
  </si>
  <si>
    <t>S13 DVS 6th</t>
  </si>
  <si>
    <t>S12 VAN 8th</t>
  </si>
  <si>
    <t>S13 VAN 6th</t>
  </si>
  <si>
    <t>S12 UTA 6th</t>
  </si>
  <si>
    <t>S13 UTA 6th</t>
  </si>
  <si>
    <t>S12 SAS 8th</t>
  </si>
  <si>
    <t>S13 SAS 8th</t>
  </si>
  <si>
    <t>S12 DVS 6th</t>
  </si>
  <si>
    <t>S13 DVS 7th</t>
  </si>
  <si>
    <t>S13 VAN 7th</t>
  </si>
  <si>
    <t>S12 UTA 7th</t>
  </si>
  <si>
    <t>S13 UTA 7th</t>
  </si>
  <si>
    <t>S12 DVS 7th</t>
  </si>
  <si>
    <t>S13 DVS 8th</t>
  </si>
  <si>
    <t>S13 VAN 8th</t>
  </si>
  <si>
    <t>S12 UTA 8th</t>
  </si>
  <si>
    <t>S13 UTA 8th</t>
  </si>
  <si>
    <t>S12 DVS 8th</t>
  </si>
  <si>
    <t xml:space="preserve">Outer Banks Aviators </t>
  </si>
  <si>
    <t xml:space="preserve">Providence Crabs </t>
  </si>
  <si>
    <t xml:space="preserve">New York Voyagers </t>
  </si>
  <si>
    <t>Florida Space Rangers</t>
  </si>
  <si>
    <t>S12 OBX 1st</t>
  </si>
  <si>
    <t>S13 OBX 1st</t>
  </si>
  <si>
    <t>S12 PRO 1st</t>
  </si>
  <si>
    <t>S13 PRO 1st</t>
  </si>
  <si>
    <t>S12 NYV 1st</t>
  </si>
  <si>
    <t>S13 NYV 1st</t>
  </si>
  <si>
    <t>S12 FLA 1st</t>
  </si>
  <si>
    <t>S13 FLA 1st</t>
  </si>
  <si>
    <t>S12 OBX 2nd</t>
  </si>
  <si>
    <t>S13 OBX 2nd</t>
  </si>
  <si>
    <t>S12 PRO 2nd</t>
  </si>
  <si>
    <t>S13 PRO 2nd</t>
  </si>
  <si>
    <t>S12 NYV 2nd</t>
  </si>
  <si>
    <t>S13 NYV 2nd</t>
  </si>
  <si>
    <t>S12 FLA 2nd</t>
  </si>
  <si>
    <t>S13 FLA 2nd</t>
  </si>
  <si>
    <t>S12 OBX 4th</t>
  </si>
  <si>
    <t>S13 OBX 3rd</t>
  </si>
  <si>
    <t>S12 PRO 3rd</t>
  </si>
  <si>
    <t>S13 PRO 3rd</t>
  </si>
  <si>
    <t>S12 NYV 3rd</t>
  </si>
  <si>
    <t>S13 NYV 3rd</t>
  </si>
  <si>
    <t>S12 VAN 2nd</t>
  </si>
  <si>
    <t>S13 FLA 3rd</t>
  </si>
  <si>
    <t>S12 OBX 5th</t>
  </si>
  <si>
    <t>S13 OBX 4th</t>
  </si>
  <si>
    <t>S12 PRO 4th</t>
  </si>
  <si>
    <t>S13 PRO 4th</t>
  </si>
  <si>
    <t>S12 NYV 4th</t>
  </si>
  <si>
    <t>S13 NYV 4th</t>
  </si>
  <si>
    <t>S12 OBX 3rd</t>
  </si>
  <si>
    <t>S13 FLA 4th</t>
  </si>
  <si>
    <t>S12 OBX 6th</t>
  </si>
  <si>
    <t>S13 OBX 5th</t>
  </si>
  <si>
    <t>S12 PRO 5th</t>
  </si>
  <si>
    <t>S13 PRO 5th</t>
  </si>
  <si>
    <t>S12 NYV 5th</t>
  </si>
  <si>
    <t>S13 NYV 5th</t>
  </si>
  <si>
    <t>S12 FLA 4th</t>
  </si>
  <si>
    <t>S13 FLA 5th</t>
  </si>
  <si>
    <t>S12 OBX 7th</t>
  </si>
  <si>
    <t>S13 OBX 6th</t>
  </si>
  <si>
    <t>S12 VAN 5th</t>
  </si>
  <si>
    <t>S13 PRO 6th</t>
  </si>
  <si>
    <t>S12 SAS 5th</t>
  </si>
  <si>
    <t>S13 NYV 6th</t>
  </si>
  <si>
    <t>S12 FLA 5th</t>
  </si>
  <si>
    <t>S13 FLA 6th</t>
  </si>
  <si>
    <t>S12 OBX 8th</t>
  </si>
  <si>
    <t>S13 OBX 7th</t>
  </si>
  <si>
    <t>S12 PRO 6th</t>
  </si>
  <si>
    <t>S13 PRO 7th</t>
  </si>
  <si>
    <t>S12 NYV 6th</t>
  </si>
  <si>
    <t>S13 NYV 7th</t>
  </si>
  <si>
    <t>S12 FLA 6th</t>
  </si>
  <si>
    <t>S13 FLA 7th</t>
  </si>
  <si>
    <t>S13 OBX 8th</t>
  </si>
  <si>
    <t>S12 PRO 7th</t>
  </si>
  <si>
    <t>S13 PRO 8th</t>
  </si>
  <si>
    <t>S12 NYV 7th</t>
  </si>
  <si>
    <t>S13 NYV 8th</t>
  </si>
  <si>
    <t>S12 FLA 7th</t>
  </si>
  <si>
    <t>S13 FLA 8th</t>
  </si>
  <si>
    <t>S12 PRO 8th</t>
  </si>
  <si>
    <t>S12 NYV 8th</t>
  </si>
  <si>
    <t>S12 FLA 8th</t>
  </si>
  <si>
    <t>s11 draft</t>
  </si>
  <si>
    <t>Conditionals</t>
  </si>
  <si>
    <t>S11 SAS 3rd</t>
  </si>
  <si>
    <t>S11 DVS 1st</t>
  </si>
  <si>
    <t>S11 VAN 1st</t>
  </si>
  <si>
    <t>S11 UTA 1st</t>
  </si>
  <si>
    <t>S11 NYV 2nd</t>
  </si>
  <si>
    <t>Conditional pick (NYV S11 2nd if Clem Johnson opts out after S10, NYV S11 4th round pick after S11)</t>
  </si>
  <si>
    <t>S11 PRO 4th</t>
  </si>
  <si>
    <t>S11 UTA 2nd</t>
  </si>
  <si>
    <t>S11 FLA 1st</t>
  </si>
  <si>
    <t>S11 DVS 2nd</t>
  </si>
  <si>
    <t>S11 SAS 2nd</t>
  </si>
  <si>
    <t>becomes S11 3rd if Johnson opts out after the 1st season</t>
  </si>
  <si>
    <t>S11 SAS 4th</t>
  </si>
  <si>
    <t>S11 NYV 3rd</t>
  </si>
  <si>
    <t>S11 VAN 2nd</t>
  </si>
  <si>
    <t>S11 FLA 3rd</t>
  </si>
  <si>
    <t>S11 UTA 6th</t>
  </si>
  <si>
    <t>S11 DVS 4th</t>
  </si>
  <si>
    <t>S11 VAN 4th</t>
  </si>
  <si>
    <t>S11 OBX 3rd</t>
  </si>
  <si>
    <t>S11 SAS 6th</t>
  </si>
  <si>
    <t>S11 DVS 6th</t>
  </si>
  <si>
    <t>S11 NYV 4th</t>
  </si>
  <si>
    <t>S11 UTA 3rd</t>
  </si>
  <si>
    <t>S11 SAS 7th</t>
  </si>
  <si>
    <t>S11 DVS 7th</t>
  </si>
  <si>
    <t>S11 UTA 5th</t>
  </si>
  <si>
    <t>S11 UTA 4th</t>
  </si>
  <si>
    <t>S11 SAS 8th</t>
  </si>
  <si>
    <t>S11 DVS 8th</t>
  </si>
  <si>
    <t>S11 DVS 5th</t>
  </si>
  <si>
    <t>S11 UTA 7th</t>
  </si>
  <si>
    <t>S11 SAS 5th</t>
  </si>
  <si>
    <t>S11 UTA 8th</t>
  </si>
  <si>
    <t>S11 VAN 6th</t>
  </si>
  <si>
    <t>S11 VAN 7th</t>
  </si>
  <si>
    <t>S11 VAN 8th</t>
  </si>
  <si>
    <t>S11 OBX 1st</t>
  </si>
  <si>
    <t>S11 PRO 1st</t>
  </si>
  <si>
    <t>S11 NYV 1st</t>
  </si>
  <si>
    <t>S11 SAS 1st</t>
  </si>
  <si>
    <t>S11 VAN 3rd</t>
  </si>
  <si>
    <t>S11 PRO 2nd</t>
  </si>
  <si>
    <t>S11 FLA 2nd</t>
  </si>
  <si>
    <t>S11 OBX 4th</t>
  </si>
  <si>
    <t>S11 OBX 2nd</t>
  </si>
  <si>
    <t>S11 FLA 4th</t>
  </si>
  <si>
    <t>S11 OBX 5th</t>
  </si>
  <si>
    <t>S11 PRO 3rd</t>
  </si>
  <si>
    <t>S11 DVS 3rd</t>
  </si>
  <si>
    <t>S11 VAN 5th</t>
  </si>
  <si>
    <t>S11 OBX 6th</t>
  </si>
  <si>
    <t>S11 PRO 5th</t>
  </si>
  <si>
    <t>S11 NYV 5th</t>
  </si>
  <si>
    <t>S11 FLA 5th</t>
  </si>
  <si>
    <t>S11 OBX 7th</t>
  </si>
  <si>
    <t>S11 PRO 6th</t>
  </si>
  <si>
    <t>S11 NYV 6th</t>
  </si>
  <si>
    <t>S11 FLA 6th</t>
  </si>
  <si>
    <t>S11 OBX 8th</t>
  </si>
  <si>
    <t>S11 PRO 7th</t>
  </si>
  <si>
    <t>S11 NYV 7th</t>
  </si>
  <si>
    <t>S11 FLA 7th</t>
  </si>
  <si>
    <t>S11 PRO 8th</t>
  </si>
  <si>
    <t>S11 NYV 8th</t>
  </si>
  <si>
    <t>S11 FLA 8th</t>
  </si>
  <si>
    <t>S10 Draft State</t>
  </si>
  <si>
    <t>S10 NYV 2nd</t>
  </si>
  <si>
    <t>S10 DVS 1st</t>
  </si>
  <si>
    <t>S10 VAN 1st</t>
  </si>
  <si>
    <t>S10 UTA 1st</t>
  </si>
  <si>
    <t>S10 SAS 4th</t>
  </si>
  <si>
    <t>S10 DVS 2nd</t>
  </si>
  <si>
    <t>S10 SAS 1st</t>
  </si>
  <si>
    <t>S10 NYV 1st</t>
  </si>
  <si>
    <t>S10 FLA 5th</t>
  </si>
  <si>
    <t>S10 DVS 3rd</t>
  </si>
  <si>
    <t>S10 FLA 2nd</t>
  </si>
  <si>
    <t>S10 UTA 2nd</t>
  </si>
  <si>
    <t>S10 SAS 5th</t>
  </si>
  <si>
    <t>S10 DVS 4th</t>
  </si>
  <si>
    <t>S10 VAN 2nd</t>
  </si>
  <si>
    <t>S10 NYV 3rd</t>
  </si>
  <si>
    <t>S10 SAS 6th</t>
  </si>
  <si>
    <t>S10 DVS 5th</t>
  </si>
  <si>
    <t>S10 VAN 4th</t>
  </si>
  <si>
    <t>S10 UTA 4th</t>
  </si>
  <si>
    <t>S10 SAS 7th</t>
  </si>
  <si>
    <t>S10 DVS 6th</t>
  </si>
  <si>
    <t>S10 VAN 5th</t>
  </si>
  <si>
    <t>S10 UTA 5th</t>
  </si>
  <si>
    <t>S10 SAS 8th</t>
  </si>
  <si>
    <t>S10 DVS 7th</t>
  </si>
  <si>
    <t>S10 VAN 6th</t>
  </si>
  <si>
    <t>S10 UTA 7th</t>
  </si>
  <si>
    <t>S10 DVS 8th</t>
  </si>
  <si>
    <t>S10 VAN 7th</t>
  </si>
  <si>
    <t>S10 UTA 8th</t>
  </si>
  <si>
    <t>S10 VAN 8th</t>
  </si>
  <si>
    <t>S10 OBX 1st</t>
  </si>
  <si>
    <t>S10 PRO 1st</t>
  </si>
  <si>
    <t>S10 SAS 2nd</t>
  </si>
  <si>
    <t>S10 FLA 1st</t>
  </si>
  <si>
    <t>S10 OBX 3rd</t>
  </si>
  <si>
    <t>S10 PRO 2nd</t>
  </si>
  <si>
    <t>S10 UTA 3rd</t>
  </si>
  <si>
    <t>S10 NYV 4th</t>
  </si>
  <si>
    <t>S10 OBX 4th</t>
  </si>
  <si>
    <t>S10 OBX 2nd</t>
  </si>
  <si>
    <t>S10 FLA 3rd</t>
  </si>
  <si>
    <t>S10 FLA 4th</t>
  </si>
  <si>
    <t>S10 OBX 5th</t>
  </si>
  <si>
    <t>S10 PRO 3rd</t>
  </si>
  <si>
    <t>S10 NYV 5th</t>
  </si>
  <si>
    <t>S10 UTA 6th</t>
  </si>
  <si>
    <t>S10 OBX 6th</t>
  </si>
  <si>
    <t>S10 VAN 3rd</t>
  </si>
  <si>
    <t>S10 NYV 6th</t>
  </si>
  <si>
    <t>S10 PRO 6th</t>
  </si>
  <si>
    <t>S10 OBX 7th</t>
  </si>
  <si>
    <t>S10 SAS 3rd</t>
  </si>
  <si>
    <t>S10 NYV 7th</t>
  </si>
  <si>
    <t>S10 FLA 6th</t>
  </si>
  <si>
    <t>S10 OBX 8th</t>
  </si>
  <si>
    <t>S10 PRO 4th</t>
  </si>
  <si>
    <t>S10 NYV 8th</t>
  </si>
  <si>
    <t>S10 FLA 7th</t>
  </si>
  <si>
    <t>S10 PRO 5th</t>
  </si>
  <si>
    <t>S10 FLA 8th</t>
  </si>
  <si>
    <t>S10 PRO 7th</t>
  </si>
  <si>
    <t>S10 PRO 8th</t>
  </si>
  <si>
    <t>S9 SAS 4th</t>
  </si>
  <si>
    <t>S9 DVS 1st</t>
  </si>
  <si>
    <t>S9 NYV 1st</t>
  </si>
  <si>
    <t>S9 UTA 1st</t>
  </si>
  <si>
    <t>S9 SAS 5th</t>
  </si>
  <si>
    <t>S9 DVS 3rd</t>
  </si>
  <si>
    <t>S9 SAS 1st</t>
  </si>
  <si>
    <t>S9 UTA 2nd</t>
  </si>
  <si>
    <t>S9 SAS 6th</t>
  </si>
  <si>
    <t>S9 DVS 4th</t>
  </si>
  <si>
    <t>S9 FLA 2nd</t>
  </si>
  <si>
    <t>S9 SAS 2nd</t>
  </si>
  <si>
    <t>S9 SAS 7th</t>
  </si>
  <si>
    <t>S9 DVS 5th</t>
  </si>
  <si>
    <t>S9 DVS 2nd</t>
  </si>
  <si>
    <t>S9 SAS 3rd</t>
  </si>
  <si>
    <t>S9 SAS 8th</t>
  </si>
  <si>
    <t>S9 DVS 6th</t>
  </si>
  <si>
    <t>S9 VAN 4th</t>
  </si>
  <si>
    <t>S9 UTA 3rd</t>
  </si>
  <si>
    <t>S9 DVS 7th</t>
  </si>
  <si>
    <t>S9 VAN 5th</t>
  </si>
  <si>
    <t>S9 UTA 4th</t>
  </si>
  <si>
    <t>S9 DVS 8th</t>
  </si>
  <si>
    <t>S9 VAN 6th</t>
  </si>
  <si>
    <t>S9 UTA 5th</t>
  </si>
  <si>
    <t>S9 VAN 7th</t>
  </si>
  <si>
    <t>S9 UTA 6th</t>
  </si>
  <si>
    <t>S9 VAN 8th</t>
  </si>
  <si>
    <t>S9 UTA 7th</t>
  </si>
  <si>
    <t>S9 UTA 8th</t>
  </si>
  <si>
    <t>S9 OBX 1st</t>
  </si>
  <si>
    <t>S9 PRO 1st</t>
  </si>
  <si>
    <t>S9 VAN 2nd</t>
  </si>
  <si>
    <t>S9 VAN 1st</t>
  </si>
  <si>
    <t>S9 OBX 5th</t>
  </si>
  <si>
    <t>S9 NYV 2nd</t>
  </si>
  <si>
    <t>S9 NYV 3rd</t>
  </si>
  <si>
    <t>S9 FLA 1st</t>
  </si>
  <si>
    <t>S9 OBX 6th</t>
  </si>
  <si>
    <t>S9 OBX 2nd</t>
  </si>
  <si>
    <t>S9 NYV 4th</t>
  </si>
  <si>
    <t>S9 VAN 3rd</t>
  </si>
  <si>
    <t>S9 OBX 7th</t>
  </si>
  <si>
    <t>S9 PRO 2nd</t>
  </si>
  <si>
    <t>S9 NYV 5th</t>
  </si>
  <si>
    <t>S9 FLA 3rd</t>
  </si>
  <si>
    <t>S9 OBX 8th</t>
  </si>
  <si>
    <t>S9 PRO 3rd</t>
  </si>
  <si>
    <t>S9 NYV 6th</t>
  </si>
  <si>
    <t>S9 FLA 4th</t>
  </si>
  <si>
    <t>S9 OBX 3rd</t>
  </si>
  <si>
    <t>S9 NYV 7th</t>
  </si>
  <si>
    <t>S9 FLA 5th</t>
  </si>
  <si>
    <t>S9 PRO 4th</t>
  </si>
  <si>
    <t>S9 NYV 8th</t>
  </si>
  <si>
    <t>S9 FLA 6th</t>
  </si>
  <si>
    <t>S9 OBX 4th</t>
  </si>
  <si>
    <t>S9 FLA 7th</t>
  </si>
  <si>
    <t>S9 PRO 5th</t>
  </si>
  <si>
    <t>Draft Picks</t>
  </si>
  <si>
    <t>S9 FLA 8th</t>
  </si>
  <si>
    <t>S9 PRO 6th</t>
  </si>
  <si>
    <t>S9 PRO 7th</t>
  </si>
  <si>
    <t>S9 PRO 8th</t>
  </si>
  <si>
    <t>Rookie contract minimums</t>
  </si>
  <si>
    <t>TPE at the moment of signing:</t>
  </si>
  <si>
    <t>Cut minimum</t>
  </si>
  <si>
    <t>Round Drafted:</t>
  </si>
  <si>
    <t>Standard contracts</t>
  </si>
  <si>
    <t>Assumed TPE</t>
  </si>
  <si>
    <t>Salary</t>
  </si>
  <si>
    <t>Minimum over years</t>
  </si>
  <si>
    <t>Year 1</t>
  </si>
  <si>
    <t>Year 2</t>
  </si>
  <si>
    <t>Year 3</t>
  </si>
  <si>
    <t>Total: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</si>
  <si>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</si>
  <si>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</si>
  <si>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</si>
  <si>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</si>
  <si>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</si>
  <si>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</si>
  <si>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</si>
  <si>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</si>
  <si>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</si>
  <si>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</si>
  <si>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</si>
  <si>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</si>
  <si>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If in regression</t>
  </si>
  <si>
    <t>Draft Order</t>
  </si>
  <si>
    <t>Average TPE</t>
  </si>
  <si>
    <t>TPE Sum</t>
  </si>
  <si>
    <t>Count</t>
  </si>
  <si>
    <t>:vandals:</t>
  </si>
  <si>
    <t>Average Contract</t>
  </si>
  <si>
    <t>Jonny Times II - CF</t>
  </si>
  <si>
    <t>CamBrady</t>
  </si>
  <si>
    <t>Troy Graves - SP</t>
  </si>
  <si>
    <t>Created</t>
  </si>
  <si>
    <t>Up to date as of:</t>
  </si>
  <si>
    <t>19:23 CET 09/03/2018</t>
  </si>
  <si>
    <t>Added:</t>
  </si>
  <si>
    <t>Old TPE are saved and used to compare growth</t>
  </si>
  <si>
    <t>Retired Page - not in cumulative one</t>
  </si>
  <si>
    <t>columns for season s6-s8, after that only mentions of contracts</t>
  </si>
  <si>
    <t>Minimum contracts calculator</t>
  </si>
  <si>
    <t>30.04</t>
  </si>
  <si>
    <t>added arch column</t>
  </si>
  <si>
    <t>Toledo Jones - 1B</t>
  </si>
  <si>
    <t>f</t>
  </si>
  <si>
    <t>Victoria Secret</t>
  </si>
  <si>
    <t>Ernesto Castillo</t>
  </si>
  <si>
    <t>S7-8 MO</t>
  </si>
  <si>
    <t>Julian O'Sullivan - SS</t>
  </si>
  <si>
    <t>S8-S9 MO</t>
  </si>
  <si>
    <t>S5-S8 PO</t>
  </si>
  <si>
    <t>http://probaseballexperience.jcink.net/index.php?showtopic=3485</t>
  </si>
  <si>
    <t>Cayden Addison - 2B</t>
  </si>
  <si>
    <t>S8-9 $13M</t>
  </si>
  <si>
    <t>http://probaseballexperience.jcink.net/index.php?showtopic=3580</t>
  </si>
  <si>
    <t>dcastillo11</t>
  </si>
  <si>
    <t>Dan Castillo - 2B</t>
  </si>
  <si>
    <t>S7-S8 MO NTC</t>
  </si>
  <si>
    <t>Adrian Columbus</t>
  </si>
  <si>
    <t>S9 PO</t>
  </si>
  <si>
    <t>S6 MO NTC</t>
  </si>
  <si>
    <t>San Antonio Sloths sign Chaz LaLocke</t>
  </si>
  <si>
    <t>http://probaseballexperience.jcink.net/index.php?showtopic=3110</t>
  </si>
  <si>
    <t>Brett Smoky - SP</t>
  </si>
  <si>
    <t>Steven Moore</t>
  </si>
  <si>
    <t>John Smoltz Jr.</t>
  </si>
  <si>
    <t>Sturgill Rove</t>
  </si>
  <si>
    <t>S7 MO</t>
  </si>
  <si>
    <t>Hannu Karpotsev</t>
  </si>
  <si>
    <t>Anna Joosten</t>
  </si>
  <si>
    <t>SP - Matthew Auston</t>
  </si>
  <si>
    <t>S8 MO NTC</t>
  </si>
  <si>
    <t>S8 TO</t>
  </si>
  <si>
    <t>S4 TO S5-S11 MO</t>
  </si>
  <si>
    <t>Goosebumps Walkaway</t>
  </si>
  <si>
    <t>Keith Shields</t>
  </si>
  <si>
    <t>Darnell Turner-Pit</t>
  </si>
  <si>
    <t>S7 TO S6-7 $1M Bonus</t>
  </si>
  <si>
    <t>Willie Mays Hayes</t>
  </si>
  <si>
    <t>Michael Martin</t>
  </si>
  <si>
    <t>Trippie Redd</t>
  </si>
  <si>
    <t>Danny McGlover</t>
  </si>
  <si>
    <t>John Doe</t>
  </si>
  <si>
    <t>Bryce Harden</t>
  </si>
  <si>
    <t>Al "Scarface" Capone</t>
  </si>
  <si>
    <t>Michael Rapinski</t>
  </si>
  <si>
    <t>Eric Bilitnikov</t>
  </si>
  <si>
    <t>Marcus Strikeout</t>
  </si>
  <si>
    <t>Frederick Holland</t>
  </si>
  <si>
    <t>Kenny Kawaguchi</t>
  </si>
  <si>
    <t>Thunder Strokeharder</t>
  </si>
  <si>
    <t>Brock Harris</t>
  </si>
  <si>
    <t>Don Kelly</t>
  </si>
  <si>
    <t>Shahid Afridi</t>
  </si>
  <si>
    <t>Trent Vain</t>
  </si>
  <si>
    <t>Refugio Castro</t>
  </si>
  <si>
    <t>Nathaniel Zhou</t>
  </si>
  <si>
    <t>Mikael Martinez</t>
  </si>
  <si>
    <t>Kazuya Miyuki</t>
  </si>
  <si>
    <t>Carlos Delgado Jr.</t>
  </si>
  <si>
    <t>Dustin Evans</t>
  </si>
  <si>
    <t>Billy Bates</t>
  </si>
  <si>
    <t>Ben O'Leary</t>
  </si>
  <si>
    <t>Seth Graves</t>
  </si>
  <si>
    <t>Kevin Winters</t>
  </si>
  <si>
    <t>Michael Walker</t>
  </si>
  <si>
    <t>Adam Wiggins</t>
  </si>
  <si>
    <t>Ez Eldin Deng</t>
  </si>
  <si>
    <t>Justin Moreland</t>
  </si>
  <si>
    <t>Pedro Cerrano</t>
  </si>
  <si>
    <t>Hunter Tuzero</t>
  </si>
  <si>
    <t>Victor Ball</t>
  </si>
  <si>
    <t>Kyle Bryant</t>
  </si>
  <si>
    <t>Sami Steen</t>
  </si>
  <si>
    <t>Logan Cox</t>
  </si>
  <si>
    <t>Shea Stockton</t>
  </si>
  <si>
    <t>Stuart Westerkamp</t>
  </si>
  <si>
    <t>Harley Weewax</t>
  </si>
  <si>
    <t>King Swamp Trol</t>
  </si>
  <si>
    <t>Big Dongs</t>
  </si>
  <si>
    <t>Joey McCarty</t>
  </si>
  <si>
    <t>Leonard Church</t>
  </si>
  <si>
    <t>Michael Oxard</t>
  </si>
  <si>
    <t>Troy Castlefield-Pfloog</t>
  </si>
  <si>
    <t>Guacamole Quesorito</t>
  </si>
  <si>
    <t>Zach Peterson</t>
  </si>
  <si>
    <t>Lazaro McInnis</t>
  </si>
  <si>
    <t>Kazuto Nagai</t>
  </si>
  <si>
    <t>Clark Canuck</t>
  </si>
  <si>
    <t>Jax MacDoo</t>
  </si>
  <si>
    <t>Mike Paolino</t>
  </si>
  <si>
    <t>Kip Houston</t>
  </si>
  <si>
    <t>Evan Becket</t>
  </si>
  <si>
    <t>Kyle Dallas</t>
  </si>
  <si>
    <t>Henry Lym</t>
  </si>
  <si>
    <t>Rodrigo de Hierro</t>
  </si>
  <si>
    <t>Justin Thompson</t>
  </si>
  <si>
    <t>Austin Schwart</t>
  </si>
  <si>
    <t>Chris Benji</t>
  </si>
  <si>
    <t>J.W. Doyle</t>
  </si>
  <si>
    <t>Gabriel Verhaegen</t>
  </si>
  <si>
    <t>Grand Total</t>
  </si>
  <si>
    <t>(Multiple Items)</t>
  </si>
  <si>
    <t>AVERAGE of TPE</t>
  </si>
  <si>
    <t>(blank)</t>
  </si>
  <si>
    <t>SUM of TPE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</si>
</sst>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$]#,##0.00&quot;M&quot;"/>
    <numFmt numFmtId="165" formatCode="[$$]#,##0&quot;M&quot;"/>
    <numFmt numFmtId="166" formatCode="dd/mm/yyyy"/>
  </numFmts>
  <fonts count="135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9"/>
      <color rgb="FF222222"/>
      <name val="Arial"/>
      <family val="2"/>
    </font>
    <font>
      <sz val="9"/>
      <color rgb="FF222222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9"/>
      <color rgb="FF405564"/>
      <name val="Arial"/>
      <family val="2"/>
    </font>
    <font>
      <u/>
      <sz val="9"/>
      <color rgb="FF222222"/>
      <name val="Arial"/>
      <family val="2"/>
    </font>
    <font>
      <u/>
      <sz val="10"/>
      <color rgb="FF0000FF"/>
      <name val="Arial"/>
      <family val="2"/>
    </font>
    <font>
      <sz val="9"/>
      <color rgb="FF04529C"/>
      <name val="Arial"/>
      <family val="2"/>
    </font>
    <font>
      <u/>
      <sz val="7"/>
      <color rgb="FF0000FF"/>
      <name val="Arial"/>
      <family val="2"/>
    </font>
    <font>
      <u/>
      <sz val="10"/>
      <color rgb="FF0000FF"/>
      <name val="Arial"/>
      <family val="2"/>
    </font>
    <font>
      <u/>
      <sz val="7"/>
      <color rgb="FF1155CC"/>
      <name val="Arial"/>
      <family val="2"/>
    </font>
    <font>
      <u/>
      <sz val="10"/>
      <color rgb="FF0000FF"/>
      <name val="Arial"/>
      <family val="2"/>
    </font>
    <font>
      <u/>
      <sz val="7"/>
      <color rgb="FF1155CC"/>
      <name val="Arial"/>
      <family val="2"/>
    </font>
    <font>
      <u/>
      <sz val="7"/>
      <color rgb="FF0000FF"/>
      <name val="Arial"/>
      <family val="2"/>
    </font>
    <font>
      <u/>
      <sz val="10"/>
      <color rgb="FF0000FF"/>
      <name val="Liberation Serif"/>
    </font>
    <font>
      <u/>
      <sz val="8"/>
      <color rgb="FF0000FF"/>
      <name val="Arial"/>
      <family val="2"/>
    </font>
    <font>
      <sz val="8"/>
      <name val="Arial"/>
      <family val="2"/>
    </font>
    <font>
      <b/>
      <u/>
      <sz val="10"/>
      <color rgb="FF0000FF"/>
      <name val="Arial"/>
      <family val="2"/>
    </font>
    <font>
      <u/>
      <sz val="10"/>
      <color rgb="FF0000FF"/>
      <name val="Arial"/>
      <family val="2"/>
    </font>
    <font>
      <i/>
      <sz val="10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8"/>
      <color rgb="FF0000FF"/>
      <name val="Arial"/>
      <family val="2"/>
    </font>
    <font>
      <u/>
      <sz val="8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8"/>
      <color rgb="FF0000FF"/>
      <name val="Arial"/>
      <family val="2"/>
    </font>
    <font>
      <u/>
      <sz val="8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7"/>
      <color rgb="FF0000FF"/>
      <name val="Arial"/>
      <family val="2"/>
    </font>
    <font>
      <u/>
      <sz val="10"/>
      <color rgb="FF0000FF"/>
      <name val="Arial"/>
      <family val="2"/>
    </font>
    <font>
      <u/>
      <sz val="8"/>
      <color rgb="FF1155CC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10"/>
      <color rgb="FF0000FF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7"/>
      <color rgb="FF0000FF"/>
      <name val="Arial"/>
      <family val="2"/>
    </font>
    <font>
      <sz val="8"/>
      <color rgb="FF222222"/>
      <name val="Arial"/>
      <family val="2"/>
    </font>
    <font>
      <u/>
      <sz val="8"/>
      <color rgb="FF0000FF"/>
      <name val="Arial"/>
      <family val="2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9"/>
      <color rgb="FF04529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9"/>
      <color rgb="FF222222"/>
      <name val="Arial"/>
      <family val="2"/>
    </font>
    <font>
      <u/>
      <sz val="9"/>
      <color rgb="FF222222"/>
      <name val="Arial"/>
      <family val="2"/>
    </font>
    <font>
      <u/>
      <sz val="10"/>
      <color rgb="FF1155CC"/>
      <name val="Arial"/>
      <family val="2"/>
    </font>
    <font>
      <u/>
      <sz val="9"/>
      <color rgb="FF04529C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9"/>
      <color rgb="FF04529C"/>
      <name val="Arial"/>
      <family val="2"/>
    </font>
    <font>
      <u/>
      <sz val="7"/>
      <color rgb="FF1155CC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Roboto"/>
    </font>
    <font>
      <u/>
      <sz val="9"/>
      <color rgb="FF222222"/>
      <name val="Arial"/>
      <family val="2"/>
    </font>
    <font>
      <sz val="10"/>
      <color rgb="FFFFFFFF"/>
      <name val="Arial"/>
      <family val="2"/>
    </font>
    <font>
      <sz val="8"/>
      <color rgb="FFFFFFFF"/>
      <name val="Arial"/>
      <family val="2"/>
    </font>
    <font>
      <u/>
      <sz val="10"/>
      <color rgb="FF1155CC"/>
      <name val="Arial"/>
      <family val="2"/>
    </font>
    <font>
      <u/>
      <sz val="8"/>
      <color rgb="FF0000FF"/>
      <name val="Arial"/>
      <family val="2"/>
    </font>
    <font>
      <u/>
      <sz val="10"/>
      <color rgb="FF0000FF"/>
      <name val="Arial"/>
      <family val="2"/>
    </font>
    <font>
      <u/>
      <sz val="8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8"/>
      <color rgb="FF0000FF"/>
      <name val="Arial"/>
      <family val="2"/>
    </font>
    <font>
      <u/>
      <sz val="8"/>
      <color rgb="FF0000FF"/>
      <name val="Arial"/>
      <family val="2"/>
    </font>
    <font>
      <u/>
      <sz val="10"/>
      <color rgb="FF1155CC"/>
      <name val="Arial"/>
      <family val="2"/>
    </font>
    <font>
      <b/>
      <sz val="8"/>
      <name val="Arial"/>
      <family val="2"/>
    </font>
    <font>
      <u/>
      <sz val="10"/>
      <color rgb="FF0000FF"/>
      <name val="Arial"/>
      <family val="2"/>
    </font>
    <font>
      <u/>
      <sz val="8"/>
      <color rgb="FF04529C"/>
      <name val="Arial"/>
      <family val="2"/>
    </font>
    <font>
      <u/>
      <sz val="8"/>
      <color rgb="FF222222"/>
      <name val="Arial"/>
      <family val="2"/>
    </font>
    <font>
      <u/>
      <sz val="10"/>
      <color rgb="FF0000FF"/>
      <name val="Arial"/>
      <family val="2"/>
    </font>
    <font>
      <u/>
      <sz val="9"/>
      <color rgb="FF04529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Liberation Serif"/>
    </font>
    <font>
      <u/>
      <sz val="9"/>
      <color rgb="FF04529C"/>
      <name val="Arial"/>
      <family val="2"/>
    </font>
    <font>
      <u/>
      <sz val="8"/>
      <color rgb="FF04529C"/>
      <name val="Arial"/>
      <family val="2"/>
    </font>
    <font>
      <u/>
      <sz val="8"/>
      <color rgb="FF04529C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10"/>
      <color rgb="FF0000FF"/>
      <name val="Arial"/>
      <family val="2"/>
    </font>
    <font>
      <sz val="7"/>
      <name val="Arial"/>
      <family val="2"/>
    </font>
    <font>
      <u/>
      <sz val="8"/>
      <color rgb="FF04529C"/>
      <name val="Arial"/>
      <family val="2"/>
    </font>
    <font>
      <u/>
      <sz val="7"/>
      <color rgb="FF0000FF"/>
      <name val="Arial"/>
      <family val="2"/>
    </font>
    <font>
      <u/>
      <sz val="7"/>
      <color rgb="FF0000FF"/>
      <name val="Arial"/>
      <family val="2"/>
    </font>
    <font>
      <u/>
      <sz val="8"/>
      <color rgb="FF04529C"/>
      <name val="Arial"/>
      <family val="2"/>
    </font>
    <font>
      <u/>
      <sz val="8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9"/>
      <color rgb="FF04529C"/>
      <name val="Arial"/>
      <family val="2"/>
    </font>
    <font>
      <u/>
      <sz val="9"/>
      <color rgb="FF405564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9"/>
      <color rgb="FF222222"/>
      <name val="Arial"/>
      <family val="2"/>
    </font>
    <font>
      <b/>
      <sz val="10"/>
      <color rgb="FFFFFFFF"/>
      <name val="Arial"/>
      <family val="2"/>
    </font>
    <font>
      <b/>
      <strike/>
      <sz val="10"/>
      <color rgb="FFFFFFFF"/>
      <name val="Arial"/>
      <family val="2"/>
    </font>
    <font>
      <b/>
      <strike/>
      <sz val="10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u/>
      <sz val="7"/>
      <color rgb="FF1155CC"/>
      <name val="Arial"/>
      <family val="2"/>
    </font>
    <font>
      <u/>
      <sz val="7"/>
      <color rgb="FF0000FF"/>
      <name val="Arial"/>
      <family val="2"/>
    </font>
    <font>
      <u/>
      <sz val="7"/>
      <color rgb="FF0000FF"/>
      <name val="Arial"/>
      <family val="2"/>
    </font>
    <font>
      <i/>
      <sz val="10"/>
      <color rgb="FF000000"/>
      <name val="Arial"/>
      <family val="2"/>
    </font>
    <font>
      <sz val="10"/>
      <color rgb="FFFFFFFF"/>
      <name val="Arial"/>
      <family val="2"/>
    </font>
    <font>
      <u/>
      <sz val="7"/>
      <color rgb="FF0000FF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10"/>
      <color rgb="FF0000FF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u/>
      <sz val="9"/>
      <color rgb="FF04529C"/>
      <name val="Arial"/>
      <family val="2"/>
    </font>
    <font>
      <u/>
      <sz val="9"/>
      <color rgb="FF222222"/>
      <name val="Arial"/>
      <family val="2"/>
    </font>
    <font>
      <b/>
      <u/>
      <sz val="9"/>
      <color rgb="FF04529C"/>
      <name val="Arial"/>
      <family val="2"/>
    </font>
    <font>
      <u/>
      <sz val="9"/>
      <color rgb="FF405564"/>
      <name val="Arial"/>
      <family val="2"/>
    </font>
    <font>
      <u/>
      <sz val="9"/>
      <color rgb="FF04529C"/>
      <name val="Arial"/>
      <family val="2"/>
    </font>
    <font>
      <u/>
      <sz val="9"/>
      <color rgb="FF04529C"/>
      <name val="Arial"/>
      <family val="2"/>
    </font>
    <font>
      <sz val="6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63D297"/>
        <bgColor rgb="FF63D297"/>
      </patternFill>
    </fill>
    <fill>
      <patternFill patternType="solid">
        <fgColor rgb="FFF1F6F9"/>
        <bgColor rgb="FFF1F6F9"/>
      </patternFill>
    </fill>
    <fill>
      <patternFill patternType="solid">
        <fgColor rgb="FFF9FBFD"/>
        <bgColor rgb="FFF9FBFD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DF3F6"/>
        <bgColor rgb="FFEDF3F6"/>
      </patternFill>
    </fill>
    <fill>
      <patternFill patternType="solid">
        <fgColor rgb="FFDDF2F0"/>
        <bgColor rgb="FFDDF2F0"/>
      </patternFill>
    </fill>
    <fill>
      <patternFill patternType="solid">
        <fgColor rgb="FF6D9EEB"/>
        <bgColor rgb="FF6D9EEB"/>
      </patternFill>
    </fill>
    <fill>
      <patternFill patternType="solid">
        <fgColor rgb="FF8989EB"/>
        <bgColor rgb="FF8989EB"/>
      </patternFill>
    </fill>
    <fill>
      <patternFill patternType="solid">
        <fgColor rgb="FF5B95F9"/>
        <bgColor rgb="FF5B95F9"/>
      </patternFill>
    </fill>
    <fill>
      <patternFill patternType="solid">
        <fgColor rgb="FFE8E7FC"/>
        <bgColor rgb="FFE8E7FC"/>
      </patternFill>
    </fill>
    <fill>
      <patternFill patternType="solid">
        <fgColor rgb="FFE8F0FE"/>
        <bgColor rgb="FFE8F0FE"/>
      </patternFill>
    </fill>
    <fill>
      <patternFill patternType="solid">
        <fgColor rgb="FF8E7CC3"/>
        <bgColor rgb="FF8E7CC3"/>
      </patternFill>
    </fill>
    <fill>
      <patternFill patternType="solid">
        <fgColor rgb="FFFDDCE8"/>
        <bgColor rgb="FFFDDCE8"/>
      </patternFill>
    </fill>
    <fill>
      <patternFill patternType="solid">
        <fgColor rgb="FF93C47D"/>
        <bgColor rgb="FF93C47D"/>
      </patternFill>
    </fill>
    <fill>
      <patternFill patternType="solid">
        <fgColor rgb="FF76A5AF"/>
        <bgColor rgb="FF76A5AF"/>
      </patternFill>
    </fill>
    <fill>
      <patternFill patternType="solid">
        <fgColor rgb="FFD9D2E9"/>
        <bgColor rgb="FFD9D2E9"/>
      </patternFill>
    </fill>
    <fill>
      <patternFill patternType="solid">
        <fgColor rgb="FFCCCCCC"/>
        <bgColor rgb="FFCCCCCC"/>
      </patternFill>
    </fill>
    <fill>
      <patternFill patternType="solid">
        <fgColor rgb="FF78909C"/>
        <bgColor rgb="FF78909C"/>
      </patternFill>
    </fill>
    <fill>
      <patternFill patternType="solid">
        <fgColor rgb="FFEBEFF1"/>
        <bgColor rgb="FFEBEFF1"/>
      </patternFill>
    </fill>
    <fill>
      <patternFill patternType="solid">
        <fgColor rgb="FFFFE6DD"/>
        <bgColor rgb="FFFFE6DD"/>
      </patternFill>
    </fill>
    <fill>
      <patternFill patternType="solid">
        <fgColor rgb="FFEEF7E3"/>
        <bgColor rgb="FFEEF7E3"/>
      </patternFill>
    </fill>
    <fill>
      <patternFill patternType="solid">
        <fgColor rgb="FF783F04"/>
        <bgColor rgb="FF783F04"/>
      </patternFill>
    </fill>
    <fill>
      <patternFill patternType="solid">
        <fgColor rgb="FF990000"/>
        <bgColor rgb="FF990000"/>
      </patternFill>
    </fill>
    <fill>
      <patternFill patternType="solid">
        <fgColor rgb="FF38761D"/>
        <bgColor rgb="FF38761D"/>
      </patternFill>
    </fill>
    <fill>
      <patternFill patternType="solid">
        <fgColor rgb="FF434343"/>
        <bgColor rgb="FF434343"/>
      </patternFill>
    </fill>
    <fill>
      <patternFill patternType="solid">
        <fgColor rgb="FFE69138"/>
        <bgColor rgb="FFE69138"/>
      </patternFill>
    </fill>
    <fill>
      <patternFill patternType="solid">
        <fgColor rgb="FF4A86E8"/>
        <bgColor rgb="FF4A86E8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</fills>
  <borders count="1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666666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 style="double">
        <color rgb="FF000000"/>
      </bottom>
      <diagonal/>
    </border>
    <border>
      <left style="thin">
        <color rgb="FFFFFFFF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FFFFFF"/>
      </right>
      <top/>
      <bottom style="thin">
        <color rgb="FF000000"/>
      </bottom>
      <diagonal/>
    </border>
  </borders>
  <cellStyleXfs count="1">
    <xf numFmtId="0" fontId="0" fillId="0" borderId="0"/>
  </cellStyleXfs>
  <cellXfs count="429">
    <xf numFmtId="0" fontId="0" fillId="0" borderId="0" xfId="0" applyFont="1" applyAlignment="1"/>
    <xf numFmtId="0" fontId="1" fillId="0" borderId="0" xfId="0" applyFont="1" applyAlignment="1">
      <alignment wrapText="1"/>
    </xf>
    <xf numFmtId="0" fontId="2" fillId="2" borderId="0" xfId="0" applyFont="1" applyFill="1" applyAlignment="1"/>
    <xf numFmtId="0" fontId="3" fillId="0" borderId="0" xfId="0" applyFont="1" applyAlignment="1">
      <alignment wrapText="1"/>
    </xf>
    <xf numFmtId="0" fontId="3" fillId="0" borderId="0" xfId="0" applyFont="1" applyAlignment="1"/>
    <xf numFmtId="0" fontId="4" fillId="2" borderId="0" xfId="0" applyFont="1" applyFill="1" applyAlignment="1"/>
    <xf numFmtId="0" fontId="5" fillId="2" borderId="0" xfId="0" applyFont="1" applyFill="1" applyAlignment="1"/>
    <xf numFmtId="0" fontId="2" fillId="2" borderId="0" xfId="0" applyFont="1" applyFill="1" applyAlignment="1"/>
    <xf numFmtId="0" fontId="3" fillId="0" borderId="0" xfId="0" applyFont="1"/>
    <xf numFmtId="0" fontId="6" fillId="0" borderId="0" xfId="0" applyFont="1" applyAlignment="1"/>
    <xf numFmtId="0" fontId="7" fillId="0" borderId="0" xfId="0" applyFont="1" applyAlignment="1"/>
    <xf numFmtId="0" fontId="3" fillId="0" borderId="0" xfId="0" applyFont="1"/>
    <xf numFmtId="0" fontId="3" fillId="0" borderId="0" xfId="0" applyFont="1"/>
    <xf numFmtId="0" fontId="8" fillId="3" borderId="0" xfId="0" applyFont="1" applyFill="1" applyAlignment="1">
      <alignment horizontal="left"/>
    </xf>
    <xf numFmtId="0" fontId="1" fillId="0" borderId="0" xfId="0" applyFont="1" applyAlignment="1"/>
    <xf numFmtId="0" fontId="9" fillId="4" borderId="0" xfId="0" applyFont="1" applyFill="1" applyAlignment="1">
      <alignment horizontal="left"/>
    </xf>
    <xf numFmtId="0" fontId="2" fillId="5" borderId="0" xfId="0" applyFont="1" applyFill="1" applyAlignment="1"/>
    <xf numFmtId="0" fontId="4" fillId="5" borderId="0" xfId="0" applyFont="1" applyFill="1" applyAlignment="1"/>
    <xf numFmtId="0" fontId="5" fillId="5" borderId="0" xfId="0" applyFont="1" applyFill="1" applyAlignment="1"/>
    <xf numFmtId="0" fontId="5" fillId="2" borderId="0" xfId="0" applyFont="1" applyFill="1" applyAlignment="1"/>
    <xf numFmtId="0" fontId="2" fillId="5" borderId="0" xfId="0" applyFont="1" applyFill="1" applyAlignment="1"/>
    <xf numFmtId="0" fontId="2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3" fillId="3" borderId="0" xfId="0" applyFont="1" applyFill="1" applyAlignment="1">
      <alignment horizontal="left"/>
    </xf>
    <xf numFmtId="0" fontId="14" fillId="0" borderId="0" xfId="0" applyFont="1"/>
    <xf numFmtId="0" fontId="3" fillId="6" borderId="0" xfId="0" applyFont="1" applyFill="1"/>
    <xf numFmtId="0" fontId="15" fillId="0" borderId="0" xfId="0" applyFont="1" applyAlignment="1"/>
    <xf numFmtId="0" fontId="16" fillId="6" borderId="0" xfId="0" applyFont="1" applyFill="1"/>
    <xf numFmtId="164" fontId="3" fillId="6" borderId="0" xfId="0" applyNumberFormat="1" applyFont="1" applyFill="1"/>
    <xf numFmtId="0" fontId="17" fillId="6" borderId="0" xfId="0" applyFont="1" applyFill="1"/>
    <xf numFmtId="0" fontId="9" fillId="3" borderId="0" xfId="0" applyFont="1" applyFill="1" applyAlignment="1">
      <alignment horizontal="left"/>
    </xf>
    <xf numFmtId="0" fontId="2" fillId="7" borderId="0" xfId="0" applyFont="1" applyFill="1" applyAlignment="1"/>
    <xf numFmtId="0" fontId="18" fillId="7" borderId="0" xfId="0" applyFont="1" applyFill="1" applyAlignment="1"/>
    <xf numFmtId="0" fontId="2" fillId="7" borderId="0" xfId="0" applyFont="1" applyFill="1" applyAlignment="1">
      <alignment horizontal="right"/>
    </xf>
    <xf numFmtId="164" fontId="2" fillId="7" borderId="0" xfId="0" applyNumberFormat="1" applyFont="1" applyFill="1" applyAlignment="1"/>
    <xf numFmtId="0" fontId="19" fillId="7" borderId="0" xfId="0" applyFont="1" applyFill="1" applyAlignment="1"/>
    <xf numFmtId="0" fontId="2" fillId="7" borderId="0" xfId="0" applyFont="1" applyFill="1" applyAlignment="1"/>
    <xf numFmtId="0" fontId="9" fillId="8" borderId="0" xfId="0" applyFont="1" applyFill="1" applyAlignment="1">
      <alignment horizontal="center"/>
    </xf>
    <xf numFmtId="0" fontId="2" fillId="6" borderId="0" xfId="0" applyFont="1" applyFill="1" applyAlignment="1"/>
    <xf numFmtId="0" fontId="20" fillId="6" borderId="0" xfId="0" applyFont="1" applyFill="1" applyAlignment="1"/>
    <xf numFmtId="0" fontId="2" fillId="6" borderId="0" xfId="0" applyFont="1" applyFill="1" applyAlignment="1">
      <alignment horizontal="right"/>
    </xf>
    <xf numFmtId="164" fontId="2" fillId="6" borderId="0" xfId="0" applyNumberFormat="1" applyFont="1" applyFill="1" applyAlignment="1"/>
    <xf numFmtId="164" fontId="2" fillId="6" borderId="0" xfId="0" applyNumberFormat="1" applyFont="1" applyFill="1" applyAlignment="1">
      <alignment horizontal="right"/>
    </xf>
    <xf numFmtId="164" fontId="2" fillId="7" borderId="0" xfId="0" applyNumberFormat="1" applyFont="1" applyFill="1" applyAlignment="1">
      <alignment horizontal="right"/>
    </xf>
    <xf numFmtId="0" fontId="15" fillId="8" borderId="0" xfId="0" applyFont="1" applyFill="1" applyAlignment="1">
      <alignment horizontal="center"/>
    </xf>
    <xf numFmtId="0" fontId="2" fillId="9" borderId="0" xfId="0" applyFont="1" applyFill="1" applyAlignment="1"/>
    <xf numFmtId="0" fontId="2" fillId="9" borderId="0" xfId="0" applyFont="1" applyFill="1" applyAlignment="1"/>
    <xf numFmtId="0" fontId="2" fillId="9" borderId="0" xfId="0" applyFont="1" applyFill="1" applyAlignment="1"/>
    <xf numFmtId="0" fontId="2" fillId="6" borderId="0" xfId="0" applyFont="1" applyFill="1" applyAlignment="1"/>
    <xf numFmtId="0" fontId="2" fillId="6" borderId="0" xfId="0" applyFont="1" applyFill="1" applyAlignment="1"/>
    <xf numFmtId="0" fontId="21" fillId="7" borderId="0" xfId="0" applyFont="1" applyFill="1" applyAlignment="1"/>
    <xf numFmtId="0" fontId="22" fillId="0" borderId="0" xfId="0" applyFont="1" applyAlignment="1">
      <alignment horizontal="left"/>
    </xf>
    <xf numFmtId="0" fontId="3" fillId="7" borderId="0" xfId="0" applyFont="1" applyFill="1"/>
    <xf numFmtId="0" fontId="23" fillId="7" borderId="0" xfId="0" applyFont="1" applyFill="1"/>
    <xf numFmtId="0" fontId="3" fillId="7" borderId="0" xfId="0" applyFont="1" applyFill="1"/>
    <xf numFmtId="0" fontId="24" fillId="7" borderId="0" xfId="0" applyFont="1" applyFill="1"/>
    <xf numFmtId="0" fontId="3" fillId="7" borderId="0" xfId="0" applyFont="1" applyFill="1" applyAlignment="1"/>
    <xf numFmtId="164" fontId="3" fillId="10" borderId="0" xfId="0" applyNumberFormat="1" applyFont="1" applyFill="1" applyAlignment="1"/>
    <xf numFmtId="164" fontId="3" fillId="7" borderId="0" xfId="0" applyNumberFormat="1" applyFont="1" applyFill="1"/>
    <xf numFmtId="164" fontId="3" fillId="7" borderId="0" xfId="0" applyNumberFormat="1" applyFont="1" applyFill="1" applyAlignment="1"/>
    <xf numFmtId="0" fontId="3" fillId="6" borderId="4" xfId="0" applyFont="1" applyFill="1" applyBorder="1" applyAlignment="1"/>
    <xf numFmtId="0" fontId="3" fillId="6" borderId="4" xfId="0" applyFont="1" applyFill="1" applyBorder="1"/>
    <xf numFmtId="0" fontId="1" fillId="6" borderId="4" xfId="0" applyFont="1" applyFill="1" applyBorder="1" applyAlignment="1"/>
    <xf numFmtId="0" fontId="3" fillId="6" borderId="0" xfId="0" applyFont="1" applyFill="1" applyAlignment="1"/>
    <xf numFmtId="0" fontId="3" fillId="13" borderId="4" xfId="0" applyFont="1" applyFill="1" applyBorder="1" applyAlignment="1"/>
    <xf numFmtId="0" fontId="3" fillId="13" borderId="4" xfId="0" applyFont="1" applyFill="1" applyBorder="1"/>
    <xf numFmtId="0" fontId="26" fillId="14" borderId="4" xfId="0" applyFont="1" applyFill="1" applyBorder="1" applyAlignment="1"/>
    <xf numFmtId="164" fontId="3" fillId="14" borderId="4" xfId="0" applyNumberFormat="1" applyFont="1" applyFill="1" applyBorder="1"/>
    <xf numFmtId="164" fontId="27" fillId="14" borderId="0" xfId="0" applyNumberFormat="1" applyFont="1" applyFill="1"/>
    <xf numFmtId="0" fontId="28" fillId="6" borderId="4" xfId="0" applyFont="1" applyFill="1" applyBorder="1" applyAlignment="1"/>
    <xf numFmtId="164" fontId="3" fillId="6" borderId="4" xfId="0" applyNumberFormat="1" applyFont="1" applyFill="1" applyBorder="1"/>
    <xf numFmtId="0" fontId="2" fillId="6" borderId="0" xfId="0" applyFont="1" applyFill="1" applyAlignment="1"/>
    <xf numFmtId="164" fontId="27" fillId="6" borderId="0" xfId="0" applyNumberFormat="1" applyFont="1" applyFill="1"/>
    <xf numFmtId="0" fontId="1" fillId="0" borderId="0" xfId="0" applyFont="1" applyAlignment="1"/>
    <xf numFmtId="165" fontId="1" fillId="0" borderId="0" xfId="0" applyNumberFormat="1" applyFont="1" applyAlignment="1"/>
    <xf numFmtId="0" fontId="3" fillId="14" borderId="4" xfId="0" applyFont="1" applyFill="1" applyBorder="1"/>
    <xf numFmtId="0" fontId="3" fillId="6" borderId="4" xfId="0" applyFont="1" applyFill="1" applyBorder="1"/>
    <xf numFmtId="0" fontId="2" fillId="7" borderId="0" xfId="0" applyFont="1" applyFill="1" applyAlignment="1"/>
    <xf numFmtId="0" fontId="2" fillId="7" borderId="0" xfId="0" applyFont="1" applyFill="1" applyAlignment="1">
      <alignment horizontal="right"/>
    </xf>
    <xf numFmtId="0" fontId="24" fillId="0" borderId="0" xfId="0" applyFont="1"/>
    <xf numFmtId="0" fontId="3" fillId="0" borderId="0" xfId="0" applyFont="1" applyAlignment="1"/>
    <xf numFmtId="0" fontId="29" fillId="0" borderId="0" xfId="0" applyFont="1" applyAlignment="1">
      <alignment horizontal="left"/>
    </xf>
    <xf numFmtId="0" fontId="30" fillId="0" borderId="0" xfId="0" applyFont="1"/>
    <xf numFmtId="164" fontId="3" fillId="0" borderId="0" xfId="0" applyNumberFormat="1" applyFont="1" applyAlignment="1"/>
    <xf numFmtId="164" fontId="3" fillId="0" borderId="0" xfId="0" applyNumberFormat="1" applyFont="1"/>
    <xf numFmtId="164" fontId="3" fillId="15" borderId="0" xfId="0" applyNumberFormat="1" applyFont="1" applyFill="1"/>
    <xf numFmtId="0" fontId="31" fillId="0" borderId="0" xfId="0" applyFont="1"/>
    <xf numFmtId="0" fontId="24" fillId="0" borderId="0" xfId="0" applyFont="1"/>
    <xf numFmtId="164" fontId="3" fillId="15" borderId="0" xfId="0" applyNumberFormat="1" applyFont="1" applyFill="1" applyAlignment="1"/>
    <xf numFmtId="0" fontId="2" fillId="16" borderId="0" xfId="0" applyFont="1" applyFill="1" applyAlignment="1"/>
    <xf numFmtId="0" fontId="32" fillId="0" borderId="0" xfId="0" applyFont="1" applyAlignment="1"/>
    <xf numFmtId="0" fontId="33" fillId="6" borderId="0" xfId="0" applyFont="1" applyFill="1" applyAlignment="1"/>
    <xf numFmtId="0" fontId="34" fillId="0" borderId="0" xfId="0" applyFont="1"/>
    <xf numFmtId="0" fontId="35" fillId="0" borderId="0" xfId="0" applyFont="1" applyAlignment="1">
      <alignment horizontal="left"/>
    </xf>
    <xf numFmtId="0" fontId="36" fillId="0" borderId="0" xfId="0" applyFont="1"/>
    <xf numFmtId="0" fontId="24" fillId="0" borderId="0" xfId="0" applyFont="1"/>
    <xf numFmtId="164" fontId="3" fillId="0" borderId="0" xfId="0" applyNumberFormat="1" applyFont="1" applyAlignment="1"/>
    <xf numFmtId="164" fontId="3" fillId="0" borderId="0" xfId="0" applyNumberFormat="1" applyFont="1"/>
    <xf numFmtId="0" fontId="37" fillId="7" borderId="0" xfId="0" applyFont="1" applyFill="1" applyAlignment="1"/>
    <xf numFmtId="0" fontId="38" fillId="6" borderId="0" xfId="0" applyFont="1" applyFill="1" applyAlignment="1"/>
    <xf numFmtId="164" fontId="3" fillId="17" borderId="0" xfId="0" applyNumberFormat="1" applyFont="1" applyFill="1"/>
    <xf numFmtId="0" fontId="3" fillId="0" borderId="0" xfId="0" applyFont="1" applyAlignment="1"/>
    <xf numFmtId="0" fontId="39" fillId="6" borderId="0" xfId="0" applyFont="1" applyFill="1" applyAlignment="1"/>
    <xf numFmtId="0" fontId="40" fillId="0" borderId="0" xfId="0" applyFont="1" applyAlignment="1"/>
    <xf numFmtId="0" fontId="41" fillId="6" borderId="0" xfId="0" applyFont="1" applyFill="1" applyAlignment="1"/>
    <xf numFmtId="0" fontId="4" fillId="6" borderId="0" xfId="0" applyFont="1" applyFill="1" applyAlignment="1"/>
    <xf numFmtId="164" fontId="2" fillId="6" borderId="0" xfId="0" applyNumberFormat="1" applyFont="1" applyFill="1" applyAlignment="1"/>
    <xf numFmtId="0" fontId="2" fillId="6" borderId="0" xfId="0" applyFont="1" applyFill="1" applyAlignment="1">
      <alignment horizontal="right"/>
    </xf>
    <xf numFmtId="164" fontId="2" fillId="15" borderId="0" xfId="0" applyNumberFormat="1" applyFont="1" applyFill="1" applyAlignment="1"/>
    <xf numFmtId="0" fontId="42" fillId="9" borderId="0" xfId="0" applyFont="1" applyFill="1" applyAlignment="1"/>
    <xf numFmtId="0" fontId="43" fillId="3" borderId="0" xfId="0" applyFont="1" applyFill="1" applyAlignment="1"/>
    <xf numFmtId="0" fontId="2" fillId="9" borderId="0" xfId="0" applyFont="1" applyFill="1" applyAlignment="1">
      <alignment horizontal="right"/>
    </xf>
    <xf numFmtId="164" fontId="2" fillId="9" borderId="0" xfId="0" applyNumberFormat="1" applyFont="1" applyFill="1" applyAlignment="1"/>
    <xf numFmtId="164" fontId="2" fillId="9" borderId="0" xfId="0" applyNumberFormat="1" applyFont="1" applyFill="1" applyAlignment="1"/>
    <xf numFmtId="0" fontId="44" fillId="9" borderId="0" xfId="0" applyFont="1" applyFill="1" applyAlignment="1"/>
    <xf numFmtId="0" fontId="5" fillId="9" borderId="0" xfId="0" applyFont="1" applyFill="1" applyAlignment="1">
      <alignment horizontal="right"/>
    </xf>
    <xf numFmtId="0" fontId="45" fillId="0" borderId="0" xfId="0" applyFont="1" applyAlignment="1"/>
    <xf numFmtId="0" fontId="46" fillId="16" borderId="0" xfId="0" applyFont="1" applyFill="1" applyAlignment="1">
      <alignment horizontal="left"/>
    </xf>
    <xf numFmtId="0" fontId="9" fillId="16" borderId="0" xfId="0" applyFont="1" applyFill="1" applyAlignment="1">
      <alignment horizontal="left"/>
    </xf>
    <xf numFmtId="0" fontId="2" fillId="6" borderId="0" xfId="0" applyFont="1" applyFill="1" applyAlignment="1"/>
    <xf numFmtId="0" fontId="47" fillId="2" borderId="0" xfId="0" applyFont="1" applyFill="1" applyAlignment="1"/>
    <xf numFmtId="0" fontId="2" fillId="6" borderId="0" xfId="0" applyFont="1" applyFill="1" applyAlignment="1">
      <alignment horizontal="right"/>
    </xf>
    <xf numFmtId="0" fontId="48" fillId="6" borderId="0" xfId="0" applyFont="1" applyFill="1" applyAlignment="1"/>
    <xf numFmtId="164" fontId="3" fillId="17" borderId="0" xfId="0" applyNumberFormat="1" applyFont="1" applyFill="1" applyAlignment="1"/>
    <xf numFmtId="1" fontId="3" fillId="0" borderId="0" xfId="0" applyNumberFormat="1" applyFont="1"/>
    <xf numFmtId="0" fontId="24" fillId="0" borderId="0" xfId="0" applyFont="1"/>
    <xf numFmtId="164" fontId="1" fillId="0" borderId="0" xfId="0" applyNumberFormat="1" applyFont="1" applyAlignment="1"/>
    <xf numFmtId="164" fontId="24" fillId="0" borderId="0" xfId="0" applyNumberFormat="1" applyFont="1"/>
    <xf numFmtId="164" fontId="3" fillId="12" borderId="0" xfId="0" applyNumberFormat="1" applyFont="1" applyFill="1" applyAlignment="1"/>
    <xf numFmtId="164" fontId="3" fillId="12" borderId="0" xfId="0" applyNumberFormat="1" applyFont="1" applyFill="1"/>
    <xf numFmtId="164" fontId="24" fillId="12" borderId="0" xfId="0" applyNumberFormat="1" applyFont="1" applyFill="1"/>
    <xf numFmtId="164" fontId="24" fillId="17" borderId="0" xfId="0" applyNumberFormat="1" applyFont="1" applyFill="1"/>
    <xf numFmtId="164" fontId="24" fillId="15" borderId="0" xfId="0" applyNumberFormat="1" applyFont="1" applyFill="1"/>
    <xf numFmtId="0" fontId="49" fillId="6" borderId="0" xfId="0" applyFont="1" applyFill="1" applyAlignment="1"/>
    <xf numFmtId="0" fontId="50" fillId="7" borderId="0" xfId="0" applyFont="1" applyFill="1"/>
    <xf numFmtId="164" fontId="3" fillId="10" borderId="0" xfId="0" applyNumberFormat="1" applyFont="1" applyFill="1"/>
    <xf numFmtId="0" fontId="51" fillId="4" borderId="0" xfId="0" applyFont="1" applyFill="1" applyAlignment="1">
      <alignment horizontal="left"/>
    </xf>
    <xf numFmtId="164" fontId="3" fillId="0" borderId="4" xfId="0" applyNumberFormat="1" applyFont="1" applyBorder="1" applyAlignment="1"/>
    <xf numFmtId="0" fontId="52" fillId="0" borderId="0" xfId="0" applyFont="1"/>
    <xf numFmtId="0" fontId="53" fillId="0" borderId="0" xfId="0" applyFont="1" applyAlignment="1"/>
    <xf numFmtId="0" fontId="53" fillId="0" borderId="0" xfId="0" applyFont="1"/>
    <xf numFmtId="0" fontId="54" fillId="0" borderId="0" xfId="0" applyFont="1"/>
    <xf numFmtId="0" fontId="55" fillId="6" borderId="0" xfId="0" applyFont="1" applyFill="1" applyAlignment="1"/>
    <xf numFmtId="164" fontId="2" fillId="6" borderId="0" xfId="0" applyNumberFormat="1" applyFont="1" applyFill="1" applyAlignment="1"/>
    <xf numFmtId="164" fontId="2" fillId="6" borderId="0" xfId="0" applyNumberFormat="1" applyFont="1" applyFill="1" applyAlignment="1"/>
    <xf numFmtId="0" fontId="5" fillId="6" borderId="0" xfId="0" applyFont="1" applyFill="1" applyAlignment="1">
      <alignment horizontal="right"/>
    </xf>
    <xf numFmtId="0" fontId="2" fillId="6" borderId="0" xfId="0" applyFont="1" applyFill="1" applyAlignment="1"/>
    <xf numFmtId="164" fontId="3" fillId="18" borderId="0" xfId="0" applyNumberFormat="1" applyFont="1" applyFill="1" applyAlignment="1"/>
    <xf numFmtId="164" fontId="3" fillId="18" borderId="0" xfId="0" applyNumberFormat="1" applyFont="1" applyFill="1"/>
    <xf numFmtId="164" fontId="24" fillId="18" borderId="0" xfId="0" applyNumberFormat="1" applyFont="1" applyFill="1"/>
    <xf numFmtId="0" fontId="2" fillId="6" borderId="0" xfId="0" applyFont="1" applyFill="1" applyAlignment="1"/>
    <xf numFmtId="0" fontId="56" fillId="6" borderId="0" xfId="0" applyFont="1" applyFill="1" applyAlignment="1"/>
    <xf numFmtId="0" fontId="57" fillId="6" borderId="0" xfId="0" applyFont="1" applyFill="1" applyAlignment="1"/>
    <xf numFmtId="0" fontId="2" fillId="6" borderId="0" xfId="0" applyFont="1" applyFill="1" applyAlignment="1">
      <alignment horizontal="right"/>
    </xf>
    <xf numFmtId="164" fontId="2" fillId="17" borderId="0" xfId="0" applyNumberFormat="1" applyFont="1" applyFill="1" applyAlignment="1"/>
    <xf numFmtId="164" fontId="3" fillId="6" borderId="0" xfId="0" applyNumberFormat="1" applyFont="1" applyFill="1" applyAlignment="1"/>
    <xf numFmtId="164" fontId="3" fillId="19" borderId="0" xfId="0" applyNumberFormat="1" applyFont="1" applyFill="1"/>
    <xf numFmtId="0" fontId="58" fillId="8" borderId="0" xfId="0" applyFont="1" applyFill="1" applyAlignment="1">
      <alignment horizontal="center"/>
    </xf>
    <xf numFmtId="0" fontId="59" fillId="3" borderId="0" xfId="0" applyFont="1" applyFill="1" applyAlignment="1"/>
    <xf numFmtId="0" fontId="9" fillId="4" borderId="0" xfId="0" applyFont="1" applyFill="1" applyAlignment="1"/>
    <xf numFmtId="0" fontId="2" fillId="9" borderId="0" xfId="0" applyFont="1" applyFill="1" applyAlignment="1">
      <alignment horizontal="right"/>
    </xf>
    <xf numFmtId="0" fontId="60" fillId="13" borderId="0" xfId="0" applyFont="1" applyFill="1" applyAlignment="1"/>
    <xf numFmtId="164" fontId="2" fillId="13" borderId="0" xfId="0" applyNumberFormat="1" applyFont="1" applyFill="1" applyAlignment="1"/>
    <xf numFmtId="0" fontId="2" fillId="13" borderId="0" xfId="0" applyFont="1" applyFill="1" applyAlignment="1"/>
    <xf numFmtId="0" fontId="2" fillId="13" borderId="0" xfId="0" applyFont="1" applyFill="1" applyAlignment="1">
      <alignment horizontal="right"/>
    </xf>
    <xf numFmtId="0" fontId="2" fillId="13" borderId="0" xfId="0" applyFont="1" applyFill="1" applyAlignment="1"/>
    <xf numFmtId="164" fontId="2" fillId="13" borderId="0" xfId="0" applyNumberFormat="1" applyFont="1" applyFill="1" applyAlignment="1">
      <alignment horizontal="right"/>
    </xf>
    <xf numFmtId="0" fontId="2" fillId="13" borderId="0" xfId="0" applyFont="1" applyFill="1" applyAlignment="1">
      <alignment horizontal="right"/>
    </xf>
    <xf numFmtId="0" fontId="2" fillId="7" borderId="5" xfId="0" applyFont="1" applyFill="1" applyBorder="1" applyAlignment="1"/>
    <xf numFmtId="0" fontId="53" fillId="0" borderId="0" xfId="0" applyFont="1"/>
    <xf numFmtId="0" fontId="2" fillId="0" borderId="0" xfId="0" applyFont="1" applyAlignment="1">
      <alignment horizontal="right"/>
    </xf>
    <xf numFmtId="0" fontId="61" fillId="8" borderId="0" xfId="0" applyFont="1" applyFill="1" applyAlignment="1">
      <alignment horizontal="center"/>
    </xf>
    <xf numFmtId="0" fontId="2" fillId="6" borderId="0" xfId="0" applyFont="1" applyFill="1" applyAlignment="1">
      <alignment horizontal="right"/>
    </xf>
    <xf numFmtId="0" fontId="2" fillId="6" borderId="0" xfId="0" applyFont="1" applyFill="1" applyAlignment="1">
      <alignment horizontal="center"/>
    </xf>
    <xf numFmtId="0" fontId="62" fillId="9" borderId="0" xfId="0" applyFont="1" applyFill="1" applyAlignment="1"/>
    <xf numFmtId="0" fontId="63" fillId="3" borderId="0" xfId="0" applyFont="1" applyFill="1" applyAlignment="1"/>
    <xf numFmtId="0" fontId="5" fillId="9" borderId="0" xfId="0" applyFont="1" applyFill="1" applyAlignment="1">
      <alignment horizontal="right"/>
    </xf>
    <xf numFmtId="0" fontId="64" fillId="6" borderId="0" xfId="0" applyFont="1" applyFill="1" applyAlignment="1"/>
    <xf numFmtId="0" fontId="2" fillId="6" borderId="0" xfId="0" applyFont="1" applyFill="1" applyAlignment="1">
      <alignment horizontal="right"/>
    </xf>
    <xf numFmtId="0" fontId="53" fillId="0" borderId="0" xfId="0" applyFont="1"/>
    <xf numFmtId="0" fontId="53" fillId="0" borderId="0" xfId="0" applyFont="1"/>
    <xf numFmtId="0" fontId="53" fillId="0" borderId="0" xfId="0" applyFont="1" applyAlignment="1"/>
    <xf numFmtId="0" fontId="65" fillId="7" borderId="0" xfId="0" applyFont="1" applyFill="1" applyAlignment="1">
      <alignment horizontal="right"/>
    </xf>
    <xf numFmtId="0" fontId="2" fillId="7" borderId="5" xfId="0" applyFont="1" applyFill="1" applyBorder="1" applyAlignment="1">
      <alignment horizontal="right"/>
    </xf>
    <xf numFmtId="0" fontId="66" fillId="6" borderId="0" xfId="0" applyFont="1" applyFill="1" applyAlignment="1"/>
    <xf numFmtId="0" fontId="24" fillId="0" borderId="0" xfId="0" applyFont="1" applyAlignment="1"/>
    <xf numFmtId="0" fontId="67" fillId="6" borderId="0" xfId="0" applyFont="1" applyFill="1" applyAlignment="1"/>
    <xf numFmtId="0" fontId="68" fillId="8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2" fillId="6" borderId="5" xfId="0" applyFont="1" applyFill="1" applyBorder="1" applyAlignment="1"/>
    <xf numFmtId="164" fontId="3" fillId="0" borderId="0" xfId="0" applyNumberFormat="1" applyFont="1" applyAlignment="1">
      <alignment horizontal="right"/>
    </xf>
    <xf numFmtId="0" fontId="69" fillId="0" borderId="0" xfId="0" applyFont="1"/>
    <xf numFmtId="0" fontId="70" fillId="0" borderId="0" xfId="0" applyFont="1"/>
    <xf numFmtId="164" fontId="69" fillId="0" borderId="0" xfId="0" applyNumberFormat="1" applyFont="1"/>
    <xf numFmtId="164" fontId="69" fillId="0" borderId="0" xfId="0" applyNumberFormat="1" applyFont="1" applyAlignment="1"/>
    <xf numFmtId="0" fontId="69" fillId="0" borderId="0" xfId="0" applyFont="1" applyAlignment="1"/>
    <xf numFmtId="0" fontId="69" fillId="0" borderId="0" xfId="0" applyFont="1"/>
    <xf numFmtId="0" fontId="69" fillId="0" borderId="0" xfId="0" applyFont="1"/>
    <xf numFmtId="164" fontId="3" fillId="0" borderId="4" xfId="0" applyNumberFormat="1" applyFont="1" applyBorder="1" applyAlignment="1"/>
    <xf numFmtId="164" fontId="3" fillId="10" borderId="4" xfId="0" applyNumberFormat="1" applyFont="1" applyFill="1" applyBorder="1"/>
    <xf numFmtId="0" fontId="71" fillId="20" borderId="0" xfId="0" applyFont="1" applyFill="1" applyAlignment="1"/>
    <xf numFmtId="164" fontId="2" fillId="0" borderId="0" xfId="0" applyNumberFormat="1" applyFont="1" applyAlignment="1"/>
    <xf numFmtId="164" fontId="2" fillId="0" borderId="0" xfId="0" applyNumberFormat="1" applyFont="1" applyAlignment="1"/>
    <xf numFmtId="164" fontId="2" fillId="20" borderId="0" xfId="0" applyNumberFormat="1" applyFont="1" applyFill="1" applyAlignment="1"/>
    <xf numFmtId="0" fontId="2" fillId="20" borderId="0" xfId="0" applyFont="1" applyFill="1" applyAlignment="1"/>
    <xf numFmtId="0" fontId="2" fillId="20" borderId="0" xfId="0" applyFont="1" applyFill="1" applyAlignment="1"/>
    <xf numFmtId="0" fontId="2" fillId="20" borderId="0" xfId="0" applyFont="1" applyFill="1" applyAlignment="1">
      <alignment horizontal="right"/>
    </xf>
    <xf numFmtId="164" fontId="2" fillId="20" borderId="0" xfId="0" applyNumberFormat="1" applyFont="1" applyFill="1" applyAlignment="1">
      <alignment horizontal="right"/>
    </xf>
    <xf numFmtId="0" fontId="2" fillId="6" borderId="0" xfId="0" applyFont="1" applyFill="1" applyAlignment="1">
      <alignment horizontal="center"/>
    </xf>
    <xf numFmtId="0" fontId="3" fillId="21" borderId="0" xfId="0" applyFont="1" applyFill="1"/>
    <xf numFmtId="0" fontId="24" fillId="21" borderId="0" xfId="0" applyFont="1" applyFill="1" applyAlignment="1">
      <alignment horizontal="left"/>
    </xf>
    <xf numFmtId="0" fontId="24" fillId="21" borderId="0" xfId="0" applyFont="1" applyFill="1"/>
    <xf numFmtId="0" fontId="3" fillId="21" borderId="0" xfId="0" applyFont="1" applyFill="1" applyAlignment="1"/>
    <xf numFmtId="0" fontId="3" fillId="6" borderId="0" xfId="0" applyFont="1" applyFill="1"/>
    <xf numFmtId="0" fontId="72" fillId="6" borderId="0" xfId="0" applyFont="1" applyFill="1"/>
    <xf numFmtId="0" fontId="24" fillId="6" borderId="0" xfId="0" applyFont="1" applyFill="1"/>
    <xf numFmtId="0" fontId="73" fillId="6" borderId="0" xfId="0" applyFont="1" applyFill="1" applyAlignment="1"/>
    <xf numFmtId="0" fontId="3" fillId="22" borderId="0" xfId="0" applyFont="1" applyFill="1"/>
    <xf numFmtId="0" fontId="2" fillId="7" borderId="0" xfId="0" applyFont="1" applyFill="1" applyAlignment="1"/>
    <xf numFmtId="0" fontId="74" fillId="22" borderId="0" xfId="0" applyFont="1" applyFill="1"/>
    <xf numFmtId="0" fontId="2" fillId="7" borderId="0" xfId="0" applyFont="1" applyFill="1" applyAlignment="1">
      <alignment horizontal="right"/>
    </xf>
    <xf numFmtId="0" fontId="75" fillId="6" borderId="5" xfId="0" applyFont="1" applyFill="1" applyBorder="1" applyAlignment="1"/>
    <xf numFmtId="0" fontId="24" fillId="22" borderId="0" xfId="0" applyFont="1" applyFill="1"/>
    <xf numFmtId="0" fontId="3" fillId="22" borderId="0" xfId="0" applyFont="1" applyFill="1" applyAlignment="1"/>
    <xf numFmtId="164" fontId="3" fillId="22" borderId="0" xfId="0" applyNumberFormat="1" applyFont="1" applyFill="1" applyAlignment="1"/>
    <xf numFmtId="0" fontId="76" fillId="22" borderId="0" xfId="0" applyFont="1" applyFill="1"/>
    <xf numFmtId="0" fontId="77" fillId="6" borderId="0" xfId="0" applyFont="1" applyFill="1"/>
    <xf numFmtId="0" fontId="3" fillId="0" borderId="5" xfId="0" applyFont="1" applyBorder="1"/>
    <xf numFmtId="0" fontId="78" fillId="6" borderId="0" xfId="0" applyFont="1" applyFill="1"/>
    <xf numFmtId="0" fontId="24" fillId="6" borderId="0" xfId="0" applyFont="1" applyFill="1"/>
    <xf numFmtId="0" fontId="53" fillId="6" borderId="0" xfId="0" applyFont="1" applyFill="1" applyAlignment="1"/>
    <xf numFmtId="0" fontId="53" fillId="6" borderId="0" xfId="0" applyFont="1" applyFill="1"/>
    <xf numFmtId="0" fontId="3" fillId="7" borderId="5" xfId="0" applyFont="1" applyFill="1" applyBorder="1"/>
    <xf numFmtId="0" fontId="79" fillId="22" borderId="0" xfId="0" applyFont="1" applyFill="1"/>
    <xf numFmtId="0" fontId="3" fillId="22" borderId="0" xfId="0" applyFont="1" applyFill="1"/>
    <xf numFmtId="0" fontId="24" fillId="22" borderId="0" xfId="0" applyFont="1" applyFill="1"/>
    <xf numFmtId="164" fontId="3" fillId="22" borderId="0" xfId="0" applyNumberFormat="1" applyFont="1" applyFill="1"/>
    <xf numFmtId="0" fontId="80" fillId="23" borderId="0" xfId="0" applyFont="1" applyFill="1" applyAlignment="1"/>
    <xf numFmtId="164" fontId="2" fillId="23" borderId="0" xfId="0" applyNumberFormat="1" applyFont="1" applyFill="1" applyAlignment="1"/>
    <xf numFmtId="0" fontId="2" fillId="23" borderId="0" xfId="0" applyFont="1" applyFill="1" applyAlignment="1"/>
    <xf numFmtId="0" fontId="2" fillId="23" borderId="0" xfId="0" applyFont="1" applyFill="1" applyAlignment="1">
      <alignment horizontal="right"/>
    </xf>
    <xf numFmtId="0" fontId="2" fillId="23" borderId="0" xfId="0" applyFont="1" applyFill="1" applyAlignment="1">
      <alignment horizontal="right"/>
    </xf>
    <xf numFmtId="164" fontId="2" fillId="23" borderId="0" xfId="0" applyNumberFormat="1" applyFont="1" applyFill="1" applyAlignment="1">
      <alignment horizontal="right"/>
    </xf>
    <xf numFmtId="164" fontId="2" fillId="23" borderId="0" xfId="0" applyNumberFormat="1" applyFont="1" applyFill="1" applyAlignment="1"/>
    <xf numFmtId="0" fontId="2" fillId="6" borderId="5" xfId="0" applyFont="1" applyFill="1" applyBorder="1" applyAlignment="1"/>
    <xf numFmtId="0" fontId="70" fillId="0" borderId="0" xfId="0" applyFont="1"/>
    <xf numFmtId="164" fontId="81" fillId="0" borderId="0" xfId="0" applyNumberFormat="1" applyFont="1" applyAlignment="1"/>
    <xf numFmtId="164" fontId="24" fillId="0" borderId="0" xfId="0" applyNumberFormat="1" applyFont="1" applyAlignment="1"/>
    <xf numFmtId="164" fontId="24" fillId="18" borderId="0" xfId="0" applyNumberFormat="1" applyFont="1" applyFill="1" applyAlignment="1"/>
    <xf numFmtId="164" fontId="24" fillId="17" borderId="0" xfId="0" applyNumberFormat="1" applyFont="1" applyFill="1" applyAlignment="1"/>
    <xf numFmtId="164" fontId="24" fillId="15" borderId="0" xfId="0" applyNumberFormat="1" applyFont="1" applyFill="1" applyAlignment="1"/>
    <xf numFmtId="0" fontId="82" fillId="22" borderId="0" xfId="0" applyFont="1" applyFill="1" applyAlignment="1"/>
    <xf numFmtId="0" fontId="2" fillId="7" borderId="5" xfId="0" applyFont="1" applyFill="1" applyBorder="1" applyAlignment="1"/>
    <xf numFmtId="0" fontId="83" fillId="6" borderId="0" xfId="0" applyFont="1" applyFill="1" applyAlignment="1">
      <alignment horizontal="left"/>
    </xf>
    <xf numFmtId="0" fontId="84" fillId="3" borderId="0" xfId="0" applyFont="1" applyFill="1" applyAlignment="1">
      <alignment horizontal="left"/>
    </xf>
    <xf numFmtId="0" fontId="3" fillId="6" borderId="0" xfId="0" applyFont="1" applyFill="1" applyAlignment="1"/>
    <xf numFmtId="0" fontId="85" fillId="22" borderId="0" xfId="0" applyFont="1" applyFill="1"/>
    <xf numFmtId="0" fontId="86" fillId="7" borderId="0" xfId="0" applyFont="1" applyFill="1" applyAlignment="1"/>
    <xf numFmtId="0" fontId="87" fillId="0" borderId="0" xfId="0" applyFont="1"/>
    <xf numFmtId="0" fontId="3" fillId="6" borderId="5" xfId="0" applyFont="1" applyFill="1" applyBorder="1"/>
    <xf numFmtId="0" fontId="88" fillId="0" borderId="0" xfId="0" applyFont="1" applyAlignment="1">
      <alignment horizontal="left"/>
    </xf>
    <xf numFmtId="0" fontId="89" fillId="6" borderId="0" xfId="0" applyFont="1" applyFill="1" applyAlignment="1"/>
    <xf numFmtId="0" fontId="2" fillId="22" borderId="0" xfId="0" applyFont="1" applyFill="1" applyAlignment="1"/>
    <xf numFmtId="0" fontId="90" fillId="22" borderId="0" xfId="0" applyFont="1" applyFill="1" applyAlignment="1"/>
    <xf numFmtId="0" fontId="3" fillId="22" borderId="0" xfId="0" applyFont="1" applyFill="1" applyAlignment="1"/>
    <xf numFmtId="0" fontId="2" fillId="16" borderId="0" xfId="0" applyFont="1" applyFill="1" applyAlignment="1"/>
    <xf numFmtId="0" fontId="91" fillId="22" borderId="0" xfId="0" applyFont="1" applyFill="1" applyAlignment="1">
      <alignment horizontal="left"/>
    </xf>
    <xf numFmtId="0" fontId="92" fillId="6" borderId="0" xfId="0" applyFont="1" applyFill="1" applyAlignment="1"/>
    <xf numFmtId="0" fontId="93" fillId="6" borderId="0" xfId="0" applyFont="1" applyFill="1" applyAlignment="1"/>
    <xf numFmtId="0" fontId="94" fillId="0" borderId="0" xfId="0" applyFont="1" applyAlignment="1">
      <alignment horizontal="left"/>
    </xf>
    <xf numFmtId="0" fontId="95" fillId="7" borderId="0" xfId="0" applyFont="1" applyFill="1"/>
    <xf numFmtId="0" fontId="96" fillId="0" borderId="0" xfId="0" applyFont="1" applyAlignment="1"/>
    <xf numFmtId="0" fontId="97" fillId="7" borderId="0" xfId="0" applyFont="1" applyFill="1"/>
    <xf numFmtId="0" fontId="2" fillId="0" borderId="0" xfId="0" applyFont="1" applyAlignment="1">
      <alignment horizontal="right"/>
    </xf>
    <xf numFmtId="0" fontId="98" fillId="0" borderId="0" xfId="0" applyFont="1"/>
    <xf numFmtId="0" fontId="99" fillId="8" borderId="0" xfId="0" applyFont="1" applyFill="1" applyAlignment="1">
      <alignment horizontal="left"/>
    </xf>
    <xf numFmtId="0" fontId="2" fillId="14" borderId="0" xfId="0" applyFont="1" applyFill="1" applyAlignment="1"/>
    <xf numFmtId="0" fontId="100" fillId="14" borderId="0" xfId="0" applyFont="1" applyFill="1" applyAlignment="1"/>
    <xf numFmtId="0" fontId="4" fillId="14" borderId="0" xfId="0" applyFont="1" applyFill="1" applyAlignment="1"/>
    <xf numFmtId="0" fontId="2" fillId="14" borderId="0" xfId="0" applyFont="1" applyFill="1" applyAlignment="1">
      <alignment horizontal="right"/>
    </xf>
    <xf numFmtId="164" fontId="2" fillId="14" borderId="0" xfId="0" applyNumberFormat="1" applyFont="1" applyFill="1" applyAlignment="1">
      <alignment horizontal="right"/>
    </xf>
    <xf numFmtId="164" fontId="2" fillId="15" borderId="0" xfId="0" applyNumberFormat="1" applyFont="1" applyFill="1" applyAlignment="1">
      <alignment horizontal="right"/>
    </xf>
    <xf numFmtId="0" fontId="101" fillId="14" borderId="0" xfId="0" applyFont="1" applyFill="1" applyAlignment="1"/>
    <xf numFmtId="0" fontId="102" fillId="0" borderId="0" xfId="0" applyFont="1" applyAlignment="1">
      <alignment horizontal="left"/>
    </xf>
    <xf numFmtId="0" fontId="2" fillId="22" borderId="0" xfId="0" applyFont="1" applyFill="1" applyAlignment="1"/>
    <xf numFmtId="0" fontId="103" fillId="22" borderId="0" xfId="0" applyFont="1" applyFill="1" applyAlignment="1"/>
    <xf numFmtId="0" fontId="2" fillId="22" borderId="0" xfId="0" applyFont="1" applyFill="1" applyAlignment="1">
      <alignment horizontal="right"/>
    </xf>
    <xf numFmtId="0" fontId="104" fillId="6" borderId="0" xfId="0" applyFont="1" applyFill="1" applyAlignment="1"/>
    <xf numFmtId="0" fontId="5" fillId="6" borderId="0" xfId="0" applyFont="1" applyFill="1" applyAlignment="1"/>
    <xf numFmtId="0" fontId="5" fillId="22" borderId="0" xfId="0" applyFont="1" applyFill="1" applyAlignment="1"/>
    <xf numFmtId="0" fontId="105" fillId="22" borderId="0" xfId="0" applyFont="1" applyFill="1" applyAlignment="1"/>
    <xf numFmtId="0" fontId="106" fillId="22" borderId="0" xfId="0" applyFont="1" applyFill="1" applyAlignment="1"/>
    <xf numFmtId="164" fontId="2" fillId="22" borderId="0" xfId="0" applyNumberFormat="1" applyFont="1" applyFill="1" applyAlignment="1"/>
    <xf numFmtId="164" fontId="2" fillId="22" borderId="0" xfId="0" applyNumberFormat="1" applyFont="1" applyFill="1" applyAlignment="1"/>
    <xf numFmtId="0" fontId="5" fillId="22" borderId="0" xfId="0" applyFont="1" applyFill="1" applyAlignment="1">
      <alignment horizontal="right"/>
    </xf>
    <xf numFmtId="0" fontId="2" fillId="22" borderId="0" xfId="0" applyFont="1" applyFill="1" applyAlignment="1"/>
    <xf numFmtId="0" fontId="5" fillId="6" borderId="0" xfId="0" applyFont="1" applyFill="1" applyAlignment="1">
      <alignment horizontal="right"/>
    </xf>
    <xf numFmtId="0" fontId="9" fillId="22" borderId="0" xfId="0" applyFont="1" applyFill="1" applyAlignment="1"/>
    <xf numFmtId="0" fontId="9" fillId="6" borderId="0" xfId="0" applyFont="1" applyFill="1" applyAlignment="1"/>
    <xf numFmtId="0" fontId="107" fillId="6" borderId="0" xfId="0" applyFont="1" applyFill="1" applyAlignment="1"/>
    <xf numFmtId="0" fontId="108" fillId="6" borderId="0" xfId="0" applyFont="1" applyFill="1" applyAlignment="1"/>
    <xf numFmtId="0" fontId="5" fillId="6" borderId="0" xfId="0" applyFont="1" applyFill="1" applyAlignment="1">
      <alignment horizontal="right"/>
    </xf>
    <xf numFmtId="0" fontId="109" fillId="22" borderId="0" xfId="0" applyFont="1" applyFill="1" applyAlignment="1"/>
    <xf numFmtId="0" fontId="110" fillId="22" borderId="0" xfId="0" applyFont="1" applyFill="1" applyAlignment="1"/>
    <xf numFmtId="0" fontId="2" fillId="22" borderId="0" xfId="0" applyFont="1" applyFill="1" applyAlignment="1">
      <alignment horizontal="right"/>
    </xf>
    <xf numFmtId="0" fontId="5" fillId="22" borderId="0" xfId="0" applyFont="1" applyFill="1" applyAlignment="1">
      <alignment horizontal="right"/>
    </xf>
    <xf numFmtId="0" fontId="9" fillId="6" borderId="0" xfId="0" applyFont="1" applyFill="1" applyAlignment="1"/>
    <xf numFmtId="0" fontId="24" fillId="6" borderId="0" xfId="0" applyFont="1" applyFill="1" applyAlignment="1"/>
    <xf numFmtId="0" fontId="111" fillId="22" borderId="0" xfId="0" applyFont="1" applyFill="1" applyAlignment="1">
      <alignment horizontal="left"/>
    </xf>
    <xf numFmtId="0" fontId="24" fillId="22" borderId="0" xfId="0" applyFont="1" applyFill="1" applyAlignment="1">
      <alignment horizontal="left"/>
    </xf>
    <xf numFmtId="0" fontId="24" fillId="6" borderId="0" xfId="0" applyFont="1" applyFill="1" applyAlignment="1">
      <alignment horizontal="left"/>
    </xf>
    <xf numFmtId="0" fontId="2" fillId="24" borderId="0" xfId="0" applyFont="1" applyFill="1" applyAlignment="1"/>
    <xf numFmtId="0" fontId="3" fillId="7" borderId="0" xfId="0" applyFont="1" applyFill="1" applyAlignment="1"/>
    <xf numFmtId="0" fontId="95" fillId="6" borderId="0" xfId="0" applyFont="1" applyFill="1"/>
    <xf numFmtId="0" fontId="2" fillId="0" borderId="5" xfId="0" applyFont="1" applyBorder="1" applyAlignment="1"/>
    <xf numFmtId="0" fontId="2" fillId="0" borderId="5" xfId="0" applyFont="1" applyBorder="1" applyAlignment="1"/>
    <xf numFmtId="0" fontId="2" fillId="0" borderId="0" xfId="0" applyFont="1" applyAlignment="1"/>
    <xf numFmtId="0" fontId="2" fillId="0" borderId="8" xfId="0" applyFont="1" applyBorder="1" applyAlignment="1"/>
    <xf numFmtId="0" fontId="112" fillId="25" borderId="7" xfId="0" applyFont="1" applyFill="1" applyBorder="1" applyAlignment="1">
      <alignment horizontal="center"/>
    </xf>
    <xf numFmtId="0" fontId="112" fillId="26" borderId="7" xfId="0" applyFont="1" applyFill="1" applyBorder="1" applyAlignment="1">
      <alignment horizontal="center"/>
    </xf>
    <xf numFmtId="0" fontId="112" fillId="27" borderId="7" xfId="0" applyFont="1" applyFill="1" applyBorder="1" applyAlignment="1">
      <alignment horizontal="center"/>
    </xf>
    <xf numFmtId="0" fontId="112" fillId="15" borderId="4" xfId="0" applyFont="1" applyFill="1" applyBorder="1" applyAlignment="1">
      <alignment horizontal="center"/>
    </xf>
    <xf numFmtId="0" fontId="112" fillId="15" borderId="10" xfId="0" applyFont="1" applyFill="1" applyBorder="1" applyAlignment="1">
      <alignment horizontal="center"/>
    </xf>
    <xf numFmtId="0" fontId="112" fillId="28" borderId="7" xfId="0" applyFont="1" applyFill="1" applyBorder="1" applyAlignment="1">
      <alignment horizontal="center"/>
    </xf>
    <xf numFmtId="0" fontId="112" fillId="15" borderId="7" xfId="0" applyFont="1" applyFill="1" applyBorder="1" applyAlignment="1">
      <alignment horizontal="center"/>
    </xf>
    <xf numFmtId="0" fontId="2" fillId="0" borderId="9" xfId="0" applyFont="1" applyBorder="1" applyAlignment="1"/>
    <xf numFmtId="0" fontId="5" fillId="29" borderId="7" xfId="0" applyFont="1" applyFill="1" applyBorder="1" applyAlignment="1">
      <alignment horizontal="center"/>
    </xf>
    <xf numFmtId="0" fontId="112" fillId="30" borderId="7" xfId="0" applyFont="1" applyFill="1" applyBorder="1" applyAlignment="1">
      <alignment horizontal="center"/>
    </xf>
    <xf numFmtId="0" fontId="5" fillId="31" borderId="7" xfId="0" applyFont="1" applyFill="1" applyBorder="1" applyAlignment="1">
      <alignment horizontal="center"/>
    </xf>
    <xf numFmtId="0" fontId="2" fillId="0" borderId="0" xfId="0" applyFont="1" applyAlignment="1"/>
    <xf numFmtId="0" fontId="5" fillId="31" borderId="4" xfId="0" applyFont="1" applyFill="1" applyBorder="1" applyAlignment="1">
      <alignment horizontal="center"/>
    </xf>
    <xf numFmtId="0" fontId="113" fillId="25" borderId="7" xfId="0" applyFont="1" applyFill="1" applyBorder="1" applyAlignment="1">
      <alignment horizontal="center"/>
    </xf>
    <xf numFmtId="0" fontId="113" fillId="26" borderId="7" xfId="0" applyFont="1" applyFill="1" applyBorder="1" applyAlignment="1">
      <alignment horizontal="center"/>
    </xf>
    <xf numFmtId="0" fontId="112" fillId="15" borderId="8" xfId="0" applyFont="1" applyFill="1" applyBorder="1" applyAlignment="1">
      <alignment horizontal="center"/>
    </xf>
    <xf numFmtId="0" fontId="112" fillId="27" borderId="4" xfId="0" applyFont="1" applyFill="1" applyBorder="1" applyAlignment="1">
      <alignment horizontal="center"/>
    </xf>
    <xf numFmtId="0" fontId="113" fillId="28" borderId="7" xfId="0" applyFont="1" applyFill="1" applyBorder="1" applyAlignment="1">
      <alignment horizontal="center"/>
    </xf>
    <xf numFmtId="0" fontId="114" fillId="29" borderId="7" xfId="0" applyFont="1" applyFill="1" applyBorder="1" applyAlignment="1">
      <alignment horizontal="center"/>
    </xf>
    <xf numFmtId="0" fontId="5" fillId="31" borderId="7" xfId="0" applyFont="1" applyFill="1" applyBorder="1" applyAlignment="1">
      <alignment horizontal="center"/>
    </xf>
    <xf numFmtId="0" fontId="112" fillId="26" borderId="7" xfId="0" applyFont="1" applyFill="1" applyBorder="1" applyAlignment="1">
      <alignment horizontal="center"/>
    </xf>
    <xf numFmtId="0" fontId="112" fillId="27" borderId="7" xfId="0" applyFont="1" applyFill="1" applyBorder="1" applyAlignment="1">
      <alignment horizontal="center"/>
    </xf>
    <xf numFmtId="0" fontId="112" fillId="15" borderId="7" xfId="0" applyFont="1" applyFill="1" applyBorder="1" applyAlignment="1">
      <alignment horizontal="center"/>
    </xf>
    <xf numFmtId="0" fontId="112" fillId="25" borderId="7" xfId="0" applyFont="1" applyFill="1" applyBorder="1" applyAlignment="1">
      <alignment horizontal="center"/>
    </xf>
    <xf numFmtId="0" fontId="112" fillId="28" borderId="7" xfId="0" applyFont="1" applyFill="1" applyBorder="1" applyAlignment="1">
      <alignment horizontal="center"/>
    </xf>
    <xf numFmtId="0" fontId="113" fillId="26" borderId="7" xfId="0" applyFont="1" applyFill="1" applyBorder="1" applyAlignment="1">
      <alignment horizontal="center"/>
    </xf>
    <xf numFmtId="0" fontId="5" fillId="29" borderId="7" xfId="0" applyFont="1" applyFill="1" applyBorder="1" applyAlignment="1">
      <alignment horizontal="center"/>
    </xf>
    <xf numFmtId="0" fontId="112" fillId="30" borderId="7" xfId="0" applyFont="1" applyFill="1" applyBorder="1" applyAlignment="1">
      <alignment horizontal="center"/>
    </xf>
    <xf numFmtId="0" fontId="114" fillId="29" borderId="7" xfId="0" applyFont="1" applyFill="1" applyBorder="1" applyAlignment="1">
      <alignment horizontal="center"/>
    </xf>
    <xf numFmtId="0" fontId="113" fillId="28" borderId="7" xfId="0" applyFont="1" applyFill="1" applyBorder="1" applyAlignment="1">
      <alignment horizontal="center"/>
    </xf>
    <xf numFmtId="0" fontId="2" fillId="0" borderId="0" xfId="0" applyFont="1" applyAlignment="1"/>
    <xf numFmtId="0" fontId="113" fillId="25" borderId="10" xfId="0" applyFont="1" applyFill="1" applyBorder="1" applyAlignment="1">
      <alignment horizontal="center"/>
    </xf>
    <xf numFmtId="0" fontId="112" fillId="25" borderId="10" xfId="0" applyFont="1" applyFill="1" applyBorder="1" applyAlignment="1">
      <alignment horizontal="center"/>
    </xf>
    <xf numFmtId="0" fontId="5" fillId="29" borderId="10" xfId="0" applyFont="1" applyFill="1" applyBorder="1" applyAlignment="1">
      <alignment horizontal="center"/>
    </xf>
    <xf numFmtId="0" fontId="5" fillId="31" borderId="10" xfId="0" applyFont="1" applyFill="1" applyBorder="1" applyAlignment="1">
      <alignment horizontal="center"/>
    </xf>
    <xf numFmtId="0" fontId="114" fillId="29" borderId="10" xfId="0" applyFont="1" applyFill="1" applyBorder="1" applyAlignment="1">
      <alignment horizontal="center"/>
    </xf>
    <xf numFmtId="0" fontId="113" fillId="30" borderId="7" xfId="0" applyFont="1" applyFill="1" applyBorder="1" applyAlignment="1">
      <alignment horizontal="center"/>
    </xf>
    <xf numFmtId="0" fontId="114" fillId="31" borderId="7" xfId="0" applyFont="1" applyFill="1" applyBorder="1" applyAlignment="1">
      <alignment horizontal="center"/>
    </xf>
    <xf numFmtId="0" fontId="115" fillId="0" borderId="0" xfId="0" applyFont="1" applyAlignment="1"/>
    <xf numFmtId="0" fontId="9" fillId="4" borderId="5" xfId="0" applyFont="1" applyFill="1" applyBorder="1" applyAlignment="1"/>
    <xf numFmtId="0" fontId="1" fillId="32" borderId="0" xfId="0" applyFont="1" applyFill="1" applyAlignment="1"/>
    <xf numFmtId="0" fontId="116" fillId="6" borderId="0" xfId="0" applyFont="1" applyFill="1" applyAlignment="1">
      <alignment horizontal="left"/>
    </xf>
    <xf numFmtId="0" fontId="9" fillId="4" borderId="0" xfId="0" applyFont="1" applyFill="1" applyAlignment="1"/>
    <xf numFmtId="0" fontId="117" fillId="0" borderId="0" xfId="0" applyFont="1" applyAlignment="1"/>
    <xf numFmtId="0" fontId="118" fillId="0" borderId="0" xfId="0" applyFont="1"/>
    <xf numFmtId="0" fontId="119" fillId="0" borderId="0" xfId="0" applyFont="1"/>
    <xf numFmtId="0" fontId="120" fillId="33" borderId="11" xfId="0" applyFont="1" applyFill="1" applyBorder="1" applyAlignment="1"/>
    <xf numFmtId="0" fontId="121" fillId="34" borderId="11" xfId="0" applyFont="1" applyFill="1" applyBorder="1" applyAlignment="1"/>
    <xf numFmtId="0" fontId="116" fillId="7" borderId="12" xfId="0" applyFont="1" applyFill="1" applyBorder="1" applyAlignment="1"/>
    <xf numFmtId="1" fontId="116" fillId="6" borderId="13" xfId="0" applyNumberFormat="1" applyFont="1" applyFill="1" applyBorder="1" applyAlignment="1">
      <alignment horizontal="right"/>
    </xf>
    <xf numFmtId="0" fontId="116" fillId="6" borderId="0" xfId="0" applyFont="1" applyFill="1" applyAlignment="1">
      <alignment horizontal="right"/>
    </xf>
    <xf numFmtId="0" fontId="3" fillId="0" borderId="9" xfId="0" applyFont="1" applyBorder="1"/>
    <xf numFmtId="0" fontId="116" fillId="7" borderId="14" xfId="0" applyFont="1" applyFill="1" applyBorder="1" applyAlignment="1"/>
    <xf numFmtId="1" fontId="116" fillId="6" borderId="15" xfId="0" applyNumberFormat="1" applyFont="1" applyFill="1" applyBorder="1" applyAlignment="1">
      <alignment horizontal="right"/>
    </xf>
    <xf numFmtId="0" fontId="116" fillId="6" borderId="16" xfId="0" applyFont="1" applyFill="1" applyBorder="1" applyAlignment="1">
      <alignment horizontal="right"/>
    </xf>
    <xf numFmtId="0" fontId="116" fillId="7" borderId="0" xfId="0" applyFont="1" applyFill="1" applyAlignment="1"/>
    <xf numFmtId="0" fontId="116" fillId="7" borderId="17" xfId="0" applyFont="1" applyFill="1" applyBorder="1" applyAlignment="1"/>
    <xf numFmtId="0" fontId="122" fillId="0" borderId="0" xfId="0" applyFont="1" applyAlignment="1"/>
    <xf numFmtId="0" fontId="95" fillId="0" borderId="0" xfId="0" applyFont="1"/>
    <xf numFmtId="0" fontId="123" fillId="8" borderId="0" xfId="0" applyFont="1" applyFill="1" applyAlignment="1">
      <alignment horizontal="center"/>
    </xf>
    <xf numFmtId="0" fontId="24" fillId="0" borderId="0" xfId="0" applyFont="1" applyAlignment="1">
      <alignment horizontal="left"/>
    </xf>
    <xf numFmtId="166" fontId="3" fillId="0" borderId="0" xfId="0" applyNumberFormat="1" applyFont="1" applyAlignment="1"/>
    <xf numFmtId="0" fontId="3" fillId="5" borderId="0" xfId="0" applyFont="1" applyFill="1"/>
    <xf numFmtId="0" fontId="3" fillId="5" borderId="0" xfId="0" applyFont="1" applyFill="1" applyAlignment="1"/>
    <xf numFmtId="0" fontId="3" fillId="5" borderId="0" xfId="0" applyFont="1" applyFill="1"/>
    <xf numFmtId="0" fontId="15" fillId="6" borderId="0" xfId="0" applyFont="1" applyFill="1" applyAlignment="1"/>
    <xf numFmtId="0" fontId="15" fillId="7" borderId="0" xfId="0" applyFont="1" applyFill="1" applyAlignment="1"/>
    <xf numFmtId="0" fontId="124" fillId="7" borderId="0" xfId="0" applyFont="1" applyFill="1" applyAlignment="1">
      <alignment horizontal="left"/>
    </xf>
    <xf numFmtId="0" fontId="9" fillId="6" borderId="0" xfId="0" applyFont="1" applyFill="1" applyAlignment="1">
      <alignment horizontal="left"/>
    </xf>
    <xf numFmtId="0" fontId="9" fillId="7" borderId="0" xfId="0" applyFont="1" applyFill="1" applyAlignment="1">
      <alignment horizontal="left"/>
    </xf>
    <xf numFmtId="0" fontId="15" fillId="6" borderId="0" xfId="0" applyFont="1" applyFill="1" applyAlignment="1">
      <alignment horizontal="left"/>
    </xf>
    <xf numFmtId="0" fontId="125" fillId="7" borderId="0" xfId="0" applyFont="1" applyFill="1" applyAlignment="1"/>
    <xf numFmtId="0" fontId="3" fillId="21" borderId="0" xfId="0" applyFont="1" applyFill="1"/>
    <xf numFmtId="0" fontId="126" fillId="6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127" fillId="4" borderId="0" xfId="0" applyFont="1" applyFill="1" applyAlignment="1"/>
    <xf numFmtId="0" fontId="128" fillId="0" borderId="0" xfId="0" applyFont="1" applyAlignment="1"/>
    <xf numFmtId="0" fontId="129" fillId="3" borderId="0" xfId="0" applyFont="1" applyFill="1" applyAlignment="1">
      <alignment horizontal="left"/>
    </xf>
    <xf numFmtId="0" fontId="3" fillId="0" borderId="4" xfId="0" applyFont="1" applyBorder="1" applyAlignment="1"/>
    <xf numFmtId="0" fontId="15" fillId="0" borderId="0" xfId="0" applyFont="1" applyAlignment="1"/>
    <xf numFmtId="0" fontId="3" fillId="0" borderId="0" xfId="0" applyFont="1" applyAlignment="1"/>
    <xf numFmtId="0" fontId="130" fillId="3" borderId="0" xfId="0" applyFont="1" applyFill="1" applyAlignment="1">
      <alignment horizontal="left"/>
    </xf>
    <xf numFmtId="0" fontId="131" fillId="4" borderId="0" xfId="0" applyFont="1" applyFill="1" applyAlignment="1"/>
    <xf numFmtId="0" fontId="132" fillId="4" borderId="0" xfId="0" applyFont="1" applyFill="1" applyAlignment="1"/>
    <xf numFmtId="0" fontId="133" fillId="0" borderId="0" xfId="0" applyFont="1" applyAlignment="1">
      <alignment horizontal="left"/>
    </xf>
    <xf numFmtId="0" fontId="134" fillId="22" borderId="0" xfId="0" applyFont="1" applyFill="1"/>
    <xf numFmtId="0" fontId="3" fillId="22" borderId="0" xfId="0" applyFont="1" applyFill="1" applyAlignment="1">
      <alignment horizontal="right"/>
    </xf>
    <xf numFmtId="0" fontId="134" fillId="6" borderId="0" xfId="0" applyFont="1" applyFill="1"/>
    <xf numFmtId="0" fontId="3" fillId="6" borderId="0" xfId="0" applyFont="1" applyFill="1" applyAlignment="1">
      <alignment horizontal="right"/>
    </xf>
    <xf numFmtId="0" fontId="0" fillId="0" borderId="0" xfId="0" pivotButton="1" applyFont="1" applyAlignment="1"/>
    <xf numFmtId="0" fontId="0" fillId="0" borderId="0" xfId="0" applyNumberFormat="1" applyFont="1" applyAlignment="1"/>
    <xf numFmtId="0" fontId="25" fillId="11" borderId="1" xfId="0" applyFont="1" applyFill="1" applyBorder="1" applyAlignment="1">
      <alignment horizontal="center"/>
    </xf>
    <xf numFmtId="0" fontId="3" fillId="11" borderId="2" xfId="0" applyFont="1" applyFill="1" applyBorder="1"/>
    <xf numFmtId="0" fontId="1" fillId="12" borderId="1" xfId="0" applyFont="1" applyFill="1" applyBorder="1" applyAlignment="1">
      <alignment horizontal="center"/>
    </xf>
    <xf numFmtId="0" fontId="3" fillId="12" borderId="3" xfId="0" applyFont="1" applyFill="1" applyBorder="1"/>
    <xf numFmtId="0" fontId="3" fillId="12" borderId="2" xfId="0" applyFont="1" applyFill="1" applyBorder="1"/>
    <xf numFmtId="0" fontId="3" fillId="0" borderId="1" xfId="0" applyFont="1" applyBorder="1" applyAlignment="1"/>
    <xf numFmtId="0" fontId="3" fillId="0" borderId="3" xfId="0" applyFont="1" applyBorder="1"/>
    <xf numFmtId="0" fontId="3" fillId="0" borderId="2" xfId="0" applyFont="1" applyBorder="1"/>
    <xf numFmtId="0" fontId="24" fillId="0" borderId="1" xfId="0" applyFont="1" applyBorder="1" applyAlignment="1"/>
    <xf numFmtId="0" fontId="112" fillId="15" borderId="9" xfId="0" applyFont="1" applyFill="1" applyBorder="1" applyAlignment="1">
      <alignment horizontal="center"/>
    </xf>
    <xf numFmtId="0" fontId="3" fillId="0" borderId="7" xfId="0" applyFont="1" applyBorder="1"/>
    <xf numFmtId="0" fontId="112" fillId="27" borderId="9" xfId="0" applyFont="1" applyFill="1" applyBorder="1" applyAlignment="1">
      <alignment horizontal="center"/>
    </xf>
    <xf numFmtId="0" fontId="112" fillId="26" borderId="9" xfId="0" applyFont="1" applyFill="1" applyBorder="1" applyAlignment="1">
      <alignment horizontal="center"/>
    </xf>
    <xf numFmtId="0" fontId="112" fillId="25" borderId="6" xfId="0" applyFont="1" applyFill="1" applyBorder="1" applyAlignment="1">
      <alignment horizontal="center"/>
    </xf>
    <xf numFmtId="0" fontId="112" fillId="30" borderId="9" xfId="0" applyFont="1" applyFill="1" applyBorder="1" applyAlignment="1">
      <alignment horizontal="center"/>
    </xf>
    <xf numFmtId="0" fontId="5" fillId="29" borderId="6" xfId="0" applyFont="1" applyFill="1" applyBorder="1" applyAlignment="1">
      <alignment horizontal="center"/>
    </xf>
    <xf numFmtId="0" fontId="112" fillId="28" borderId="9" xfId="0" applyFont="1" applyFill="1" applyBorder="1" applyAlignment="1">
      <alignment horizontal="center"/>
    </xf>
    <xf numFmtId="0" fontId="5" fillId="31" borderId="9" xfId="0" applyFont="1" applyFill="1" applyBorder="1" applyAlignment="1">
      <alignment horizontal="center"/>
    </xf>
  </cellXfs>
  <cellStyles count="1">
    <cellStyle name="Normal" xfId="0" builtinId="0"/>
  </cellStyles>
  <dxfs count="4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[$$]#,##0.00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color rgb="FFF09300"/>
      </font>
      <fill>
        <patternFill patternType="none"/>
      </fill>
    </dxf>
    <dxf>
      <font>
        <color rgb="FFC53929"/>
      </font>
      <fill>
        <patternFill patternType="none"/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26A69A"/>
          <bgColor rgb="FF26A69A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2EB"/>
          <bgColor rgb="FFF8F2EB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66666"/>
          <bgColor rgb="FF666666"/>
        </patternFill>
      </fill>
    </dxf>
    <dxf>
      <fill>
        <patternFill patternType="solid">
          <fgColor rgb="FF666666"/>
          <bgColor rgb="FF666666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ACC9FE"/>
          <bgColor rgb="FFACC9FE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DEDE"/>
          <bgColor rgb="FFDEDEDE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FE6DD"/>
          <bgColor rgb="FFFFE6D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CCBC"/>
          <bgColor rgb="FFFFCCBC"/>
        </patternFill>
      </fill>
    </dxf>
    <dxf>
      <fill>
        <patternFill patternType="solid">
          <fgColor rgb="FFF46524"/>
          <bgColor rgb="FFF46524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4C3F7"/>
          <bgColor rgb="FFC4C3F7"/>
        </patternFill>
      </fill>
    </dxf>
    <dxf>
      <fill>
        <patternFill patternType="solid">
          <fgColor rgb="FF8989EB"/>
          <bgColor rgb="FF8989EB"/>
        </patternFill>
      </fill>
    </dxf>
    <dxf>
      <fill>
        <patternFill patternType="solid">
          <fgColor rgb="FFEEF7E3"/>
          <bgColor rgb="FFEEF7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4E2A0"/>
          <bgColor rgb="FFC4E2A0"/>
        </patternFill>
      </fill>
    </dxf>
    <dxf>
      <fill>
        <patternFill patternType="solid">
          <fgColor rgb="FF8BC34A"/>
          <bgColor rgb="FF8BC34A"/>
        </patternFill>
      </fill>
    </dxf>
    <dxf>
      <fill>
        <patternFill patternType="solid">
          <fgColor rgb="FFF8F2EB"/>
          <bgColor rgb="FFF8F2EB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6D3BA"/>
          <bgColor rgb="FFE6D3BA"/>
        </patternFill>
      </fill>
    </dxf>
    <dxf>
      <fill>
        <patternFill patternType="solid">
          <fgColor rgb="FFCCA677"/>
          <bgColor rgb="FFCCA677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26A69A"/>
          <bgColor rgb="FF26A69A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D7E6B"/>
          <bgColor rgb="FFDD7E6B"/>
        </patternFill>
      </fill>
    </dxf>
    <dxf>
      <fill>
        <patternFill patternType="solid">
          <fgColor rgb="FFEA9999"/>
          <bgColor rgb="FFEA9999"/>
        </patternFill>
      </fill>
    </dxf>
  </dxfs>
  <tableStyles count="21">
    <tableStyle name="DVS-style" pivot="0" count="4" xr9:uid="{00000000-0011-0000-FFFF-FFFF00000000}">
      <tableStyleElement type="headerRow" dxfId="450"/>
      <tableStyleElement type="totalRow" dxfId="449"/>
      <tableStyleElement type="firstRowStripe" dxfId="448"/>
      <tableStyleElement type="secondRowStripe" dxfId="447"/>
    </tableStyle>
    <tableStyle name="S12 Draft-style" pivot="0" count="3" xr9:uid="{00000000-0011-0000-FFFF-FFFF01000000}">
      <tableStyleElement type="headerRow" dxfId="446"/>
      <tableStyleElement type="firstRowStripe" dxfId="445"/>
      <tableStyleElement type="secondRowStripe" dxfId="444"/>
    </tableStyle>
    <tableStyle name="SAS-style" pivot="0" count="4" xr9:uid="{00000000-0011-0000-FFFF-FFFF02000000}">
      <tableStyleElement type="headerRow" dxfId="443"/>
      <tableStyleElement type="totalRow" dxfId="442"/>
      <tableStyleElement type="firstRowStripe" dxfId="441"/>
      <tableStyleElement type="secondRowStripe" dxfId="440"/>
    </tableStyle>
    <tableStyle name="VAN-style" pivot="0" count="4" xr9:uid="{00000000-0011-0000-FFFF-FFFF03000000}">
      <tableStyleElement type="headerRow" dxfId="439"/>
      <tableStyleElement type="totalRow" dxfId="438"/>
      <tableStyleElement type="firstRowStripe" dxfId="437"/>
      <tableStyleElement type="secondRowStripe" dxfId="436"/>
    </tableStyle>
    <tableStyle name="UTA-style" pivot="0" count="4" xr9:uid="{00000000-0011-0000-FFFF-FFFF04000000}">
      <tableStyleElement type="headerRow" dxfId="435"/>
      <tableStyleElement type="totalRow" dxfId="434"/>
      <tableStyleElement type="firstRowStripe" dxfId="433"/>
      <tableStyleElement type="secondRowStripe" dxfId="432"/>
    </tableStyle>
    <tableStyle name="OBX-style" pivot="0" count="4" xr9:uid="{00000000-0011-0000-FFFF-FFFF05000000}">
      <tableStyleElement type="headerRow" dxfId="431"/>
      <tableStyleElement type="totalRow" dxfId="430"/>
      <tableStyleElement type="firstRowStripe" dxfId="429"/>
      <tableStyleElement type="secondRowStripe" dxfId="428"/>
    </tableStyle>
    <tableStyle name="NYV-style" pivot="0" count="4" xr9:uid="{00000000-0011-0000-FFFF-FFFF06000000}">
      <tableStyleElement type="headerRow" dxfId="427"/>
      <tableStyleElement type="totalRow" dxfId="426"/>
      <tableStyleElement type="firstRowStripe" dxfId="425"/>
      <tableStyleElement type="secondRowStripe" dxfId="424"/>
    </tableStyle>
    <tableStyle name="PRO-style" pivot="0" count="4" xr9:uid="{00000000-0011-0000-FFFF-FFFF07000000}">
      <tableStyleElement type="headerRow" dxfId="423"/>
      <tableStyleElement type="totalRow" dxfId="422"/>
      <tableStyleElement type="firstRowStripe" dxfId="421"/>
      <tableStyleElement type="secondRowStripe" dxfId="420"/>
    </tableStyle>
    <tableStyle name="FL-style" pivot="0" count="4" xr9:uid="{00000000-0011-0000-FFFF-FFFF08000000}">
      <tableStyleElement type="headerRow" dxfId="419"/>
      <tableStyleElement type="totalRow" dxfId="418"/>
      <tableStyleElement type="firstRowStripe" dxfId="417"/>
      <tableStyleElement type="secondRowStripe" dxfId="416"/>
    </tableStyle>
    <tableStyle name="Retired-style" pivot="0" count="2" xr9:uid="{00000000-0011-0000-FFFF-FFFF09000000}">
      <tableStyleElement type="firstRowStripe" dxfId="415"/>
      <tableStyleElement type="secondRowStripe" dxfId="414"/>
    </tableStyle>
    <tableStyle name="Retired-style 2" pivot="0" count="3" xr9:uid="{00000000-0011-0000-FFFF-FFFF0A000000}">
      <tableStyleElement type="headerRow" dxfId="413"/>
      <tableStyleElement type="firstRowStripe" dxfId="412"/>
      <tableStyleElement type="secondRowStripe" dxfId="411"/>
    </tableStyle>
    <tableStyle name="Calc-style" pivot="0" count="3" xr9:uid="{00000000-0011-0000-FFFF-FFFF0B000000}">
      <tableStyleElement type="headerRow" dxfId="410"/>
      <tableStyleElement type="firstRowStripe" dxfId="409"/>
      <tableStyleElement type="secondRowStripe" dxfId="408"/>
    </tableStyle>
    <tableStyle name="Calc-style 2" pivot="0" count="2" xr9:uid="{00000000-0011-0000-FFFF-FFFF0C000000}">
      <tableStyleElement type="firstRowStripe" dxfId="407"/>
      <tableStyleElement type="secondRowStripe" dxfId="406"/>
    </tableStyle>
    <tableStyle name="Calc-style 3" pivot="0" count="2" xr9:uid="{00000000-0011-0000-FFFF-FFFF0D000000}">
      <tableStyleElement type="firstRowStripe" dxfId="405"/>
      <tableStyleElement type="secondRowStripe" dxfId="404"/>
    </tableStyle>
    <tableStyle name="Calc-style 4" pivot="0" count="3" xr9:uid="{00000000-0011-0000-FFFF-FFFF0E000000}">
      <tableStyleElement type="headerRow" dxfId="403"/>
      <tableStyleElement type="firstRowStripe" dxfId="402"/>
      <tableStyleElement type="secondRowStripe" dxfId="401"/>
    </tableStyle>
    <tableStyle name="Calc-style 5" pivot="0" count="3" xr9:uid="{00000000-0011-0000-FFFF-FFFF0F000000}">
      <tableStyleElement type="headerRow" dxfId="400"/>
      <tableStyleElement type="firstRowStripe" dxfId="399"/>
      <tableStyleElement type="secondRowStripe" dxfId="398"/>
    </tableStyle>
    <tableStyle name="Google Sheets Pivot Table Style" table="0" count="12" xr9:uid="{00000000-0011-0000-FFFF-FFFF10000000}">
      <tableStyleElement type="wholeTable" dxfId="397"/>
      <tableStyleElement type="headerRow" dxfId="396"/>
      <tableStyleElement type="totalRow" dxfId="395"/>
      <tableStyleElement type="firstSubtotalRow" dxfId="394"/>
      <tableStyleElement type="secondSubtotalRow" dxfId="393"/>
      <tableStyleElement type="thirdSubtotalRow" dxfId="392"/>
      <tableStyleElement type="firstColumnSubheading" dxfId="391"/>
      <tableStyleElement type="secondColumnSubheading" dxfId="390"/>
      <tableStyleElement type="thirdColumnSubheading" dxfId="389"/>
      <tableStyleElement type="firstRowSubheading" dxfId="388"/>
      <tableStyleElement type="secondRowSubheading" dxfId="387"/>
      <tableStyleElement type="thirdRowSubheading" dxfId="386"/>
    </tableStyle>
    <tableStyle name="Dump-style" pivot="0" count="2" xr9:uid="{00000000-0011-0000-FFFF-FFFF11000000}">
      <tableStyleElement type="firstRowStripe" dxfId="385"/>
      <tableStyleElement type="secondRowStripe" dxfId="384"/>
    </tableStyle>
    <tableStyle name="Analysis-style" pivot="0" count="2" xr9:uid="{00000000-0011-0000-FFFF-FFFF12000000}">
      <tableStyleElement type="firstRowStripe" dxfId="383"/>
      <tableStyleElement type="secondRowStripe" dxfId="382"/>
    </tableStyle>
    <tableStyle name="S6 Draftees-style" pivot="0" count="3" xr9:uid="{00000000-0011-0000-FFFF-FFFF13000000}">
      <tableStyleElement type="headerRow" dxfId="381"/>
      <tableStyleElement type="firstRowStripe" dxfId="380"/>
      <tableStyleElement type="secondRowStripe" dxfId="379"/>
    </tableStyle>
    <tableStyle name="S11 Draft-style" pivot="0" count="3" xr9:uid="{00000000-0011-0000-FFFF-FFFF14000000}">
      <tableStyleElement type="headerRow" dxfId="378"/>
      <tableStyleElement type="firstRowStripe" dxfId="377"/>
      <tableStyleElement type="secondRowStripe" dxfId="37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US"/>
              <a:t>TPE Average by Team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Analysis!$B$14</c:f>
              <c:strCache>
                <c:ptCount val="1"/>
                <c:pt idx="0">
                  <c:v>Average TPE</c:v>
                </c:pt>
              </c:strCache>
            </c:strRef>
          </c:tx>
          <c:spPr>
            <a:solidFill>
              <a:srgbClr val="FCE5C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b="0" i="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Analysis!$A$15:$A$22</c:f>
              <c:strCache>
                <c:ptCount val="8"/>
                <c:pt idx="0">
                  <c:v>DVS</c:v>
                </c:pt>
                <c:pt idx="1">
                  <c:v>FL</c:v>
                </c:pt>
                <c:pt idx="2">
                  <c:v>NYV</c:v>
                </c:pt>
                <c:pt idx="3">
                  <c:v>OBX</c:v>
                </c:pt>
                <c:pt idx="4">
                  <c:v>PRO</c:v>
                </c:pt>
                <c:pt idx="5">
                  <c:v>SAS</c:v>
                </c:pt>
                <c:pt idx="6">
                  <c:v>UTA</c:v>
                </c:pt>
                <c:pt idx="7">
                  <c:v>VAN</c:v>
                </c:pt>
              </c:strCache>
            </c:strRef>
          </c:cat>
          <c:val>
            <c:numRef>
              <c:f>Analysis!$B$15:$B$22</c:f>
              <c:numCache>
                <c:formatCode>0</c:formatCode>
                <c:ptCount val="8"/>
                <c:pt idx="0">
                  <c:v>680.23076923076928</c:v>
                </c:pt>
                <c:pt idx="1">
                  <c:v>763.3478260869565</c:v>
                </c:pt>
                <c:pt idx="2">
                  <c:v>415.8</c:v>
                </c:pt>
                <c:pt idx="3">
                  <c:v>644.61538461538464</c:v>
                </c:pt>
                <c:pt idx="4">
                  <c:v>402.8125</c:v>
                </c:pt>
                <c:pt idx="5">
                  <c:v>792.19047619047615</c:v>
                </c:pt>
                <c:pt idx="6">
                  <c:v>339.75862068965517</c:v>
                </c:pt>
                <c:pt idx="7">
                  <c:v>311.66666666666669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6-814A-B29A-7190649C1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802560"/>
        <c:axId val="107246720"/>
      </c:barChart>
      <c:catAx>
        <c:axId val="106802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07246720"/>
        <c:crosses val="autoZero"/>
        <c:auto val="0"/>
        <c:lblAlgn val="ctr"/>
        <c:lblOffset val="100"/>
        <c:noMultiLvlLbl val="0"/>
      </c:catAx>
      <c:valAx>
        <c:axId val="107246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0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06802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D9D2E9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US"/>
              <a:t>TPE Sum by Team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Analysis!$E$14</c:f>
              <c:strCache>
                <c:ptCount val="1"/>
                <c:pt idx="0">
                  <c:v>TPE Sum</c:v>
                </c:pt>
              </c:strCache>
            </c:strRef>
          </c:tx>
          <c:spPr>
            <a:solidFill>
              <a:srgbClr val="EA999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b="0" i="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Analysis!$D$15:$D$22</c:f>
              <c:strCache>
                <c:ptCount val="8"/>
                <c:pt idx="0">
                  <c:v>DVS</c:v>
                </c:pt>
                <c:pt idx="1">
                  <c:v>FL</c:v>
                </c:pt>
                <c:pt idx="2">
                  <c:v>NYV</c:v>
                </c:pt>
                <c:pt idx="3">
                  <c:v>OBX</c:v>
                </c:pt>
                <c:pt idx="4">
                  <c:v>PRO</c:v>
                </c:pt>
                <c:pt idx="5">
                  <c:v>SAS</c:v>
                </c:pt>
                <c:pt idx="6">
                  <c:v>UTA</c:v>
                </c:pt>
                <c:pt idx="7">
                  <c:v>VAN</c:v>
                </c:pt>
              </c:strCache>
            </c:strRef>
          </c:cat>
          <c:val>
            <c:numRef>
              <c:f>Analysis!$E$15:$E$22</c:f>
              <c:numCache>
                <c:formatCode>General</c:formatCode>
                <c:ptCount val="8"/>
                <c:pt idx="0">
                  <c:v>17686</c:v>
                </c:pt>
                <c:pt idx="1">
                  <c:v>17557</c:v>
                </c:pt>
                <c:pt idx="2">
                  <c:v>10395</c:v>
                </c:pt>
                <c:pt idx="3">
                  <c:v>16760</c:v>
                </c:pt>
                <c:pt idx="4">
                  <c:v>12890</c:v>
                </c:pt>
                <c:pt idx="5">
                  <c:v>16636</c:v>
                </c:pt>
                <c:pt idx="6">
                  <c:v>9853</c:v>
                </c:pt>
                <c:pt idx="7">
                  <c:v>11220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8-514E-9DAC-A715531F3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287680"/>
        <c:axId val="107289216"/>
      </c:barChart>
      <c:catAx>
        <c:axId val="107287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07289216"/>
        <c:crosses val="autoZero"/>
        <c:auto val="0"/>
        <c:lblAlgn val="ctr"/>
        <c:lblOffset val="100"/>
        <c:noMultiLvlLbl val="0"/>
      </c:catAx>
      <c:valAx>
        <c:axId val="1072892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07287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C9DAF8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US"/>
              <a:t>Average TPE per Position (150+ TPE players)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Analysis!$N$1</c:f>
              <c:strCache>
                <c:ptCount val="1"/>
                <c:pt idx="0">
                  <c:v>(Multiple Items)</c:v>
                </c:pt>
              </c:strCache>
            </c:strRef>
          </c:tx>
          <c:spPr>
            <a:solidFill>
              <a:srgbClr val="B4A7D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b="0" i="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Analysis!$M$2:$M$11</c:f>
              <c:strCache>
                <c:ptCount val="10"/>
                <c:pt idx="1">
                  <c:v>Position</c:v>
                </c:pt>
                <c:pt idx="2">
                  <c:v>1B</c:v>
                </c:pt>
                <c:pt idx="3">
                  <c:v>2B</c:v>
                </c:pt>
                <c:pt idx="4">
                  <c:v>3B</c:v>
                </c:pt>
                <c:pt idx="5">
                  <c:v>C</c:v>
                </c:pt>
                <c:pt idx="6">
                  <c:v>CF</c:v>
                </c:pt>
                <c:pt idx="7">
                  <c:v>CL</c:v>
                </c:pt>
                <c:pt idx="8">
                  <c:v>LF</c:v>
                </c:pt>
                <c:pt idx="9">
                  <c:v>RF</c:v>
                </c:pt>
              </c:strCache>
            </c:strRef>
          </c:cat>
          <c:val>
            <c:numRef>
              <c:f>Analysis!$N$2:$N$11</c:f>
              <c:numCache>
                <c:formatCode>General</c:formatCode>
                <c:ptCount val="10"/>
                <c:pt idx="1">
                  <c:v>0</c:v>
                </c:pt>
                <c:pt idx="2">
                  <c:v>178.22222222222223</c:v>
                </c:pt>
                <c:pt idx="3">
                  <c:v>198.5</c:v>
                </c:pt>
                <c:pt idx="4">
                  <c:v>191.63636363636363</c:v>
                </c:pt>
                <c:pt idx="5">
                  <c:v>179.1764705882353</c:v>
                </c:pt>
                <c:pt idx="6">
                  <c:v>215.72727272727272</c:v>
                </c:pt>
                <c:pt idx="7">
                  <c:v>157.47058823529412</c:v>
                </c:pt>
                <c:pt idx="8">
                  <c:v>222.6</c:v>
                </c:pt>
                <c:pt idx="9">
                  <c:v>139.19999999999999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5-5446-802D-066A3AB1B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317888"/>
        <c:axId val="107323776"/>
      </c:barChart>
      <c:catAx>
        <c:axId val="107317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07323776"/>
        <c:crosses val="autoZero"/>
        <c:auto val="0"/>
        <c:lblAlgn val="ctr"/>
        <c:lblOffset val="100"/>
        <c:noMultiLvlLbl val="0"/>
      </c:catAx>
      <c:valAx>
        <c:axId val="107323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07317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B6D7A8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rPr lang="en-US"/>
              <a:t>Positions Distribution (150+ TPE Players)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Analysis!$N$20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0-F9F0-4949-9BD1-BB3236637667}"/>
              </c:ext>
            </c:extLst>
          </c:dPt>
          <c:dPt>
            <c:idx val="1"/>
            <c:bubble3D val="0"/>
            <c:spPr>
              <a:solidFill>
                <a:srgbClr val="DC3912"/>
              </a:solidFill>
            </c:spPr>
            <c:extLst>
              <c:ext xmlns:c16="http://schemas.microsoft.com/office/drawing/2014/chart" uri="{C3380CC4-5D6E-409C-BE32-E72D297353CC}">
                <c16:uniqueId val="{00000001-F9F0-4949-9BD1-BB3236637667}"/>
              </c:ext>
            </c:extLst>
          </c:dPt>
          <c:dPt>
            <c:idx val="2"/>
            <c:bubble3D val="0"/>
            <c:spPr>
              <a:solidFill>
                <a:srgbClr val="FF9900"/>
              </a:solidFill>
            </c:spPr>
            <c:extLst>
              <c:ext xmlns:c16="http://schemas.microsoft.com/office/drawing/2014/chart" uri="{C3380CC4-5D6E-409C-BE32-E72D297353CC}">
                <c16:uniqueId val="{00000002-F9F0-4949-9BD1-BB3236637667}"/>
              </c:ext>
            </c:extLst>
          </c:dPt>
          <c:dPt>
            <c:idx val="3"/>
            <c:bubble3D val="0"/>
            <c:spPr>
              <a:solidFill>
                <a:srgbClr val="109618"/>
              </a:solidFill>
            </c:spPr>
            <c:extLst>
              <c:ext xmlns:c16="http://schemas.microsoft.com/office/drawing/2014/chart" uri="{C3380CC4-5D6E-409C-BE32-E72D297353CC}">
                <c16:uniqueId val="{00000003-F9F0-4949-9BD1-BB3236637667}"/>
              </c:ext>
            </c:extLst>
          </c:dPt>
          <c:dPt>
            <c:idx val="4"/>
            <c:bubble3D val="0"/>
            <c:spPr>
              <a:solidFill>
                <a:srgbClr val="990099"/>
              </a:solidFill>
            </c:spPr>
            <c:extLst>
              <c:ext xmlns:c16="http://schemas.microsoft.com/office/drawing/2014/chart" uri="{C3380CC4-5D6E-409C-BE32-E72D297353CC}">
                <c16:uniqueId val="{00000004-F9F0-4949-9BD1-BB3236637667}"/>
              </c:ext>
            </c:extLst>
          </c:dPt>
          <c:dPt>
            <c:idx val="5"/>
            <c:bubble3D val="0"/>
            <c:spPr>
              <a:solidFill>
                <a:srgbClr val="0099C6"/>
              </a:solidFill>
            </c:spPr>
            <c:extLst>
              <c:ext xmlns:c16="http://schemas.microsoft.com/office/drawing/2014/chart" uri="{C3380CC4-5D6E-409C-BE32-E72D297353CC}">
                <c16:uniqueId val="{00000005-F9F0-4949-9BD1-BB3236637667}"/>
              </c:ext>
            </c:extLst>
          </c:dPt>
          <c:dPt>
            <c:idx val="6"/>
            <c:bubble3D val="0"/>
            <c:spPr>
              <a:solidFill>
                <a:srgbClr val="DD4477"/>
              </a:solidFill>
            </c:spPr>
            <c:extLst>
              <c:ext xmlns:c16="http://schemas.microsoft.com/office/drawing/2014/chart" uri="{C3380CC4-5D6E-409C-BE32-E72D297353CC}">
                <c16:uniqueId val="{00000006-F9F0-4949-9BD1-BB3236637667}"/>
              </c:ext>
            </c:extLst>
          </c:dPt>
          <c:dPt>
            <c:idx val="7"/>
            <c:bubble3D val="0"/>
            <c:spPr>
              <a:solidFill>
                <a:srgbClr val="66AA00"/>
              </a:solidFill>
            </c:spPr>
            <c:extLst>
              <c:ext xmlns:c16="http://schemas.microsoft.com/office/drawing/2014/chart" uri="{C3380CC4-5D6E-409C-BE32-E72D297353CC}">
                <c16:uniqueId val="{00000007-F9F0-4949-9BD1-BB3236637667}"/>
              </c:ext>
            </c:extLst>
          </c:dPt>
          <c:dPt>
            <c:idx val="8"/>
            <c:bubble3D val="0"/>
            <c:spPr>
              <a:solidFill>
                <a:srgbClr val="B82E2E"/>
              </a:solidFill>
            </c:spPr>
            <c:extLst>
              <c:ext xmlns:c16="http://schemas.microsoft.com/office/drawing/2014/chart" uri="{C3380CC4-5D6E-409C-BE32-E72D297353CC}">
                <c16:uniqueId val="{00000008-F9F0-4949-9BD1-BB3236637667}"/>
              </c:ext>
            </c:extLst>
          </c:dPt>
          <c:dPt>
            <c:idx val="9"/>
            <c:bubble3D val="0"/>
            <c:spPr>
              <a:solidFill>
                <a:srgbClr val="316395"/>
              </a:solidFill>
            </c:spPr>
            <c:extLst>
              <c:ext xmlns:c16="http://schemas.microsoft.com/office/drawing/2014/chart" uri="{C3380CC4-5D6E-409C-BE32-E72D297353CC}">
                <c16:uniqueId val="{00000009-F9F0-4949-9BD1-BB323663766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Analysis!$M$21:$M$30</c:f>
              <c:strCache>
                <c:ptCount val="10"/>
                <c:pt idx="0">
                  <c:v>1B</c:v>
                </c:pt>
                <c:pt idx="1">
                  <c:v>2B</c:v>
                </c:pt>
                <c:pt idx="2">
                  <c:v>3B</c:v>
                </c:pt>
                <c:pt idx="3">
                  <c:v>C</c:v>
                </c:pt>
                <c:pt idx="4">
                  <c:v>CF</c:v>
                </c:pt>
                <c:pt idx="5">
                  <c:v>CL</c:v>
                </c:pt>
                <c:pt idx="6">
                  <c:v>LF</c:v>
                </c:pt>
                <c:pt idx="7">
                  <c:v>RF</c:v>
                </c:pt>
                <c:pt idx="8">
                  <c:v>SP</c:v>
                </c:pt>
                <c:pt idx="9">
                  <c:v>SS</c:v>
                </c:pt>
              </c:strCache>
            </c:strRef>
          </c:cat>
          <c:val>
            <c:numRef>
              <c:f>Analysis!$N$21:$N$30</c:f>
              <c:numCache>
                <c:formatCode>General</c:formatCode>
                <c:ptCount val="1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17</c:v>
                </c:pt>
                <c:pt idx="4">
                  <c:v>11</c:v>
                </c:pt>
                <c:pt idx="5">
                  <c:v>17</c:v>
                </c:pt>
                <c:pt idx="6">
                  <c:v>10</c:v>
                </c:pt>
                <c:pt idx="7">
                  <c:v>5</c:v>
                </c:pt>
                <c:pt idx="8">
                  <c:v>44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F0-4949-9BD1-BB3236637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</c:legend>
    <c:plotVisOnly val="1"/>
    <c:dispBlanksAs val="gap"/>
    <c:showDLblsOverMax val="0"/>
  </c:chart>
  <c:spPr>
    <a:solidFill>
      <a:srgbClr val="A4C2F4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t>TPE Average by Team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Analysis!$B$14</c:f>
              <c:strCache>
                <c:ptCount val="1"/>
                <c:pt idx="0">
                  <c:v>Average TPE</c:v>
                </c:pt>
              </c:strCache>
            </c:strRef>
          </c:tx>
          <c:spPr>
            <a:solidFill>
              <a:srgbClr val="3366CC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b="0" i="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Analysis!$A$15:$A$22</c:f>
              <c:strCache>
                <c:ptCount val="8"/>
                <c:pt idx="0">
                  <c:v>DVS</c:v>
                </c:pt>
                <c:pt idx="1">
                  <c:v>FL</c:v>
                </c:pt>
                <c:pt idx="2">
                  <c:v>NYV</c:v>
                </c:pt>
                <c:pt idx="3">
                  <c:v>OBX</c:v>
                </c:pt>
                <c:pt idx="4">
                  <c:v>PRO</c:v>
                </c:pt>
                <c:pt idx="5">
                  <c:v>SAS</c:v>
                </c:pt>
                <c:pt idx="6">
                  <c:v>UTA</c:v>
                </c:pt>
                <c:pt idx="7">
                  <c:v>VAN</c:v>
                </c:pt>
              </c:strCache>
            </c:strRef>
          </c:cat>
          <c:val>
            <c:numRef>
              <c:f>Analysis!$B$15:$B$22</c:f>
              <c:numCache>
                <c:formatCode>0</c:formatCode>
                <c:ptCount val="8"/>
                <c:pt idx="0">
                  <c:v>680.23076923076928</c:v>
                </c:pt>
                <c:pt idx="1">
                  <c:v>763.3478260869565</c:v>
                </c:pt>
                <c:pt idx="2">
                  <c:v>415.8</c:v>
                </c:pt>
                <c:pt idx="3">
                  <c:v>644.61538461538464</c:v>
                </c:pt>
                <c:pt idx="4">
                  <c:v>402.8125</c:v>
                </c:pt>
                <c:pt idx="5">
                  <c:v>792.19047619047615</c:v>
                </c:pt>
                <c:pt idx="6">
                  <c:v>339.75862068965517</c:v>
                </c:pt>
                <c:pt idx="7">
                  <c:v>311.66666666666669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8-904E-9C66-00367E060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226176"/>
        <c:axId val="144227712"/>
      </c:barChart>
      <c:catAx>
        <c:axId val="144226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44227712"/>
        <c:crosses val="autoZero"/>
        <c:auto val="0"/>
        <c:lblAlgn val="ctr"/>
        <c:lblOffset val="100"/>
        <c:noMultiLvlLbl val="0"/>
      </c:catAx>
      <c:valAx>
        <c:axId val="1442277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0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44226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D9D2E9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t>TPE Sum by Team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Analysis!$E$14</c:f>
              <c:strCache>
                <c:ptCount val="1"/>
                <c:pt idx="0">
                  <c:v>TPE Sum</c:v>
                </c:pt>
              </c:strCache>
            </c:strRef>
          </c:tx>
          <c:spPr>
            <a:solidFill>
              <a:srgbClr val="3366CC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b="0" i="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Analysis!$D$15:$D$22</c:f>
              <c:strCache>
                <c:ptCount val="8"/>
                <c:pt idx="0">
                  <c:v>DVS</c:v>
                </c:pt>
                <c:pt idx="1">
                  <c:v>FL</c:v>
                </c:pt>
                <c:pt idx="2">
                  <c:v>NYV</c:v>
                </c:pt>
                <c:pt idx="3">
                  <c:v>OBX</c:v>
                </c:pt>
                <c:pt idx="4">
                  <c:v>PRO</c:v>
                </c:pt>
                <c:pt idx="5">
                  <c:v>SAS</c:v>
                </c:pt>
                <c:pt idx="6">
                  <c:v>UTA</c:v>
                </c:pt>
                <c:pt idx="7">
                  <c:v>VAN</c:v>
                </c:pt>
              </c:strCache>
            </c:strRef>
          </c:cat>
          <c:val>
            <c:numRef>
              <c:f>Analysis!$E$15:$E$22</c:f>
              <c:numCache>
                <c:formatCode>General</c:formatCode>
                <c:ptCount val="8"/>
                <c:pt idx="0">
                  <c:v>17686</c:v>
                </c:pt>
                <c:pt idx="1">
                  <c:v>17557</c:v>
                </c:pt>
                <c:pt idx="2">
                  <c:v>10395</c:v>
                </c:pt>
                <c:pt idx="3">
                  <c:v>16760</c:v>
                </c:pt>
                <c:pt idx="4">
                  <c:v>12890</c:v>
                </c:pt>
                <c:pt idx="5">
                  <c:v>16636</c:v>
                </c:pt>
                <c:pt idx="6">
                  <c:v>9853</c:v>
                </c:pt>
                <c:pt idx="7">
                  <c:v>11220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3-644B-9E6A-E82385D69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716288"/>
        <c:axId val="142722176"/>
      </c:barChart>
      <c:catAx>
        <c:axId val="142716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42722176"/>
        <c:crosses val="autoZero"/>
        <c:auto val="0"/>
        <c:lblAlgn val="ctr"/>
        <c:lblOffset val="100"/>
        <c:noMultiLvlLbl val="0"/>
      </c:catAx>
      <c:valAx>
        <c:axId val="142722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42716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D9EAD3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t>Average TPE per Position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Analysis!$N$1</c:f>
              <c:strCache>
                <c:ptCount val="1"/>
                <c:pt idx="0">
                  <c:v>(Multiple Items)</c:v>
                </c:pt>
              </c:strCache>
            </c:strRef>
          </c:tx>
          <c:spPr>
            <a:solidFill>
              <a:srgbClr val="B4A7D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b="0" i="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Analysis!$M$2:$M$11</c:f>
              <c:strCache>
                <c:ptCount val="10"/>
                <c:pt idx="1">
                  <c:v>Position</c:v>
                </c:pt>
                <c:pt idx="2">
                  <c:v>1B</c:v>
                </c:pt>
                <c:pt idx="3">
                  <c:v>2B</c:v>
                </c:pt>
                <c:pt idx="4">
                  <c:v>3B</c:v>
                </c:pt>
                <c:pt idx="5">
                  <c:v>C</c:v>
                </c:pt>
                <c:pt idx="6">
                  <c:v>CF</c:v>
                </c:pt>
                <c:pt idx="7">
                  <c:v>CL</c:v>
                </c:pt>
                <c:pt idx="8">
                  <c:v>LF</c:v>
                </c:pt>
                <c:pt idx="9">
                  <c:v>RF</c:v>
                </c:pt>
              </c:strCache>
            </c:strRef>
          </c:cat>
          <c:val>
            <c:numRef>
              <c:f>Analysis!$N$2:$N$11</c:f>
              <c:numCache>
                <c:formatCode>General</c:formatCode>
                <c:ptCount val="10"/>
                <c:pt idx="1">
                  <c:v>0</c:v>
                </c:pt>
                <c:pt idx="2">
                  <c:v>178.22222222222223</c:v>
                </c:pt>
                <c:pt idx="3">
                  <c:v>198.5</c:v>
                </c:pt>
                <c:pt idx="4">
                  <c:v>191.63636363636363</c:v>
                </c:pt>
                <c:pt idx="5">
                  <c:v>179.1764705882353</c:v>
                </c:pt>
                <c:pt idx="6">
                  <c:v>215.72727272727272</c:v>
                </c:pt>
                <c:pt idx="7">
                  <c:v>157.47058823529412</c:v>
                </c:pt>
                <c:pt idx="8">
                  <c:v>222.6</c:v>
                </c:pt>
                <c:pt idx="9">
                  <c:v>139.19999999999999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C-874B-B79D-98322C11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512128"/>
        <c:axId val="144513664"/>
      </c:barChart>
      <c:catAx>
        <c:axId val="144512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44513664"/>
        <c:crosses val="autoZero"/>
        <c:auto val="0"/>
        <c:lblAlgn val="ctr"/>
        <c:lblOffset val="100"/>
        <c:noMultiLvlLbl val="0"/>
      </c:catAx>
      <c:valAx>
        <c:axId val="1445136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44512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B6D7A8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t>Positions Distribution (100+ TPE Players)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Analysis!$N$20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0-8B26-3E4B-8525-E94708EC7315}"/>
              </c:ext>
            </c:extLst>
          </c:dPt>
          <c:dPt>
            <c:idx val="1"/>
            <c:bubble3D val="0"/>
            <c:spPr>
              <a:solidFill>
                <a:srgbClr val="DC3912"/>
              </a:solidFill>
            </c:spPr>
            <c:extLst>
              <c:ext xmlns:c16="http://schemas.microsoft.com/office/drawing/2014/chart" uri="{C3380CC4-5D6E-409C-BE32-E72D297353CC}">
                <c16:uniqueId val="{00000001-8B26-3E4B-8525-E94708EC7315}"/>
              </c:ext>
            </c:extLst>
          </c:dPt>
          <c:dPt>
            <c:idx val="2"/>
            <c:bubble3D val="0"/>
            <c:spPr>
              <a:solidFill>
                <a:srgbClr val="FF9900"/>
              </a:solidFill>
            </c:spPr>
            <c:extLst>
              <c:ext xmlns:c16="http://schemas.microsoft.com/office/drawing/2014/chart" uri="{C3380CC4-5D6E-409C-BE32-E72D297353CC}">
                <c16:uniqueId val="{00000002-8B26-3E4B-8525-E94708EC7315}"/>
              </c:ext>
            </c:extLst>
          </c:dPt>
          <c:dPt>
            <c:idx val="3"/>
            <c:bubble3D val="0"/>
            <c:spPr>
              <a:solidFill>
                <a:srgbClr val="109618"/>
              </a:solidFill>
            </c:spPr>
            <c:extLst>
              <c:ext xmlns:c16="http://schemas.microsoft.com/office/drawing/2014/chart" uri="{C3380CC4-5D6E-409C-BE32-E72D297353CC}">
                <c16:uniqueId val="{00000003-8B26-3E4B-8525-E94708EC7315}"/>
              </c:ext>
            </c:extLst>
          </c:dPt>
          <c:dPt>
            <c:idx val="4"/>
            <c:bubble3D val="0"/>
            <c:spPr>
              <a:solidFill>
                <a:srgbClr val="990099"/>
              </a:solidFill>
            </c:spPr>
            <c:extLst>
              <c:ext xmlns:c16="http://schemas.microsoft.com/office/drawing/2014/chart" uri="{C3380CC4-5D6E-409C-BE32-E72D297353CC}">
                <c16:uniqueId val="{00000004-8B26-3E4B-8525-E94708EC7315}"/>
              </c:ext>
            </c:extLst>
          </c:dPt>
          <c:dPt>
            <c:idx val="5"/>
            <c:bubble3D val="0"/>
            <c:spPr>
              <a:solidFill>
                <a:srgbClr val="0099C6"/>
              </a:solidFill>
            </c:spPr>
            <c:extLst>
              <c:ext xmlns:c16="http://schemas.microsoft.com/office/drawing/2014/chart" uri="{C3380CC4-5D6E-409C-BE32-E72D297353CC}">
                <c16:uniqueId val="{00000005-8B26-3E4B-8525-E94708EC7315}"/>
              </c:ext>
            </c:extLst>
          </c:dPt>
          <c:dPt>
            <c:idx val="6"/>
            <c:bubble3D val="0"/>
            <c:spPr>
              <a:solidFill>
                <a:srgbClr val="DD4477"/>
              </a:solidFill>
            </c:spPr>
            <c:extLst>
              <c:ext xmlns:c16="http://schemas.microsoft.com/office/drawing/2014/chart" uri="{C3380CC4-5D6E-409C-BE32-E72D297353CC}">
                <c16:uniqueId val="{00000006-8B26-3E4B-8525-E94708EC7315}"/>
              </c:ext>
            </c:extLst>
          </c:dPt>
          <c:dPt>
            <c:idx val="7"/>
            <c:bubble3D val="0"/>
            <c:spPr>
              <a:solidFill>
                <a:srgbClr val="66AA00"/>
              </a:solidFill>
            </c:spPr>
            <c:extLst>
              <c:ext xmlns:c16="http://schemas.microsoft.com/office/drawing/2014/chart" uri="{C3380CC4-5D6E-409C-BE32-E72D297353CC}">
                <c16:uniqueId val="{00000007-8B26-3E4B-8525-E94708EC7315}"/>
              </c:ext>
            </c:extLst>
          </c:dPt>
          <c:dPt>
            <c:idx val="8"/>
            <c:bubble3D val="0"/>
            <c:spPr>
              <a:solidFill>
                <a:srgbClr val="B82E2E"/>
              </a:solidFill>
            </c:spPr>
            <c:extLst>
              <c:ext xmlns:c16="http://schemas.microsoft.com/office/drawing/2014/chart" uri="{C3380CC4-5D6E-409C-BE32-E72D297353CC}">
                <c16:uniqueId val="{00000008-8B26-3E4B-8525-E94708EC7315}"/>
              </c:ext>
            </c:extLst>
          </c:dPt>
          <c:dPt>
            <c:idx val="9"/>
            <c:bubble3D val="0"/>
            <c:spPr>
              <a:solidFill>
                <a:srgbClr val="316395"/>
              </a:solidFill>
            </c:spPr>
            <c:extLst>
              <c:ext xmlns:c16="http://schemas.microsoft.com/office/drawing/2014/chart" uri="{C3380CC4-5D6E-409C-BE32-E72D297353CC}">
                <c16:uniqueId val="{00000009-8B26-3E4B-8525-E94708EC731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Analysis!$M$21:$M$30</c:f>
              <c:strCache>
                <c:ptCount val="10"/>
                <c:pt idx="0">
                  <c:v>1B</c:v>
                </c:pt>
                <c:pt idx="1">
                  <c:v>2B</c:v>
                </c:pt>
                <c:pt idx="2">
                  <c:v>3B</c:v>
                </c:pt>
                <c:pt idx="3">
                  <c:v>C</c:v>
                </c:pt>
                <c:pt idx="4">
                  <c:v>CF</c:v>
                </c:pt>
                <c:pt idx="5">
                  <c:v>CL</c:v>
                </c:pt>
                <c:pt idx="6">
                  <c:v>LF</c:v>
                </c:pt>
                <c:pt idx="7">
                  <c:v>RF</c:v>
                </c:pt>
                <c:pt idx="8">
                  <c:v>SP</c:v>
                </c:pt>
                <c:pt idx="9">
                  <c:v>SS</c:v>
                </c:pt>
              </c:strCache>
            </c:strRef>
          </c:cat>
          <c:val>
            <c:numRef>
              <c:f>Analysis!$N$21:$N$30</c:f>
              <c:numCache>
                <c:formatCode>General</c:formatCode>
                <c:ptCount val="1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17</c:v>
                </c:pt>
                <c:pt idx="4">
                  <c:v>11</c:v>
                </c:pt>
                <c:pt idx="5">
                  <c:v>17</c:v>
                </c:pt>
                <c:pt idx="6">
                  <c:v>10</c:v>
                </c:pt>
                <c:pt idx="7">
                  <c:v>5</c:v>
                </c:pt>
                <c:pt idx="8">
                  <c:v>44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26-3E4B-8525-E94708EC7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</c:legend>
    <c:plotVisOnly val="1"/>
    <c:dispBlanksAs val="gap"/>
    <c:showDLblsOverMax val="0"/>
  </c:chart>
  <c:spPr>
    <a:solidFill>
      <a:srgbClr val="A4C2F4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/>
            </a:pPr>
            <a:r>
              <a:t>Average Contract a Position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Analysis!$N$38</c:f>
              <c:strCache>
                <c:ptCount val="1"/>
                <c:pt idx="0">
                  <c:v>Average Contract</c:v>
                </c:pt>
              </c:strCache>
            </c:strRef>
          </c:tx>
          <c:spPr>
            <a:solidFill>
              <a:srgbClr val="3366CC"/>
            </a:solidFill>
          </c:spPr>
          <c:invertIfNegative val="0"/>
          <c:cat>
            <c:strRef>
              <c:f>Analysis!$M$39:$M$48</c:f>
              <c:strCache>
                <c:ptCount val="10"/>
                <c:pt idx="0">
                  <c:v>1B</c:v>
                </c:pt>
                <c:pt idx="1">
                  <c:v>2B</c:v>
                </c:pt>
                <c:pt idx="2">
                  <c:v>3B</c:v>
                </c:pt>
                <c:pt idx="3">
                  <c:v>C</c:v>
                </c:pt>
                <c:pt idx="4">
                  <c:v>CF</c:v>
                </c:pt>
                <c:pt idx="5">
                  <c:v>CL</c:v>
                </c:pt>
                <c:pt idx="6">
                  <c:v>LF</c:v>
                </c:pt>
                <c:pt idx="7">
                  <c:v>RF</c:v>
                </c:pt>
                <c:pt idx="8">
                  <c:v>SP</c:v>
                </c:pt>
                <c:pt idx="9">
                  <c:v>SS</c:v>
                </c:pt>
              </c:strCache>
            </c:strRef>
          </c:cat>
          <c:val>
            <c:numRef>
              <c:f>Analysis!$N$39:$N$48</c:f>
              <c:numCache>
                <c:formatCode>General</c:formatCode>
                <c:ptCount val="10"/>
                <c:pt idx="0">
                  <c:v>4.25</c:v>
                </c:pt>
                <c:pt idx="1">
                  <c:v>0.66666666666666663</c:v>
                </c:pt>
                <c:pt idx="2">
                  <c:v>3.25</c:v>
                </c:pt>
                <c:pt idx="3">
                  <c:v>24.75</c:v>
                </c:pt>
                <c:pt idx="4">
                  <c:v>4.25</c:v>
                </c:pt>
                <c:pt idx="5">
                  <c:v>1.5714285714285714</c:v>
                </c:pt>
                <c:pt idx="6">
                  <c:v>2.25</c:v>
                </c:pt>
                <c:pt idx="7">
                  <c:v>1.5</c:v>
                </c:pt>
                <c:pt idx="8">
                  <c:v>2.0909090909090908</c:v>
                </c:pt>
                <c:pt idx="9">
                  <c:v>1.8333333333333333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9-6947-A026-B0021723A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593664"/>
        <c:axId val="144595584"/>
      </c:barChart>
      <c:catAx>
        <c:axId val="14459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Position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44595584"/>
        <c:crosses val="autoZero"/>
        <c:auto val="0"/>
        <c:lblAlgn val="ctr"/>
        <c:lblOffset val="100"/>
        <c:noMultiLvlLbl val="0"/>
      </c:catAx>
      <c:valAx>
        <c:axId val="1445955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Average Contract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44593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21</xdr:row>
      <xdr:rowOff>47625</xdr:rowOff>
    </xdr:from>
    <xdr:ext cx="6334125" cy="3533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276225</xdr:colOff>
      <xdr:row>39</xdr:row>
      <xdr:rowOff>66675</xdr:rowOff>
    </xdr:from>
    <xdr:ext cx="6276975" cy="353377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10</xdr:col>
      <xdr:colOff>361950</xdr:colOff>
      <xdr:row>21</xdr:row>
      <xdr:rowOff>76200</xdr:rowOff>
    </xdr:from>
    <xdr:ext cx="6524625" cy="4029075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10</xdr:col>
      <xdr:colOff>342900</xdr:colOff>
      <xdr:row>0</xdr:row>
      <xdr:rowOff>57150</xdr:rowOff>
    </xdr:from>
    <xdr:ext cx="6505575" cy="401955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476250</xdr:colOff>
      <xdr:row>0</xdr:row>
      <xdr:rowOff>76200</xdr:rowOff>
    </xdr:from>
    <xdr:ext cx="5715000" cy="3533775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485775</xdr:colOff>
      <xdr:row>18</xdr:row>
      <xdr:rowOff>28575</xdr:rowOff>
    </xdr:from>
    <xdr:ext cx="5715000" cy="3533775"/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57150</xdr:colOff>
      <xdr:row>0</xdr:row>
      <xdr:rowOff>9525</xdr:rowOff>
    </xdr:from>
    <xdr:ext cx="5715000" cy="3533775"/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14</xdr:col>
      <xdr:colOff>161925</xdr:colOff>
      <xdr:row>18</xdr:row>
      <xdr:rowOff>47625</xdr:rowOff>
    </xdr:from>
    <xdr:ext cx="5715000" cy="3533775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14</xdr:col>
      <xdr:colOff>171450</xdr:colOff>
      <xdr:row>36</xdr:row>
      <xdr:rowOff>47625</xdr:rowOff>
    </xdr:from>
    <xdr:ext cx="5715000" cy="353377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3602.526898958335" refreshedVersion="6" recordCount="499" xr:uid="{00000000-000A-0000-FFFF-FFFF08000000}">
  <cacheSource type="worksheet">
    <worksheetSource ref="G1:AL500" sheet="All"/>
  </cacheSource>
  <cacheFields count="32">
    <cacheField name=" " numFmtId="0">
      <sharedItems containsBlank="1"/>
    </cacheField>
    <cacheField name="Team" numFmtId="0">
      <sharedItems containsBlank="1" count="11">
        <s v="FL"/>
        <s v="PRO"/>
        <s v="OBX"/>
        <s v="DVS"/>
        <s v="SAS"/>
        <s v="NYV"/>
        <s v="VAN"/>
        <s v="UTA"/>
        <s v="FA"/>
        <s v="DRA"/>
        <m/>
      </sharedItems>
    </cacheField>
    <cacheField name="Forum Handle" numFmtId="0">
      <sharedItems containsBlank="1" containsMixedTypes="1" containsNumber="1" containsInteger="1" minValue="124715" maxValue="124715"/>
    </cacheField>
    <cacheField name="Player Thread" numFmtId="0">
      <sharedItems containsBlank="1"/>
    </cacheField>
    <cacheField name="Player Name" numFmtId="0">
      <sharedItems containsBlank="1"/>
    </cacheField>
    <cacheField name="Position" numFmtId="0">
      <sharedItems containsBlank="1"/>
    </cacheField>
    <cacheField name="Archetype" numFmtId="0">
      <sharedItems containsBlank="1"/>
    </cacheField>
    <cacheField name="TPE" numFmtId="0">
      <sharedItems containsString="0" containsBlank="1" containsNumber="1" containsInteger="1" minValue="100" maxValue="1768"/>
    </cacheField>
    <cacheField name="S10" numFmtId="0">
      <sharedItems containsBlank="1" containsMixedTypes="1" containsNumber="1" minValue="0.5" maxValue="18.25"/>
    </cacheField>
    <cacheField name="S11" numFmtId="0">
      <sharedItems containsString="0" containsBlank="1" containsNumber="1" minValue="1" maxValue="15"/>
    </cacheField>
    <cacheField name="S12" numFmtId="0">
      <sharedItems containsString="0" containsBlank="1" containsNumber="1" minValue="1" maxValue="12"/>
    </cacheField>
    <cacheField name="S13" numFmtId="0">
      <sharedItems containsString="0" containsBlank="1" containsNumber="1" minValue="1" maxValue="10"/>
    </cacheField>
    <cacheField name="S14" numFmtId="0">
      <sharedItems containsString="0" containsBlank="1" containsNumber="1" containsInteger="1" minValue="10" maxValue="10"/>
    </cacheField>
    <cacheField name="Contract Notes" numFmtId="0">
      <sharedItems containsBlank="1"/>
    </cacheField>
    <cacheField name="Regression class" numFmtId="0">
      <sharedItems containsBlank="1"/>
    </cacheField>
    <cacheField name="Season Drafted" numFmtId="0">
      <sharedItems containsBlank="1"/>
    </cacheField>
    <cacheField name="Drafted Overall" numFmtId="0">
      <sharedItems containsBlank="1" containsMixedTypes="1" containsNumber="1" containsInteger="1" minValue="1" maxValue="87"/>
    </cacheField>
    <cacheField name="Mi Team" numFmtId="0">
      <sharedItems containsBlank="1"/>
    </cacheField>
    <cacheField name="Mi Draft" numFmtId="0">
      <sharedItems containsString="0" containsBlank="1" containsNumber="1" containsInteger="1" minValue="5" maxValue="6"/>
    </cacheField>
    <cacheField name="MiTaken" numFmtId="0">
      <sharedItems containsBlank="1" containsMixedTypes="1" containsNumber="1" containsInteger="1" minValue="1" maxValue="16"/>
    </cacheField>
    <cacheField name="Inactive" numFmtId="0">
      <sharedItems containsBlank="1"/>
    </cacheField>
    <cacheField name="S3 Salary" numFmtId="0">
      <sharedItems containsBlank="1" containsMixedTypes="1" containsNumber="1" minValue="0.5" maxValue="12"/>
    </cacheField>
    <cacheField name="S4" numFmtId="0">
      <sharedItems containsString="0" containsBlank="1" containsNumber="1" minValue="0.5" maxValue="14"/>
    </cacheField>
    <cacheField name="S5" numFmtId="0">
      <sharedItems containsString="0" containsBlank="1" containsNumber="1" minValue="0.5" maxValue="13"/>
    </cacheField>
    <cacheField name="S6" numFmtId="0">
      <sharedItems containsString="0" containsBlank="1" containsNumber="1" minValue="0.37" maxValue="458"/>
    </cacheField>
    <cacheField name="S7" numFmtId="0">
      <sharedItems containsBlank="1" containsMixedTypes="1" containsNumber="1" minValue="0.25" maxValue="464"/>
    </cacheField>
    <cacheField name="S8" numFmtId="0">
      <sharedItems containsBlank="1" containsMixedTypes="1" containsNumber="1" minValue="0" maxValue="586"/>
    </cacheField>
    <cacheField name="S9" numFmtId="0">
      <sharedItems containsBlank="1" containsMixedTypes="1" containsNumber="1" minValue="0" maxValue="422"/>
    </cacheField>
    <cacheField name="S9 Start TPE" numFmtId="0">
      <sharedItems containsString="0" containsBlank="1" containsNumber="1" containsInteger="1" minValue="100" maxValue="1793"/>
    </cacheField>
    <cacheField name="25.03.2018 TPE" numFmtId="0">
      <sharedItems containsString="0" containsBlank="1" containsNumber="1" minValue="0.5" maxValue="625"/>
    </cacheField>
    <cacheField name="18.03.2018 TPE" numFmtId="0">
      <sharedItems containsBlank="1" containsMixedTypes="1" containsNumber="1" containsInteger="1" minValue="100" maxValue="604"/>
    </cacheField>
    <cacheField name="11.03.2018 TPE" numFmtId="0">
      <sharedItems containsBlank="1" containsMixedTypes="1" containsNumber="1" containsInteger="1" minValue="100" maxValue="5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3602.526900925928" refreshedVersion="6" recordCount="282" xr:uid="{00000000-000A-0000-FFFF-FFFF05000000}">
  <cacheSource type="worksheet">
    <worksheetSource ref="G1:AL283" sheet="All"/>
  </cacheSource>
  <cacheFields count="32">
    <cacheField name=" " numFmtId="0">
      <sharedItems containsBlank="1"/>
    </cacheField>
    <cacheField name="Team" numFmtId="0">
      <sharedItems/>
    </cacheField>
    <cacheField name="Forum Handle" numFmtId="0">
      <sharedItems containsMixedTypes="1" containsNumber="1" containsInteger="1" minValue="124715" maxValue="124715"/>
    </cacheField>
    <cacheField name="Player Thread" numFmtId="0">
      <sharedItems/>
    </cacheField>
    <cacheField name="Player Name" numFmtId="0">
      <sharedItems/>
    </cacheField>
    <cacheField name="Position" numFmtId="0">
      <sharedItems count="10">
        <s v="CF"/>
        <s v="SS"/>
        <s v="2B"/>
        <s v="SP"/>
        <s v="C"/>
        <s v="RF"/>
        <s v="LF"/>
        <s v="1B"/>
        <s v="3B"/>
        <s v="CL"/>
      </sharedItems>
    </cacheField>
    <cacheField name="Archetype" numFmtId="0">
      <sharedItems/>
    </cacheField>
    <cacheField name="TPE" numFmtId="0">
      <sharedItems containsSemiMixedTypes="0" containsString="0" containsNumber="1" containsInteger="1" minValue="100" maxValue="1768" count="201">
        <n v="1768"/>
        <n v="1741"/>
        <n v="1733"/>
        <n v="1719"/>
        <n v="1685"/>
        <n v="1653"/>
        <n v="1635"/>
        <n v="1630"/>
        <n v="1609"/>
        <n v="1595"/>
        <n v="1594"/>
        <n v="1588"/>
        <n v="1568"/>
        <n v="1539"/>
        <n v="1534"/>
        <n v="1524"/>
        <n v="1451"/>
        <n v="1425"/>
        <n v="1400"/>
        <n v="1388"/>
        <n v="1355"/>
        <n v="1351"/>
        <n v="1277"/>
        <n v="1249"/>
        <n v="1240"/>
        <n v="1233"/>
        <n v="1209"/>
        <n v="1196"/>
        <n v="1087"/>
        <n v="1086"/>
        <n v="1019"/>
        <n v="1003"/>
        <n v="982"/>
        <n v="977"/>
        <n v="928"/>
        <n v="927"/>
        <n v="914"/>
        <n v="890"/>
        <n v="883"/>
        <n v="857"/>
        <n v="830"/>
        <n v="822"/>
        <n v="775"/>
        <n v="768"/>
        <n v="764"/>
        <n v="763"/>
        <n v="742"/>
        <n v="739"/>
        <n v="738"/>
        <n v="725"/>
        <n v="718"/>
        <n v="717"/>
        <n v="712"/>
        <n v="701"/>
        <n v="696"/>
        <n v="689"/>
        <n v="685"/>
        <n v="660"/>
        <n v="658"/>
        <n v="655"/>
        <n v="647"/>
        <n v="646"/>
        <n v="642"/>
        <n v="596"/>
        <n v="592"/>
        <n v="586"/>
        <n v="585"/>
        <n v="584"/>
        <n v="580"/>
        <n v="575"/>
        <n v="548"/>
        <n v="542"/>
        <n v="540"/>
        <n v="538"/>
        <n v="535"/>
        <n v="527"/>
        <n v="526"/>
        <n v="505"/>
        <n v="491"/>
        <n v="462"/>
        <n v="443"/>
        <n v="434"/>
        <n v="431"/>
        <n v="430"/>
        <n v="422"/>
        <n v="420"/>
        <n v="417"/>
        <n v="415"/>
        <n v="413"/>
        <n v="398"/>
        <n v="394"/>
        <n v="390"/>
        <n v="382"/>
        <n v="379"/>
        <n v="374"/>
        <n v="364"/>
        <n v="362"/>
        <n v="357"/>
        <n v="356"/>
        <n v="353"/>
        <n v="352"/>
        <n v="345"/>
        <n v="338"/>
        <n v="336"/>
        <n v="327"/>
        <n v="326"/>
        <n v="321"/>
        <n v="317"/>
        <n v="315"/>
        <n v="314"/>
        <n v="301"/>
        <n v="297"/>
        <n v="289"/>
        <n v="287"/>
        <n v="284"/>
        <n v="280"/>
        <n v="274"/>
        <n v="272"/>
        <n v="271"/>
        <n v="267"/>
        <n v="264"/>
        <n v="262"/>
        <n v="260"/>
        <n v="259"/>
        <n v="255"/>
        <n v="254"/>
        <n v="250"/>
        <n v="249"/>
        <n v="246"/>
        <n v="244"/>
        <n v="243"/>
        <n v="242"/>
        <n v="238"/>
        <n v="234"/>
        <n v="232"/>
        <n v="231"/>
        <n v="229"/>
        <n v="228"/>
        <n v="224"/>
        <n v="218"/>
        <n v="215"/>
        <n v="211"/>
        <n v="208"/>
        <n v="205"/>
        <n v="203"/>
        <n v="202"/>
        <n v="198"/>
        <n v="197"/>
        <n v="196"/>
        <n v="194"/>
        <n v="192"/>
        <n v="191"/>
        <n v="190"/>
        <n v="189"/>
        <n v="188"/>
        <n v="187"/>
        <n v="186"/>
        <n v="184"/>
        <n v="183"/>
        <n v="181"/>
        <n v="179"/>
        <n v="178"/>
        <n v="173"/>
        <n v="172"/>
        <n v="170"/>
        <n v="169"/>
        <n v="168"/>
        <n v="167"/>
        <n v="164"/>
        <n v="160"/>
        <n v="159"/>
        <n v="157"/>
        <n v="156"/>
        <n v="151"/>
        <n v="150"/>
        <n v="146"/>
        <n v="144"/>
        <n v="142"/>
        <n v="141"/>
        <n v="140"/>
        <n v="139"/>
        <n v="138"/>
        <n v="137"/>
        <n v="132"/>
        <n v="131"/>
        <n v="129"/>
        <n v="128"/>
        <n v="126"/>
        <n v="122"/>
        <n v="118"/>
        <n v="116"/>
        <n v="114"/>
        <n v="113"/>
        <n v="112"/>
        <n v="111"/>
        <n v="108"/>
        <n v="107"/>
        <n v="106"/>
        <n v="105"/>
        <n v="103"/>
        <n v="100"/>
      </sharedItems>
    </cacheField>
    <cacheField name="S10" numFmtId="0">
      <sharedItems containsBlank="1" containsMixedTypes="1" containsNumber="1" minValue="0.5" maxValue="18.25"/>
    </cacheField>
    <cacheField name="S11" numFmtId="0">
      <sharedItems containsString="0" containsBlank="1" containsNumber="1" minValue="1" maxValue="15"/>
    </cacheField>
    <cacheField name="S12" numFmtId="0">
      <sharedItems containsString="0" containsBlank="1" containsNumber="1" minValue="1" maxValue="12"/>
    </cacheField>
    <cacheField name="S13" numFmtId="0">
      <sharedItems containsString="0" containsBlank="1" containsNumber="1" minValue="1" maxValue="10"/>
    </cacheField>
    <cacheField name="S14" numFmtId="0">
      <sharedItems containsString="0" containsBlank="1" containsNumber="1" containsInteger="1" minValue="10" maxValue="10"/>
    </cacheField>
    <cacheField name="Contract Notes" numFmtId="0">
      <sharedItems containsBlank="1"/>
    </cacheField>
    <cacheField name="Regression class" numFmtId="0">
      <sharedItems/>
    </cacheField>
    <cacheField name="Season Drafted" numFmtId="0">
      <sharedItems containsBlank="1"/>
    </cacheField>
    <cacheField name="Drafted Overall" numFmtId="0">
      <sharedItems containsBlank="1" containsMixedTypes="1" containsNumber="1" containsInteger="1" minValue="1" maxValue="87"/>
    </cacheField>
    <cacheField name="Mi Team" numFmtId="0">
      <sharedItems containsBlank="1"/>
    </cacheField>
    <cacheField name="Mi Draft" numFmtId="0">
      <sharedItems containsString="0" containsBlank="1" containsNumber="1" containsInteger="1" minValue="5" maxValue="6"/>
    </cacheField>
    <cacheField name="MiTaken" numFmtId="0">
      <sharedItems containsBlank="1" containsMixedTypes="1" containsNumber="1" containsInteger="1" minValue="1" maxValue="14"/>
    </cacheField>
    <cacheField name="Inactive" numFmtId="0">
      <sharedItems containsBlank="1"/>
    </cacheField>
    <cacheField name="S3 Salary" numFmtId="0">
      <sharedItems containsBlank="1" containsMixedTypes="1" containsNumber="1" minValue="0.5" maxValue="12"/>
    </cacheField>
    <cacheField name="S4" numFmtId="0">
      <sharedItems containsString="0" containsBlank="1" containsNumber="1" minValue="0.5" maxValue="14"/>
    </cacheField>
    <cacheField name="S5" numFmtId="0">
      <sharedItems containsString="0" containsBlank="1" containsNumber="1" minValue="0.5" maxValue="13"/>
    </cacheField>
    <cacheField name="S6" numFmtId="0">
      <sharedItems containsString="0" containsBlank="1" containsNumber="1" minValue="0.5" maxValue="458"/>
    </cacheField>
    <cacheField name="S7" numFmtId="0">
      <sharedItems containsBlank="1" containsMixedTypes="1" containsNumber="1" minValue="0.25" maxValue="464"/>
    </cacheField>
    <cacheField name="S8" numFmtId="0">
      <sharedItems containsBlank="1" containsMixedTypes="1" containsNumber="1" minValue="0" maxValue="586"/>
    </cacheField>
    <cacheField name="S9" numFmtId="0">
      <sharedItems containsBlank="1" containsMixedTypes="1" containsNumber="1" minValue="0" maxValue="422"/>
    </cacheField>
    <cacheField name="S9 Start TPE" numFmtId="0">
      <sharedItems containsSemiMixedTypes="0" containsString="0" containsNumber="1" containsInteger="1" minValue="100" maxValue="1793"/>
    </cacheField>
    <cacheField name="25.03.2018 TPE" numFmtId="0">
      <sharedItems containsString="0" containsBlank="1" containsNumber="1" minValue="0.5" maxValue="625"/>
    </cacheField>
    <cacheField name="18.03.2018 TPE" numFmtId="0">
      <sharedItems containsBlank="1" containsMixedTypes="1" containsNumber="1" containsInteger="1" minValue="100" maxValue="604"/>
    </cacheField>
    <cacheField name="11.03.2018 TPE" numFmtId="0">
      <sharedItems containsBlank="1" containsMixedTypes="1" containsNumber="1" containsInteger="1" minValue="100" maxValue="5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s v="http://probaseballexperience.jcink.net/index.php?showtopic=79"/>
    <x v="0"/>
    <s v="kckolbe"/>
    <s v="Kevin Biggio - CF"/>
    <s v="Kevin Biggio"/>
    <s v="CF"/>
    <s v="Speed/Speed"/>
    <n v="1768"/>
    <n v="10"/>
    <n v="10"/>
    <m/>
    <m/>
    <m/>
    <s v="http://probaseballexperience.jcink.net/index.php?showtopic=4994"/>
    <s v="S1"/>
    <s v="S1"/>
    <n v="10"/>
    <m/>
    <m/>
    <m/>
    <m/>
    <n v="3.5"/>
    <n v="6"/>
    <n v="6"/>
    <n v="10"/>
    <n v="8"/>
    <n v="8.25"/>
    <n v="5"/>
    <n v="1793"/>
    <n v="625"/>
    <n v="602"/>
    <n v="593"/>
  </r>
  <r>
    <s v="http://probaseballexperience.jcink.net/index.php?showtopic=1114"/>
    <x v="1"/>
    <s v="timeconsumer"/>
    <s v="Eduardo Dinero - SS"/>
    <s v="Eduardo Dinero"/>
    <s v="SS"/>
    <s v="Balanced/Balanced "/>
    <n v="1741"/>
    <n v="10"/>
    <n v="10"/>
    <m/>
    <m/>
    <m/>
    <s v="http://probaseballexperience.jcink.net/index.php?showtopic=4883"/>
    <s v="S2"/>
    <s v="S2"/>
    <n v="15"/>
    <m/>
    <m/>
    <m/>
    <m/>
    <n v="3"/>
    <n v="3"/>
    <n v="13"/>
    <n v="13"/>
    <n v="13"/>
    <n v="13"/>
    <n v="13"/>
    <n v="1545"/>
    <n v="416"/>
    <n v="398"/>
    <n v="395"/>
  </r>
  <r>
    <s v="http://probaseballexperience.jcink.net/index.php?showtopic=104"/>
    <x v="2"/>
    <s v="Rabidsponge21"/>
    <s v="Connor Macdonald - 2B"/>
    <s v="Connor Macdonald"/>
    <s v="2B"/>
    <s v="Contact/Balanced"/>
    <n v="1733"/>
    <n v="10"/>
    <m/>
    <m/>
    <m/>
    <m/>
    <s v="NTC S10 MO"/>
    <s v="S1"/>
    <s v="S1"/>
    <n v="5"/>
    <m/>
    <m/>
    <m/>
    <m/>
    <m/>
    <n v="10"/>
    <n v="4"/>
    <n v="4"/>
    <n v="10"/>
    <n v="12"/>
    <n v="9.5"/>
    <n v="1759"/>
    <n v="614"/>
    <n v="596"/>
    <n v="582"/>
  </r>
  <r>
    <s v="http://probaseballexperience.jcink.net/index.php?showtopic=1154"/>
    <x v="0"/>
    <s v="Asawisemansaid"/>
    <s v="Greg Steiner - SP"/>
    <s v="Greg Steiner"/>
    <s v="SP"/>
    <s v="Power"/>
    <n v="1719"/>
    <n v="10"/>
    <n v="15"/>
    <m/>
    <m/>
    <m/>
    <m/>
    <s v="S2"/>
    <s v="S2"/>
    <n v="10"/>
    <m/>
    <m/>
    <m/>
    <m/>
    <n v="2"/>
    <n v="2"/>
    <n v="12"/>
    <n v="8"/>
    <n v="404"/>
    <n v="4"/>
    <n v="4.625"/>
    <n v="1521"/>
    <n v="20"/>
    <n v="386"/>
    <n v="320"/>
  </r>
  <r>
    <s v="http://probaseballexperience.jcink.net/index.php?showtopic=345"/>
    <x v="3"/>
    <s v="Mavfatha"/>
    <s v="Ozamataz Buckshank - SS"/>
    <s v="Ozamataz Buckshank"/>
    <s v="SS"/>
    <s v="Balanced/Balanced"/>
    <n v="1685"/>
    <n v="9.75"/>
    <m/>
    <m/>
    <m/>
    <m/>
    <s v="S5-S10 MO"/>
    <s v="S1"/>
    <s v="S1"/>
    <n v="40"/>
    <m/>
    <m/>
    <m/>
    <m/>
    <n v="3.5"/>
    <n v="5"/>
    <n v="5.75"/>
    <n v="7.25"/>
    <n v="8"/>
    <n v="9"/>
    <n v="9.25"/>
    <n v="1729"/>
    <n v="569"/>
    <n v="549"/>
    <n v="531"/>
  </r>
  <r>
    <s v="http://probaseballexperience.jcink.net/index.php?showtopic=180"/>
    <x v="4"/>
    <s v="JuOSu"/>
    <s v="Julian O'Sullivan - C"/>
    <s v="Julian O'Sullivan"/>
    <s v="C"/>
    <s v="Power/Quick"/>
    <n v="1653"/>
    <n v="9.75"/>
    <m/>
    <m/>
    <m/>
    <m/>
    <s v="S5-S10 MO"/>
    <s v="S1"/>
    <s v="S1"/>
    <n v="2"/>
    <m/>
    <m/>
    <m/>
    <m/>
    <m/>
    <n v="3"/>
    <n v="5"/>
    <n v="6.5"/>
    <n v="7.25"/>
    <n v="8.5"/>
    <n v="9"/>
    <n v="1711"/>
    <n v="622"/>
    <n v="604"/>
    <n v="590"/>
  </r>
  <r>
    <s v="http://probaseballexperience.jcink.net/index.php?showtopic=405"/>
    <x v="0"/>
    <s v="JKortesi81"/>
    <s v="Penny Kowers - CL"/>
    <s v="Penny Kowers"/>
    <s v="SP"/>
    <s v="Balanced"/>
    <n v="1635"/>
    <n v="10"/>
    <m/>
    <m/>
    <m/>
    <m/>
    <s v="S10 PO"/>
    <s v="S1"/>
    <s v="S1"/>
    <n v="48"/>
    <m/>
    <m/>
    <m/>
    <m/>
    <n v="12"/>
    <n v="1.5"/>
    <n v="10"/>
    <n v="8"/>
    <n v="9"/>
    <n v="586"/>
    <n v="26.5"/>
    <n v="1673"/>
    <n v="10"/>
    <n v="572"/>
    <n v="558"/>
  </r>
  <r>
    <s v="http://probaseballexperience.jcink.net/index.php?showtopic=156"/>
    <x v="3"/>
    <s v="Evok"/>
    <s v="Victoria Secret - SP"/>
    <s v="Victoria Secret"/>
    <s v="SP"/>
    <s v="Finesse"/>
    <n v="1630"/>
    <n v="10"/>
    <n v="10"/>
    <m/>
    <m/>
    <m/>
    <s v="S10-11 PO"/>
    <s v="S1"/>
    <s v="S1"/>
    <n v="3"/>
    <m/>
    <m/>
    <m/>
    <m/>
    <n v="3"/>
    <n v="8"/>
    <n v="7"/>
    <n v="3.75"/>
    <n v="9.25"/>
    <n v="9.5"/>
    <n v="10"/>
    <n v="1791"/>
    <n v="603"/>
    <n v="589"/>
    <n v="565"/>
  </r>
  <r>
    <s v="http://probaseballexperience.jcink.net/index.php?showtopic=1161"/>
    <x v="2"/>
    <s v="LGM2018"/>
    <s v="Phillip Thompson - SP"/>
    <s v="Phillip Thompson"/>
    <s v="SP"/>
    <s v="Knuckleball"/>
    <n v="1609"/>
    <n v="9.25"/>
    <n v="9.5"/>
    <n v="9.75"/>
    <n v="10"/>
    <n v="10"/>
    <s v="S9/12/14 TO"/>
    <s v="S2"/>
    <s v="S2"/>
    <n v="16"/>
    <m/>
    <m/>
    <m/>
    <m/>
    <n v="2"/>
    <n v="2"/>
    <n v="6.5"/>
    <n v="7.25"/>
    <n v="408"/>
    <n v="5"/>
    <n v="8.5"/>
    <n v="1445"/>
    <n v="389"/>
    <n v="351"/>
    <n v="351"/>
  </r>
  <r>
    <s v="http://probaseballexperience.jcink.net/index.php?showtopic=1560"/>
    <x v="0"/>
    <s v="bovo"/>
    <s v="D'Aroldis Borkman - CL"/>
    <s v="D'Aroldis Borkman"/>
    <s v="SP"/>
    <s v="Power"/>
    <n v="1595"/>
    <n v="9.75"/>
    <m/>
    <m/>
    <m/>
    <m/>
    <m/>
    <s v="S2"/>
    <s v="S3"/>
    <n v="3"/>
    <m/>
    <m/>
    <m/>
    <m/>
    <n v="3"/>
    <n v="3"/>
    <n v="3"/>
    <n v="6.5"/>
    <n v="354"/>
    <n v="12"/>
    <n v="9.25"/>
    <n v="1408"/>
    <n v="15"/>
    <n v="306"/>
    <n v="306"/>
  </r>
  <r>
    <s v="http://probaseballexperience.jcink.net/index.php?showtopic=1732"/>
    <x v="3"/>
    <s v="majesiu"/>
    <s v="Paulo Di Stephano - RF"/>
    <s v="Paulo Di Stephano"/>
    <s v="RF"/>
    <s v="Power/Arm"/>
    <n v="1594"/>
    <n v="9.25"/>
    <n v="9.5"/>
    <n v="10"/>
    <n v="10"/>
    <n v="10"/>
    <s v="S6-S14 MO"/>
    <s v="S3"/>
    <s v="S3"/>
    <n v="5"/>
    <m/>
    <m/>
    <m/>
    <m/>
    <n v="3"/>
    <n v="4"/>
    <n v="8.75"/>
    <n v="1"/>
    <n v="6.5"/>
    <n v="8"/>
    <n v="8.5"/>
    <n v="1393"/>
    <n v="208"/>
    <n v="194"/>
    <n v="170"/>
  </r>
  <r>
    <s v="http://probaseballexperience.jcink.net/index.php?showtopic=122"/>
    <x v="0"/>
    <s v="iamslm22"/>
    <s v="Esteban Rodriguez - SP"/>
    <s v="Esteban Rodriguez"/>
    <s v="SP"/>
    <s v="Power"/>
    <n v="1588"/>
    <n v="11.5"/>
    <n v="8"/>
    <m/>
    <m/>
    <m/>
    <m/>
    <s v="S1"/>
    <s v="S1"/>
    <s v="as GM"/>
    <m/>
    <m/>
    <m/>
    <m/>
    <n v="2"/>
    <n v="5"/>
    <n v="6.5"/>
    <n v="10.75"/>
    <n v="9"/>
    <n v="4.75"/>
    <n v="9.75"/>
    <n v="1612"/>
    <n v="606"/>
    <n v="588"/>
    <n v="564"/>
  </r>
  <r>
    <s v="http://probaseballexperience.jcink.net/index.php?showtopic=211"/>
    <x v="0"/>
    <s v="Jonstradamus"/>
    <s v="Johnny Runakiwi - SS"/>
    <s v="Johnny Runakiwi"/>
    <s v="SS"/>
    <s v="Contact/Quick"/>
    <n v="1568"/>
    <n v="9.75"/>
    <m/>
    <m/>
    <m/>
    <m/>
    <s v="S10-12 MO"/>
    <s v="S1"/>
    <s v="S1"/>
    <n v="58"/>
    <m/>
    <m/>
    <m/>
    <m/>
    <n v="4"/>
    <n v="5"/>
    <n v="6.5"/>
    <n v="7.25"/>
    <n v="9"/>
    <n v="9.5"/>
    <n v="9.75"/>
    <n v="1564"/>
    <n v="599"/>
    <n v="585"/>
    <n v="571"/>
  </r>
  <r>
    <s v="http://probaseballexperience.jcink.net/index.php?showtopic=1045"/>
    <x v="2"/>
    <s v="MrStennett"/>
    <s v="Jake Stennett - RF"/>
    <s v="Jake Stennett"/>
    <s v="RF"/>
    <s v="Balanced/Arm"/>
    <n v="1539"/>
    <n v="9.25"/>
    <m/>
    <m/>
    <m/>
    <m/>
    <m/>
    <s v="S2"/>
    <s v="S2"/>
    <n v="17"/>
    <m/>
    <m/>
    <m/>
    <m/>
    <m/>
    <n v="3"/>
    <n v="3"/>
    <n v="7"/>
    <n v="5.5"/>
    <n v="3"/>
    <n v="8"/>
    <n v="1351"/>
    <n v="303"/>
    <n v="289"/>
    <n v="276"/>
  </r>
  <r>
    <s v="http://probaseballexperience.jcink.net/index.php?showtopic=191"/>
    <x v="4"/>
    <s v="goilers"/>
    <s v="Sophia Bennett - RF"/>
    <s v="Sophia Bennett"/>
    <s v="RF"/>
    <s v="Contact/Speed"/>
    <n v="1534"/>
    <n v="10"/>
    <n v="10"/>
    <m/>
    <m/>
    <m/>
    <s v="S10-11 PO"/>
    <s v="S1"/>
    <s v="S1"/>
    <n v="16"/>
    <m/>
    <m/>
    <m/>
    <m/>
    <m/>
    <n v="4"/>
    <n v="6"/>
    <n v="6"/>
    <n v="6.5"/>
    <n v="8"/>
    <n v="8.5"/>
    <n v="1512"/>
    <n v="524"/>
    <n v="503"/>
    <n v="492"/>
  </r>
  <r>
    <s v="http://probaseballexperience.jcink.net/index.php?showtopic=153"/>
    <x v="4"/>
    <s v="PigSnout"/>
    <s v="Vick Thunder - LF"/>
    <s v="Vick Thunder"/>
    <s v="LF"/>
    <s v="Power/Speed"/>
    <n v="1524"/>
    <n v="7"/>
    <n v="10"/>
    <n v="10"/>
    <n v="10"/>
    <n v="10"/>
    <s v="S7-S14 TO"/>
    <s v="S1"/>
    <s v="S1"/>
    <n v="15"/>
    <m/>
    <m/>
    <m/>
    <m/>
    <n v="1.5"/>
    <n v="8"/>
    <n v="3.5"/>
    <n v="7.25"/>
    <n v="8.5"/>
    <n v="9"/>
    <n v="9"/>
    <n v="1597"/>
    <n v="587"/>
    <n v="559"/>
    <n v="513"/>
  </r>
  <r>
    <s v="http://probaseballexperience.jcink.net/index.php?showtopic=120"/>
    <x v="4"/>
    <s v="manicmav36"/>
    <s v="Shooty McLish - 1B"/>
    <s v="Shooty McLish"/>
    <s v="1B"/>
    <s v="Contact/Quick"/>
    <n v="1451"/>
    <n v="13"/>
    <n v="13"/>
    <n v="10"/>
    <m/>
    <m/>
    <m/>
    <s v="S1"/>
    <s v="S1"/>
    <n v="72"/>
    <m/>
    <m/>
    <m/>
    <m/>
    <m/>
    <n v="2"/>
    <n v="12"/>
    <n v="13.5"/>
    <n v="15"/>
    <n v="13"/>
    <n v="13"/>
    <n v="1509"/>
    <n v="531"/>
    <n v="512"/>
    <n v="482"/>
  </r>
  <r>
    <s v="http://probaseballexperience.jcink.net/index.php?showtopic=101"/>
    <x v="3"/>
    <s v="Beaver"/>
    <s v="Do Min-joon - 1B"/>
    <s v="Do Min-joon"/>
    <s v="2B"/>
    <s v="Power/Balanced"/>
    <n v="1425"/>
    <n v="9.75"/>
    <n v="10"/>
    <n v="10"/>
    <m/>
    <m/>
    <s v="S9-S12 MO"/>
    <s v="S1"/>
    <s v="S1"/>
    <n v="33"/>
    <m/>
    <m/>
    <m/>
    <m/>
    <n v="3.5"/>
    <n v="5"/>
    <n v="5"/>
    <n v="458"/>
    <n v="8"/>
    <n v="9"/>
    <n v="9.25"/>
    <n v="1470"/>
    <n v="440"/>
    <n v="426"/>
    <n v="362"/>
  </r>
  <r>
    <s v="http://probaseballexperience.jcink.net/index.php?showtopic=627"/>
    <x v="1"/>
    <s v="Leafer"/>
    <s v="Jarrod Stanton - 2B"/>
    <s v="Jarrod Stanton"/>
    <s v="2B"/>
    <s v="Power/Arm"/>
    <n v="1400"/>
    <n v="9.75"/>
    <n v="10"/>
    <n v="10"/>
    <m/>
    <m/>
    <s v="S10-S12"/>
    <s v="S1"/>
    <s v="S2"/>
    <n v="1"/>
    <m/>
    <m/>
    <m/>
    <m/>
    <n v="5"/>
    <n v="5"/>
    <n v="6.5"/>
    <n v="8.5"/>
    <n v="9"/>
    <n v="9"/>
    <n v="9.5"/>
    <n v="1445"/>
    <n v="540"/>
    <n v="522"/>
    <n v="508"/>
  </r>
  <r>
    <s v="http://probaseballexperience.jcink.net/index.php?showtopic=88"/>
    <x v="3"/>
    <s v="Shadowz"/>
    <s v="Elston Sinclair - SP"/>
    <s v="Elston Sinclair"/>
    <s v="SP"/>
    <s v="Power"/>
    <n v="1388"/>
    <n v="11"/>
    <m/>
    <m/>
    <m/>
    <m/>
    <s v="S8-10 MO"/>
    <s v="S1"/>
    <s v="S1"/>
    <s v="as GM"/>
    <m/>
    <m/>
    <m/>
    <m/>
    <m/>
    <n v="2"/>
    <n v="5"/>
    <n v="6.5"/>
    <n v="7.25"/>
    <n v="6.5"/>
    <n v="8.5"/>
    <n v="1355"/>
    <n v="575"/>
    <n v="575"/>
    <n v="558"/>
  </r>
  <r>
    <s v="http://probaseballexperience.jcink.net/index.php?showtopic=66"/>
    <x v="2"/>
    <s v="ckroyal92"/>
    <s v="Kenny McCormick - 2B"/>
    <s v="Kenny McCormick"/>
    <s v="SS"/>
    <s v="Contact/Quick"/>
    <n v="1355"/>
    <n v="9.25"/>
    <m/>
    <m/>
    <m/>
    <m/>
    <m/>
    <s v="S1"/>
    <s v="S1"/>
    <m/>
    <m/>
    <m/>
    <m/>
    <m/>
    <m/>
    <n v="2"/>
    <n v="4"/>
    <n v="8.25"/>
    <n v="5.5"/>
    <n v="5"/>
    <n v="8"/>
    <n v="1368"/>
    <n v="427"/>
    <n v="419"/>
    <n v="402"/>
  </r>
  <r>
    <s v="http://probaseballexperience.jcink.net/index.php?showtopic=1042"/>
    <x v="4"/>
    <s v="vasolinetigers"/>
    <s v="Simon Hans - SS"/>
    <s v="Simon Hans"/>
    <s v="3B"/>
    <s v="Balanced/Balanced"/>
    <n v="1351"/>
    <n v="9.25"/>
    <n v="9.75"/>
    <n v="10"/>
    <m/>
    <m/>
    <s v="S12 MO NTC"/>
    <s v="S2"/>
    <s v="S2"/>
    <n v="38"/>
    <m/>
    <m/>
    <m/>
    <m/>
    <m/>
    <n v="3"/>
    <n v="3.5"/>
    <n v="5"/>
    <n v="5.75"/>
    <n v="7.25"/>
    <n v="8"/>
    <n v="1224"/>
    <n v="354"/>
    <n v="328"/>
    <n v="306"/>
  </r>
  <r>
    <s v="http://probaseballexperience.jcink.net/index.php?showtopic=2155"/>
    <x v="4"/>
    <s v="Moosecop"/>
    <s v="Clem Johnson - 2B"/>
    <s v="Clem Johnson"/>
    <s v="SS"/>
    <s v="Contact/Quick"/>
    <n v="1277"/>
    <n v="4.25"/>
    <n v="6.75"/>
    <n v="9.5"/>
    <m/>
    <m/>
    <s v="S9-12 MO"/>
    <s v="S4"/>
    <s v="S4"/>
    <n v="3"/>
    <m/>
    <m/>
    <m/>
    <m/>
    <m/>
    <m/>
    <n v="5"/>
    <n v="5"/>
    <n v="4.5"/>
    <n v="4.5"/>
    <n v="6.5"/>
    <n v="1095"/>
    <m/>
    <n v="100"/>
    <n v="100"/>
  </r>
  <r>
    <s v="http://probaseballexperience.jcink.net/index.php?showtopic=2467"/>
    <x v="2"/>
    <s v="Bayley"/>
    <s v="Mookie Banks - SP"/>
    <s v="Mookie Banks"/>
    <s v="SP"/>
    <s v="Power"/>
    <n v="1249"/>
    <n v="5"/>
    <n v="5"/>
    <n v="5"/>
    <m/>
    <m/>
    <m/>
    <s v="S4"/>
    <s v="S5"/>
    <n v="3"/>
    <m/>
    <m/>
    <m/>
    <m/>
    <m/>
    <m/>
    <n v="3"/>
    <n v="6"/>
    <n v="3"/>
    <n v="19.25"/>
    <n v="5"/>
    <n v="1086"/>
    <m/>
    <m/>
    <m/>
  </r>
  <r>
    <s v="http://probaseballexperience.jcink.net/index.php?showtopic=2154"/>
    <x v="5"/>
    <s v="pazuzu"/>
    <s v="Phillip J Fry - RF"/>
    <s v="Phillip J Fry"/>
    <s v="RF"/>
    <s v="Balanced/Arm"/>
    <n v="1240"/>
    <n v="9.5"/>
    <n v="9.25"/>
    <n v="9.5"/>
    <n v="10"/>
    <m/>
    <m/>
    <s v="S4"/>
    <s v="S4"/>
    <n v="9"/>
    <m/>
    <m/>
    <m/>
    <m/>
    <m/>
    <m/>
    <n v="5"/>
    <n v="5"/>
    <n v="5"/>
    <n v="5.5"/>
    <n v="5.25"/>
    <n v="1055"/>
    <n v="100"/>
    <n v="100"/>
    <m/>
  </r>
  <r>
    <s v="http://probaseballexperience.jcink.net/index.php?showtopic=84"/>
    <x v="1"/>
    <s v="tlk742"/>
    <s v="Randy Koufax - SP"/>
    <s v="Randy Koufax"/>
    <s v="SP"/>
    <s v="Balanced"/>
    <n v="1233"/>
    <n v="9"/>
    <m/>
    <m/>
    <m/>
    <m/>
    <s v="S8-10 MO"/>
    <s v="S1"/>
    <s v="S1"/>
    <s v="as GM"/>
    <m/>
    <m/>
    <m/>
    <m/>
    <n v="2"/>
    <n v="4"/>
    <n v="5.75"/>
    <n v="6.5"/>
    <n v="8.5"/>
    <n v="9.25"/>
    <n v="9.5"/>
    <n v="1225"/>
    <n v="538"/>
    <n v="514"/>
    <n v="492"/>
  </r>
  <r>
    <s v="http://probaseballexperience.jcink.net/index.php?showtopic=792"/>
    <x v="3"/>
    <s v="CDub2"/>
    <s v="Ziggy Coffey - SS"/>
    <s v="Ziggy Coffey"/>
    <s v="1B"/>
    <s v="Speed/Quick"/>
    <n v="1209"/>
    <n v="9.25"/>
    <n v="9.25"/>
    <n v="9.25"/>
    <m/>
    <m/>
    <s v="S8-9 MO"/>
    <s v="S1"/>
    <s v="S2"/>
    <n v="9"/>
    <m/>
    <m/>
    <m/>
    <m/>
    <n v="3.5"/>
    <n v="3.5"/>
    <n v="7"/>
    <n v="7"/>
    <n v="7"/>
    <n v="7"/>
    <n v="7"/>
    <n v="1239"/>
    <n v="406"/>
    <n v="372"/>
    <n v="372"/>
  </r>
  <r>
    <s v="http://probaseballexperience.jcink.net/index.php?showtopic=2598"/>
    <x v="3"/>
    <s v="Trautner"/>
    <s v="Jimmy Dong - CF"/>
    <s v="Jimmy Dong"/>
    <s v="CF"/>
    <s v="Balanced/Balanced"/>
    <n v="1196"/>
    <n v="7.25"/>
    <n v="8.5"/>
    <m/>
    <m/>
    <m/>
    <s v="S7-S11 MO"/>
    <s v="S5"/>
    <s v="S5"/>
    <n v="9"/>
    <m/>
    <m/>
    <m/>
    <m/>
    <m/>
    <m/>
    <n v="4"/>
    <n v="4"/>
    <n v="4"/>
    <n v="5"/>
    <n v="6.5"/>
    <n v="999"/>
    <m/>
    <m/>
    <m/>
  </r>
  <r>
    <s v="http://probaseballexperience.jcink.net/index.php?showtopic=2455"/>
    <x v="5"/>
    <s v="BWIII"/>
    <s v="Weldon Borthwell - 3B"/>
    <s v="Weldon Borthwell"/>
    <s v="3B"/>
    <s v="Balanced/Balanced"/>
    <n v="1196"/>
    <n v="7"/>
    <m/>
    <m/>
    <m/>
    <m/>
    <m/>
    <s v="S4"/>
    <s v="S5"/>
    <n v="1"/>
    <m/>
    <m/>
    <m/>
    <m/>
    <m/>
    <m/>
    <n v="1"/>
    <n v="5"/>
    <n v="5"/>
    <n v="5"/>
    <n v="7"/>
    <n v="1037"/>
    <m/>
    <m/>
    <m/>
  </r>
  <r>
    <s v="http://probaseballexperience.jcink.net/index.php?showtopic=1209"/>
    <x v="4"/>
    <s v="yoye"/>
    <s v="Roger Baton - 2B"/>
    <s v="Roger Baton"/>
    <s v="2B"/>
    <s v="Balanced/Balanced"/>
    <n v="1087"/>
    <n v="8.5"/>
    <n v="9.25"/>
    <n v="9.5"/>
    <m/>
    <m/>
    <m/>
    <s v="S2"/>
    <s v="S2"/>
    <n v="32"/>
    <m/>
    <m/>
    <m/>
    <m/>
    <m/>
    <n v="3"/>
    <n v="4"/>
    <n v="5"/>
    <n v="5.75"/>
    <n v="6.5"/>
    <n v="6.5"/>
    <n v="981"/>
    <n v="329"/>
    <n v="314"/>
    <n v="300"/>
  </r>
  <r>
    <s v="http://probaseballexperience.jcink.net/index.php?showtopic=2569"/>
    <x v="2"/>
    <s v="cpetrella"/>
    <s v="Billy Benson - C"/>
    <s v="Billy Benson"/>
    <s v="C"/>
    <s v="Balanced/React"/>
    <n v="1086"/>
    <n v="4.25"/>
    <m/>
    <m/>
    <m/>
    <m/>
    <m/>
    <s v="S5"/>
    <s v="S5"/>
    <n v="8"/>
    <m/>
    <m/>
    <m/>
    <m/>
    <m/>
    <m/>
    <m/>
    <n v="6"/>
    <n v="3"/>
    <n v="10"/>
    <n v="4.25"/>
    <n v="926"/>
    <m/>
    <m/>
    <m/>
  </r>
  <r>
    <s v="http://probaseballexperience.jcink.net/index.php?showtopic=195"/>
    <x v="3"/>
    <s v="Bzerkap"/>
    <s v="Toshihiro Ishikawa - C"/>
    <s v="Toshihiro Ishikawa"/>
    <s v="C"/>
    <s v="Balanced/React"/>
    <n v="1019"/>
    <n v="9"/>
    <n v="9"/>
    <m/>
    <m/>
    <m/>
    <s v="S10-11 PO"/>
    <s v="S1"/>
    <s v="S1"/>
    <n v="38"/>
    <m/>
    <m/>
    <m/>
    <m/>
    <n v="3"/>
    <n v="8"/>
    <n v="7"/>
    <n v="3.75"/>
    <n v="12"/>
    <n v="12"/>
    <n v="9"/>
    <n v="1107"/>
    <n v="505"/>
    <n v="492"/>
    <n v="468"/>
  </r>
  <r>
    <s v="http://probaseballexperience.jcink.net/index.php?showtopic=2604"/>
    <x v="3"/>
    <s v="Halfygar"/>
    <s v="Guy Walker - CL"/>
    <s v="Guy Walker"/>
    <s v="SP"/>
    <s v="Power"/>
    <n v="1003"/>
    <n v="8"/>
    <n v="8"/>
    <n v="8.25"/>
    <m/>
    <m/>
    <m/>
    <s v="S5"/>
    <s v="S5"/>
    <n v="21"/>
    <m/>
    <m/>
    <m/>
    <m/>
    <m/>
    <m/>
    <n v="4"/>
    <n v="4"/>
    <n v="3"/>
    <n v="5"/>
    <n v="5.75"/>
    <n v="804"/>
    <m/>
    <m/>
    <m/>
  </r>
  <r>
    <s v="http://probaseballexperience.jcink.net/index.php?showtopic=2606"/>
    <x v="2"/>
    <s v="AndrewWarren13"/>
    <s v="Ludwig Groetzinger - CL"/>
    <s v="Ludwig Groetzinger"/>
    <s v="SP"/>
    <s v="Power"/>
    <n v="982"/>
    <n v="6"/>
    <m/>
    <m/>
    <m/>
    <m/>
    <m/>
    <s v="S5"/>
    <s v="S5"/>
    <n v="13"/>
    <m/>
    <m/>
    <m/>
    <m/>
    <m/>
    <m/>
    <m/>
    <n v="4"/>
    <n v="2"/>
    <n v="1.5"/>
    <n v="10.25"/>
    <n v="885"/>
    <m/>
    <m/>
    <m/>
  </r>
  <r>
    <s v="http://probaseballexperience.jcink.net/index.php?showtopic=2142"/>
    <x v="2"/>
    <s v="Keygan"/>
    <s v="Connor Tanner - 3B"/>
    <s v="Connor Tanner"/>
    <s v="CF"/>
    <s v="Power/Balanced"/>
    <n v="977"/>
    <n v="18.25"/>
    <n v="4"/>
    <n v="4"/>
    <m/>
    <m/>
    <m/>
    <s v="S4"/>
    <s v="S4"/>
    <n v="2"/>
    <m/>
    <m/>
    <m/>
    <m/>
    <m/>
    <m/>
    <n v="10"/>
    <n v="1"/>
    <n v="10"/>
    <n v="4"/>
    <n v="4.25"/>
    <n v="977"/>
    <n v="100"/>
    <n v="100"/>
    <m/>
  </r>
  <r>
    <s v="http://probaseballexperience.jcink.net/index.php?showtopic=2906"/>
    <x v="3"/>
    <s v="caltroit_red_flames"/>
    <s v="Speedy Boi - CF"/>
    <s v="Speedy Boi"/>
    <s v="LF"/>
    <s v="Speed/Speed"/>
    <n v="928"/>
    <n v="7.75"/>
    <n v="7.75"/>
    <m/>
    <m/>
    <m/>
    <m/>
    <s v="S5"/>
    <s v="S6"/>
    <n v="1"/>
    <m/>
    <m/>
    <m/>
    <m/>
    <m/>
    <m/>
    <m/>
    <n v="7"/>
    <n v="2"/>
    <n v="3"/>
    <n v="7.75"/>
    <n v="815"/>
    <m/>
    <m/>
    <m/>
  </r>
  <r>
    <s v="http://probaseballexperience.jcink.net/index.php?showtopic=1232"/>
    <x v="4"/>
    <s v="Kahn"/>
    <s v="Khamati Kahn - SP"/>
    <s v="Khamati Kahn"/>
    <s v="SP"/>
    <s v="Finesse"/>
    <n v="927"/>
    <n v="7.25"/>
    <m/>
    <m/>
    <m/>
    <m/>
    <m/>
    <s v="S2"/>
    <s v="S2"/>
    <n v="21"/>
    <m/>
    <m/>
    <m/>
    <m/>
    <m/>
    <n v="3"/>
    <n v="3"/>
    <n v="3"/>
    <n v="4"/>
    <n v="5"/>
    <n v="6.5"/>
    <n v="863"/>
    <n v="285"/>
    <n v="273"/>
    <n v="256"/>
  </r>
  <r>
    <s v="http://probaseballexperience.jcink.net/index.php?showtopic=2590"/>
    <x v="5"/>
    <s v="Ryan0413"/>
    <s v="Ryan Stryker - SP"/>
    <s v="Ryan Stryker"/>
    <s v="SP"/>
    <s v="Power"/>
    <n v="914"/>
    <n v="5"/>
    <m/>
    <m/>
    <m/>
    <m/>
    <m/>
    <s v="S5"/>
    <s v="S5"/>
    <n v="7"/>
    <m/>
    <m/>
    <m/>
    <m/>
    <m/>
    <m/>
    <m/>
    <n v="5"/>
    <n v="4"/>
    <n v="4"/>
    <n v="8"/>
    <n v="782"/>
    <m/>
    <m/>
    <m/>
  </r>
  <r>
    <s v="http://probaseballexperience.jcink.net/index.php?showtopic=2614"/>
    <x v="6"/>
    <s v="Frozen Rope"/>
    <s v="Godfrey Bowman - RF"/>
    <s v="Godfrey Bowman"/>
    <s v="RF"/>
    <s v="Contact/Speed"/>
    <n v="890"/>
    <n v="8"/>
    <n v="9"/>
    <m/>
    <m/>
    <m/>
    <s v="S11 TO"/>
    <s v="S5"/>
    <s v="S5"/>
    <n v="12"/>
    <m/>
    <m/>
    <m/>
    <m/>
    <m/>
    <m/>
    <n v="2"/>
    <n v="2"/>
    <n v="2"/>
    <n v="5.75"/>
    <n v="6.5"/>
    <n v="731"/>
    <m/>
    <m/>
    <m/>
  </r>
  <r>
    <s v="http://probaseballexperience.jcink.net/index.php?showtopic=288"/>
    <x v="0"/>
    <s v="OnceAndFutureKing"/>
    <s v="Sebastian Musgrave-Smythe - CL"/>
    <s v="Sebastian Musgrave-Smythe"/>
    <s v="CL"/>
    <s v="Finesse"/>
    <n v="883"/>
    <n v="8"/>
    <n v="8"/>
    <m/>
    <m/>
    <m/>
    <m/>
    <s v="S1"/>
    <s v="S1"/>
    <n v="52"/>
    <m/>
    <m/>
    <m/>
    <m/>
    <n v="3.5"/>
    <n v="3.5"/>
    <n v="3.5"/>
    <n v="5"/>
    <n v="5"/>
    <n v="6.25"/>
    <n v="6.5"/>
    <n v="918"/>
    <n v="304"/>
    <n v="304"/>
    <n v="289"/>
  </r>
  <r>
    <s v="http://probaseballexperience.jcink.net/index.php?showtopic=1664"/>
    <x v="1"/>
    <s v="Tindomul"/>
    <s v="Pete Rose - CL"/>
    <s v="Pete Rose"/>
    <s v="CL"/>
    <s v="Balanced"/>
    <n v="857"/>
    <n v="7.25"/>
    <m/>
    <m/>
    <m/>
    <m/>
    <m/>
    <s v="S3"/>
    <s v="S3"/>
    <n v="10"/>
    <m/>
    <m/>
    <m/>
    <m/>
    <n v="7"/>
    <n v="1"/>
    <n v="1"/>
    <n v="4"/>
    <n v="5"/>
    <n v="6.5"/>
    <n v="6.5"/>
    <n v="819"/>
    <n v="175"/>
    <n v="165"/>
    <n v="154"/>
  </r>
  <r>
    <s v="http://probaseballexperience.jcink.net/index.php?showtopic=258"/>
    <x v="4"/>
    <s v="TheWoZy"/>
    <s v="Eijun Wozy - SP"/>
    <s v="Eijun Wozy"/>
    <s v="SP"/>
    <s v="Finesse"/>
    <n v="830"/>
    <n v="8"/>
    <m/>
    <m/>
    <m/>
    <m/>
    <m/>
    <s v="S1"/>
    <s v="S1"/>
    <n v="8"/>
    <m/>
    <m/>
    <m/>
    <m/>
    <n v="4"/>
    <n v="4"/>
    <n v="5"/>
    <n v="6.5"/>
    <n v="464"/>
    <n v="16"/>
    <n v="12"/>
    <n v="943"/>
    <n v="452"/>
    <n v="418"/>
    <n v="346"/>
  </r>
  <r>
    <s v="http://probaseballexperience.jcink.net/index.php?showtopic=213"/>
    <x v="4"/>
    <s v="loneDigger"/>
    <s v="Chaz LaLocke - SP"/>
    <s v="Chaz LaLocke"/>
    <s v="SP"/>
    <s v="Finesse"/>
    <n v="822"/>
    <n v="8"/>
    <m/>
    <m/>
    <m/>
    <m/>
    <m/>
    <s v="S1"/>
    <s v="S1"/>
    <n v="1"/>
    <m/>
    <m/>
    <m/>
    <m/>
    <m/>
    <n v="5"/>
    <n v="6.95"/>
    <n v="10.35"/>
    <n v="8.5500000000000007"/>
    <n v="8"/>
    <n v="8"/>
    <n v="933"/>
    <n v="587"/>
    <n v="575"/>
    <n v="532"/>
  </r>
  <r>
    <s v="http://probaseballexperience.jcink.net/index.php?showtopic=3087"/>
    <x v="5"/>
    <s v="StormZ_23"/>
    <s v="Louis Storm - 2B"/>
    <s v="Louis Storm"/>
    <s v="2B"/>
    <s v="Contact/Quick"/>
    <n v="775"/>
    <n v="6"/>
    <n v="5"/>
    <n v="4"/>
    <m/>
    <m/>
    <s v="S12 MO"/>
    <s v="S6"/>
    <s v="S6"/>
    <n v="16"/>
    <s v="SCS"/>
    <n v="6"/>
    <n v="12"/>
    <s v="Y"/>
    <m/>
    <m/>
    <m/>
    <m/>
    <n v="2.5"/>
    <n v="2.5"/>
    <n v="2.5"/>
    <n v="600"/>
    <m/>
    <m/>
    <m/>
  </r>
  <r>
    <s v="http://probaseballexperience.jcink.net/index.php?showtopic=100"/>
    <x v="5"/>
    <s v="Raven"/>
    <s v="Laddy McBantershire - C"/>
    <s v="Laddy McBantershire"/>
    <s v="C"/>
    <s v="Balanced/React"/>
    <n v="775"/>
    <n v="6.5"/>
    <m/>
    <m/>
    <m/>
    <m/>
    <s v="http://probaseballexperience.jcink.net/index.php?showtopic=5123&amp;view=findpost&amp;p=61652"/>
    <s v="S1"/>
    <s v="S1"/>
    <n v="12"/>
    <m/>
    <m/>
    <m/>
    <m/>
    <m/>
    <n v="2"/>
    <n v="3"/>
    <n v="4"/>
    <n v="5.75"/>
    <n v="6.25"/>
    <n v="6"/>
    <n v="706"/>
    <n v="360"/>
    <n v="352"/>
    <n v="344"/>
  </r>
  <r>
    <s v="http://probaseballexperience.jcink.net/index.php?showtopic=256"/>
    <x v="5"/>
    <s v="FTR"/>
    <s v="Pepe Alazar - LF"/>
    <s v="Pepe Alazar"/>
    <s v="CF"/>
    <s v="Contact/Speed"/>
    <n v="775"/>
    <n v="7.25"/>
    <m/>
    <m/>
    <m/>
    <m/>
    <m/>
    <s v="S1"/>
    <s v="S1"/>
    <n v="49"/>
    <m/>
    <m/>
    <m/>
    <m/>
    <m/>
    <n v="14"/>
    <n v="4"/>
    <n v="6.5"/>
    <n v="14.5"/>
    <n v="7.25"/>
    <n v="7.25"/>
    <n v="881"/>
    <n v="595"/>
    <n v="577"/>
    <n v="563"/>
  </r>
  <r>
    <s v="http://probaseballexperience.jcink.net/index.php?showtopic=3046&amp;st=0&amp;#entry32489"/>
    <x v="4"/>
    <s v="Whatistheinternet"/>
    <s v="Bobby Hill - SP"/>
    <s v="Bobby Hill"/>
    <s v="SP"/>
    <s v="Power"/>
    <n v="768"/>
    <n v="8.74"/>
    <n v="10"/>
    <n v="12"/>
    <m/>
    <m/>
    <m/>
    <s v="S6"/>
    <s v="S6"/>
    <n v="9"/>
    <s v="SCS"/>
    <n v="6"/>
    <n v="2"/>
    <m/>
    <m/>
    <m/>
    <m/>
    <m/>
    <n v="2.5"/>
    <n v="3.5"/>
    <n v="4"/>
    <n v="665"/>
    <m/>
    <m/>
    <m/>
  </r>
  <r>
    <s v="http://probaseballexperience.jcink.net/index.php?showtopic=453"/>
    <x v="1"/>
    <s v="Boss"/>
    <s v="Mike Boss - 1B"/>
    <s v="Mike Boss"/>
    <s v="1B"/>
    <s v="Power/Balanced"/>
    <n v="764"/>
    <n v="7.25"/>
    <m/>
    <m/>
    <m/>
    <m/>
    <m/>
    <s v="S1"/>
    <s v="S1"/>
    <n v="17"/>
    <m/>
    <m/>
    <m/>
    <m/>
    <n v="4"/>
    <n v="5"/>
    <n v="6.5"/>
    <n v="7.25"/>
    <n v="7.5"/>
    <n v="7.25"/>
    <n v="7.25"/>
    <n v="868"/>
    <n v="544"/>
    <n v="525"/>
    <n v="511"/>
  </r>
  <r>
    <s v="http://probaseballexperience.jcink.net/index.php?showtopic=123"/>
    <x v="1"/>
    <s v="Unicorn"/>
    <s v="Matthew Valentine - CF"/>
    <s v="Matthew Valentine"/>
    <s v="CF"/>
    <s v="Balanced/Speed"/>
    <n v="763"/>
    <n v="7.25"/>
    <m/>
    <m/>
    <m/>
    <m/>
    <s v="NTC"/>
    <s v="S1"/>
    <s v="S1"/>
    <n v="53"/>
    <m/>
    <m/>
    <m/>
    <m/>
    <n v="3"/>
    <n v="4"/>
    <n v="5"/>
    <n v="5.75"/>
    <n v="5"/>
    <n v="6.5"/>
    <n v="7.25"/>
    <n v="722"/>
    <n v="427"/>
    <n v="408"/>
    <n v="408"/>
  </r>
  <r>
    <s v="http://probaseballexperience.jcink.net/index.php?showtopic=72"/>
    <x v="1"/>
    <s v="4D Chess"/>
    <s v="Jackson Jackson - C"/>
    <s v="Jackson Jackson"/>
    <s v="C"/>
    <s v="Balanced/Arm"/>
    <n v="742"/>
    <n v="8"/>
    <m/>
    <m/>
    <m/>
    <m/>
    <s v="S8-10 MO"/>
    <s v="S1"/>
    <s v="S1"/>
    <s v="as GM"/>
    <m/>
    <m/>
    <m/>
    <m/>
    <n v="2"/>
    <n v="3"/>
    <n v="3"/>
    <n v="3"/>
    <n v="5"/>
    <n v="5.75"/>
    <n v="7.25"/>
    <n v="843"/>
    <n v="373"/>
    <n v="373"/>
    <n v="373"/>
  </r>
  <r>
    <s v="http://probaseballexperience.jcink.net/index.php?showtopic=2599"/>
    <x v="0"/>
    <s v="NamelessNate"/>
    <s v="Nate Piazza - C"/>
    <s v="Nate Piazza"/>
    <s v="C"/>
    <s v="Power/React"/>
    <n v="739"/>
    <n v="5.75"/>
    <n v="6.5"/>
    <m/>
    <m/>
    <m/>
    <s v="http://probaseballexperience.jcink.net/index.php?showtopic=4884"/>
    <s v="S5"/>
    <s v="S5"/>
    <n v="5"/>
    <m/>
    <m/>
    <m/>
    <m/>
    <m/>
    <m/>
    <m/>
    <n v="5"/>
    <n v="5"/>
    <n v="12"/>
    <n v="5.75"/>
    <n v="616"/>
    <n v="6.5"/>
    <m/>
    <m/>
  </r>
  <r>
    <s v="http://probaseballexperience.jcink.net/index.php?showtopic=2165"/>
    <x v="0"/>
    <s v="adam2552"/>
    <s v="Hawk Russell - LF"/>
    <s v="Hawk Russell"/>
    <s v="LF"/>
    <s v="Power/Balanced"/>
    <n v="738"/>
    <n v="6.5"/>
    <m/>
    <m/>
    <m/>
    <m/>
    <m/>
    <s v="S4"/>
    <s v="S4"/>
    <n v="7"/>
    <m/>
    <m/>
    <m/>
    <m/>
    <m/>
    <m/>
    <n v="4"/>
    <n v="3"/>
    <n v="8.5"/>
    <n v="10"/>
    <n v="5.75"/>
    <n v="684"/>
    <n v="5"/>
    <n v="100"/>
    <e v="#REF!"/>
  </r>
  <r>
    <s v="http://probaseballexperience.jcink.net/index.php?showtopic=3586"/>
    <x v="2"/>
    <s v="PSanchez55"/>
    <s v="Johnathon Livingston - CL"/>
    <s v="Johnathon Livingston"/>
    <s v="CL"/>
    <s v="Power"/>
    <n v="725"/>
    <n v="3"/>
    <m/>
    <m/>
    <m/>
    <m/>
    <s v="S10 TO"/>
    <s v="S7"/>
    <s v="S7"/>
    <n v="9"/>
    <m/>
    <m/>
    <m/>
    <m/>
    <m/>
    <m/>
    <m/>
    <m/>
    <m/>
    <s v="5 (0)"/>
    <n v="3"/>
    <n v="542"/>
    <m/>
    <m/>
    <m/>
  </r>
  <r>
    <s v="http://probaseballexperience.jcink.net/index.php?showtopic=3123"/>
    <x v="2"/>
    <s v="JVMjrDOT"/>
    <s v="Jordan von Matt - LF"/>
    <s v="Jordan von Matt"/>
    <s v="LF"/>
    <s v="Power/Balanced"/>
    <n v="718"/>
    <n v="6"/>
    <n v="7"/>
    <m/>
    <m/>
    <m/>
    <m/>
    <s v="S6"/>
    <s v="S6"/>
    <n v="19"/>
    <m/>
    <m/>
    <m/>
    <m/>
    <m/>
    <m/>
    <m/>
    <m/>
    <n v="2"/>
    <n v="2"/>
    <n v="2"/>
    <n v="625"/>
    <m/>
    <m/>
    <m/>
  </r>
  <r>
    <s v="http://probaseballexperience.jcink.net/index.php?showtopic=3561"/>
    <x v="2"/>
    <s v="BigTittySmitty"/>
    <s v="JJ Windsor - CL"/>
    <s v="JJ Windsor"/>
    <s v="CL"/>
    <s v="Balanced"/>
    <n v="717"/>
    <n v="4.5"/>
    <m/>
    <m/>
    <m/>
    <m/>
    <s v="S10 TO"/>
    <s v="S7"/>
    <s v="S7"/>
    <n v="7"/>
    <m/>
    <m/>
    <m/>
    <m/>
    <m/>
    <m/>
    <m/>
    <m/>
    <m/>
    <s v="5 (0)"/>
    <n v="3.5"/>
    <n v="544"/>
    <m/>
    <m/>
    <m/>
  </r>
  <r>
    <s v="http://probaseballexperience.jcink.net/index.php?showtopic=3108"/>
    <x v="6"/>
    <s v="rog"/>
    <s v="Huki Hawaii - C"/>
    <s v="Huki Hawaii"/>
    <s v="C"/>
    <s v="Balanced/Arm"/>
    <n v="717"/>
    <n v="15"/>
    <n v="15"/>
    <n v="10"/>
    <n v="10"/>
    <m/>
    <m/>
    <s v="S6"/>
    <s v="S6"/>
    <n v="2"/>
    <s v="SCS"/>
    <n v="6"/>
    <n v="6"/>
    <m/>
    <m/>
    <m/>
    <m/>
    <n v="3"/>
    <n v="3"/>
    <n v="3"/>
    <n v="3"/>
    <n v="604"/>
    <m/>
    <m/>
    <m/>
  </r>
  <r>
    <s v="http://probaseballexperience.jcink.net/index.php?showtopic=3019"/>
    <x v="2"/>
    <s v="CactusLeague"/>
    <s v="Kellan Buchanan - CF"/>
    <s v="Kellan Buchanan"/>
    <s v="3B"/>
    <s v="Balanced/Balanced"/>
    <n v="712"/>
    <n v="5.75"/>
    <m/>
    <m/>
    <m/>
    <m/>
    <s v="http://probaseballexperience.jcink.net/index.php?showtopic=5382"/>
    <s v="S6"/>
    <s v="S6"/>
    <n v="13"/>
    <m/>
    <m/>
    <m/>
    <m/>
    <m/>
    <m/>
    <m/>
    <m/>
    <n v="1.5"/>
    <n v="1.5"/>
    <n v="1.5"/>
    <n v="626"/>
    <m/>
    <m/>
    <m/>
  </r>
  <r>
    <s v="http://probaseballexperience.jcink.net/index.php?showtopic=2518"/>
    <x v="7"/>
    <s v="to12143"/>
    <s v="Tyler Oles - SP"/>
    <s v="Tyler Oles"/>
    <s v="SP"/>
    <s v="Power"/>
    <n v="701"/>
    <n v="4"/>
    <n v="4"/>
    <m/>
    <m/>
    <m/>
    <m/>
    <s v="S5"/>
    <s v="S5"/>
    <n v="4"/>
    <m/>
    <m/>
    <m/>
    <m/>
    <m/>
    <m/>
    <n v="3"/>
    <n v="3"/>
    <n v="5"/>
    <m/>
    <n v="10"/>
    <n v="701"/>
    <n v="2.5"/>
    <m/>
    <m/>
  </r>
  <r>
    <s v="http://probaseballexperience.jcink.net/index.php?showtopic=2591"/>
    <x v="3"/>
    <s v="Anderson Pooper"/>
    <s v="Anderson Pooper - SP"/>
    <s v="Anderson Pooper"/>
    <s v="SP"/>
    <s v="Balanced"/>
    <n v="696"/>
    <n v="6"/>
    <n v="5"/>
    <m/>
    <m/>
    <m/>
    <m/>
    <s v="S5"/>
    <s v="S5"/>
    <n v="29"/>
    <m/>
    <m/>
    <m/>
    <m/>
    <m/>
    <m/>
    <m/>
    <n v="2"/>
    <n v="2"/>
    <n v="3.4"/>
    <n v="15.49"/>
    <n v="467"/>
    <m/>
    <m/>
    <m/>
  </r>
  <r>
    <s v="http://probaseballexperience.jcink.net/index.php?showtopic=354"/>
    <x v="7"/>
    <s v="Symmetrik"/>
    <s v="Marcos Gonzalez - CF"/>
    <s v="Marcos Gonzalez"/>
    <s v="CF"/>
    <s v="Power/Speed"/>
    <n v="689"/>
    <n v="6.5"/>
    <m/>
    <m/>
    <m/>
    <m/>
    <m/>
    <s v="S1"/>
    <s v="S1"/>
    <n v="69"/>
    <m/>
    <m/>
    <m/>
    <m/>
    <n v="3"/>
    <n v="5"/>
    <n v="5"/>
    <n v="5"/>
    <n v="5.75"/>
    <n v="7.25"/>
    <n v="8"/>
    <n v="749"/>
    <n v="302"/>
    <n v="270"/>
    <n v="270"/>
  </r>
  <r>
    <s v="http://probaseballexperience.jcink.net/index.php?showtopic=3117"/>
    <x v="0"/>
    <s v="Daybe"/>
    <s v="Jax Hunter - SP"/>
    <s v="Jax Hunter"/>
    <s v="CL"/>
    <s v="Power"/>
    <n v="685"/>
    <n v="5"/>
    <m/>
    <m/>
    <m/>
    <m/>
    <m/>
    <s v="S6"/>
    <s v="S6"/>
    <n v="31"/>
    <s v="ASE"/>
    <n v="6"/>
    <n v="5"/>
    <s v="Y"/>
    <m/>
    <m/>
    <m/>
    <m/>
    <n v="1.5"/>
    <n v="7"/>
    <n v="8"/>
    <n v="565"/>
    <n v="0.75"/>
    <m/>
    <m/>
  </r>
  <r>
    <s v="http://probaseballexperience.jcink.net/index.php?showtopic=618"/>
    <x v="4"/>
    <s v="HalfEatenOnionBagel"/>
    <s v="Chuck Gamble - CL"/>
    <s v="Chuck Gamble"/>
    <s v="CL"/>
    <s v="Balanced"/>
    <n v="660"/>
    <n v="7.5"/>
    <m/>
    <m/>
    <m/>
    <m/>
    <m/>
    <s v="S1"/>
    <s v="S2"/>
    <n v="4"/>
    <m/>
    <m/>
    <m/>
    <m/>
    <n v="3"/>
    <n v="4"/>
    <n v="4"/>
    <n v="5.75"/>
    <n v="8"/>
    <n v="8"/>
    <n v="422"/>
    <n v="675"/>
    <n v="404"/>
    <n v="392"/>
    <n v="351"/>
  </r>
  <r>
    <s v="http://probaseballexperience.jcink.net/index.php?showtopic=3909"/>
    <x v="6"/>
    <s v="StamkosFan"/>
    <s v="Barry Keller - SP"/>
    <s v="Barry Keller"/>
    <s v="SP"/>
    <s v="Balance"/>
    <n v="658"/>
    <n v="6"/>
    <n v="7"/>
    <m/>
    <m/>
    <m/>
    <s v="S11 MO"/>
    <s v="S7"/>
    <s v="S8"/>
    <n v="1"/>
    <m/>
    <m/>
    <m/>
    <m/>
    <m/>
    <m/>
    <m/>
    <m/>
    <m/>
    <n v="0"/>
    <n v="5"/>
    <n v="498"/>
    <m/>
    <m/>
    <m/>
  </r>
  <r>
    <s v="http://probaseballexperience.jcink.net/index.php?showtopic=3764"/>
    <x v="6"/>
    <s v="DeathOnReddit"/>
    <s v="Arbin Asipi Jr - SS"/>
    <s v="Arbin Asipi Jr"/>
    <s v="SS"/>
    <s v="Contact/Quick"/>
    <n v="655"/>
    <n v="6"/>
    <n v="6"/>
    <m/>
    <m/>
    <m/>
    <s v="S11 MO"/>
    <s v="S7"/>
    <s v="S8"/>
    <n v="9"/>
    <m/>
    <m/>
    <m/>
    <m/>
    <m/>
    <m/>
    <m/>
    <m/>
    <m/>
    <n v="0"/>
    <n v="6"/>
    <n v="493"/>
    <m/>
    <m/>
    <m/>
  </r>
  <r>
    <s v="http://probaseballexperience.jcink.net/index.php?showtopic=2525"/>
    <x v="2"/>
    <s v="Rindiee"/>
    <s v="Kimetrius Webster - 2B"/>
    <s v="Kimetrius Webster"/>
    <s v="1B"/>
    <s v="Power/Arm"/>
    <n v="647"/>
    <n v="5.75"/>
    <m/>
    <m/>
    <m/>
    <m/>
    <m/>
    <s v="S5"/>
    <s v="S5"/>
    <n v="20"/>
    <m/>
    <m/>
    <m/>
    <m/>
    <m/>
    <m/>
    <m/>
    <n v="6"/>
    <n v="3"/>
    <n v="3"/>
    <n v="5"/>
    <n v="647"/>
    <m/>
    <m/>
    <m/>
  </r>
  <r>
    <s v="http://probaseballexperience.jcink.net/index.php?showtopic=1934"/>
    <x v="4"/>
    <s v="Dweaves08"/>
    <s v="Matthew Auston - SP"/>
    <s v="Matthew Auston"/>
    <s v="SP"/>
    <s v="Power"/>
    <n v="646"/>
    <n v="7.25"/>
    <m/>
    <m/>
    <m/>
    <m/>
    <m/>
    <s v="S3"/>
    <s v="S4"/>
    <n v="5"/>
    <m/>
    <m/>
    <m/>
    <m/>
    <m/>
    <n v="1"/>
    <n v="5"/>
    <n v="5"/>
    <n v="5"/>
    <n v="4"/>
    <n v="5"/>
    <n v="646"/>
    <n v="150"/>
    <n v="140"/>
    <n v="129"/>
  </r>
  <r>
    <s v="http://probaseballexperience.jcink.net/index.php?showtopic=3018"/>
    <x v="0"/>
    <s v="Isaac"/>
    <s v="George McBash - 3B"/>
    <s v="George McBash"/>
    <s v="1B"/>
    <s v="Power/Arm"/>
    <n v="642"/>
    <n v="6"/>
    <n v="6"/>
    <n v="7.5"/>
    <m/>
    <m/>
    <m/>
    <s v="S6"/>
    <s v="S6"/>
    <n v="8"/>
    <m/>
    <m/>
    <m/>
    <m/>
    <m/>
    <m/>
    <m/>
    <m/>
    <n v="3.5"/>
    <n v="3.5"/>
    <n v="3.5"/>
    <n v="508"/>
    <n v="10"/>
    <m/>
    <m/>
  </r>
  <r>
    <s v="http://probaseballexperience.jcink.net/index.php?showtopic=4057"/>
    <x v="4"/>
    <s v="Patdatass"/>
    <s v="Patrick Kelley - SS"/>
    <s v="Patrick Kelley"/>
    <s v="SS"/>
    <s v="Balanced/Balanced"/>
    <n v="596"/>
    <n v="3"/>
    <n v="3"/>
    <m/>
    <m/>
    <m/>
    <s v="S11 MO"/>
    <s v="S8"/>
    <s v="S8"/>
    <n v="18"/>
    <m/>
    <m/>
    <m/>
    <m/>
    <m/>
    <m/>
    <m/>
    <m/>
    <m/>
    <m/>
    <n v="0"/>
    <n v="380"/>
    <m/>
    <m/>
    <m/>
  </r>
  <r>
    <s v="http://probaseballexperience.jcink.net/index.php?showtopic=4072"/>
    <x v="6"/>
    <s v="speculadora"/>
    <s v="Hunter Harrison - 3B"/>
    <s v="Hunter Harrison"/>
    <s v="3B"/>
    <s v="Contact/Arm"/>
    <n v="592"/>
    <n v="6"/>
    <n v="7"/>
    <m/>
    <m/>
    <m/>
    <s v="S11 TO"/>
    <s v="S8"/>
    <s v="S8"/>
    <n v="8"/>
    <m/>
    <m/>
    <m/>
    <m/>
    <m/>
    <m/>
    <m/>
    <m/>
    <m/>
    <n v="0"/>
    <n v="5"/>
    <n v="396"/>
    <m/>
    <m/>
    <m/>
  </r>
  <r>
    <s v="http://probaseballexperience.jcink.net/index.php?showtopic=114"/>
    <x v="7"/>
    <s v="ADwyer87"/>
    <s v="Austin Dye - SS"/>
    <s v="Austin Dye"/>
    <s v="SS"/>
    <s v="Balanced/Strong Arm"/>
    <n v="586"/>
    <n v="5"/>
    <m/>
    <m/>
    <m/>
    <m/>
    <m/>
    <s v="S1"/>
    <s v="S1"/>
    <s v="as GM"/>
    <m/>
    <m/>
    <m/>
    <m/>
    <m/>
    <n v="2"/>
    <m/>
    <n v="2"/>
    <n v="4"/>
    <n v="6"/>
    <n v="8"/>
    <n v="564"/>
    <m/>
    <m/>
    <n v="261"/>
  </r>
  <r>
    <s v="http://probaseballexperience.jcink.net/index.php?showtopic=3634"/>
    <x v="7"/>
    <s v="Muford"/>
    <s v="Mikhail Burgen - SP"/>
    <s v="Mikhail Burgen"/>
    <s v="SP"/>
    <s v="Power"/>
    <n v="585"/>
    <n v="15"/>
    <m/>
    <m/>
    <m/>
    <m/>
    <s v="S10 TO"/>
    <s v="S7"/>
    <s v="S7"/>
    <n v="12"/>
    <m/>
    <m/>
    <m/>
    <m/>
    <m/>
    <m/>
    <m/>
    <m/>
    <m/>
    <s v="5 (0)"/>
    <n v="3"/>
    <n v="403"/>
    <n v="3"/>
    <m/>
    <m/>
  </r>
  <r>
    <s v="http://probaseballexperience.jcink.net/index.php?showtopic=3476"/>
    <x v="3"/>
    <s v="Blastmeaway"/>
    <s v="Amp Bogart - RF"/>
    <s v="Amp Bogart"/>
    <s v="3B"/>
    <s v="Power/Arm"/>
    <n v="584"/>
    <n v="4.5"/>
    <m/>
    <m/>
    <m/>
    <m/>
    <s v="S10 MO"/>
    <s v="S7"/>
    <s v="S7"/>
    <n v="1"/>
    <m/>
    <m/>
    <m/>
    <m/>
    <m/>
    <m/>
    <m/>
    <m/>
    <s v="5 (0)"/>
    <n v="5"/>
    <n v="4"/>
    <n v="478"/>
    <m/>
    <m/>
    <m/>
  </r>
  <r>
    <s v="http://probaseballexperience.jcink.net/index.php?showtopic=4032"/>
    <x v="3"/>
    <s v="kentuckycolonel"/>
    <s v="Frederick Birdington - SP"/>
    <s v="Frederick Birdington"/>
    <s v="SP"/>
    <s v="Balanced"/>
    <n v="580"/>
    <n v="4"/>
    <m/>
    <m/>
    <m/>
    <m/>
    <s v="S10 MO http://probaseballexperience.jcink.net/index.php?showtopic=4214"/>
    <s v="S8"/>
    <s v="S8"/>
    <n v="4"/>
    <m/>
    <m/>
    <m/>
    <m/>
    <m/>
    <m/>
    <m/>
    <m/>
    <m/>
    <n v="0"/>
    <n v="4"/>
    <n v="395"/>
    <m/>
    <m/>
    <m/>
  </r>
  <r>
    <s v="http://probaseballexperience.jcink.net/index.php?showtopic=3104"/>
    <x v="3"/>
    <s v="andybj"/>
    <s v="Catolo Kittone - C"/>
    <s v="Catolo Kittone"/>
    <s v="C"/>
    <s v="Contact/React"/>
    <n v="575"/>
    <n v="4.75"/>
    <n v="5"/>
    <m/>
    <m/>
    <m/>
    <m/>
    <s v="S6"/>
    <s v="S6"/>
    <n v="11"/>
    <s v="ASE"/>
    <n v="6"/>
    <n v="4"/>
    <m/>
    <m/>
    <m/>
    <m/>
    <n v="2"/>
    <n v="2"/>
    <n v="2"/>
    <n v="2"/>
    <n v="473"/>
    <m/>
    <m/>
    <m/>
  </r>
  <r>
    <s v="http://probaseballexperience.jcink.net/index.php?showtopic=2307"/>
    <x v="0"/>
    <s v="Neb"/>
    <s v="Trent Boult - SP"/>
    <s v="Trent Boult"/>
    <s v="SP"/>
    <s v="Power"/>
    <n v="548"/>
    <n v="4"/>
    <m/>
    <m/>
    <m/>
    <m/>
    <s v="http://probaseballexperience.jcink.net/index.php?showtopic=4939"/>
    <s v="S4"/>
    <s v="S4"/>
    <n v="13"/>
    <m/>
    <m/>
    <m/>
    <m/>
    <m/>
    <m/>
    <n v="3"/>
    <n v="3"/>
    <n v="3"/>
    <n v="2"/>
    <n v="5"/>
    <n v="454"/>
    <n v="4"/>
    <n v="100"/>
    <m/>
  </r>
  <r>
    <s v="http://probaseballexperience.jcink.net/index.php?showtopic=3539"/>
    <x v="6"/>
    <s v="J.G.10"/>
    <s v="Coreys Brother - SP"/>
    <s v="Coreys Brother"/>
    <s v="SP"/>
    <s v="Power"/>
    <n v="542"/>
    <n v="3"/>
    <m/>
    <m/>
    <m/>
    <m/>
    <s v="S10 TO NTC"/>
    <s v="S7"/>
    <s v="S7"/>
    <n v="3"/>
    <m/>
    <m/>
    <m/>
    <m/>
    <m/>
    <m/>
    <m/>
    <m/>
    <s v="5 (0)"/>
    <n v="3"/>
    <n v="3"/>
    <n v="473"/>
    <m/>
    <m/>
    <m/>
  </r>
  <r>
    <s v="http://probaseballexperience.jcink.net/index.php?showtopic=3980"/>
    <x v="6"/>
    <s v="McWolf"/>
    <s v="Isidore Fox - CF"/>
    <s v="Isidore Fox"/>
    <s v="CF"/>
    <s v="Contact/Speedy"/>
    <n v="540"/>
    <n v="3"/>
    <m/>
    <m/>
    <m/>
    <m/>
    <s v="S10 MO http://probaseballexperience.jcink.net/index.php?showtopic=4215"/>
    <s v="S8"/>
    <s v="S8"/>
    <n v="10"/>
    <m/>
    <m/>
    <m/>
    <m/>
    <m/>
    <m/>
    <m/>
    <m/>
    <m/>
    <n v="0"/>
    <n v="3"/>
    <n v="374"/>
    <m/>
    <m/>
    <m/>
  </r>
  <r>
    <s v="http://probaseballexperience.jcink.net/index.php?showtopic=115"/>
    <x v="6"/>
    <s v="DrunkenTeddy"/>
    <s v="Robert Phelps - LF"/>
    <s v="Robert Phelps"/>
    <s v="LF"/>
    <s v="Contact/Balanced"/>
    <n v="538"/>
    <n v="5.75"/>
    <m/>
    <m/>
    <m/>
    <m/>
    <m/>
    <s v="S1"/>
    <s v="S1"/>
    <n v="7"/>
    <m/>
    <m/>
    <m/>
    <m/>
    <m/>
    <n v="4.5"/>
    <n v="4"/>
    <n v="5"/>
    <n v="5.75"/>
    <n v="7.25"/>
    <n v="5.75"/>
    <n v="611"/>
    <n v="5.75"/>
    <n v="456"/>
    <n v="444"/>
  </r>
  <r>
    <s v="http://probaseballexperience.jcink.net/index.php?showtopic=3967"/>
    <x v="5"/>
    <s v="Yurt6"/>
    <s v="Ulysses Rove - SS"/>
    <s v="Ulysses Rove"/>
    <s v="SS"/>
    <s v="Power/Speedy"/>
    <n v="535"/>
    <n v="3"/>
    <n v="3"/>
    <m/>
    <m/>
    <m/>
    <s v="S11 TO"/>
    <s v="S8"/>
    <s v="S8"/>
    <n v="5"/>
    <m/>
    <m/>
    <m/>
    <m/>
    <m/>
    <m/>
    <m/>
    <m/>
    <m/>
    <m/>
    <n v="0"/>
    <n v="355"/>
    <m/>
    <m/>
    <m/>
  </r>
  <r>
    <s v="http://probaseballexperience.jcink.net/index.php?showtopic=188"/>
    <x v="6"/>
    <s v="StevenO'Sullivan"/>
    <s v="Steven O'Sullivan - CF"/>
    <s v="Steven O'Sullivan"/>
    <s v="C"/>
    <s v="Speed/Speed"/>
    <n v="527"/>
    <n v="6.5"/>
    <m/>
    <m/>
    <m/>
    <m/>
    <m/>
    <s v="S1"/>
    <s v="S1"/>
    <n v="35"/>
    <m/>
    <m/>
    <m/>
    <m/>
    <m/>
    <n v="3"/>
    <n v="3"/>
    <n v="4"/>
    <n v="5.75"/>
    <n v="5"/>
    <n v="5"/>
    <n v="598"/>
    <n v="5"/>
    <n v="342"/>
    <n v="292"/>
  </r>
  <r>
    <s v="http://probaseballexperience.jcink.net/index.php?showtopic=3576"/>
    <x v="0"/>
    <s v="klitmania"/>
    <s v="Alexander Blitz - SS"/>
    <s v="Alexander Blitz"/>
    <s v="2B"/>
    <s v="Contact/Balanced"/>
    <n v="526"/>
    <n v="4"/>
    <m/>
    <m/>
    <m/>
    <m/>
    <s v="S10 TO"/>
    <s v="S7"/>
    <s v="S7"/>
    <n v="30"/>
    <m/>
    <m/>
    <m/>
    <m/>
    <m/>
    <m/>
    <m/>
    <m/>
    <m/>
    <s v="5 (0)"/>
    <n v="4"/>
    <n v="375"/>
    <n v="3"/>
    <m/>
    <m/>
  </r>
  <r>
    <m/>
    <x v="0"/>
    <s v="John DeMars"/>
    <s v="John DeMars - RF"/>
    <s v="John DeMars"/>
    <s v="RF"/>
    <s v="Balanced/Speedy"/>
    <n v="505"/>
    <n v="6"/>
    <n v="6"/>
    <m/>
    <m/>
    <m/>
    <s v="http://probaseballexperience.jcink.net/index.php?showtopic=4745&amp;hl=kramer"/>
    <s v="S8"/>
    <m/>
    <m/>
    <m/>
    <m/>
    <m/>
    <m/>
    <m/>
    <m/>
    <m/>
    <m/>
    <m/>
    <m/>
    <n v="3"/>
    <n v="323"/>
    <m/>
    <m/>
    <m/>
  </r>
  <r>
    <s v="http://probaseballexperience.jcink.net/index.php?showtopic=2575"/>
    <x v="7"/>
    <s v="Carbine"/>
    <s v="Mac Kaarbine - SP"/>
    <s v="Mac Kaarbine"/>
    <s v="CL"/>
    <s v="Finesse"/>
    <n v="491"/>
    <n v="5"/>
    <n v="5"/>
    <m/>
    <m/>
    <m/>
    <s v="S11 PO"/>
    <s v="S5"/>
    <s v="S5"/>
    <n v="15"/>
    <m/>
    <m/>
    <m/>
    <m/>
    <m/>
    <m/>
    <n v="4"/>
    <n v="3"/>
    <n v="3"/>
    <n v="5"/>
    <n v="5"/>
    <n v="471"/>
    <m/>
    <m/>
    <m/>
  </r>
  <r>
    <s v="http://probaseballexperience.jcink.net/index.php?showtopic=2601"/>
    <x v="1"/>
    <s v="Nathan_Hall"/>
    <s v="AJ Robertson - 3B"/>
    <s v="AJ Robertson"/>
    <s v="3B"/>
    <s v="Balanced/Arm"/>
    <n v="462"/>
    <n v="7.25"/>
    <m/>
    <m/>
    <m/>
    <m/>
    <m/>
    <s v="S5"/>
    <s v="S5"/>
    <n v="17"/>
    <m/>
    <m/>
    <m/>
    <m/>
    <m/>
    <m/>
    <m/>
    <n v="1.66"/>
    <n v="3.5"/>
    <n v="3"/>
    <n v="5"/>
    <n v="462"/>
    <n v="4"/>
    <m/>
    <m/>
  </r>
  <r>
    <s v="http://probaseballexperience.jcink.net/index.php?showtopic=3619"/>
    <x v="7"/>
    <s v="ml002"/>
    <s v="Micheal Lang - SP"/>
    <s v="Micheal Lang"/>
    <s v="SP"/>
    <s v="Balanced"/>
    <n v="443"/>
    <n v="4"/>
    <m/>
    <m/>
    <m/>
    <m/>
    <s v="S10 TO"/>
    <s v="S7"/>
    <s v="S7"/>
    <n v="5"/>
    <m/>
    <m/>
    <m/>
    <m/>
    <m/>
    <m/>
    <m/>
    <m/>
    <m/>
    <s v="5 (0)"/>
    <n v="4"/>
    <n v="364"/>
    <n v="4"/>
    <m/>
    <m/>
  </r>
  <r>
    <s v="http://probaseballexperience.jcink.net/index.php?showtopic=2989"/>
    <x v="1"/>
    <s v="Dawegg"/>
    <s v="Lucas North - SP"/>
    <s v="Lucas North"/>
    <s v="SP"/>
    <s v="Finesse"/>
    <n v="434"/>
    <n v="4"/>
    <m/>
    <m/>
    <m/>
    <m/>
    <m/>
    <s v="S6"/>
    <s v="S6"/>
    <n v="4"/>
    <m/>
    <m/>
    <m/>
    <m/>
    <m/>
    <m/>
    <m/>
    <m/>
    <n v="4"/>
    <n v="6"/>
    <n v="3"/>
    <n v="434"/>
    <n v="4"/>
    <m/>
    <m/>
  </r>
  <r>
    <s v="http://probaseballexperience.jcink.net/index.php?showtopic=2674"/>
    <x v="0"/>
    <s v="JSS"/>
    <s v="Zack Malatesta - CF"/>
    <s v="Zack Malatesta"/>
    <s v="CF"/>
    <s v="Speed/Balanced"/>
    <n v="431"/>
    <n v="4"/>
    <m/>
    <m/>
    <m/>
    <m/>
    <s v="http://probaseballexperience.jcink.net/index.php?showtopic=4884"/>
    <s v="S5"/>
    <s v="S5"/>
    <n v="19"/>
    <s v="ASE"/>
    <n v="6"/>
    <n v="1"/>
    <m/>
    <m/>
    <m/>
    <m/>
    <n v="1.25"/>
    <n v="1.25"/>
    <n v="1.25"/>
    <n v="4"/>
    <n v="431"/>
    <n v="3"/>
    <m/>
    <m/>
  </r>
  <r>
    <m/>
    <x v="7"/>
    <s v="OBESE"/>
    <s v="Brett Smoky - CL"/>
    <s v="Brett Smoky"/>
    <s v="CL"/>
    <s v="Finesse"/>
    <n v="430"/>
    <n v="4"/>
    <m/>
    <m/>
    <m/>
    <m/>
    <m/>
    <s v="S6"/>
    <s v="S6"/>
    <n v="13"/>
    <m/>
    <m/>
    <m/>
    <m/>
    <m/>
    <m/>
    <m/>
    <m/>
    <m/>
    <m/>
    <n v="1"/>
    <n v="430"/>
    <m/>
    <m/>
    <m/>
  </r>
  <r>
    <s v="http://probaseballexperience.jcink.net/index.php?showtopic=2337"/>
    <x v="6"/>
    <s v="run_CMC"/>
    <s v="Orlando Jackson - LF"/>
    <s v="Orlando Jackson"/>
    <s v="LF"/>
    <s v="Balanced/Balanced "/>
    <n v="422"/>
    <n v="6.5"/>
    <n v="7.25"/>
    <m/>
    <m/>
    <m/>
    <s v="S11 TO"/>
    <s v="S4"/>
    <s v="S5"/>
    <n v="18"/>
    <m/>
    <m/>
    <m/>
    <m/>
    <m/>
    <n v="2"/>
    <n v="1.5"/>
    <n v="1.5"/>
    <n v="1.5"/>
    <n v="4"/>
    <n v="5"/>
    <n v="422"/>
    <n v="100"/>
    <n v="100"/>
    <m/>
  </r>
  <r>
    <s v="http://probaseballexperience.jcink.net/index.php?showtopic=141"/>
    <x v="5"/>
    <s v="TheMemeMaestro"/>
    <s v="Lazaro Hernandez - 1B"/>
    <s v="Lazaro Hernandez"/>
    <s v="1B"/>
    <s v="Power/Quick"/>
    <n v="420"/>
    <n v="4"/>
    <m/>
    <m/>
    <m/>
    <m/>
    <m/>
    <s v="S1"/>
    <s v="S1"/>
    <n v="63"/>
    <m/>
    <m/>
    <m/>
    <m/>
    <n v="0.5"/>
    <n v="2"/>
    <n v="3"/>
    <n v="5"/>
    <n v="5.75"/>
    <n v="7.25"/>
    <n v="8"/>
    <n v="477"/>
    <n v="269"/>
    <n v="247"/>
    <n v="149"/>
  </r>
  <r>
    <s v="http://probaseballexperience.jcink.net/index.php?showtopic=3430&amp;view=findpost&amp;p=37310"/>
    <x v="1"/>
    <s v="luketd"/>
    <s v="Pete Peters - SP"/>
    <s v="Pete Peters"/>
    <s v="SP"/>
    <s v="Finesse"/>
    <n v="417"/>
    <n v="3"/>
    <m/>
    <m/>
    <m/>
    <m/>
    <s v="S10 MO"/>
    <s v="S6"/>
    <s v="S7"/>
    <n v="4"/>
    <m/>
    <m/>
    <m/>
    <m/>
    <m/>
    <m/>
    <m/>
    <m/>
    <n v="0.9"/>
    <n v="3"/>
    <n v="3"/>
    <n v="360"/>
    <m/>
    <m/>
    <m/>
  </r>
  <r>
    <s v="http://probaseballexperience.jcink.net/index.php?showtopic=3153"/>
    <x v="7"/>
    <s v="Ace"/>
    <s v="Ace Faulkner - SP"/>
    <s v="Ace Faulkner"/>
    <s v="SP"/>
    <s v="Balanced"/>
    <n v="415"/>
    <n v="8"/>
    <m/>
    <m/>
    <m/>
    <m/>
    <m/>
    <s v="S6"/>
    <s v="S6"/>
    <n v="6"/>
    <m/>
    <m/>
    <m/>
    <m/>
    <m/>
    <m/>
    <m/>
    <m/>
    <n v="3"/>
    <n v="3"/>
    <n v="3"/>
    <n v="353"/>
    <n v="3"/>
    <m/>
    <m/>
  </r>
  <r>
    <s v="http://probaseballexperience.jcink.net/index.php?showtopic=3979"/>
    <x v="4"/>
    <s v="YeliBoy"/>
    <s v="Yeliboy Uecker - RF"/>
    <s v="Yeliboy Uecker"/>
    <s v="CF"/>
    <s v="Power/Arm"/>
    <n v="413"/>
    <n v="5"/>
    <n v="5"/>
    <m/>
    <m/>
    <m/>
    <s v="S11 TO"/>
    <s v="S8"/>
    <s v="S8"/>
    <n v="3"/>
    <m/>
    <m/>
    <m/>
    <m/>
    <m/>
    <m/>
    <m/>
    <m/>
    <m/>
    <m/>
    <n v="0"/>
    <n v="293"/>
    <m/>
    <m/>
    <m/>
  </r>
  <r>
    <m/>
    <x v="7"/>
    <s v="Jiggly_333"/>
    <s v="Dorothy Morimura - RF"/>
    <s v="Dorothy Morimura"/>
    <s v="RF"/>
    <s v="Contact/Arm"/>
    <n v="398"/>
    <n v="2"/>
    <n v="2.5"/>
    <n v="3"/>
    <m/>
    <m/>
    <s v="S12 TO"/>
    <s v="S9"/>
    <s v="S9"/>
    <n v="25"/>
    <m/>
    <m/>
    <m/>
    <m/>
    <m/>
    <m/>
    <m/>
    <m/>
    <m/>
    <m/>
    <s v="0 (5)"/>
    <n v="222"/>
    <m/>
    <m/>
    <m/>
  </r>
  <r>
    <m/>
    <x v="3"/>
    <s v="PersonMann"/>
    <s v="Firstname Lastname - C"/>
    <s v="Firstname Lastname"/>
    <s v="C"/>
    <s v="Power/Arm"/>
    <n v="394"/>
    <n v="4.5"/>
    <n v="5"/>
    <m/>
    <m/>
    <m/>
    <s v="S11 TO"/>
    <s v="S9"/>
    <s v="S9"/>
    <n v="8"/>
    <m/>
    <m/>
    <m/>
    <m/>
    <m/>
    <m/>
    <m/>
    <m/>
    <m/>
    <m/>
    <s v="0(5)"/>
    <n v="199"/>
    <m/>
    <m/>
    <m/>
  </r>
  <r>
    <s v="http://probaseballexperience.jcink.net/index.php?showtopic=1441"/>
    <x v="8"/>
    <s v="KeeksMarone"/>
    <s v="Keeks Marone - CF"/>
    <s v="Keeks Marone"/>
    <s v="LF"/>
    <s v="Contact/Speed"/>
    <n v="394"/>
    <m/>
    <m/>
    <m/>
    <m/>
    <m/>
    <m/>
    <s v="S2"/>
    <s v="S3"/>
    <n v="23"/>
    <m/>
    <m/>
    <m/>
    <m/>
    <n v="7"/>
    <n v="1"/>
    <n v="1"/>
    <n v="3"/>
    <n v="5"/>
    <n v="5.75"/>
    <n v="3"/>
    <n v="394"/>
    <m/>
    <n v="215"/>
    <n v="199"/>
  </r>
  <r>
    <s v="http://probaseballexperience.jcink.net/index.php?showtopic=2605"/>
    <x v="5"/>
    <s v="Doctor Topher"/>
    <s v="Chris Bennett - CL"/>
    <s v="Chris Bennett"/>
    <s v="SP"/>
    <s v="Finesse"/>
    <n v="390"/>
    <n v="3"/>
    <m/>
    <m/>
    <m/>
    <m/>
    <m/>
    <s v="S5"/>
    <s v="S5"/>
    <n v="2"/>
    <m/>
    <m/>
    <m/>
    <m/>
    <m/>
    <m/>
    <n v="4"/>
    <n v="5"/>
    <n v="5"/>
    <n v="4"/>
    <m/>
    <n v="390"/>
    <m/>
    <m/>
    <m/>
  </r>
  <r>
    <m/>
    <x v="7"/>
    <s v="KC Philip"/>
    <s v="Seth Crossland - CF"/>
    <s v="Seth Crossland"/>
    <s v="CF"/>
    <s v="Speed/Speedy"/>
    <n v="382"/>
    <n v="5"/>
    <n v="5"/>
    <n v="5"/>
    <m/>
    <m/>
    <s v="S12 TO"/>
    <s v="S9"/>
    <s v="S9"/>
    <n v="4"/>
    <m/>
    <m/>
    <m/>
    <m/>
    <m/>
    <m/>
    <m/>
    <m/>
    <m/>
    <m/>
    <s v="0(5)"/>
    <n v="168"/>
    <m/>
    <m/>
    <m/>
  </r>
  <r>
    <m/>
    <x v="0"/>
    <s v="SJMcWalless06"/>
    <s v="Hayley MaConnell - SP"/>
    <s v="Hayley MaConnell"/>
    <s v="SP"/>
    <s v="Knuckleball"/>
    <n v="382"/>
    <n v="5"/>
    <n v="5"/>
    <n v="5"/>
    <m/>
    <m/>
    <s v="http://probaseballexperience.jcink.net/index.php?showtopic=4745&amp;hl=kramer"/>
    <s v="S9"/>
    <s v="S9"/>
    <n v="38"/>
    <m/>
    <m/>
    <m/>
    <m/>
    <m/>
    <m/>
    <m/>
    <m/>
    <m/>
    <m/>
    <s v="0(5)"/>
    <n v="174"/>
    <m/>
    <m/>
    <m/>
  </r>
  <r>
    <s v="http://probaseballexperience.jcink.net/index.php?showtopic=3736"/>
    <x v="5"/>
    <s v="Banackock"/>
    <s v="Tristan Cameron - LF"/>
    <s v="Tristan Cameron"/>
    <s v="LF"/>
    <s v="Power/Balanced"/>
    <n v="382"/>
    <n v="2.5"/>
    <n v="2.5"/>
    <m/>
    <m/>
    <m/>
    <s v="S11 TO"/>
    <s v="S7"/>
    <s v="S8"/>
    <n v="15"/>
    <m/>
    <m/>
    <m/>
    <m/>
    <m/>
    <m/>
    <m/>
    <m/>
    <m/>
    <m/>
    <n v="0"/>
    <n v="271"/>
    <m/>
    <m/>
    <m/>
  </r>
  <r>
    <m/>
    <x v="0"/>
    <s v="JAJabs"/>
    <s v="J.A. Jabs - SP"/>
    <s v="J.A. Jabs"/>
    <s v="SP"/>
    <s v="Balanced"/>
    <n v="379"/>
    <n v="6"/>
    <n v="4"/>
    <m/>
    <m/>
    <m/>
    <s v="http://probaseballexperience.jcink.net/index.php?showtopic=4745&amp;hl=kramer"/>
    <s v="S9"/>
    <s v="S9"/>
    <n v="3"/>
    <m/>
    <m/>
    <m/>
    <m/>
    <m/>
    <m/>
    <m/>
    <m/>
    <m/>
    <m/>
    <n v="0.499"/>
    <n v="196"/>
    <m/>
    <m/>
    <m/>
  </r>
  <r>
    <m/>
    <x v="7"/>
    <s v="Jdre17"/>
    <s v="JD Jacks - SS"/>
    <s v="JD Jacks"/>
    <s v="SS"/>
    <s v="Balanced/Balanced"/>
    <n v="374"/>
    <n v="2"/>
    <n v="3"/>
    <m/>
    <m/>
    <m/>
    <s v="S11 TO"/>
    <s v="S9"/>
    <s v="S9"/>
    <n v="42"/>
    <m/>
    <m/>
    <m/>
    <m/>
    <m/>
    <m/>
    <m/>
    <m/>
    <m/>
    <m/>
    <s v="0(5)"/>
    <n v="159"/>
    <m/>
    <m/>
    <m/>
  </r>
  <r>
    <s v="http://probaseballexperience.jcink.net/index.php?showtopic=2984"/>
    <x v="3"/>
    <s v="Muf BeatsBy Crit Feinstein"/>
    <s v="Damien Walec - SP"/>
    <s v="Damien Walec"/>
    <s v="SP"/>
    <s v="Balanced"/>
    <n v="364"/>
    <n v="3"/>
    <m/>
    <m/>
    <m/>
    <m/>
    <m/>
    <s v="S6"/>
    <s v="S6"/>
    <n v="5"/>
    <m/>
    <m/>
    <m/>
    <m/>
    <m/>
    <m/>
    <m/>
    <n v="6.5"/>
    <n v="2.5"/>
    <n v="2"/>
    <n v="2"/>
    <n v="364"/>
    <m/>
    <m/>
    <m/>
  </r>
  <r>
    <m/>
    <x v="0"/>
    <s v="PaytonM34"/>
    <s v="Chanandler Bong - 1B"/>
    <s v="Chanandler Bong"/>
    <s v="1B"/>
    <s v="Power/DH"/>
    <n v="362"/>
    <n v="5"/>
    <n v="5"/>
    <n v="5"/>
    <m/>
    <m/>
    <s v="http://probaseballexperience.jcink.net/index.php?showtopic=4745&amp;hl=kramer"/>
    <s v="S9"/>
    <s v="S9"/>
    <n v="19"/>
    <m/>
    <m/>
    <m/>
    <m/>
    <m/>
    <m/>
    <m/>
    <m/>
    <m/>
    <m/>
    <s v="0(5)"/>
    <n v="174"/>
    <m/>
    <m/>
    <m/>
  </r>
  <r>
    <s v="http://probaseballexperience.jcink.net/index.php?showtopic=2930"/>
    <x v="5"/>
    <s v="Grapehead"/>
    <s v="Adam Squiggly - CL"/>
    <s v="Adam Squiggly"/>
    <s v="CL"/>
    <s v="Finnese"/>
    <n v="357"/>
    <n v="4.25"/>
    <n v="4.25"/>
    <n v="4.25"/>
    <m/>
    <m/>
    <m/>
    <s v="S6"/>
    <s v="S6"/>
    <n v="3"/>
    <m/>
    <m/>
    <m/>
    <m/>
    <m/>
    <m/>
    <m/>
    <m/>
    <n v="3"/>
    <n v="4"/>
    <n v="5"/>
    <n v="336"/>
    <m/>
    <m/>
    <m/>
  </r>
  <r>
    <m/>
    <x v="7"/>
    <s v="jsteele14"/>
    <s v="Josh Steele - 2B"/>
    <s v="Josh Steele"/>
    <s v="2B"/>
    <s v="Contact/Balanced"/>
    <n v="356"/>
    <n v="3"/>
    <n v="3.5"/>
    <n v="4"/>
    <m/>
    <m/>
    <s v="S12 TO"/>
    <s v="S9"/>
    <s v="S9"/>
    <n v="18"/>
    <m/>
    <m/>
    <m/>
    <m/>
    <m/>
    <m/>
    <m/>
    <m/>
    <m/>
    <m/>
    <s v="0(5)"/>
    <n v="154"/>
    <m/>
    <m/>
    <m/>
  </r>
  <r>
    <m/>
    <x v="1"/>
    <s v="thedangazone"/>
    <s v="Fenway Turner - RF"/>
    <s v="Fenway Turner"/>
    <s v="RF"/>
    <s v="Power/Speedy"/>
    <n v="353"/>
    <n v="2"/>
    <n v="2"/>
    <n v="2"/>
    <m/>
    <m/>
    <s v="S12 MO"/>
    <s v="S9"/>
    <s v="S9"/>
    <n v="13"/>
    <m/>
    <m/>
    <m/>
    <m/>
    <m/>
    <m/>
    <m/>
    <m/>
    <m/>
    <m/>
    <s v="0(5)"/>
    <n v="202"/>
    <m/>
    <m/>
    <m/>
  </r>
  <r>
    <m/>
    <x v="1"/>
    <s v="soryantyler"/>
    <s v="Jahseh Tentacion - LF"/>
    <s v="Jahseh Tentacion"/>
    <s v="LF"/>
    <s v="Power/Arm"/>
    <n v="352"/>
    <n v="1"/>
    <n v="1"/>
    <n v="1"/>
    <m/>
    <m/>
    <s v="S12 MO"/>
    <s v="S9"/>
    <s v="S9"/>
    <n v="36"/>
    <m/>
    <m/>
    <m/>
    <m/>
    <m/>
    <m/>
    <m/>
    <m/>
    <m/>
    <m/>
    <s v="0(5)"/>
    <n v="142"/>
    <m/>
    <m/>
    <m/>
  </r>
  <r>
    <m/>
    <x v="6"/>
    <s v="maxcrazy"/>
    <s v="Kyle Bellinger - 2B"/>
    <s v="Kyle Bellinger"/>
    <s v="2B"/>
    <s v="Power/Speedy"/>
    <n v="345"/>
    <n v="3"/>
    <n v="3"/>
    <n v="3"/>
    <m/>
    <m/>
    <s v="S12 TO"/>
    <s v="S9"/>
    <s v="S9"/>
    <n v="5"/>
    <m/>
    <m/>
    <m/>
    <m/>
    <m/>
    <m/>
    <m/>
    <m/>
    <m/>
    <m/>
    <s v="0(5)"/>
    <n v="195"/>
    <m/>
    <m/>
    <m/>
  </r>
  <r>
    <s v="http://probaseballexperience.jcink.net/index.php?showtopic=3581"/>
    <x v="0"/>
    <s v="WALDO"/>
    <s v="Jeffery Murphy - 3B"/>
    <s v="Jeffery Murphy"/>
    <s v="3B"/>
    <s v="Power/Arm"/>
    <n v="338"/>
    <n v="1.5"/>
    <m/>
    <m/>
    <m/>
    <m/>
    <s v="S10 TO"/>
    <s v="S7"/>
    <s v="S7"/>
    <n v="18"/>
    <m/>
    <m/>
    <m/>
    <m/>
    <m/>
    <m/>
    <m/>
    <m/>
    <s v="5 (0)"/>
    <n v="1.5"/>
    <n v="1.5"/>
    <n v="178"/>
    <m/>
    <m/>
    <m/>
  </r>
  <r>
    <s v="http://probaseballexperience.jcink.net/index.php?showtopic=192"/>
    <x v="2"/>
    <s v="Zodak Pink"/>
    <s v="Bobby Shmurda - SS"/>
    <s v="Bobby Shmurda"/>
    <s v="SS"/>
    <s v="Balanced/Balanced "/>
    <n v="338"/>
    <n v="3"/>
    <m/>
    <m/>
    <m/>
    <m/>
    <m/>
    <s v="S1"/>
    <s v="S1"/>
    <n v="19"/>
    <m/>
    <m/>
    <m/>
    <m/>
    <m/>
    <n v="3"/>
    <n v="3"/>
    <n v="3"/>
    <n v="3"/>
    <n v="3"/>
    <n v="3"/>
    <n v="384"/>
    <n v="384"/>
    <n v="384"/>
    <n v="384"/>
  </r>
  <r>
    <s v="http://probaseballexperience.jcink.net/index.php?showtopic=1740"/>
    <x v="2"/>
    <s v="ATRDCI"/>
    <s v="Alvin Enax - CP"/>
    <s v="Alvin Enax"/>
    <s v="CL"/>
    <s v="Balanced"/>
    <n v="336"/>
    <n v="3"/>
    <m/>
    <m/>
    <m/>
    <m/>
    <m/>
    <s v="S3"/>
    <s v="S3"/>
    <n v="12"/>
    <m/>
    <m/>
    <m/>
    <m/>
    <m/>
    <n v="8"/>
    <n v="2.5"/>
    <n v="2.5"/>
    <n v="3"/>
    <n v="3"/>
    <n v="4"/>
    <n v="336"/>
    <n v="208"/>
    <n v="180"/>
    <n v="180"/>
  </r>
  <r>
    <s v="http://probaseballexperience.jcink.net/index.php?showtopic=1058"/>
    <x v="7"/>
    <s v="ProfessorHotBot"/>
    <s v="George Delrod - 3B"/>
    <s v="George Delrod"/>
    <s v="3B"/>
    <s v="Balanced/Quick"/>
    <n v="327"/>
    <n v="3"/>
    <m/>
    <m/>
    <m/>
    <m/>
    <m/>
    <s v="S2"/>
    <s v="S2"/>
    <n v="24"/>
    <m/>
    <m/>
    <m/>
    <m/>
    <m/>
    <n v="4"/>
    <n v="6"/>
    <n v="3"/>
    <n v="3"/>
    <n v="3"/>
    <n v="3"/>
    <n v="327"/>
    <m/>
    <n v="319"/>
    <n v="305"/>
  </r>
  <r>
    <m/>
    <x v="6"/>
    <s v="dieselj123"/>
    <s v="Peter Dawson - SP"/>
    <s v="Peter Dawson"/>
    <s v="SP"/>
    <s v="Balanced"/>
    <n v="326"/>
    <n v="3"/>
    <n v="3"/>
    <m/>
    <m/>
    <m/>
    <s v="S11 TO"/>
    <s v="S9"/>
    <s v="S9"/>
    <n v="6"/>
    <m/>
    <m/>
    <m/>
    <m/>
    <m/>
    <m/>
    <m/>
    <m/>
    <m/>
    <m/>
    <s v="0(5)"/>
    <n v="164"/>
    <m/>
    <m/>
    <m/>
  </r>
  <r>
    <m/>
    <x v="6"/>
    <s v="Wkdfire53"/>
    <s v="Hendrix Lamar - C"/>
    <s v="Hendrix Lamar"/>
    <s v="C"/>
    <s v="Contact/Arm"/>
    <n v="321"/>
    <n v="2"/>
    <n v="2"/>
    <n v="2"/>
    <m/>
    <m/>
    <s v="S12 TO"/>
    <s v="S9"/>
    <s v="S9"/>
    <n v="27"/>
    <m/>
    <m/>
    <m/>
    <m/>
    <m/>
    <m/>
    <m/>
    <m/>
    <m/>
    <m/>
    <s v="0(5)"/>
    <n v="148"/>
    <m/>
    <m/>
    <m/>
  </r>
  <r>
    <s v="http://probaseballexperience.jcink.net/index.php?showtopic=3286"/>
    <x v="6"/>
    <s v="DonnoMania"/>
    <s v="Toledo  Jones - 1B"/>
    <s v="Toledo Jones"/>
    <s v="1B"/>
    <s v="Power/Arm"/>
    <n v="317"/>
    <n v="3"/>
    <m/>
    <m/>
    <m/>
    <m/>
    <s v="S10 TO"/>
    <s v="S6"/>
    <s v="S7"/>
    <n v="6"/>
    <m/>
    <m/>
    <m/>
    <m/>
    <m/>
    <m/>
    <m/>
    <m/>
    <s v="5 (0)"/>
    <n v="3"/>
    <n v="3"/>
    <n v="253"/>
    <m/>
    <m/>
    <m/>
  </r>
  <r>
    <s v="http://probaseballexperience.jcink.net/index.php?showtopic=2450"/>
    <x v="7"/>
    <s v="OneAndOnly"/>
    <s v="Takumi Fujiwara - 2B"/>
    <s v="Takumi Fujiwara"/>
    <s v="2B"/>
    <s v="Power/Quick"/>
    <n v="315"/>
    <n v="2"/>
    <m/>
    <m/>
    <m/>
    <m/>
    <m/>
    <s v="S4"/>
    <s v="S5"/>
    <n v="27"/>
    <m/>
    <m/>
    <m/>
    <m/>
    <m/>
    <n v="2.5"/>
    <n v="1"/>
    <n v="1"/>
    <n v="1"/>
    <n v="2"/>
    <n v="2"/>
    <n v="315"/>
    <m/>
    <m/>
    <m/>
  </r>
  <r>
    <s v="http://probaseballexperience.jcink.net/index.php?showtopic=918"/>
    <x v="8"/>
    <s v="BlcknGld18"/>
    <s v="Phil Macioce - 2B"/>
    <s v="Phil Macioce"/>
    <s v="2B"/>
    <s v="Balanced/Quick"/>
    <n v="314"/>
    <m/>
    <m/>
    <m/>
    <m/>
    <m/>
    <m/>
    <s v="S1"/>
    <s v="S2"/>
    <n v="36"/>
    <m/>
    <m/>
    <m/>
    <m/>
    <n v="3"/>
    <n v="3"/>
    <m/>
    <n v="3"/>
    <n v="3"/>
    <n v="3"/>
    <n v="310"/>
    <n v="314"/>
    <m/>
    <n v="303"/>
    <n v="290"/>
  </r>
  <r>
    <s v="http://probaseballexperience.jcink.net/index.php?showtopic=3567"/>
    <x v="1"/>
    <s v="Gumland"/>
    <s v="Dexter Paquette - LF"/>
    <s v="Dexter Paquette"/>
    <s v="LF"/>
    <s v="Contact/Speed"/>
    <n v="301"/>
    <n v="2"/>
    <m/>
    <m/>
    <m/>
    <m/>
    <s v="S10 MO"/>
    <s v="S7"/>
    <s v="S7"/>
    <n v="16"/>
    <m/>
    <m/>
    <m/>
    <m/>
    <m/>
    <m/>
    <m/>
    <m/>
    <s v="5 (0)"/>
    <n v="2"/>
    <n v="2"/>
    <n v="273"/>
    <m/>
    <m/>
    <m/>
  </r>
  <r>
    <s v="http://probaseballexperience.jcink.net/index.php?showtopic=1532"/>
    <x v="4"/>
    <s v="Kristy95"/>
    <s v="Joffrey Baratheon - C"/>
    <s v="Joffrey Baratheon"/>
    <s v="C"/>
    <s v="Power/React"/>
    <n v="301"/>
    <n v="3"/>
    <m/>
    <m/>
    <m/>
    <m/>
    <m/>
    <s v="S2"/>
    <s v="S3"/>
    <n v="6"/>
    <m/>
    <m/>
    <m/>
    <m/>
    <m/>
    <n v="4"/>
    <n v="3"/>
    <n v="3"/>
    <n v="3"/>
    <n v="3"/>
    <n v="3"/>
    <n v="301"/>
    <n v="253"/>
    <n v="241"/>
    <n v="227"/>
  </r>
  <r>
    <m/>
    <x v="5"/>
    <s v="TopGunSheelay"/>
    <s v="TopGun Sheelay - C"/>
    <s v="TopGun Sheelay"/>
    <s v="C"/>
    <s v="Power/Arm"/>
    <n v="297"/>
    <n v="3"/>
    <n v="3"/>
    <m/>
    <m/>
    <m/>
    <s v="S11 MO"/>
    <s v="S9"/>
    <s v="S9"/>
    <n v="29"/>
    <m/>
    <m/>
    <m/>
    <m/>
    <m/>
    <m/>
    <m/>
    <m/>
    <m/>
    <m/>
    <m/>
    <n v="160"/>
    <m/>
    <m/>
    <m/>
  </r>
  <r>
    <m/>
    <x v="1"/>
    <s v="Philip Pryor"/>
    <s v="Richard Small - LF"/>
    <s v="Richard Small"/>
    <s v="LF"/>
    <s v="Contact/Balanced"/>
    <n v="289"/>
    <n v="1.5"/>
    <n v="1.5"/>
    <n v="1.5"/>
    <m/>
    <m/>
    <s v="S12 MO"/>
    <s v="S9"/>
    <s v="S9"/>
    <n v="20"/>
    <m/>
    <m/>
    <m/>
    <m/>
    <m/>
    <m/>
    <m/>
    <m/>
    <m/>
    <m/>
    <s v="0(5)"/>
    <n v="142"/>
    <m/>
    <m/>
    <m/>
  </r>
  <r>
    <s v="http://probaseballexperience.jcink.net/index.php?showtopic=3627"/>
    <x v="7"/>
    <s v="GrilledTwinkiez"/>
    <s v="Brock Beck - SS"/>
    <s v="Brock Beck"/>
    <s v="SS"/>
    <s v="Power/Quick"/>
    <n v="287"/>
    <n v="3"/>
    <m/>
    <m/>
    <m/>
    <m/>
    <s v="S10 TO"/>
    <s v="S7"/>
    <s v="S7"/>
    <n v="25"/>
    <m/>
    <m/>
    <m/>
    <m/>
    <m/>
    <m/>
    <m/>
    <m/>
    <m/>
    <s v="5 (0)"/>
    <n v="3"/>
    <n v="287"/>
    <n v="3"/>
    <m/>
    <m/>
  </r>
  <r>
    <m/>
    <x v="7"/>
    <s v="Shaquill"/>
    <s v="Artem Maximovich - C"/>
    <s v="Artem Maximovich"/>
    <s v="C"/>
    <s v="Power/DH"/>
    <n v="284"/>
    <s v="0(5)"/>
    <n v="2"/>
    <n v="2"/>
    <n v="2"/>
    <m/>
    <s v="http://probaseballexperience.jcink.net/index.php?showtopic=5307"/>
    <s v="S9"/>
    <s v="S10"/>
    <n v="20"/>
    <m/>
    <m/>
    <m/>
    <m/>
    <m/>
    <m/>
    <m/>
    <m/>
    <m/>
    <m/>
    <m/>
    <n v="173"/>
    <m/>
    <m/>
    <m/>
  </r>
  <r>
    <s v="http://probaseballexperience.jcink.net/index.php?showtopic=287"/>
    <x v="8"/>
    <s v="Darnell"/>
    <s v="Darnell Turner-Pitcher"/>
    <s v="Darnell Turner-Pitcher"/>
    <s v="SP"/>
    <s v="Power"/>
    <n v="280"/>
    <m/>
    <m/>
    <m/>
    <m/>
    <m/>
    <m/>
    <s v="S1"/>
    <s v="S1"/>
    <n v="70"/>
    <m/>
    <m/>
    <m/>
    <m/>
    <m/>
    <n v="3"/>
    <n v="4"/>
    <n v="3"/>
    <n v="3"/>
    <n v="3"/>
    <n v="3"/>
    <n v="280"/>
    <m/>
    <n v="226"/>
    <n v="226"/>
  </r>
  <r>
    <m/>
    <x v="6"/>
    <s v="uncleleo'skomrade"/>
    <s v="Leo Komarov - CL"/>
    <s v="Leo Komarov"/>
    <s v="CL"/>
    <s v="MR/LR"/>
    <n v="274"/>
    <n v="2"/>
    <n v="2"/>
    <n v="2"/>
    <m/>
    <m/>
    <s v="S12 TO"/>
    <s v="S9"/>
    <s v="S9"/>
    <n v="16"/>
    <m/>
    <m/>
    <m/>
    <m/>
    <m/>
    <m/>
    <m/>
    <m/>
    <m/>
    <m/>
    <s v="0(5)"/>
    <n v="160"/>
    <m/>
    <m/>
    <m/>
  </r>
  <r>
    <m/>
    <x v="7"/>
    <s v="AlainJohns12"/>
    <s v="Alain Johns - CF"/>
    <s v="Alain Johns"/>
    <s v="CF"/>
    <s v="Contact/Speedy"/>
    <n v="272"/>
    <s v="0(5)"/>
    <n v="6"/>
    <n v="6"/>
    <n v="6"/>
    <m/>
    <s v="http://probaseballexperience.jcink.net/index.php?showtopic=5303"/>
    <s v="S9"/>
    <s v="S10"/>
    <n v="3"/>
    <m/>
    <m/>
    <m/>
    <m/>
    <m/>
    <m/>
    <m/>
    <m/>
    <m/>
    <m/>
    <m/>
    <n v="199"/>
    <m/>
    <m/>
    <m/>
  </r>
  <r>
    <s v="http://probaseballexperience.jcink.net/index.php?showtopic=3773"/>
    <x v="5"/>
    <s v="PrettySimple"/>
    <s v="Joshua Linton - 2B"/>
    <s v="Joshua Linton"/>
    <s v="2B"/>
    <s v="Balanced/Speedy"/>
    <n v="271"/>
    <n v="4"/>
    <n v="7"/>
    <m/>
    <m/>
    <m/>
    <s v="S11 MO"/>
    <s v="S7"/>
    <s v="S8"/>
    <n v="6"/>
    <m/>
    <m/>
    <m/>
    <m/>
    <m/>
    <m/>
    <m/>
    <m/>
    <m/>
    <m/>
    <n v="0"/>
    <n v="271"/>
    <m/>
    <m/>
    <m/>
  </r>
  <r>
    <m/>
    <x v="2"/>
    <s v="shoxwon"/>
    <s v="Mitch McIntyre - SP"/>
    <s v="Mitch McIntyre"/>
    <s v="SP"/>
    <s v="Balanced"/>
    <n v="267"/>
    <s v="0(5)"/>
    <n v="3"/>
    <n v="3"/>
    <n v="3"/>
    <m/>
    <m/>
    <s v="S9"/>
    <s v="S10"/>
    <n v="5"/>
    <m/>
    <m/>
    <m/>
    <m/>
    <m/>
    <m/>
    <m/>
    <m/>
    <m/>
    <m/>
    <m/>
    <n v="176"/>
    <m/>
    <m/>
    <m/>
  </r>
  <r>
    <s v="http://probaseballexperience.jcink.net/index.php?showtopic=138"/>
    <x v="4"/>
    <s v="sapp2013"/>
    <s v="Felipe Fernandez - SP"/>
    <s v="Felipe Fernandez"/>
    <s v="SP"/>
    <s v="Knuckleball"/>
    <n v="264"/>
    <n v="3"/>
    <m/>
    <m/>
    <m/>
    <m/>
    <m/>
    <s v="S1"/>
    <s v="S1"/>
    <n v="71"/>
    <m/>
    <m/>
    <m/>
    <m/>
    <m/>
    <n v="3"/>
    <n v="5"/>
    <n v="5"/>
    <n v="5"/>
    <n v="3"/>
    <n v="3"/>
    <n v="300"/>
    <n v="251"/>
    <n v="251"/>
    <n v="251"/>
  </r>
  <r>
    <m/>
    <x v="7"/>
    <s v="nunccoepi"/>
    <s v="Epictitus Milburn - SP"/>
    <s v="Epictitus Milburn"/>
    <s v="SP"/>
    <s v="Power"/>
    <n v="262"/>
    <n v="1"/>
    <n v="1"/>
    <m/>
    <m/>
    <m/>
    <s v="S11 TO"/>
    <s v="S9"/>
    <s v="S9"/>
    <n v="22"/>
    <m/>
    <m/>
    <m/>
    <m/>
    <m/>
    <m/>
    <m/>
    <m/>
    <m/>
    <m/>
    <s v="0(5)"/>
    <n v="176"/>
    <m/>
    <m/>
    <m/>
  </r>
  <r>
    <s v="http://probaseballexperience.jcink.net/index.php?showtopic=3145"/>
    <x v="7"/>
    <s v="SlimJim8511"/>
    <s v="Jimmy Caliburn - CF"/>
    <s v="Jimmy Caliburn"/>
    <s v="LF"/>
    <s v="Contact/Speed"/>
    <n v="262"/>
    <n v="2"/>
    <m/>
    <m/>
    <m/>
    <m/>
    <m/>
    <s v="S6"/>
    <s v="S6"/>
    <n v="18"/>
    <s v="SCS"/>
    <n v="6"/>
    <n v="11"/>
    <s v="Y"/>
    <m/>
    <m/>
    <m/>
    <m/>
    <n v="3"/>
    <n v="3"/>
    <n v="2"/>
    <n v="262"/>
    <n v="3"/>
    <m/>
    <m/>
  </r>
  <r>
    <s v="http://probaseballexperience.jcink.net/index.php?showtopic=268"/>
    <x v="7"/>
    <s v="kennyg.zus"/>
    <s v="Kenny Gzus - LF"/>
    <s v="Kenny Gzus"/>
    <s v="LF"/>
    <s v="Contact/Arm"/>
    <n v="262"/>
    <n v="2"/>
    <m/>
    <m/>
    <m/>
    <m/>
    <m/>
    <s v="S1"/>
    <s v="S1"/>
    <n v="85"/>
    <m/>
    <m/>
    <m/>
    <m/>
    <m/>
    <n v="2"/>
    <n v="3"/>
    <n v="4"/>
    <n v="2"/>
    <m/>
    <n v="2"/>
    <n v="297"/>
    <m/>
    <n v="297"/>
    <n v="297"/>
  </r>
  <r>
    <m/>
    <x v="6"/>
    <s v="HubDogg"/>
    <s v="Dafydd Davies - SP"/>
    <s v="Dafydd Davies"/>
    <s v="SP"/>
    <s v="Balanced"/>
    <n v="260"/>
    <n v="3"/>
    <n v="3"/>
    <n v="3"/>
    <m/>
    <m/>
    <s v="S12 TO"/>
    <s v="S9"/>
    <s v="S9"/>
    <n v="10"/>
    <m/>
    <m/>
    <m/>
    <m/>
    <m/>
    <m/>
    <m/>
    <m/>
    <m/>
    <m/>
    <s v="0(5)"/>
    <n v="147"/>
    <m/>
    <m/>
    <m/>
  </r>
  <r>
    <s v="http://probaseballexperience.jcink.net/index.php?showtopic=2781"/>
    <x v="2"/>
    <s v="Waters"/>
    <s v="Ben Waters - 2B"/>
    <s v="Ben Waters"/>
    <s v="2B"/>
    <s v="Power/Quick"/>
    <n v="260"/>
    <n v="2"/>
    <m/>
    <m/>
    <m/>
    <m/>
    <s v="S9 MO"/>
    <s v="S5"/>
    <s v="S6"/>
    <n v="29"/>
    <m/>
    <n v="5"/>
    <s v="Waivers"/>
    <m/>
    <m/>
    <m/>
    <m/>
    <n v="1"/>
    <n v="1"/>
    <m/>
    <m/>
    <n v="260"/>
    <m/>
    <m/>
    <m/>
  </r>
  <r>
    <s v="http://probaseballexperience.jcink.net/index.php?showtopic=3781"/>
    <x v="2"/>
    <s v="FinesseDaGame"/>
    <s v="Alyssa Elliot - SP"/>
    <s v="Alyssa Elliot"/>
    <s v="SP"/>
    <s v="Finesse "/>
    <n v="259"/>
    <n v="3"/>
    <n v="3"/>
    <m/>
    <m/>
    <m/>
    <s v="S11 TO"/>
    <s v="S8"/>
    <s v="S8"/>
    <n v="2"/>
    <m/>
    <m/>
    <m/>
    <m/>
    <m/>
    <m/>
    <m/>
    <m/>
    <m/>
    <m/>
    <n v="0"/>
    <n v="259"/>
    <m/>
    <m/>
    <m/>
  </r>
  <r>
    <s v="http://probaseballexperience.jcink.net/index.php?showtopic=4043"/>
    <x v="6"/>
    <s v="Vandelay"/>
    <s v="Lewis Robertson - 3B"/>
    <s v="Lewis Robertson"/>
    <s v="3B"/>
    <s v="Balanced/Arm"/>
    <n v="255"/>
    <n v="2"/>
    <m/>
    <m/>
    <m/>
    <m/>
    <s v="S10 MO http://probaseballexperience.jcink.net/index.php?showtopic=4214"/>
    <s v="S8"/>
    <s v="S8"/>
    <n v="28"/>
    <m/>
    <m/>
    <m/>
    <m/>
    <m/>
    <m/>
    <m/>
    <m/>
    <m/>
    <n v="0"/>
    <n v="1"/>
    <n v="156"/>
    <m/>
    <m/>
    <m/>
  </r>
  <r>
    <m/>
    <x v="7"/>
    <s v="Baron von Jobi"/>
    <s v="Moises Hammond - C"/>
    <s v="Moises Hammond"/>
    <s v="C"/>
    <s v="Power/Arm"/>
    <n v="255"/>
    <n v="3.5"/>
    <n v="3.5"/>
    <n v="3.5"/>
    <m/>
    <m/>
    <s v="http://probaseballexperience.jcink.net/index.php?showtopic=5307"/>
    <s v="S9"/>
    <s v="S10"/>
    <n v="9"/>
    <m/>
    <m/>
    <m/>
    <m/>
    <m/>
    <m/>
    <m/>
    <m/>
    <m/>
    <m/>
    <m/>
    <n v="177"/>
    <m/>
    <m/>
    <m/>
  </r>
  <r>
    <s v="http://probaseballexperience.jcink.net/index.php?showtopic=1358"/>
    <x v="8"/>
    <s v="Angels_Otani"/>
    <s v="Dongus Dio - 1B"/>
    <s v="Dongus Dio"/>
    <s v="1B"/>
    <s v="Contact/Quick"/>
    <n v="254"/>
    <m/>
    <m/>
    <m/>
    <m/>
    <m/>
    <m/>
    <s v="S2"/>
    <s v="S3"/>
    <n v="18"/>
    <m/>
    <m/>
    <m/>
    <m/>
    <m/>
    <n v="1.5"/>
    <n v="1.5"/>
    <m/>
    <m/>
    <m/>
    <m/>
    <n v="254"/>
    <m/>
    <n v="254"/>
    <n v="251"/>
  </r>
  <r>
    <s v="http://probaseballexperience.jcink.net/index.php?showtopic=176"/>
    <x v="8"/>
    <s v="Den_Tex_Mix2"/>
    <s v="Lance Travis - 2B"/>
    <s v="Lance Travis"/>
    <s v="2B"/>
    <s v="Speed/Quick"/>
    <n v="250"/>
    <m/>
    <m/>
    <m/>
    <m/>
    <m/>
    <m/>
    <s v="S1"/>
    <s v="S1"/>
    <n v="73"/>
    <m/>
    <m/>
    <m/>
    <m/>
    <m/>
    <n v="1"/>
    <n v="2"/>
    <n v="4"/>
    <n v="2"/>
    <m/>
    <n v="3"/>
    <n v="250"/>
    <m/>
    <n v="268"/>
    <n v="268"/>
  </r>
  <r>
    <s v="http://probaseballexperience.jcink.net/index.php?showtopic=3211"/>
    <x v="6"/>
    <s v="DollarAndADream"/>
    <s v="Rye Tiffielder - RF"/>
    <s v="Rye Tiffielder"/>
    <s v="RF"/>
    <s v="Power/Arm"/>
    <n v="249"/>
    <n v="1.25"/>
    <m/>
    <m/>
    <m/>
    <m/>
    <s v="S10 TO"/>
    <s v="S6"/>
    <s v="S7"/>
    <n v="24"/>
    <m/>
    <m/>
    <m/>
    <m/>
    <m/>
    <m/>
    <m/>
    <m/>
    <s v="5 (0)"/>
    <n v="1.25"/>
    <n v="1.25"/>
    <n v="235"/>
    <m/>
    <m/>
    <m/>
  </r>
  <r>
    <m/>
    <x v="7"/>
    <s v="RBden"/>
    <s v="Cisco Xochipilli - C"/>
    <s v="Cisco Xochipilli"/>
    <s v="C"/>
    <s v="Contact/React"/>
    <n v="246"/>
    <n v="3"/>
    <n v="3.5"/>
    <n v="4"/>
    <m/>
    <m/>
    <s v="S12 TO"/>
    <s v="S9"/>
    <s v="S9"/>
    <n v="9"/>
    <m/>
    <m/>
    <m/>
    <m/>
    <m/>
    <m/>
    <m/>
    <m/>
    <m/>
    <m/>
    <s v="0(5)"/>
    <n v="167"/>
    <m/>
    <m/>
    <m/>
  </r>
  <r>
    <s v="http://probaseballexperience.jcink.net/index.php?showtopic=3438"/>
    <x v="7"/>
    <s v="Radsin"/>
    <s v="Antonio &quot;Tony&quot; Pisano - SP"/>
    <s v="Antonio &quot;Tony&quot; Pisano"/>
    <s v="SP"/>
    <s v="Power"/>
    <n v="244"/>
    <n v="3"/>
    <m/>
    <m/>
    <m/>
    <m/>
    <s v="S10 TO"/>
    <s v="S7"/>
    <s v="S7"/>
    <n v="2"/>
    <m/>
    <m/>
    <m/>
    <m/>
    <m/>
    <m/>
    <m/>
    <m/>
    <m/>
    <s v="5 (0)"/>
    <n v="3"/>
    <n v="244"/>
    <n v="3"/>
    <m/>
    <m/>
  </r>
  <r>
    <s v="http://probaseballexperience.jcink.net/index.php?showtopic=247"/>
    <x v="8"/>
    <s v="mmfootball"/>
    <s v="Michael Martin - C"/>
    <s v="Michael Marti"/>
    <s v="C"/>
    <s v="Balanced/Arm"/>
    <n v="243"/>
    <m/>
    <m/>
    <m/>
    <m/>
    <m/>
    <m/>
    <s v="S1"/>
    <s v="S1"/>
    <n v="55"/>
    <m/>
    <m/>
    <m/>
    <m/>
    <n v="0.5"/>
    <n v="2.5"/>
    <n v="2.5"/>
    <n v="2"/>
    <n v="233"/>
    <n v="2"/>
    <m/>
    <n v="243"/>
    <m/>
    <n v="233"/>
    <n v="230"/>
  </r>
  <r>
    <s v="http://probaseballexperience.jcink.net/index.php?showtopic=1035"/>
    <x v="2"/>
    <s v="Wally"/>
    <s v="Asipi Cantor - CL"/>
    <s v="Asipi Cantor"/>
    <s v="CL"/>
    <s v="Power"/>
    <n v="242"/>
    <n v="2"/>
    <m/>
    <m/>
    <m/>
    <m/>
    <m/>
    <s v="S2"/>
    <s v="S2"/>
    <n v="11"/>
    <m/>
    <m/>
    <m/>
    <m/>
    <m/>
    <n v="3"/>
    <n v="3"/>
    <n v="2.5"/>
    <n v="2.5"/>
    <n v="2.5"/>
    <n v="2.5"/>
    <n v="239"/>
    <m/>
    <n v="173"/>
    <n v="173"/>
  </r>
  <r>
    <m/>
    <x v="1"/>
    <s v="YoungTB"/>
    <s v="Chase Petten - SP"/>
    <s v="Chase Petten"/>
    <s v="SP"/>
    <s v="Balanced"/>
    <n v="238"/>
    <n v="3"/>
    <n v="3"/>
    <n v="3"/>
    <m/>
    <m/>
    <s v="S12 MO"/>
    <s v="S9"/>
    <s v="S9"/>
    <n v="2"/>
    <m/>
    <m/>
    <m/>
    <m/>
    <m/>
    <m/>
    <m/>
    <m/>
    <m/>
    <m/>
    <s v="0(5)"/>
    <n v="178"/>
    <m/>
    <m/>
    <m/>
  </r>
  <r>
    <s v="http://probaseballexperience.jcink.net/index.php?showtopic=1757"/>
    <x v="1"/>
    <s v="tbone415"/>
    <s v="Fastguy Pitcherman - SP"/>
    <s v="Fastguy Pitcherman"/>
    <s v="SP"/>
    <s v="Power"/>
    <n v="234"/>
    <n v="2"/>
    <m/>
    <m/>
    <m/>
    <m/>
    <m/>
    <s v="S3"/>
    <s v="S3"/>
    <n v="4"/>
    <m/>
    <m/>
    <m/>
    <m/>
    <m/>
    <n v="6"/>
    <n v="3"/>
    <n v="3"/>
    <n v="2"/>
    <n v="2"/>
    <n v="2"/>
    <n v="229"/>
    <n v="2"/>
    <n v="159"/>
    <n v="156"/>
  </r>
  <r>
    <s v="http://probaseballexperience.jcink.net/index.php?showtopic=3910"/>
    <x v="2"/>
    <s v="Snussu"/>
    <s v="Catchy Boija - 2B"/>
    <s v="Catchy Boija"/>
    <s v="2B"/>
    <s v="Contact/Speed"/>
    <n v="232"/>
    <n v="1.5"/>
    <n v="1.5"/>
    <m/>
    <m/>
    <m/>
    <s v="S11 TO"/>
    <s v="S7"/>
    <s v="S8"/>
    <n v="14"/>
    <m/>
    <m/>
    <m/>
    <m/>
    <m/>
    <m/>
    <m/>
    <m/>
    <m/>
    <m/>
    <n v="0"/>
    <n v="188"/>
    <m/>
    <m/>
    <m/>
  </r>
  <r>
    <s v="http://probaseballexperience.jcink.net/index.php?showtopic=3601"/>
    <x v="6"/>
    <s v="enigmatic"/>
    <s v="Kosuke Yamauchi - SP"/>
    <s v="Kosuke Yamauchi"/>
    <s v="SP"/>
    <s v="Power"/>
    <n v="231"/>
    <n v="3"/>
    <m/>
    <m/>
    <m/>
    <m/>
    <s v="S10 MO"/>
    <s v="S7"/>
    <s v="S7"/>
    <n v="8"/>
    <m/>
    <m/>
    <m/>
    <m/>
    <m/>
    <m/>
    <m/>
    <m/>
    <s v="5 (0)"/>
    <n v="2"/>
    <n v="3"/>
    <n v="231"/>
    <m/>
    <m/>
    <m/>
  </r>
  <r>
    <s v="http://probaseballexperience.jcink.net/index.php?showtopic=3881"/>
    <x v="5"/>
    <s v="CampinKiller"/>
    <s v="Colton Hagan - SP"/>
    <s v="Colton Hagan"/>
    <s v="SP"/>
    <s v="Balance"/>
    <n v="231"/>
    <n v="3"/>
    <n v="3"/>
    <m/>
    <m/>
    <m/>
    <s v="S11 TO"/>
    <s v="S7"/>
    <s v="S8"/>
    <n v="12"/>
    <m/>
    <m/>
    <m/>
    <m/>
    <m/>
    <m/>
    <m/>
    <m/>
    <m/>
    <m/>
    <n v="0"/>
    <n v="231"/>
    <m/>
    <m/>
    <m/>
  </r>
  <r>
    <m/>
    <x v="6"/>
    <s v="Mashtaters"/>
    <s v="Theodore Crunkleton - SS"/>
    <s v="Theodore Crunkleton"/>
    <s v="SS"/>
    <s v="Balanced/Speedy"/>
    <n v="229"/>
    <s v="0(5)"/>
    <n v="5"/>
    <n v="5"/>
    <n v="5"/>
    <m/>
    <m/>
    <s v="S9"/>
    <s v="S10"/>
    <n v="8"/>
    <m/>
    <m/>
    <m/>
    <m/>
    <m/>
    <m/>
    <m/>
    <m/>
    <m/>
    <m/>
    <m/>
    <n v="163"/>
    <m/>
    <m/>
    <m/>
  </r>
  <r>
    <s v="http://probaseballexperience.jcink.net/index.php?showtopic=3582"/>
    <x v="8"/>
    <s v="mattycarr134"/>
    <s v="Johny Matthews - 2B"/>
    <s v="Johny Matthews"/>
    <s v="2B"/>
    <s v="Balanced/Quick"/>
    <n v="228"/>
    <m/>
    <m/>
    <m/>
    <m/>
    <m/>
    <s v="S10 MO"/>
    <s v="S7"/>
    <s v="S7"/>
    <n v="11"/>
    <m/>
    <m/>
    <m/>
    <m/>
    <m/>
    <m/>
    <m/>
    <m/>
    <s v="5 (0)"/>
    <n v="2"/>
    <n v="3"/>
    <n v="228"/>
    <m/>
    <m/>
    <m/>
  </r>
  <r>
    <s v="http://probaseballexperience.jcink.net/index.php?showtopic=3048"/>
    <x v="6"/>
    <s v="Fire-Bred"/>
    <s v="Mason Brown - CL"/>
    <s v="Mason Brown"/>
    <s v="CL"/>
    <s v="Balanced"/>
    <n v="224"/>
    <n v="3"/>
    <n v="4"/>
    <n v="5.75"/>
    <n v="6.5"/>
    <m/>
    <s v="S11-13 TO"/>
    <s v="S6"/>
    <s v="S6"/>
    <n v="7"/>
    <m/>
    <m/>
    <m/>
    <m/>
    <m/>
    <m/>
    <m/>
    <n v="2.5"/>
    <n v="2.75"/>
    <n v="3"/>
    <n v="3"/>
    <n v="195"/>
    <m/>
    <m/>
    <m/>
  </r>
  <r>
    <s v="http://probaseballexperience.jcink.net/index.php?showtopic=2921"/>
    <x v="8"/>
    <s v="dropbear"/>
    <s v="Sidney Swing - LF"/>
    <s v="Sidney Swing"/>
    <s v="LF"/>
    <s v="Contact/Balanced"/>
    <n v="218"/>
    <m/>
    <m/>
    <m/>
    <m/>
    <m/>
    <s v="S8 MO"/>
    <s v="S6"/>
    <s v="S6"/>
    <n v="33"/>
    <m/>
    <m/>
    <m/>
    <m/>
    <m/>
    <m/>
    <m/>
    <n v="1"/>
    <n v="1"/>
    <m/>
    <m/>
    <n v="218"/>
    <m/>
    <m/>
    <m/>
  </r>
  <r>
    <s v="http://probaseballexperience.jcink.net/index.php?showtopic=1564"/>
    <x v="8"/>
    <s v="Rockiesfan4ever"/>
    <s v="Travis Ritchie - CF"/>
    <s v="Travis Ritchie"/>
    <s v="CF"/>
    <s v="Contact/Hit"/>
    <n v="218"/>
    <m/>
    <m/>
    <m/>
    <m/>
    <m/>
    <m/>
    <s v="S2"/>
    <s v="S3"/>
    <n v="1"/>
    <m/>
    <m/>
    <m/>
    <m/>
    <m/>
    <n v="4"/>
    <n v="6"/>
    <n v="4"/>
    <n v="2"/>
    <n v="2"/>
    <m/>
    <n v="218"/>
    <m/>
    <n v="218"/>
    <n v="218"/>
  </r>
  <r>
    <s v="http://probaseballexperience.jcink.net/index.php?showtopic=1092"/>
    <x v="1"/>
    <s v="dano1934"/>
    <s v="Bobby Outman - SP"/>
    <s v="Bobby Outman"/>
    <s v="SP"/>
    <s v="Balanced"/>
    <n v="215"/>
    <n v="2"/>
    <m/>
    <m/>
    <m/>
    <m/>
    <m/>
    <s v="S2"/>
    <s v="S2"/>
    <n v="2"/>
    <m/>
    <m/>
    <m/>
    <m/>
    <n v="4"/>
    <n v="4"/>
    <n v="2"/>
    <n v="2"/>
    <n v="215"/>
    <n v="2"/>
    <n v="2"/>
    <n v="215"/>
    <n v="2"/>
    <n v="215"/>
    <n v="215"/>
  </r>
  <r>
    <m/>
    <x v="5"/>
    <s v="Noble"/>
    <s v="Adrian Kaine - SP"/>
    <s v="Adrian Kaine"/>
    <s v="SP"/>
    <s v="Finesse"/>
    <n v="211"/>
    <n v="5"/>
    <n v="5"/>
    <n v="5"/>
    <m/>
    <m/>
    <s v="S12 TO"/>
    <s v="S9"/>
    <s v="S9"/>
    <n v="17"/>
    <m/>
    <m/>
    <m/>
    <m/>
    <m/>
    <m/>
    <m/>
    <m/>
    <m/>
    <m/>
    <m/>
    <n v="185"/>
    <m/>
    <m/>
    <m/>
  </r>
  <r>
    <m/>
    <x v="6"/>
    <s v="Blueline Naptime"/>
    <s v="Blu Line - CL"/>
    <s v="Blu Line"/>
    <s v="CL"/>
    <s v="Balanced"/>
    <n v="208"/>
    <s v="0(5)"/>
    <n v="5"/>
    <n v="5"/>
    <n v="5"/>
    <m/>
    <m/>
    <s v="S10"/>
    <s v="S10"/>
    <n v="1"/>
    <m/>
    <m/>
    <m/>
    <m/>
    <m/>
    <m/>
    <m/>
    <m/>
    <m/>
    <m/>
    <m/>
    <n v="108"/>
    <m/>
    <m/>
    <m/>
  </r>
  <r>
    <m/>
    <x v="6"/>
    <s v="Ty3"/>
    <s v="Josh Kings - 2B"/>
    <s v="Josh Kings"/>
    <s v="2B"/>
    <s v="Power/Utility"/>
    <n v="205"/>
    <n v="1"/>
    <n v="1"/>
    <n v="1"/>
    <m/>
    <m/>
    <s v="S12 TO"/>
    <s v="S9"/>
    <s v="S9"/>
    <n v="43"/>
    <m/>
    <m/>
    <m/>
    <m/>
    <m/>
    <m/>
    <m/>
    <m/>
    <m/>
    <m/>
    <s v="0(5)"/>
    <n v="115"/>
    <m/>
    <m/>
    <m/>
  </r>
  <r>
    <s v="http://probaseballexperience.jcink.net/index.php?showtopic=1246"/>
    <x v="1"/>
    <s v="tangboynyc"/>
    <s v="John Cheng - SP"/>
    <s v="John Cheng"/>
    <s v="SP"/>
    <s v="Power"/>
    <n v="203"/>
    <n v="2"/>
    <m/>
    <m/>
    <m/>
    <m/>
    <m/>
    <s v="S2"/>
    <s v="S3"/>
    <n v="11"/>
    <m/>
    <m/>
    <m/>
    <m/>
    <m/>
    <n v="4"/>
    <n v="5"/>
    <n v="6"/>
    <n v="2"/>
    <n v="2"/>
    <n v="2"/>
    <n v="203"/>
    <m/>
    <n v="200"/>
    <n v="180"/>
  </r>
  <r>
    <s v="http://probaseballexperience.jcink.net/index.php?showtopic=106"/>
    <x v="8"/>
    <s v="ztevans"/>
    <s v="Pablo Sanchez - 3B"/>
    <s v="Pablo Sanchez"/>
    <s v="3B"/>
    <s v="Balanced/Quick"/>
    <n v="202"/>
    <m/>
    <m/>
    <m/>
    <m/>
    <m/>
    <m/>
    <s v="S1"/>
    <s v="S1"/>
    <n v="11"/>
    <m/>
    <m/>
    <m/>
    <m/>
    <m/>
    <n v="3"/>
    <n v="2"/>
    <n v="2"/>
    <n v="2"/>
    <m/>
    <m/>
    <n v="202"/>
    <m/>
    <n v="202"/>
    <n v="202"/>
  </r>
  <r>
    <s v="http://probaseballexperience.jcink.net/index.php?showtopic=2227"/>
    <x v="5"/>
    <s v="xdave2456"/>
    <s v="Omar Wright - SP"/>
    <s v="Omar Wright"/>
    <s v="SP"/>
    <s v="Finesse"/>
    <n v="198"/>
    <n v="0.5"/>
    <m/>
    <m/>
    <m/>
    <m/>
    <m/>
    <s v="S4"/>
    <s v="S4"/>
    <n v="1"/>
    <m/>
    <m/>
    <m/>
    <m/>
    <m/>
    <m/>
    <n v="4"/>
    <n v="4"/>
    <m/>
    <m/>
    <m/>
    <n v="198"/>
    <n v="100"/>
    <e v="#REF!"/>
    <m/>
  </r>
  <r>
    <m/>
    <x v="1"/>
    <s v="SuperDick"/>
    <s v="Stryker Killian - 3B"/>
    <s v="Stryker Killian"/>
    <s v="3B"/>
    <s v="Balanced/Balanced"/>
    <n v="197"/>
    <n v="1.5"/>
    <n v="1.5"/>
    <n v="1.5"/>
    <m/>
    <m/>
    <s v="S12 MO"/>
    <s v="S9"/>
    <s v="S9"/>
    <n v="31"/>
    <m/>
    <m/>
    <m/>
    <m/>
    <m/>
    <m/>
    <m/>
    <m/>
    <m/>
    <m/>
    <s v="0(5)"/>
    <n v="126"/>
    <m/>
    <m/>
    <m/>
  </r>
  <r>
    <s v="http://probaseballexperience.jcink.net/index.php?showtopic=2551"/>
    <x v="8"/>
    <s v="kit"/>
    <s v="Sleve McDichael - RF"/>
    <s v="Sleve McDichael"/>
    <s v="RF"/>
    <s v="Power/Arm"/>
    <n v="196"/>
    <m/>
    <m/>
    <m/>
    <m/>
    <m/>
    <m/>
    <s v="S5"/>
    <s v="S5"/>
    <n v="14"/>
    <m/>
    <m/>
    <m/>
    <m/>
    <m/>
    <m/>
    <m/>
    <n v="6"/>
    <n v="3"/>
    <n v="3"/>
    <n v="1.5"/>
    <n v="196"/>
    <m/>
    <m/>
    <m/>
  </r>
  <r>
    <m/>
    <x v="1"/>
    <s v="MiniMan561"/>
    <s v="Eric Tsai - 2B"/>
    <s v="Eric Tsai"/>
    <s v="2B"/>
    <s v="Contact/Speedy"/>
    <n v="194"/>
    <n v="2"/>
    <n v="2"/>
    <n v="2"/>
    <m/>
    <m/>
    <s v="S12 MO"/>
    <s v="S9"/>
    <s v="S9"/>
    <n v="15"/>
    <m/>
    <m/>
    <m/>
    <m/>
    <m/>
    <m/>
    <m/>
    <m/>
    <m/>
    <m/>
    <s v="0(5)"/>
    <n v="115"/>
    <m/>
    <m/>
    <m/>
  </r>
  <r>
    <s v="http://probaseballexperience.jcink.net/index.php?showtopic=1218"/>
    <x v="5"/>
    <s v="Jider4"/>
    <s v="Mariano Riviera - CL"/>
    <s v="Mariano Riviera"/>
    <s v="CL"/>
    <s v="Finesse"/>
    <n v="192"/>
    <n v="0.5"/>
    <m/>
    <m/>
    <m/>
    <m/>
    <m/>
    <s v="S2"/>
    <s v="S2"/>
    <n v="22"/>
    <m/>
    <m/>
    <m/>
    <m/>
    <m/>
    <n v="2"/>
    <n v="2"/>
    <n v="0.5"/>
    <m/>
    <m/>
    <m/>
    <n v="192"/>
    <n v="192"/>
    <n v="192"/>
    <n v="192"/>
  </r>
  <r>
    <m/>
    <x v="1"/>
    <s v="Acerayz"/>
    <s v="Yamcha Pu'ar - CL"/>
    <s v="Yamcha Pu'ar"/>
    <s v="CL"/>
    <s v="Balance"/>
    <n v="191"/>
    <s v="0(5)"/>
    <n v="2.5"/>
    <n v="2.5"/>
    <n v="2.5"/>
    <m/>
    <s v="http://probaseballexperience.jcink.net/index.php?showtopic=5313"/>
    <s v="S9"/>
    <s v="S10"/>
    <n v="11"/>
    <m/>
    <m/>
    <m/>
    <m/>
    <m/>
    <m/>
    <m/>
    <m/>
    <m/>
    <m/>
    <m/>
    <n v="178"/>
    <m/>
    <m/>
    <m/>
  </r>
  <r>
    <s v="http://probaseballexperience.jcink.net/index.php?showtopic=2183"/>
    <x v="8"/>
    <s v="Penguin"/>
    <s v="Michael Rapinski- 3B"/>
    <s v="Michael Rapinsk"/>
    <s v="3B"/>
    <s v="Balanced/Balanced "/>
    <n v="190"/>
    <m/>
    <m/>
    <m/>
    <m/>
    <m/>
    <m/>
    <s v="S4"/>
    <s v="S4"/>
    <n v="4"/>
    <m/>
    <m/>
    <m/>
    <m/>
    <m/>
    <n v="5"/>
    <n v="5"/>
    <n v="0.5"/>
    <n v="100"/>
    <m/>
    <m/>
    <n v="190"/>
    <m/>
    <n v="100"/>
    <m/>
  </r>
  <r>
    <m/>
    <x v="0"/>
    <s v="SDCore"/>
    <s v="Speedy Gonzales - 2B"/>
    <s v="Speedy Gonzales"/>
    <s v="2B"/>
    <s v="Speed/Utility"/>
    <n v="189"/>
    <s v="0(5)"/>
    <n v="3"/>
    <n v="3"/>
    <n v="3"/>
    <m/>
    <s v="http://probaseballexperience.jcink.net/index.php?showtopic=5301"/>
    <s v="S10"/>
    <s v="S10"/>
    <n v="7"/>
    <m/>
    <m/>
    <m/>
    <m/>
    <m/>
    <m/>
    <m/>
    <m/>
    <m/>
    <m/>
    <m/>
    <n v="100"/>
    <m/>
    <m/>
    <m/>
  </r>
  <r>
    <m/>
    <x v="1"/>
    <s v="Hydracronis"/>
    <s v="A.C. Peyton - SP"/>
    <s v="A.C. Peyton"/>
    <s v="SP"/>
    <s v="Finesse"/>
    <n v="188"/>
    <s v="0(5)"/>
    <n v="4"/>
    <n v="3"/>
    <n v="3"/>
    <m/>
    <s v="http://probaseballexperience.jcink.net/index.php?showtopic=5313"/>
    <s v="S10"/>
    <s v="S10"/>
    <n v="2"/>
    <m/>
    <m/>
    <m/>
    <m/>
    <m/>
    <m/>
    <m/>
    <m/>
    <m/>
    <m/>
    <m/>
    <n v="100"/>
    <m/>
    <m/>
    <m/>
  </r>
  <r>
    <s v="http://probaseballexperience.jcink.net/index.php?showtopic=168"/>
    <x v="8"/>
    <s v="Justice"/>
    <s v="Ty Justice - 3B"/>
    <s v="Ty Justice"/>
    <s v="3B"/>
    <s v="Contact/Arm"/>
    <n v="187"/>
    <m/>
    <m/>
    <m/>
    <m/>
    <m/>
    <m/>
    <s v="S1"/>
    <s v="S1"/>
    <n v="4"/>
    <m/>
    <m/>
    <m/>
    <m/>
    <s v="Yes"/>
    <m/>
    <m/>
    <m/>
    <m/>
    <m/>
    <m/>
    <n v="187"/>
    <m/>
    <m/>
    <m/>
  </r>
  <r>
    <s v="http://probaseballexperience.jcink.net/index.php?showtopic=3043&amp;st=0&amp;#entry32473"/>
    <x v="8"/>
    <s v="Keksecutioner"/>
    <s v="Jim Kekton - SS"/>
    <s v="Jim Kekton"/>
    <s v="SS"/>
    <s v="Speed/Balance"/>
    <n v="186"/>
    <m/>
    <m/>
    <m/>
    <m/>
    <m/>
    <s v="S9 TO"/>
    <s v="S6"/>
    <s v="S6"/>
    <n v="22"/>
    <m/>
    <m/>
    <m/>
    <m/>
    <m/>
    <m/>
    <m/>
    <n v="4.5"/>
    <n v="1.5"/>
    <m/>
    <n v="1.5"/>
    <n v="186"/>
    <m/>
    <m/>
    <m/>
  </r>
  <r>
    <m/>
    <x v="5"/>
    <s v="Ramzavail"/>
    <s v="Shovel Bryant - 2B"/>
    <s v="Shovel Bryant"/>
    <s v="2B"/>
    <s v="Speed/Arm"/>
    <n v="184"/>
    <n v="3"/>
    <n v="3"/>
    <n v="4"/>
    <m/>
    <m/>
    <s v="S12 MO"/>
    <s v="S9"/>
    <s v="S9"/>
    <n v="21"/>
    <m/>
    <m/>
    <m/>
    <m/>
    <m/>
    <m/>
    <m/>
    <m/>
    <m/>
    <m/>
    <m/>
    <n v="139"/>
    <m/>
    <m/>
    <m/>
  </r>
  <r>
    <m/>
    <x v="7"/>
    <s v="iseedoug"/>
    <s v="Icy Douglas - LF"/>
    <s v="Icy Douglas"/>
    <s v="LF"/>
    <s v="Power/Balanced"/>
    <n v="184"/>
    <n v="3"/>
    <n v="3.5"/>
    <n v="4"/>
    <m/>
    <m/>
    <s v="S12 TO"/>
    <s v="S9"/>
    <s v="S9"/>
    <n v="14"/>
    <m/>
    <m/>
    <m/>
    <m/>
    <m/>
    <m/>
    <m/>
    <m/>
    <m/>
    <m/>
    <s v="0(5)"/>
    <n v="144"/>
    <m/>
    <m/>
    <m/>
  </r>
  <r>
    <s v="http://probaseballexperience.jcink.net/index.php?showtopic=1741"/>
    <x v="3"/>
    <s v="jaskins811"/>
    <s v="Rodney Flecha - CL"/>
    <s v="Rodney Flecha"/>
    <s v="CL"/>
    <s v="Power"/>
    <n v="183"/>
    <n v="0.5"/>
    <m/>
    <m/>
    <m/>
    <m/>
    <m/>
    <s v="S3"/>
    <s v="S3"/>
    <n v="8"/>
    <m/>
    <m/>
    <m/>
    <m/>
    <m/>
    <n v="4"/>
    <n v="4"/>
    <n v="4"/>
    <n v="0.5"/>
    <m/>
    <n v="0.5"/>
    <n v="183"/>
    <n v="175"/>
    <n v="154"/>
    <n v="183"/>
  </r>
  <r>
    <m/>
    <x v="7"/>
    <s v="Symmetrik"/>
    <s v="Colben Fairborn - CL"/>
    <s v="Colben Fairborn"/>
    <s v="CL"/>
    <s v="Finesse"/>
    <n v="181"/>
    <n v="3"/>
    <n v="3"/>
    <n v="3"/>
    <m/>
    <m/>
    <s v="http://probaseballexperience.jcink.net/index.php?showtopic=5303"/>
    <s v="S10"/>
    <s v="S10"/>
    <n v="4"/>
    <m/>
    <m/>
    <m/>
    <m/>
    <m/>
    <m/>
    <m/>
    <m/>
    <m/>
    <m/>
    <m/>
    <n v="100"/>
    <m/>
    <m/>
    <m/>
  </r>
  <r>
    <s v="http://probaseballexperience.jcink.net/index.php?showtopic=164"/>
    <x v="8"/>
    <s v="daBenchwarmer"/>
    <s v="Alex Sincario - 2B"/>
    <s v="Alex Sincario"/>
    <s v="2B"/>
    <s v="Contact/Quick"/>
    <n v="181"/>
    <m/>
    <m/>
    <m/>
    <m/>
    <m/>
    <m/>
    <s v="S1"/>
    <s v="S1"/>
    <n v="13"/>
    <m/>
    <m/>
    <m/>
    <m/>
    <m/>
    <n v="3"/>
    <m/>
    <m/>
    <m/>
    <m/>
    <m/>
    <n v="181"/>
    <m/>
    <m/>
    <n v="205"/>
  </r>
  <r>
    <s v="http://probaseballexperience.jcink.net/index.php?showtopic=248"/>
    <x v="7"/>
    <s v="Majlouni21"/>
    <s v="Mahmoud Ajlouni - C"/>
    <s v="Mahmoud Ajlouni"/>
    <s v="C"/>
    <s v="Power/Arm"/>
    <n v="179"/>
    <n v="0.5"/>
    <m/>
    <m/>
    <m/>
    <m/>
    <m/>
    <s v="S1"/>
    <s v="S1"/>
    <n v="87"/>
    <m/>
    <m/>
    <m/>
    <m/>
    <n v="1"/>
    <n v="2"/>
    <n v="2"/>
    <n v="0.5"/>
    <n v="149"/>
    <m/>
    <m/>
    <n v="179"/>
    <m/>
    <n v="149"/>
    <n v="149"/>
  </r>
  <r>
    <m/>
    <x v="9"/>
    <s v="MikeGravy"/>
    <s v="Kenga Yunai - RF"/>
    <s v="Kenga Yunai"/>
    <s v="RF"/>
    <s v="Contact/Arm"/>
    <n v="179"/>
    <m/>
    <m/>
    <m/>
    <m/>
    <m/>
    <m/>
    <s v="S9"/>
    <s v="S10"/>
    <n v="44"/>
    <m/>
    <m/>
    <m/>
    <m/>
    <m/>
    <m/>
    <m/>
    <m/>
    <m/>
    <m/>
    <m/>
    <n v="179"/>
    <m/>
    <m/>
    <m/>
  </r>
  <r>
    <m/>
    <x v="9"/>
    <s v="AndrewWarren13"/>
    <s v="Bryan Barnes - 3B"/>
    <s v="Bryan Barnes"/>
    <s v="3B"/>
    <s v="Balanced/Arm"/>
    <n v="178"/>
    <m/>
    <m/>
    <m/>
    <m/>
    <m/>
    <m/>
    <s v="S10"/>
    <s v="S11"/>
    <m/>
    <m/>
    <m/>
    <m/>
    <m/>
    <m/>
    <m/>
    <m/>
    <m/>
    <m/>
    <m/>
    <m/>
    <n v="100"/>
    <m/>
    <m/>
    <m/>
  </r>
  <r>
    <m/>
    <x v="5"/>
    <s v="CatmanIndustries"/>
    <s v="Mork Spaghettelli - 3B"/>
    <s v="Mork Spaghettelli"/>
    <s v="3B"/>
    <s v="Power/Balanced"/>
    <n v="178"/>
    <s v="0(5)"/>
    <n v="5"/>
    <n v="5"/>
    <n v="5"/>
    <m/>
    <s v="http://probaseballexperience.jcink.net/index.php?showtopic=5312"/>
    <s v="S9"/>
    <s v="S10"/>
    <n v="17"/>
    <m/>
    <m/>
    <m/>
    <m/>
    <m/>
    <m/>
    <m/>
    <m/>
    <m/>
    <m/>
    <m/>
    <n v="152"/>
    <m/>
    <m/>
    <m/>
  </r>
  <r>
    <m/>
    <x v="6"/>
    <s v="kramerattack"/>
    <s v="Kris Kramer - 3B"/>
    <s v="Kris Kramer"/>
    <s v="3B"/>
    <s v="Power/Balanced"/>
    <n v="173"/>
    <n v="1"/>
    <n v="5"/>
    <n v="5"/>
    <m/>
    <m/>
    <s v="http://probaseballexperience.jcink.net/index.php?showtopic=4745&amp;hl=kramer"/>
    <s v="S9"/>
    <s v="S9"/>
    <n v="33"/>
    <m/>
    <m/>
    <m/>
    <m/>
    <m/>
    <m/>
    <m/>
    <m/>
    <m/>
    <m/>
    <s v="0(5)"/>
    <n v="100"/>
    <m/>
    <m/>
    <m/>
  </r>
  <r>
    <s v="http://probaseballexperience.jcink.net/index.php?showtopic=2506"/>
    <x v="3"/>
    <s v="CptSquall"/>
    <s v="Richard Physt - 1B"/>
    <s v="Richard Physt"/>
    <s v="1B"/>
    <s v="Power/Arm"/>
    <n v="172"/>
    <n v="0.5"/>
    <m/>
    <m/>
    <m/>
    <m/>
    <m/>
    <s v="S4"/>
    <s v="S5"/>
    <n v="16"/>
    <m/>
    <m/>
    <m/>
    <m/>
    <m/>
    <n v="1"/>
    <n v="3"/>
    <n v="1.5"/>
    <m/>
    <m/>
    <m/>
    <n v="172"/>
    <m/>
    <m/>
    <m/>
  </r>
  <r>
    <s v="http://probaseballexperience.jcink.net/index.php?showtopic=1075"/>
    <x v="8"/>
    <s v="c_braun"/>
    <s v="Cody Braun - 2B"/>
    <s v="Cody Braun"/>
    <s v="2B"/>
    <s v="Balanced/Quick"/>
    <n v="172"/>
    <m/>
    <m/>
    <m/>
    <m/>
    <m/>
    <m/>
    <s v="S2"/>
    <s v="S2"/>
    <n v="40"/>
    <m/>
    <m/>
    <m/>
    <m/>
    <m/>
    <n v="1"/>
    <n v="1"/>
    <m/>
    <m/>
    <m/>
    <m/>
    <n v="172"/>
    <m/>
    <n v="172"/>
    <n v="172"/>
  </r>
  <r>
    <s v="http://probaseballexperience.jcink.net/index.php?showtopic=219"/>
    <x v="8"/>
    <s v="BigolPHD"/>
    <s v="Dave Cope - 3B"/>
    <s v="Dave Cope"/>
    <s v="3B"/>
    <s v="Balanced/Arm"/>
    <n v="170"/>
    <m/>
    <m/>
    <m/>
    <m/>
    <m/>
    <m/>
    <s v="S1"/>
    <s v="S1"/>
    <n v="27"/>
    <m/>
    <m/>
    <m/>
    <m/>
    <m/>
    <n v="0.5"/>
    <m/>
    <m/>
    <m/>
    <m/>
    <m/>
    <n v="170"/>
    <m/>
    <n v="193"/>
    <n v="193"/>
  </r>
  <r>
    <s v="http://probaseballexperience.jcink.net/index.php?showtopic=607"/>
    <x v="7"/>
    <s v="kymiller17"/>
    <s v="Kai-Wei Mai - CL"/>
    <s v="Kai-Wei Mai"/>
    <s v="CL"/>
    <s v="Power"/>
    <n v="169"/>
    <n v="0.5"/>
    <m/>
    <m/>
    <m/>
    <m/>
    <m/>
    <s v="S1"/>
    <s v="S2"/>
    <n v="5"/>
    <m/>
    <m/>
    <m/>
    <m/>
    <m/>
    <n v="3"/>
    <n v="3"/>
    <n v="0.5"/>
    <n v="0.5"/>
    <n v="0.5"/>
    <n v="0.5"/>
    <n v="192"/>
    <n v="0.5"/>
    <n v="192"/>
    <n v="192"/>
  </r>
  <r>
    <s v="http://probaseballexperience.jcink.net/index.php?showtopic=98"/>
    <x v="8"/>
    <s v="Gooney"/>
    <s v="Dirty Dongs - RF"/>
    <s v="Dirty Dongs"/>
    <s v="RF"/>
    <s v="Power/Balanced"/>
    <n v="168"/>
    <m/>
    <m/>
    <m/>
    <m/>
    <m/>
    <m/>
    <s v="S1"/>
    <s v="S1"/>
    <n v="31"/>
    <m/>
    <m/>
    <m/>
    <m/>
    <m/>
    <n v="0.5"/>
    <m/>
    <m/>
    <m/>
    <m/>
    <m/>
    <n v="168"/>
    <m/>
    <n v="190"/>
    <n v="190"/>
  </r>
  <r>
    <s v="http://probaseballexperience.jcink.net/index.php?showtopic=1810"/>
    <x v="8"/>
    <s v="fruitbatattack"/>
    <s v="Eric Bilitnikov - C"/>
    <s v="Eric Bilitniko"/>
    <s v="C"/>
    <s v="Contact/React"/>
    <n v="168"/>
    <m/>
    <m/>
    <m/>
    <m/>
    <m/>
    <m/>
    <s v="S3"/>
    <s v="S3"/>
    <n v="13"/>
    <m/>
    <m/>
    <m/>
    <m/>
    <m/>
    <n v="4"/>
    <n v="4"/>
    <n v="3"/>
    <m/>
    <m/>
    <m/>
    <n v="168"/>
    <m/>
    <n v="100"/>
    <n v="100"/>
  </r>
  <r>
    <m/>
    <x v="5"/>
    <s v="hexx55"/>
    <s v="Justin Verbeek - CL"/>
    <s v="Justin Verbeek"/>
    <s v="CL"/>
    <s v="MR/LR"/>
    <n v="167"/>
    <n v="4"/>
    <n v="4.5"/>
    <m/>
    <m/>
    <m/>
    <s v="S11 MO"/>
    <s v="S9"/>
    <s v="S9"/>
    <n v="11"/>
    <m/>
    <m/>
    <m/>
    <m/>
    <m/>
    <m/>
    <m/>
    <m/>
    <m/>
    <m/>
    <m/>
    <n v="125"/>
    <m/>
    <m/>
    <m/>
  </r>
  <r>
    <m/>
    <x v="5"/>
    <s v="Jepox"/>
    <s v="Mitchell McDowell - SP"/>
    <s v="Mitchell McDowell"/>
    <s v="SP"/>
    <s v="Power"/>
    <n v="167"/>
    <n v="4"/>
    <n v="4"/>
    <m/>
    <m/>
    <m/>
    <s v="S11 MO"/>
    <s v="S9"/>
    <s v="S9"/>
    <n v="37"/>
    <m/>
    <m/>
    <m/>
    <m/>
    <m/>
    <m/>
    <m/>
    <m/>
    <m/>
    <m/>
    <m/>
    <n v="143"/>
    <m/>
    <m/>
    <m/>
  </r>
  <r>
    <m/>
    <x v="6"/>
    <s v="Sir Earl"/>
    <s v="Mamoru Okonomi - CL"/>
    <s v="Mamoru Okonomi"/>
    <s v="CL"/>
    <s v="Power"/>
    <n v="164"/>
    <s v="0(5)"/>
    <n v="2"/>
    <n v="2"/>
    <n v="2"/>
    <m/>
    <m/>
    <s v="S10"/>
    <s v="S10"/>
    <n v="10"/>
    <m/>
    <m/>
    <m/>
    <m/>
    <m/>
    <m/>
    <m/>
    <m/>
    <m/>
    <m/>
    <m/>
    <n v="100"/>
    <m/>
    <m/>
    <m/>
  </r>
  <r>
    <s v="http://probaseballexperience.jcink.net/index.php?showtopic=3791"/>
    <x v="2"/>
    <s v="Eggy216"/>
    <s v="Jasper Clayton - C"/>
    <s v="Jasper Clayton"/>
    <s v="C"/>
    <s v="Contact/Arm"/>
    <n v="164"/>
    <n v="1.25"/>
    <n v="1.25"/>
    <m/>
    <m/>
    <m/>
    <s v="S11 TO"/>
    <s v="S7"/>
    <s v="S8"/>
    <n v="20"/>
    <m/>
    <m/>
    <m/>
    <m/>
    <m/>
    <m/>
    <m/>
    <m/>
    <m/>
    <m/>
    <n v="0"/>
    <n v="164"/>
    <m/>
    <m/>
    <m/>
  </r>
  <r>
    <s v="http://probaseballexperience.jcink.net/index.php?showtopic=3027"/>
    <x v="8"/>
    <s v="cosbornballboy"/>
    <s v="Jayran Mackson - SP"/>
    <s v="Jayran Mackson"/>
    <s v="SP"/>
    <s v="Power"/>
    <n v="164"/>
    <m/>
    <m/>
    <m/>
    <m/>
    <m/>
    <m/>
    <s v="S6"/>
    <s v="S6"/>
    <n v="20"/>
    <s v="SCS"/>
    <n v="6"/>
    <n v="9"/>
    <s v="Y"/>
    <m/>
    <m/>
    <m/>
    <m/>
    <n v="2.5"/>
    <n v="1"/>
    <n v="2.5"/>
    <n v="164"/>
    <m/>
    <m/>
    <m/>
  </r>
  <r>
    <s v="http://probaseballexperience.jcink.net/index.php?showtopic=220"/>
    <x v="3"/>
    <s v="Tubzaphobia"/>
    <s v="Landon Hope - SP"/>
    <s v="Landon Hope"/>
    <s v="SP"/>
    <s v="Balanced"/>
    <n v="160"/>
    <n v="0.5"/>
    <m/>
    <m/>
    <m/>
    <m/>
    <m/>
    <s v="S1"/>
    <s v="S1"/>
    <s v="as GM"/>
    <m/>
    <m/>
    <m/>
    <m/>
    <m/>
    <n v="2"/>
    <n v="0.5"/>
    <n v="0.5"/>
    <n v="0.5"/>
    <m/>
    <n v="0.5"/>
    <n v="181"/>
    <n v="181"/>
    <n v="181"/>
    <n v="181"/>
  </r>
  <r>
    <s v="http://probaseballexperience.jcink.net/index.php?showtopic=3909"/>
    <x v="6"/>
    <s v="BALLS"/>
    <s v="Seth Porter - SP"/>
    <s v="Seth Porter"/>
    <s v="SP"/>
    <s v="Knuckleball "/>
    <n v="159"/>
    <n v="4"/>
    <n v="4"/>
    <m/>
    <m/>
    <m/>
    <s v="S11 TO"/>
    <s v="S8"/>
    <s v="S8"/>
    <n v="13"/>
    <m/>
    <m/>
    <m/>
    <m/>
    <m/>
    <m/>
    <m/>
    <m/>
    <m/>
    <n v="0"/>
    <n v="4"/>
    <n v="159"/>
    <m/>
    <m/>
    <m/>
  </r>
  <r>
    <m/>
    <x v="3"/>
    <s v="yahuckleberry"/>
    <s v="Chip Bowman - SP"/>
    <s v="Chip Bowman"/>
    <s v="SP"/>
    <s v="Balanced"/>
    <n v="157"/>
    <s v="0(5)"/>
    <n v="4"/>
    <n v="4"/>
    <m/>
    <m/>
    <s v="http://probaseballexperience.jcink.net/index.php?showtopic=5319"/>
    <s v="S10"/>
    <s v="S10"/>
    <n v="6"/>
    <m/>
    <m/>
    <m/>
    <m/>
    <m/>
    <m/>
    <m/>
    <m/>
    <m/>
    <m/>
    <m/>
    <n v="100"/>
    <m/>
    <m/>
    <m/>
  </r>
  <r>
    <m/>
    <x v="5"/>
    <s v="GrilledTwinkiez"/>
    <s v="Ben Beck - 1B"/>
    <s v="Ben Beck"/>
    <s v="1B"/>
    <s v="Power/DH"/>
    <n v="157"/>
    <s v="0(5)"/>
    <n v="5"/>
    <n v="5"/>
    <n v="5"/>
    <m/>
    <s v="http://probaseballexperience.jcink.net/index.php?showtopic=5312"/>
    <s v="S10"/>
    <s v="S10"/>
    <n v="23"/>
    <m/>
    <m/>
    <m/>
    <m/>
    <m/>
    <m/>
    <m/>
    <m/>
    <m/>
    <m/>
    <m/>
    <n v="100"/>
    <m/>
    <m/>
    <m/>
  </r>
  <r>
    <m/>
    <x v="3"/>
    <s v="AdamS"/>
    <s v="Mountain Thunderfist - 1B"/>
    <s v="Mountain Thunderfist"/>
    <s v="1B"/>
    <s v="Balanced/DH"/>
    <n v="156"/>
    <s v="0(5)"/>
    <n v="1.5"/>
    <n v="3"/>
    <m/>
    <m/>
    <s v="http://probaseballexperience.jcink.net/index.php?showtopic=5319"/>
    <s v="S10"/>
    <s v="S10"/>
    <n v="22"/>
    <m/>
    <m/>
    <m/>
    <m/>
    <m/>
    <m/>
    <m/>
    <m/>
    <m/>
    <m/>
    <m/>
    <n v="100"/>
    <m/>
    <m/>
    <m/>
  </r>
  <r>
    <s v="http://probaseballexperience.jcink.net/index.php?showtopic=309"/>
    <x v="8"/>
    <n v="124715"/>
    <s v="Jack Westin - 1B"/>
    <s v="Jack Westin"/>
    <s v="1B"/>
    <s v="Contact/Arm"/>
    <n v="156"/>
    <m/>
    <m/>
    <m/>
    <m/>
    <m/>
    <m/>
    <s v="S1"/>
    <s v="S1"/>
    <n v="24"/>
    <m/>
    <m/>
    <m/>
    <m/>
    <n v="1"/>
    <n v="3"/>
    <n v="0.5"/>
    <n v="0.5"/>
    <n v="0.5"/>
    <n v="0.5"/>
    <n v="0.5"/>
    <n v="156"/>
    <m/>
    <n v="161"/>
    <n v="161"/>
  </r>
  <r>
    <s v="http://probaseballexperience.jcink.net/index.php?showtopic=3934"/>
    <x v="4"/>
    <s v="TheLobman"/>
    <s v="Brock Lobster - RP"/>
    <s v="Brock Lobster"/>
    <s v="CL"/>
    <s v="MR/LR"/>
    <n v="151"/>
    <n v="2"/>
    <n v="2"/>
    <m/>
    <m/>
    <m/>
    <s v="S11 TO"/>
    <s v="S7"/>
    <s v="S8"/>
    <n v="33"/>
    <m/>
    <m/>
    <m/>
    <m/>
    <m/>
    <m/>
    <m/>
    <m/>
    <m/>
    <m/>
    <n v="0"/>
    <n v="151"/>
    <m/>
    <m/>
    <m/>
  </r>
  <r>
    <m/>
    <x v="2"/>
    <s v="Wizedex"/>
    <s v="Chris Gentry - SP"/>
    <s v="Chris Gentry"/>
    <s v="SP"/>
    <s v="Balanced"/>
    <n v="150"/>
    <s v="0(5)"/>
    <n v="1.5"/>
    <n v="1.5"/>
    <n v="1.5"/>
    <m/>
    <m/>
    <s v="S10"/>
    <s v="S10"/>
    <n v="21"/>
    <m/>
    <m/>
    <m/>
    <m/>
    <m/>
    <m/>
    <m/>
    <m/>
    <m/>
    <m/>
    <m/>
    <n v="100"/>
    <m/>
    <m/>
    <m/>
  </r>
  <r>
    <m/>
    <x v="7"/>
    <s v="jfh1503"/>
    <s v="Jake Grinz - SS"/>
    <s v="Jake Grinz"/>
    <s v="SS"/>
    <s v="Contact/Speedy"/>
    <n v="146"/>
    <s v="0(5)"/>
    <n v="2"/>
    <n v="2"/>
    <m/>
    <m/>
    <s v="http://probaseballexperience.jcink.net/index.php?showtopic=5303"/>
    <s v="S10"/>
    <s v="S10"/>
    <n v="25"/>
    <m/>
    <m/>
    <m/>
    <m/>
    <m/>
    <m/>
    <m/>
    <m/>
    <m/>
    <m/>
    <m/>
    <n v="100"/>
    <m/>
    <m/>
    <m/>
  </r>
  <r>
    <s v="http://probaseballexperience.jcink.net/index.php?showtopic=1836"/>
    <x v="3"/>
    <s v="SuperSquare04"/>
    <s v="Curtis Kane - SP"/>
    <s v="Curtis Kane"/>
    <s v="SP"/>
    <s v="Finesse"/>
    <n v="146"/>
    <n v="0.5"/>
    <m/>
    <m/>
    <m/>
    <m/>
    <m/>
    <s v="S3"/>
    <s v="S4"/>
    <s v="TBD"/>
    <m/>
    <m/>
    <m/>
    <m/>
    <m/>
    <n v="1"/>
    <m/>
    <m/>
    <m/>
    <m/>
    <n v="0.5"/>
    <n v="146"/>
    <n v="146"/>
    <n v="133"/>
    <n v="147"/>
  </r>
  <r>
    <s v="http://probaseballexperience.jcink.net/index.php?showtopic=2999"/>
    <x v="8"/>
    <s v="evryday"/>
    <s v="Refugio Castro - C"/>
    <s v="Refugio Castr"/>
    <s v="C"/>
    <s v="Power/React"/>
    <n v="146"/>
    <m/>
    <m/>
    <m/>
    <m/>
    <m/>
    <m/>
    <s v="S6"/>
    <s v="S6"/>
    <n v="15"/>
    <s v="SCS"/>
    <n v="6"/>
    <n v="14"/>
    <m/>
    <m/>
    <m/>
    <m/>
    <m/>
    <n v="2"/>
    <n v="3"/>
    <n v="0.5"/>
    <n v="146"/>
    <m/>
    <m/>
    <m/>
  </r>
  <r>
    <s v="http://probaseballexperience.jcink.net/index.php?showtopic=3360"/>
    <x v="4"/>
    <s v="Aweseven"/>
    <s v="Dionte Washington - CL"/>
    <s v="Dionte Washington"/>
    <s v="CL"/>
    <s v="Power"/>
    <n v="144"/>
    <n v="1.5"/>
    <m/>
    <m/>
    <m/>
    <m/>
    <s v="S10 TO"/>
    <s v="S6"/>
    <s v="S7"/>
    <n v="20"/>
    <m/>
    <m/>
    <m/>
    <m/>
    <m/>
    <m/>
    <m/>
    <m/>
    <m/>
    <s v="5 (0)"/>
    <n v="1.5"/>
    <n v="144"/>
    <m/>
    <m/>
    <m/>
  </r>
  <r>
    <m/>
    <x v="5"/>
    <s v="YeetBuddy"/>
    <s v="Mike McSlapp - CF"/>
    <s v="Mike McSlapp"/>
    <s v="CF"/>
    <s v="Contact/Balanced"/>
    <n v="142"/>
    <s v="0(5)"/>
    <n v="5"/>
    <n v="5"/>
    <n v="5"/>
    <m/>
    <s v="http://probaseballexperience.jcink.net/index.php?showtopic=5312"/>
    <s v="S10"/>
    <s v="S10"/>
    <n v="16"/>
    <m/>
    <m/>
    <m/>
    <m/>
    <m/>
    <m/>
    <m/>
    <m/>
    <m/>
    <m/>
    <m/>
    <n v="100"/>
    <m/>
    <m/>
    <m/>
  </r>
  <r>
    <m/>
    <x v="5"/>
    <s v="Totally_Not_Moosecop"/>
    <s v="Bartolo Pizza - CL"/>
    <s v="Bartolo Pizza"/>
    <s v="CL"/>
    <s v="Finesse"/>
    <n v="141"/>
    <s v="0(5)"/>
    <n v="5"/>
    <n v="5"/>
    <n v="5"/>
    <m/>
    <s v="http://probaseballexperience.jcink.net/index.php?showtopic=5312"/>
    <s v="S10"/>
    <s v="S10"/>
    <n v="36"/>
    <m/>
    <m/>
    <m/>
    <m/>
    <m/>
    <m/>
    <m/>
    <m/>
    <m/>
    <m/>
    <m/>
    <n v="100"/>
    <m/>
    <m/>
    <m/>
  </r>
  <r>
    <m/>
    <x v="1"/>
    <s v="Esso2264"/>
    <s v="John Bill - CL"/>
    <s v="John Bill"/>
    <s v="CL"/>
    <s v="MR/LR"/>
    <n v="141"/>
    <n v="1.5"/>
    <n v="1.5"/>
    <n v="1.5"/>
    <m/>
    <m/>
    <s v="S12 MO"/>
    <s v="S9"/>
    <s v="S9"/>
    <n v="28"/>
    <m/>
    <m/>
    <m/>
    <m/>
    <m/>
    <m/>
    <m/>
    <m/>
    <m/>
    <m/>
    <s v="0(5)"/>
    <n v="129"/>
    <m/>
    <m/>
    <m/>
  </r>
  <r>
    <s v="http://probaseballexperience.jcink.net/index.php?showtopic=2502"/>
    <x v="2"/>
    <s v="Sour_Chin_Music"/>
    <s v="Michael O'Dowd - CL"/>
    <s v="Michael O'Dowd"/>
    <s v="CL"/>
    <s v="Power"/>
    <n v="141"/>
    <n v="0.5"/>
    <m/>
    <m/>
    <m/>
    <m/>
    <s v="Cut"/>
    <s v="S4"/>
    <s v="S5"/>
    <n v="26"/>
    <m/>
    <m/>
    <m/>
    <m/>
    <m/>
    <m/>
    <n v="2"/>
    <n v="3"/>
    <n v="1.5"/>
    <m/>
    <n v="0.5"/>
    <n v="141"/>
    <m/>
    <m/>
    <m/>
  </r>
  <r>
    <s v="http://probaseballexperience.jcink.net/index.php?showtopic=1735"/>
    <x v="8"/>
    <s v="OllieDaniels"/>
    <s v="Ollie Daniels - CF"/>
    <s v="Ollie Daniels"/>
    <s v="CF"/>
    <s v="Speed/Speed "/>
    <n v="140"/>
    <m/>
    <m/>
    <m/>
    <m/>
    <m/>
    <m/>
    <s v="S3"/>
    <s v="S3"/>
    <n v="16"/>
    <m/>
    <m/>
    <m/>
    <m/>
    <m/>
    <n v="4"/>
    <n v="4"/>
    <n v="5"/>
    <m/>
    <m/>
    <m/>
    <n v="140"/>
    <m/>
    <n v="140"/>
    <n v="100"/>
  </r>
  <r>
    <s v="http://probaseballexperience.jcink.net/index.php?showtopic=3942"/>
    <x v="6"/>
    <s v="Shaggy28"/>
    <s v="CJ Henderson - SP"/>
    <s v="CJ Henderson"/>
    <s v="SP"/>
    <s v="Power "/>
    <n v="139"/>
    <n v="1"/>
    <n v="1"/>
    <m/>
    <m/>
    <m/>
    <s v="S11 TO"/>
    <s v="S7"/>
    <s v="S8"/>
    <n v="31"/>
    <m/>
    <m/>
    <m/>
    <m/>
    <m/>
    <m/>
    <m/>
    <m/>
    <m/>
    <n v="0"/>
    <n v="1"/>
    <n v="139"/>
    <m/>
    <m/>
    <m/>
  </r>
  <r>
    <s v="http://probaseballexperience.jcink.net/index.php?showtopic=1477"/>
    <x v="8"/>
    <s v="Confusion"/>
    <s v="Kazuya Miyuki - C"/>
    <s v="Kazuya Miyuk"/>
    <s v="C"/>
    <s v="Power/React"/>
    <n v="139"/>
    <m/>
    <m/>
    <m/>
    <m/>
    <m/>
    <m/>
    <s v="S2"/>
    <s v="S3"/>
    <n v="17"/>
    <m/>
    <m/>
    <m/>
    <m/>
    <n v="1.5"/>
    <n v="1.5"/>
    <n v="1.5"/>
    <n v="0.5"/>
    <n v="0.5"/>
    <n v="0.5"/>
    <n v="139"/>
    <n v="139"/>
    <m/>
    <n v="139"/>
    <n v="139"/>
  </r>
  <r>
    <s v="http://probaseballexperience.jcink.net/index.php?showtopic=3435"/>
    <x v="8"/>
    <s v=".bojo"/>
    <s v="Boogie Flowers - 3B"/>
    <s v="Boogie Flowers"/>
    <s v="3B"/>
    <s v="Speed/Quick"/>
    <n v="138"/>
    <m/>
    <m/>
    <m/>
    <m/>
    <m/>
    <s v="S10 TO"/>
    <s v="S6"/>
    <s v="S7"/>
    <n v="10"/>
    <m/>
    <m/>
    <m/>
    <m/>
    <m/>
    <m/>
    <m/>
    <m/>
    <s v="5 (0)"/>
    <m/>
    <n v="2"/>
    <n v="138"/>
    <m/>
    <m/>
    <m/>
  </r>
  <r>
    <m/>
    <x v="4"/>
    <s v="Leafs4ever"/>
    <s v="Ash Dragon - CF"/>
    <s v="Ash Dragon"/>
    <s v="CF"/>
    <s v="Balanced/Balanced"/>
    <n v="137"/>
    <s v="0(5)"/>
    <n v="3"/>
    <n v="3"/>
    <n v="3"/>
    <m/>
    <s v="http://probaseballexperience.jcink.net/index.php?showtopic=5277&amp;st=0&amp;#entry63484"/>
    <s v="S10"/>
    <s v="S10"/>
    <n v="12"/>
    <m/>
    <m/>
    <m/>
    <m/>
    <m/>
    <m/>
    <m/>
    <m/>
    <m/>
    <m/>
    <m/>
    <n v="100"/>
    <m/>
    <m/>
    <m/>
  </r>
  <r>
    <m/>
    <x v="6"/>
    <s v="bluesfan55"/>
    <s v="Thor Sigurdsson - CF"/>
    <s v="Thor Sigurdsson"/>
    <s v="CF"/>
    <s v="Balanced/Balanced"/>
    <n v="137"/>
    <s v="0(5)"/>
    <n v="2"/>
    <n v="2"/>
    <m/>
    <m/>
    <m/>
    <s v="S10"/>
    <s v="S10"/>
    <n v="15"/>
    <m/>
    <m/>
    <m/>
    <m/>
    <m/>
    <m/>
    <m/>
    <m/>
    <m/>
    <m/>
    <m/>
    <n v="100"/>
    <m/>
    <m/>
    <m/>
  </r>
  <r>
    <m/>
    <x v="0"/>
    <s v="MantoRune"/>
    <s v="Manto Rune - 3B"/>
    <s v="Manto Rune"/>
    <s v="3B"/>
    <s v="Balanced/Balanced"/>
    <n v="137"/>
    <s v="0(5)"/>
    <n v="2"/>
    <n v="2"/>
    <n v="2"/>
    <m/>
    <s v="http://probaseballexperience.jcink.net/index.php?showtopic=5301"/>
    <s v="S10"/>
    <s v="S10"/>
    <n v="28"/>
    <m/>
    <m/>
    <m/>
    <m/>
    <m/>
    <m/>
    <m/>
    <m/>
    <m/>
    <m/>
    <m/>
    <n v="100"/>
    <m/>
    <m/>
    <m/>
  </r>
  <r>
    <s v="http://probaseballexperience.jcink.net/index.php?act=ST&amp;f=2&amp;t=2524"/>
    <x v="8"/>
    <s v="Trifecta"/>
    <s v="Esteban Julio Ricardo Montoya de la Rosa Ramirez - CF"/>
    <s v="Esteban Julio Ricardo Montoya de la Rosa Ramirez"/>
    <s v="CF"/>
    <s v="Balanced/Arm"/>
    <n v="132"/>
    <m/>
    <m/>
    <m/>
    <m/>
    <m/>
    <s v="Cut"/>
    <s v="S5"/>
    <s v="S5"/>
    <n v="31"/>
    <m/>
    <m/>
    <m/>
    <m/>
    <m/>
    <m/>
    <m/>
    <n v="5"/>
    <n v="1.5"/>
    <m/>
    <m/>
    <n v="132"/>
    <m/>
    <m/>
    <m/>
  </r>
  <r>
    <s v="http://probaseballexperience.jcink.net/index.php?showtopic=1734"/>
    <x v="8"/>
    <s v="Redsfan12c"/>
    <s v="Sam Cheung - 2B"/>
    <s v="Sam Cheung"/>
    <s v="2B"/>
    <s v="Contact/Quick"/>
    <n v="132"/>
    <m/>
    <m/>
    <m/>
    <m/>
    <m/>
    <m/>
    <s v="S3"/>
    <s v="S3"/>
    <n v="20"/>
    <m/>
    <m/>
    <m/>
    <m/>
    <m/>
    <n v="4"/>
    <n v="4.5"/>
    <m/>
    <m/>
    <m/>
    <m/>
    <n v="132"/>
    <m/>
    <n v="132"/>
    <n v="132"/>
  </r>
  <r>
    <m/>
    <x v="1"/>
    <s v="TheWoZy"/>
    <s v="Tylar Finch - SP"/>
    <s v="Tylar Finch"/>
    <s v="SP"/>
    <s v="Finesse"/>
    <n v="131"/>
    <s v="0(5)"/>
    <n v="2"/>
    <n v="2"/>
    <n v="2"/>
    <m/>
    <s v="http://probaseballexperience.jcink.net/index.php?showtopic=5313"/>
    <s v="S10"/>
    <s v="S10"/>
    <n v="18"/>
    <m/>
    <m/>
    <m/>
    <m/>
    <m/>
    <m/>
    <m/>
    <m/>
    <m/>
    <m/>
    <m/>
    <n v="100"/>
    <m/>
    <m/>
    <m/>
  </r>
  <r>
    <s v="http://probaseballexperience.jcink.net/index.php?showtopic=3621"/>
    <x v="8"/>
    <s v="Shaun319"/>
    <s v="Shaun Parrish - CF"/>
    <s v="Shaun Parrish"/>
    <s v="CF"/>
    <s v="Contact/Balanced"/>
    <n v="131"/>
    <m/>
    <m/>
    <m/>
    <m/>
    <m/>
    <s v="S10 TO"/>
    <s v="S7"/>
    <s v="S7"/>
    <n v="21"/>
    <m/>
    <m/>
    <m/>
    <m/>
    <m/>
    <m/>
    <m/>
    <m/>
    <m/>
    <s v="5 (0)"/>
    <m/>
    <n v="131"/>
    <m/>
    <m/>
    <m/>
  </r>
  <r>
    <s v="http://probaseballexperience.jcink.net/index.php?showtopic=4070"/>
    <x v="6"/>
    <s v="Looofah"/>
    <s v="Corey Bradford - RP"/>
    <s v="Corey Bradford"/>
    <s v="CL"/>
    <s v="MR/LR"/>
    <n v="129"/>
    <n v="1.5"/>
    <n v="1.5"/>
    <m/>
    <m/>
    <m/>
    <s v="S11 TO"/>
    <s v="S8"/>
    <s v="S8"/>
    <n v="19"/>
    <m/>
    <m/>
    <m/>
    <m/>
    <m/>
    <m/>
    <m/>
    <m/>
    <m/>
    <n v="0"/>
    <n v="1.5"/>
    <n v="129"/>
    <m/>
    <m/>
    <m/>
  </r>
  <r>
    <m/>
    <x v="6"/>
    <s v="doublea"/>
    <s v="Alan Abel - SP"/>
    <s v="Alan Abel"/>
    <s v="SP"/>
    <s v="Power"/>
    <n v="129"/>
    <n v="1"/>
    <n v="1"/>
    <m/>
    <m/>
    <m/>
    <s v="S11 PO"/>
    <s v="S9"/>
    <s v="S9"/>
    <n v="32"/>
    <m/>
    <m/>
    <m/>
    <m/>
    <m/>
    <m/>
    <m/>
    <m/>
    <m/>
    <m/>
    <s v="0(5)"/>
    <n v="129"/>
    <m/>
    <m/>
    <m/>
  </r>
  <r>
    <s v="http://probaseballexperience.jcink.net/index.php?showtopic=2615"/>
    <x v="8"/>
    <s v="Money"/>
    <s v="Reggie Malone - LF"/>
    <s v="Reggie Malone"/>
    <s v="LF"/>
    <s v="Contact/Arm"/>
    <n v="129"/>
    <m/>
    <m/>
    <m/>
    <m/>
    <m/>
    <s v="S7 PO"/>
    <s v="S5"/>
    <s v="S5"/>
    <n v="6"/>
    <m/>
    <m/>
    <m/>
    <m/>
    <m/>
    <m/>
    <n v="3"/>
    <n v="3"/>
    <n v="3"/>
    <m/>
    <m/>
    <n v="129"/>
    <m/>
    <m/>
    <m/>
  </r>
  <r>
    <s v="http://probaseballexperience.jcink.net/index.php?showtopic=1377"/>
    <x v="8"/>
    <s v="k0ala"/>
    <s v="Ben O'Leary - C"/>
    <s v="Ben O'Lear"/>
    <s v="C"/>
    <s v="Power/Arm"/>
    <n v="129"/>
    <m/>
    <m/>
    <m/>
    <m/>
    <m/>
    <m/>
    <s v="S2"/>
    <s v="S2"/>
    <n v="26"/>
    <m/>
    <m/>
    <m/>
    <m/>
    <m/>
    <n v="1"/>
    <n v="1"/>
    <n v="1"/>
    <n v="0.5"/>
    <m/>
    <m/>
    <n v="129"/>
    <m/>
    <n v="129"/>
    <n v="129"/>
  </r>
  <r>
    <m/>
    <x v="7"/>
    <s v="Mozer92"/>
    <s v="Jason Lester - 1B"/>
    <s v="Jason Lester"/>
    <s v="1B"/>
    <s v="Power/Speedy"/>
    <n v="128"/>
    <s v="0(5)"/>
    <n v="1"/>
    <n v="1.5"/>
    <n v="3"/>
    <m/>
    <s v="http://probaseballexperience.jcink.net/index.php?showtopic=5315"/>
    <s v="S9"/>
    <s v="S10"/>
    <n v="33"/>
    <m/>
    <m/>
    <m/>
    <m/>
    <m/>
    <m/>
    <m/>
    <m/>
    <m/>
    <m/>
    <m/>
    <n v="113"/>
    <m/>
    <m/>
    <m/>
  </r>
  <r>
    <s v="http://probaseballexperience.jcink.net/index.php?showtopic=3889"/>
    <x v="6"/>
    <s v="PricklyBoi"/>
    <s v="Prickly Pearboi - SP"/>
    <s v="Prickly Pearboi"/>
    <s v="SP"/>
    <s v="Finesse "/>
    <n v="128"/>
    <n v="1"/>
    <n v="1"/>
    <m/>
    <m/>
    <m/>
    <s v="S11 TO"/>
    <s v="S7"/>
    <s v="S8"/>
    <n v="25"/>
    <m/>
    <m/>
    <m/>
    <m/>
    <m/>
    <m/>
    <m/>
    <m/>
    <m/>
    <n v="0"/>
    <n v="1"/>
    <n v="128"/>
    <m/>
    <m/>
    <m/>
  </r>
  <r>
    <s v="http://probaseballexperience.jcink.net/index.php?showtopic=3272"/>
    <x v="8"/>
    <s v="39alaska39"/>
    <s v="Kevin Winters - C"/>
    <s v="Kevin Winter"/>
    <s v="C"/>
    <s v="Balanced/React"/>
    <n v="126"/>
    <m/>
    <m/>
    <m/>
    <m/>
    <m/>
    <s v="S10 TO"/>
    <s v="S6"/>
    <s v="S7"/>
    <n v="23"/>
    <m/>
    <m/>
    <m/>
    <m/>
    <m/>
    <m/>
    <m/>
    <m/>
    <m/>
    <s v="5 (0)"/>
    <n v="3"/>
    <n v="126"/>
    <m/>
    <m/>
    <m/>
  </r>
  <r>
    <s v="http://probaseballexperience.jcink.net/index.php?showtopic=4076"/>
    <x v="8"/>
    <s v="Tbeowulf"/>
    <s v="Thomas Beowulf - CF"/>
    <s v="Thomas Beowulf"/>
    <s v="CF"/>
    <s v="Speed/Balance"/>
    <n v="126"/>
    <m/>
    <m/>
    <m/>
    <m/>
    <m/>
    <s v="S10 MO http://probaseballexperience.jcink.net/index.php?showtopic=4214"/>
    <s v="S8"/>
    <s v="S8"/>
    <n v="16"/>
    <m/>
    <m/>
    <m/>
    <m/>
    <m/>
    <m/>
    <m/>
    <m/>
    <m/>
    <n v="0"/>
    <n v="1.5"/>
    <n v="126"/>
    <m/>
    <m/>
    <m/>
  </r>
  <r>
    <s v="http://probaseballexperience.jcink.net/index.php?showtopic=3272"/>
    <x v="8"/>
    <s v="39alaska39"/>
    <s v="Kevin Winters - C"/>
    <s v="Kevin Winter"/>
    <s v="C"/>
    <s v="Balanced/React"/>
    <n v="126"/>
    <m/>
    <m/>
    <m/>
    <m/>
    <m/>
    <s v="S10 TO"/>
    <s v="S6"/>
    <s v="S7"/>
    <n v="23"/>
    <m/>
    <m/>
    <m/>
    <m/>
    <m/>
    <m/>
    <m/>
    <m/>
    <m/>
    <s v="5 (0)"/>
    <n v="3"/>
    <n v="126"/>
    <m/>
    <m/>
    <m/>
  </r>
  <r>
    <m/>
    <x v="9"/>
    <s v="AlexF"/>
    <s v="Blake Faux - SP"/>
    <s v="Blake Faux"/>
    <s v="SP"/>
    <s v="Knuckleball "/>
    <n v="122"/>
    <m/>
    <m/>
    <m/>
    <m/>
    <m/>
    <m/>
    <s v="S10"/>
    <s v="S11"/>
    <m/>
    <m/>
    <m/>
    <m/>
    <m/>
    <m/>
    <m/>
    <m/>
    <m/>
    <m/>
    <m/>
    <m/>
    <n v="100"/>
    <m/>
    <m/>
    <m/>
  </r>
  <r>
    <m/>
    <x v="3"/>
    <s v="Its_Paco"/>
    <s v="Paco Dunbar - CL"/>
    <s v="Paco Dunbar"/>
    <s v="CL"/>
    <s v="MR/LR"/>
    <n v="118"/>
    <s v="0(5)"/>
    <n v="1"/>
    <n v="1"/>
    <m/>
    <m/>
    <s v="http://probaseballexperience.jcink.net/index.php?showtopic=5393"/>
    <s v="S10"/>
    <s v="S10"/>
    <n v="38"/>
    <m/>
    <m/>
    <m/>
    <m/>
    <m/>
    <m/>
    <m/>
    <m/>
    <m/>
    <m/>
    <m/>
    <n v="100"/>
    <m/>
    <m/>
    <m/>
  </r>
  <r>
    <m/>
    <x v="8"/>
    <s v="BarnabyEarl"/>
    <s v="Barnaby Earl - 1B"/>
    <s v="Barnaby Earl"/>
    <s v="1B"/>
    <s v="Power/Balanced"/>
    <n v="118"/>
    <m/>
    <m/>
    <m/>
    <m/>
    <m/>
    <m/>
    <s v="S8"/>
    <s v="S9"/>
    <n v="45"/>
    <m/>
    <m/>
    <m/>
    <m/>
    <m/>
    <m/>
    <m/>
    <m/>
    <m/>
    <m/>
    <m/>
    <n v="118"/>
    <m/>
    <m/>
    <m/>
  </r>
  <r>
    <s v="http://probaseballexperience.jcink.net/index.php?showtopic=3097"/>
    <x v="8"/>
    <s v="Merkury86"/>
    <s v="Eddie Spaghetti - 3B"/>
    <s v="Eddie Spaghetti"/>
    <s v="3B"/>
    <s v="Balanced/Balanced"/>
    <n v="118"/>
    <m/>
    <m/>
    <m/>
    <m/>
    <m/>
    <s v="S9 TO"/>
    <s v="S6"/>
    <s v="S6"/>
    <n v="25"/>
    <s v="ASE"/>
    <n v="6"/>
    <n v="8"/>
    <s v="Y"/>
    <m/>
    <m/>
    <m/>
    <m/>
    <n v="1"/>
    <n v="1"/>
    <m/>
    <n v="118"/>
    <m/>
    <m/>
    <m/>
  </r>
  <r>
    <s v="http://probaseballexperience.jcink.net/index.php?showtopic=127"/>
    <x v="1"/>
    <s v="Squeeze"/>
    <s v="Buddy McKnight - SP"/>
    <s v="Buddy McKnight"/>
    <s v="SP"/>
    <s v="Finesse"/>
    <n v="118"/>
    <n v="0.5"/>
    <m/>
    <m/>
    <m/>
    <m/>
    <m/>
    <s v="S1"/>
    <s v="S1"/>
    <n v="20"/>
    <m/>
    <m/>
    <m/>
    <m/>
    <m/>
    <n v="3"/>
    <n v="0.5"/>
    <n v="0.5"/>
    <n v="0.5"/>
    <n v="0.5"/>
    <n v="0.5"/>
    <n v="133"/>
    <m/>
    <n v="133"/>
    <n v="133"/>
  </r>
  <r>
    <m/>
    <x v="3"/>
    <s v="BaseballManiac"/>
    <s v="Diego Duque de Estrada - SP"/>
    <s v="Diego Duque de Estrada"/>
    <s v="SP"/>
    <s v="Finesse"/>
    <n v="116"/>
    <n v="1.25"/>
    <n v="1.25"/>
    <m/>
    <m/>
    <m/>
    <s v="S11 MO"/>
    <s v="S9"/>
    <s v="S9"/>
    <n v="40"/>
    <m/>
    <m/>
    <m/>
    <m/>
    <m/>
    <m/>
    <m/>
    <m/>
    <m/>
    <m/>
    <s v="0(5)"/>
    <n v="116"/>
    <m/>
    <m/>
    <m/>
  </r>
  <r>
    <s v="http://probaseballexperience.jcink.net/index.php?showtopic=1041"/>
    <x v="8"/>
    <s v="lasershow1507"/>
    <s v="Brandon Adams - SP"/>
    <s v="Brandon Adams"/>
    <s v="SP"/>
    <s v="Finesse"/>
    <n v="114"/>
    <n v="0.5"/>
    <m/>
    <m/>
    <m/>
    <m/>
    <m/>
    <s v="S2"/>
    <s v="S2"/>
    <n v="35"/>
    <m/>
    <m/>
    <m/>
    <m/>
    <m/>
    <n v="1"/>
    <n v="1"/>
    <n v="0.5"/>
    <n v="0.5"/>
    <m/>
    <n v="0.5"/>
    <n v="114"/>
    <n v="114"/>
    <n v="114"/>
    <n v="114"/>
  </r>
  <r>
    <s v="http://probaseballexperience.jcink.net/index.php?showtopic=2571"/>
    <x v="8"/>
    <s v="Stockton"/>
    <s v="Ike Thompson - 2B"/>
    <s v="Ike Thompson"/>
    <s v="2B"/>
    <s v="Power/Balanced"/>
    <n v="114"/>
    <m/>
    <m/>
    <m/>
    <m/>
    <m/>
    <s v="S7 TO"/>
    <s v="S5"/>
    <s v="S5"/>
    <n v="11"/>
    <m/>
    <m/>
    <m/>
    <m/>
    <m/>
    <m/>
    <n v="2"/>
    <n v="2"/>
    <n v="2"/>
    <m/>
    <m/>
    <n v="114"/>
    <m/>
    <m/>
    <m/>
  </r>
  <r>
    <s v="http://probaseballexperience.jcink.net/index.php?showtopic=1041"/>
    <x v="8"/>
    <s v="lasershow1507"/>
    <s v="Brandon Adams - SP"/>
    <s v="Brandon Adams"/>
    <s v="SP"/>
    <s v="Finesse"/>
    <n v="114"/>
    <m/>
    <m/>
    <m/>
    <m/>
    <m/>
    <m/>
    <s v="S2"/>
    <s v="S2"/>
    <n v="35"/>
    <m/>
    <m/>
    <m/>
    <m/>
    <m/>
    <n v="1"/>
    <n v="1"/>
    <n v="0.5"/>
    <n v="0.5"/>
    <m/>
    <m/>
    <n v="114"/>
    <m/>
    <n v="114"/>
    <n v="114"/>
  </r>
  <r>
    <s v="http://probaseballexperience.jcink.net/index.php?showtopic=3594"/>
    <x v="6"/>
    <s v="dreadlordking"/>
    <s v="Marc Steele - RF"/>
    <s v="Marc Steele"/>
    <s v="RF"/>
    <s v="Speed/Speed"/>
    <n v="113"/>
    <n v="1.5"/>
    <m/>
    <m/>
    <m/>
    <m/>
    <s v="S10 MO"/>
    <s v="S7"/>
    <s v="S7"/>
    <n v="17"/>
    <m/>
    <m/>
    <m/>
    <m/>
    <m/>
    <m/>
    <m/>
    <m/>
    <s v="5 (0)"/>
    <n v="1.5"/>
    <n v="1.5"/>
    <n v="113"/>
    <m/>
    <m/>
    <m/>
  </r>
  <r>
    <s v="http://probaseballexperience.jcink.net/index.php?showtopic=1799"/>
    <x v="8"/>
    <s v="Cox2j8"/>
    <s v="Logan Cox - C"/>
    <s v="Logan Co"/>
    <s v="C"/>
    <s v="Balanced/React"/>
    <n v="113"/>
    <m/>
    <m/>
    <m/>
    <m/>
    <m/>
    <m/>
    <s v="S3"/>
    <s v="S3"/>
    <n v="15"/>
    <m/>
    <m/>
    <m/>
    <m/>
    <m/>
    <n v="2"/>
    <m/>
    <m/>
    <m/>
    <m/>
    <m/>
    <n v="113"/>
    <m/>
    <m/>
    <n v="113"/>
  </r>
  <r>
    <s v="http://probaseballexperience.jcink.net/index.php?showtopic=3080"/>
    <x v="8"/>
    <s v="drphillysblunt"/>
    <s v="Phil Blunt - CF"/>
    <s v="Phil Blunt"/>
    <s v="CF"/>
    <s v="Speed/Speed"/>
    <n v="112"/>
    <m/>
    <m/>
    <m/>
    <m/>
    <m/>
    <m/>
    <s v="S6"/>
    <s v="S6"/>
    <n v="21"/>
    <m/>
    <m/>
    <m/>
    <m/>
    <m/>
    <m/>
    <m/>
    <m/>
    <m/>
    <m/>
    <m/>
    <n v="112"/>
    <m/>
    <m/>
    <m/>
  </r>
  <r>
    <s v="http://probaseballexperience.jcink.net/index.php?showtopic=1147"/>
    <x v="8"/>
    <s v="CrashDavis"/>
    <s v="Ulysses Covfefe - CF"/>
    <s v="Ulysses Covfefe"/>
    <s v="CF"/>
    <s v="Speed/Balanced "/>
    <n v="112"/>
    <m/>
    <m/>
    <m/>
    <m/>
    <m/>
    <m/>
    <s v="S2"/>
    <s v="S2"/>
    <n v="37"/>
    <m/>
    <m/>
    <m/>
    <m/>
    <m/>
    <n v="0.6"/>
    <n v="0.6"/>
    <m/>
    <m/>
    <m/>
    <m/>
    <n v="112"/>
    <m/>
    <n v="113"/>
    <n v="113"/>
  </r>
  <r>
    <m/>
    <x v="2"/>
    <s v="fade17"/>
    <s v="Bishop Chomke - RF"/>
    <s v="Bishop Chomke"/>
    <s v="RF"/>
    <s v="Contact/Balanced"/>
    <n v="111"/>
    <n v="2"/>
    <n v="2"/>
    <m/>
    <m/>
    <m/>
    <s v="S11 TO"/>
    <s v="S9"/>
    <s v="S9"/>
    <n v="39"/>
    <m/>
    <m/>
    <m/>
    <m/>
    <m/>
    <m/>
    <m/>
    <m/>
    <m/>
    <m/>
    <m/>
    <n v="111"/>
    <m/>
    <m/>
    <m/>
  </r>
  <r>
    <s v="http://probaseballexperience.jcink.net/index.php?showtopic=239"/>
    <x v="1"/>
    <s v="christian"/>
    <s v="Christian Augustine - SP"/>
    <s v="Christian Augustine"/>
    <s v="SP"/>
    <s v="Finesse"/>
    <n v="111"/>
    <n v="0.5"/>
    <m/>
    <m/>
    <m/>
    <m/>
    <m/>
    <s v="S1"/>
    <s v="S1"/>
    <n v="65"/>
    <m/>
    <m/>
    <m/>
    <m/>
    <n v="0.5"/>
    <n v="0.5"/>
    <n v="0.5"/>
    <n v="0.5"/>
    <n v="0.5"/>
    <n v="0.5"/>
    <n v="0.5"/>
    <n v="111"/>
    <n v="111"/>
    <n v="111"/>
    <n v="111"/>
  </r>
  <r>
    <s v="http://probaseballexperience.jcink.net/index.php?showtopic=2229"/>
    <x v="8"/>
    <s v="CompleteBelter"/>
    <s v="Stuart Westerkamp - C"/>
    <s v="Stuart Westerkam"/>
    <s v="C"/>
    <s v="Contact/React"/>
    <n v="111"/>
    <m/>
    <m/>
    <m/>
    <m/>
    <m/>
    <m/>
    <s v="S4"/>
    <s v="S4"/>
    <n v="13"/>
    <m/>
    <m/>
    <m/>
    <m/>
    <m/>
    <m/>
    <n v="2.5"/>
    <n v="1.25"/>
    <m/>
    <m/>
    <m/>
    <n v="111"/>
    <m/>
    <m/>
    <m/>
  </r>
  <r>
    <s v="http://probaseballexperience.jcink.net/index.php?showtopic=1062"/>
    <x v="8"/>
    <s v="Sky23"/>
    <s v="Addison Steinbach - SP"/>
    <s v="Addison Steinbach"/>
    <s v="SP"/>
    <s v="Power"/>
    <n v="111"/>
    <m/>
    <m/>
    <m/>
    <m/>
    <m/>
    <m/>
    <s v="S2"/>
    <s v="S2"/>
    <n v="30"/>
    <m/>
    <m/>
    <m/>
    <m/>
    <m/>
    <n v="4"/>
    <n v="4"/>
    <n v="0.5"/>
    <m/>
    <m/>
    <m/>
    <n v="111"/>
    <m/>
    <n v="111"/>
    <n v="111"/>
  </r>
  <r>
    <m/>
    <x v="9"/>
    <s v="chucky267"/>
    <s v="Dinero Torres - SP"/>
    <s v="Dinero Torres"/>
    <s v="SP"/>
    <s v="Balanced"/>
    <n v="108"/>
    <m/>
    <m/>
    <m/>
    <m/>
    <m/>
    <m/>
    <s v="S10"/>
    <s v="S11"/>
    <m/>
    <m/>
    <m/>
    <m/>
    <m/>
    <m/>
    <m/>
    <m/>
    <m/>
    <m/>
    <m/>
    <m/>
    <n v="100"/>
    <m/>
    <m/>
    <m/>
  </r>
  <r>
    <m/>
    <x v="3"/>
    <s v="PoopsMagee"/>
    <s v="Arthur Meebles - LF"/>
    <s v="Arthur Meebles"/>
    <s v="LF"/>
    <s v="Contact/Arm"/>
    <n v="108"/>
    <s v="0(5)"/>
    <n v="1"/>
    <n v="3"/>
    <m/>
    <m/>
    <s v="http://probaseballexperience.jcink.net/index.php?showtopic=5319"/>
    <s v="S10"/>
    <s v="S10"/>
    <n v="34"/>
    <m/>
    <m/>
    <m/>
    <m/>
    <m/>
    <m/>
    <m/>
    <m/>
    <m/>
    <m/>
    <m/>
    <n v="100"/>
    <m/>
    <m/>
    <m/>
  </r>
  <r>
    <m/>
    <x v="1"/>
    <s v="Plasman"/>
    <s v="Orin Valeryn - CL"/>
    <s v="Orin Valeryn"/>
    <s v="CL"/>
    <s v="MR/LR"/>
    <n v="108"/>
    <s v="0(5)"/>
    <n v="2"/>
    <n v="2"/>
    <n v="2"/>
    <m/>
    <s v="http://probaseballexperience.jcink.net/index.php?showtopic=5313"/>
    <s v="S10"/>
    <s v="S10"/>
    <n v="24"/>
    <m/>
    <m/>
    <m/>
    <m/>
    <m/>
    <m/>
    <m/>
    <m/>
    <m/>
    <m/>
    <m/>
    <n v="100"/>
    <m/>
    <m/>
    <m/>
  </r>
  <r>
    <m/>
    <x v="2"/>
    <s v="UnderdogWSNC"/>
    <s v="Goose Boozer - CL"/>
    <s v="Goose Boozer"/>
    <s v="CL"/>
    <s v="Balanced"/>
    <n v="108"/>
    <n v="3"/>
    <n v="3"/>
    <m/>
    <m/>
    <m/>
    <s v="S11 TO"/>
    <s v="S9"/>
    <s v="S9"/>
    <n v="7"/>
    <m/>
    <m/>
    <m/>
    <m/>
    <m/>
    <m/>
    <m/>
    <m/>
    <m/>
    <m/>
    <m/>
    <n v="108"/>
    <m/>
    <m/>
    <m/>
  </r>
  <r>
    <m/>
    <x v="6"/>
    <s v="Good_Ole_Kimmy"/>
    <s v="Jack Blll - CL"/>
    <s v="Jack Blll"/>
    <s v="CL"/>
    <s v="MR/LR"/>
    <n v="108"/>
    <n v="1.5"/>
    <n v="1.5"/>
    <n v="1.5"/>
    <m/>
    <m/>
    <s v="S12 TO"/>
    <s v="S9"/>
    <s v="S9"/>
    <n v="35"/>
    <m/>
    <m/>
    <m/>
    <m/>
    <m/>
    <m/>
    <m/>
    <m/>
    <m/>
    <m/>
    <s v="0(5)"/>
    <n v="108"/>
    <m/>
    <m/>
    <m/>
  </r>
  <r>
    <m/>
    <x v="6"/>
    <s v="Blandryt"/>
    <s v="Tyler Findling - SS"/>
    <s v="Tyler Findling"/>
    <s v="SS"/>
    <s v="Contact/Utility"/>
    <n v="108"/>
    <n v="1.5"/>
    <n v="1.5"/>
    <n v="1.5"/>
    <m/>
    <m/>
    <s v="S12 MO"/>
    <s v="S9"/>
    <s v="S9"/>
    <n v="24"/>
    <m/>
    <m/>
    <m/>
    <m/>
    <m/>
    <m/>
    <m/>
    <m/>
    <m/>
    <m/>
    <s v="0(5)"/>
    <n v="108"/>
    <m/>
    <m/>
    <m/>
  </r>
  <r>
    <s v="http://probaseballexperience.jcink.net/index.php?showtopic=3196"/>
    <x v="6"/>
    <s v="Macsimusx"/>
    <s v="Benjamin Beaux - SS"/>
    <s v="Benjamin Beaux"/>
    <s v="SS"/>
    <s v="Balanced/Quick"/>
    <n v="108"/>
    <n v="1"/>
    <m/>
    <m/>
    <m/>
    <m/>
    <s v="S10 TO"/>
    <s v="S6"/>
    <s v="S7"/>
    <n v="13"/>
    <m/>
    <m/>
    <m/>
    <m/>
    <m/>
    <m/>
    <m/>
    <m/>
    <n v="1"/>
    <n v="1"/>
    <n v="1"/>
    <n v="108"/>
    <m/>
    <m/>
    <m/>
  </r>
  <r>
    <m/>
    <x v="8"/>
    <s v="UnderdogWSNC"/>
    <s v="Goose Boozer - CL"/>
    <s v="Goose Boozer"/>
    <s v="CL"/>
    <s v="Balanced"/>
    <n v="108"/>
    <m/>
    <m/>
    <m/>
    <m/>
    <m/>
    <m/>
    <s v="S9"/>
    <s v="S9"/>
    <n v="7"/>
    <m/>
    <m/>
    <m/>
    <m/>
    <m/>
    <m/>
    <m/>
    <m/>
    <m/>
    <m/>
    <m/>
    <n v="108"/>
    <m/>
    <m/>
    <m/>
  </r>
  <r>
    <m/>
    <x v="8"/>
    <s v="Jbm3333"/>
    <s v="Elon Bezos - SS"/>
    <s v="Elon Bezos"/>
    <s v="SS"/>
    <s v="Balanced/Speedy"/>
    <n v="108"/>
    <m/>
    <m/>
    <m/>
    <m/>
    <m/>
    <m/>
    <s v="S9"/>
    <s v="S9"/>
    <n v="44"/>
    <m/>
    <m/>
    <m/>
    <m/>
    <m/>
    <m/>
    <m/>
    <m/>
    <m/>
    <m/>
    <m/>
    <n v="108"/>
    <m/>
    <m/>
    <m/>
  </r>
  <r>
    <s v="http://probaseballexperience.jcink.net/index.php?showtopic=3610"/>
    <x v="8"/>
    <s v="datboi"/>
    <s v="Andrew Cathington - CF"/>
    <s v="Andrew Cathington"/>
    <s v="CF"/>
    <s v="Speed/Speed"/>
    <n v="108"/>
    <m/>
    <m/>
    <m/>
    <m/>
    <m/>
    <s v="S10 TO"/>
    <s v="S7"/>
    <s v="S7"/>
    <n v="15"/>
    <m/>
    <m/>
    <m/>
    <m/>
    <m/>
    <m/>
    <m/>
    <m/>
    <m/>
    <s v="5 (0)"/>
    <m/>
    <n v="108"/>
    <m/>
    <m/>
    <m/>
  </r>
  <r>
    <s v="http://probaseballexperience.jcink.net/index.php?showtopic=3573"/>
    <x v="8"/>
    <s v="Nbrown55"/>
    <s v="Dino Panini - SP"/>
    <s v="Dino Panini"/>
    <s v="SP"/>
    <s v="Finesse "/>
    <n v="108"/>
    <m/>
    <m/>
    <m/>
    <m/>
    <m/>
    <s v="S10 TO"/>
    <s v="S7"/>
    <s v="S7"/>
    <n v="14"/>
    <m/>
    <m/>
    <m/>
    <m/>
    <m/>
    <m/>
    <m/>
    <m/>
    <s v="5 (0)"/>
    <m/>
    <n v="1.5"/>
    <n v="108"/>
    <m/>
    <m/>
    <m/>
  </r>
  <r>
    <s v="http://probaseballexperience.jcink.net/index.php?showtopic=3585"/>
    <x v="8"/>
    <s v="Mawcuzz"/>
    <s v="Marc Courtremanche - 3B"/>
    <s v="Marc Courtremanche"/>
    <s v="3B"/>
    <s v="Balanced/Balanced"/>
    <n v="108"/>
    <m/>
    <m/>
    <m/>
    <m/>
    <m/>
    <s v="S10 PO"/>
    <s v="S7"/>
    <s v="S7"/>
    <n v="19"/>
    <m/>
    <m/>
    <m/>
    <m/>
    <m/>
    <m/>
    <m/>
    <m/>
    <m/>
    <s v="5 (0)"/>
    <n v="3"/>
    <n v="108"/>
    <m/>
    <m/>
    <m/>
  </r>
  <r>
    <s v="http://probaseballexperience.jcink.net/index.php?showtopic=2596"/>
    <x v="8"/>
    <s v="KingSwampTroll"/>
    <s v="King Swamp Troll RF"/>
    <s v="King Swamp Tro"/>
    <s v="RF"/>
    <s v="Power/Balanced"/>
    <n v="108"/>
    <m/>
    <m/>
    <m/>
    <m/>
    <m/>
    <s v="Cut"/>
    <s v="S5"/>
    <s v="S5"/>
    <n v="22"/>
    <m/>
    <m/>
    <m/>
    <m/>
    <m/>
    <m/>
    <m/>
    <n v="2"/>
    <n v="0.625"/>
    <m/>
    <m/>
    <n v="108"/>
    <m/>
    <m/>
    <m/>
  </r>
  <r>
    <s v="http://probaseballexperience.jcink.net/index.php?showtopic=2194"/>
    <x v="8"/>
    <s v="adfalcon"/>
    <s v="Alex Rolison - SP"/>
    <s v="Alex Rolison"/>
    <s v="SP"/>
    <s v="Finesse"/>
    <n v="108"/>
    <m/>
    <m/>
    <m/>
    <m/>
    <m/>
    <m/>
    <s v="S4"/>
    <s v="S4"/>
    <n v="8"/>
    <m/>
    <m/>
    <m/>
    <m/>
    <m/>
    <m/>
    <n v="3"/>
    <n v="1.75"/>
    <m/>
    <m/>
    <m/>
    <n v="108"/>
    <m/>
    <n v="100"/>
    <e v="#REF!"/>
  </r>
  <r>
    <m/>
    <x v="1"/>
    <s v="GoodLeftUndone"/>
    <s v="Tormund Gingerbomb - 3B"/>
    <s v="Tormund Gingerbomb"/>
    <s v="3B"/>
    <s v="Power/Speedy"/>
    <n v="107"/>
    <s v="0(5)"/>
    <n v="1.5"/>
    <n v="1.5"/>
    <n v="1.5"/>
    <m/>
    <s v="http://probaseballexperience.jcink.net/index.php?showtopic=5362"/>
    <s v="S10"/>
    <s v="S10"/>
    <n v="32"/>
    <m/>
    <m/>
    <m/>
    <m/>
    <m/>
    <m/>
    <m/>
    <m/>
    <m/>
    <m/>
    <m/>
    <n v="100"/>
    <m/>
    <m/>
    <m/>
  </r>
  <r>
    <m/>
    <x v="1"/>
    <s v="JerseyBorn"/>
    <s v="Olle Sylvegaard - RF"/>
    <s v="Olle Sylvegaard"/>
    <s v="RF"/>
    <s v="Power/Arm"/>
    <n v="106"/>
    <n v="1.5"/>
    <n v="1.5"/>
    <n v="1.5"/>
    <m/>
    <m/>
    <s v="S12 MO"/>
    <s v="S9"/>
    <s v="S9"/>
    <n v="23"/>
    <m/>
    <m/>
    <m/>
    <m/>
    <m/>
    <m/>
    <m/>
    <m/>
    <m/>
    <m/>
    <s v="0(5)"/>
    <n v="113"/>
    <m/>
    <m/>
    <m/>
  </r>
  <r>
    <m/>
    <x v="9"/>
    <s v="MasterDolphin19"/>
    <s v="Randy Drumbo - C"/>
    <s v="Randy Drumbo"/>
    <s v="C"/>
    <s v="Power/Balanced"/>
    <n v="105"/>
    <m/>
    <m/>
    <m/>
    <m/>
    <m/>
    <m/>
    <s v="S10"/>
    <s v="S11"/>
    <m/>
    <m/>
    <m/>
    <m/>
    <m/>
    <m/>
    <m/>
    <m/>
    <m/>
    <m/>
    <m/>
    <m/>
    <n v="100"/>
    <m/>
    <m/>
    <m/>
  </r>
  <r>
    <s v="http://probaseballexperience.jcink.net/index.php?showtopic=2190"/>
    <x v="8"/>
    <s v="mako1355"/>
    <s v="TJ Sparks - SP"/>
    <s v="TJ Sparks"/>
    <s v="SP"/>
    <s v="Finesse"/>
    <n v="105"/>
    <m/>
    <m/>
    <m/>
    <m/>
    <m/>
    <m/>
    <s v="S4"/>
    <s v="S4"/>
    <n v="12"/>
    <m/>
    <m/>
    <m/>
    <m/>
    <m/>
    <m/>
    <n v="3"/>
    <n v="1.5"/>
    <m/>
    <m/>
    <m/>
    <n v="105"/>
    <m/>
    <n v="100"/>
    <e v="#REF!"/>
  </r>
  <r>
    <m/>
    <x v="2"/>
    <s v="Nykonax"/>
    <s v="Paul DiMirio III - 2B"/>
    <s v="Paul DiMirio III"/>
    <s v="2B"/>
    <s v="Power/Speed"/>
    <n v="103"/>
    <s v="0(5)"/>
    <n v="1"/>
    <n v="1"/>
    <n v="1"/>
    <m/>
    <m/>
    <s v="S10"/>
    <s v="S10"/>
    <n v="37"/>
    <m/>
    <m/>
    <m/>
    <m/>
    <m/>
    <m/>
    <m/>
    <m/>
    <m/>
    <m/>
    <m/>
    <n v="100"/>
    <m/>
    <m/>
    <m/>
  </r>
  <r>
    <s v="http://probaseballexperience.jcink.net/index.php?showtopic=1032"/>
    <x v="8"/>
    <s v="Sopath"/>
    <s v="Harvey Bones - SP"/>
    <s v="Harvey Bones"/>
    <s v="SP"/>
    <s v="Power"/>
    <n v="103"/>
    <m/>
    <m/>
    <m/>
    <m/>
    <m/>
    <s v="Cut"/>
    <s v="S2"/>
    <s v="S2"/>
    <n v="8"/>
    <m/>
    <m/>
    <m/>
    <m/>
    <m/>
    <n v="3"/>
    <n v="3"/>
    <n v="0.5"/>
    <n v="0.25"/>
    <m/>
    <m/>
    <n v="103"/>
    <m/>
    <n v="103"/>
    <n v="103"/>
  </r>
  <r>
    <m/>
    <x v="9"/>
    <s v="TheFlash"/>
    <s v="Randy Savage - SP"/>
    <s v="Randy Savage"/>
    <s v="SP"/>
    <s v="Balanced"/>
    <n v="100"/>
    <m/>
    <m/>
    <m/>
    <m/>
    <m/>
    <m/>
    <s v="S10"/>
    <s v="S11"/>
    <m/>
    <m/>
    <m/>
    <m/>
    <m/>
    <m/>
    <m/>
    <m/>
    <m/>
    <m/>
    <m/>
    <m/>
    <n v="100"/>
    <m/>
    <m/>
    <m/>
  </r>
  <r>
    <m/>
    <x v="9"/>
    <s v="DONG"/>
    <s v="Albert Blueballs - 1B"/>
    <s v="Albert Blueballs"/>
    <s v="1B"/>
    <s v="Balanced/Balanced"/>
    <n v="100"/>
    <m/>
    <m/>
    <m/>
    <m/>
    <m/>
    <m/>
    <s v="S10"/>
    <s v="S11"/>
    <m/>
    <m/>
    <m/>
    <m/>
    <m/>
    <m/>
    <m/>
    <m/>
    <m/>
    <m/>
    <m/>
    <m/>
    <n v="100"/>
    <m/>
    <m/>
    <m/>
  </r>
  <r>
    <m/>
    <x v="9"/>
    <s v="Ash2020"/>
    <s v="Juan Dong - 1B"/>
    <s v="Juan Dong"/>
    <s v="1B"/>
    <s v="Balanced/Utility"/>
    <n v="100"/>
    <m/>
    <m/>
    <m/>
    <m/>
    <m/>
    <m/>
    <s v="S10"/>
    <s v="S11"/>
    <m/>
    <m/>
    <m/>
    <m/>
    <m/>
    <m/>
    <m/>
    <m/>
    <m/>
    <m/>
    <m/>
    <m/>
    <n v="100"/>
    <m/>
    <m/>
    <m/>
  </r>
  <r>
    <m/>
    <x v="4"/>
    <s v="Dante"/>
    <s v="Dante Zarazel - CF"/>
    <s v="Dante Zarazel"/>
    <s v="CF"/>
    <s v="Balanced/Speedy"/>
    <n v="100"/>
    <s v="0(5)"/>
    <n v="1"/>
    <n v="1"/>
    <n v="1"/>
    <m/>
    <m/>
    <s v="S9"/>
    <s v="S10"/>
    <n v="39"/>
    <m/>
    <m/>
    <m/>
    <m/>
    <m/>
    <m/>
    <m/>
    <m/>
    <m/>
    <m/>
    <m/>
    <n v="100"/>
    <m/>
    <m/>
    <m/>
  </r>
  <r>
    <m/>
    <x v="3"/>
    <s v="🐨Wombat🐨"/>
    <s v="Ed Barker - SP"/>
    <s v="Ed Barker"/>
    <s v="SP"/>
    <s v="Power"/>
    <n v="100"/>
    <s v="0(5)"/>
    <n v="4"/>
    <n v="4"/>
    <m/>
    <m/>
    <s v="http://probaseballexperience.jcink.net/index.php?showtopic=5319"/>
    <s v="S10"/>
    <s v="S10"/>
    <n v="14"/>
    <m/>
    <m/>
    <m/>
    <m/>
    <m/>
    <m/>
    <m/>
    <m/>
    <m/>
    <m/>
    <m/>
    <n v="100"/>
    <m/>
    <m/>
    <m/>
  </r>
  <r>
    <m/>
    <x v="5"/>
    <s v="BigRudy"/>
    <s v="Fliff Cloyd - LF"/>
    <s v="Fliff Cloyd"/>
    <s v="LF"/>
    <s v="Power/Balanced"/>
    <n v="100"/>
    <s v="0(5)"/>
    <n v="5"/>
    <n v="5"/>
    <n v="5"/>
    <m/>
    <s v="http://probaseballexperience.jcink.net/index.php?showtopic=5312"/>
    <s v="S10"/>
    <s v="S10"/>
    <n v="30"/>
    <m/>
    <m/>
    <m/>
    <m/>
    <m/>
    <m/>
    <m/>
    <m/>
    <m/>
    <m/>
    <m/>
    <n v="100"/>
    <m/>
    <m/>
    <m/>
  </r>
  <r>
    <m/>
    <x v="1"/>
    <s v="PDXBaller"/>
    <s v="Ryusei Makunouchi - C"/>
    <s v="Ryusei Makunouchi"/>
    <s v="C"/>
    <s v="Contact/Arm"/>
    <n v="100"/>
    <s v="0(5)"/>
    <n v="2.5"/>
    <n v="2.5"/>
    <m/>
    <m/>
    <s v="http://probaseballexperience.jcink.net/index.php?showtopic=5313"/>
    <s v="S10"/>
    <s v="S10"/>
    <n v="13"/>
    <m/>
    <m/>
    <m/>
    <m/>
    <m/>
    <m/>
    <m/>
    <m/>
    <m/>
    <m/>
    <m/>
    <n v="100"/>
    <m/>
    <m/>
    <m/>
  </r>
  <r>
    <m/>
    <x v="1"/>
    <s v="DripDropDrippin"/>
    <s v="Glenn Cahill - 3B"/>
    <s v="Glenn Cahill"/>
    <s v="3B"/>
    <s v="Power/Arm"/>
    <n v="100"/>
    <s v="0(5)"/>
    <n v="2"/>
    <n v="2"/>
    <n v="2"/>
    <m/>
    <s v="http://probaseballexperience.jcink.net/index.php?showtopic=5313"/>
    <s v="S10"/>
    <s v="S10"/>
    <n v="27"/>
    <m/>
    <m/>
    <m/>
    <m/>
    <m/>
    <m/>
    <m/>
    <m/>
    <m/>
    <m/>
    <m/>
    <n v="100"/>
    <m/>
    <m/>
    <m/>
  </r>
  <r>
    <m/>
    <x v="1"/>
    <s v="DaquanNibbason"/>
    <s v="Daquan Nibbason - SP"/>
    <s v="Daquan Nibbason"/>
    <s v="SP"/>
    <s v="Finesse"/>
    <n v="100"/>
    <s v="0(5)"/>
    <n v="1.5"/>
    <n v="1.5"/>
    <n v="1.5"/>
    <m/>
    <s v="http://probaseballexperience.jcink.net/index.php?showtopic=5473"/>
    <s v="S10"/>
    <s v="S10"/>
    <n v="19"/>
    <m/>
    <m/>
    <m/>
    <m/>
    <m/>
    <m/>
    <m/>
    <m/>
    <m/>
    <m/>
    <m/>
    <n v="100"/>
    <m/>
    <m/>
    <m/>
  </r>
  <r>
    <m/>
    <x v="0"/>
    <s v="dankoa"/>
    <s v="Tyler Finch - SP"/>
    <s v="Tyler Finch"/>
    <s v="SP"/>
    <s v="Balanced"/>
    <n v="100"/>
    <s v="0(5)"/>
    <n v="1.25"/>
    <n v="1.25"/>
    <m/>
    <m/>
    <s v="http://probaseballexperience.jcink.net/index.php?showtopic=5301"/>
    <s v="S10"/>
    <s v="S10"/>
    <n v="31"/>
    <m/>
    <m/>
    <m/>
    <m/>
    <m/>
    <m/>
    <m/>
    <m/>
    <m/>
    <m/>
    <m/>
    <n v="100"/>
    <m/>
    <m/>
    <m/>
  </r>
  <r>
    <m/>
    <x v="6"/>
    <s v="Fire-Bred"/>
    <s v="Mason Brown 2.0 - LF"/>
    <s v="Mason Brown 2.0"/>
    <s v="LF"/>
    <s v="Power/Speedy"/>
    <n v="100"/>
    <n v="2"/>
    <n v="2"/>
    <n v="2"/>
    <n v="2"/>
    <m/>
    <m/>
    <s v="S10"/>
    <s v="S10"/>
    <n v="26"/>
    <m/>
    <m/>
    <m/>
    <m/>
    <m/>
    <m/>
    <m/>
    <m/>
    <m/>
    <m/>
    <m/>
    <n v="100"/>
    <m/>
    <m/>
    <m/>
  </r>
  <r>
    <m/>
    <x v="8"/>
    <s v="sableye2"/>
    <s v="Stratfer Wakera - SS"/>
    <s v="Stratfer Wakera"/>
    <s v="SS"/>
    <s v="Contact/Utility"/>
    <n v="100"/>
    <n v="1.25"/>
    <m/>
    <m/>
    <m/>
    <m/>
    <s v="S11  TO"/>
    <s v="S9"/>
    <s v="S9"/>
    <n v="34"/>
    <m/>
    <m/>
    <m/>
    <m/>
    <m/>
    <m/>
    <m/>
    <m/>
    <m/>
    <m/>
    <n v="4"/>
    <n v="100"/>
    <m/>
    <m/>
    <m/>
  </r>
  <r>
    <m/>
    <x v="0"/>
    <s v="Eaphus"/>
    <s v="Tater Sewell- C"/>
    <s v="Tater Sewel"/>
    <s v="C"/>
    <s v="Balanced/React"/>
    <n v="100"/>
    <n v="1"/>
    <n v="5"/>
    <n v="5"/>
    <m/>
    <m/>
    <s v="http://probaseballexperience.jcink.net/index.php?showtopic=4745&amp;hl=kramer"/>
    <s v="S9"/>
    <s v="S9"/>
    <n v="26"/>
    <m/>
    <m/>
    <m/>
    <m/>
    <m/>
    <m/>
    <m/>
    <m/>
    <m/>
    <m/>
    <m/>
    <n v="100"/>
    <m/>
    <m/>
    <m/>
  </r>
  <r>
    <m/>
    <x v="9"/>
    <s v="SnuggleNugget"/>
    <s v="Bobby Donger - SP"/>
    <s v="Bobby Donger"/>
    <s v="SP"/>
    <s v="Balanced"/>
    <n v="100"/>
    <m/>
    <m/>
    <m/>
    <m/>
    <m/>
    <m/>
    <s v="S9"/>
    <s v="S10"/>
    <n v="54"/>
    <m/>
    <m/>
    <m/>
    <m/>
    <m/>
    <m/>
    <m/>
    <m/>
    <m/>
    <m/>
    <m/>
    <n v="100"/>
    <m/>
    <m/>
    <m/>
  </r>
  <r>
    <m/>
    <x v="9"/>
    <s v="atcovin"/>
    <s v="Felix Meier - SP"/>
    <s v="Felix Meier"/>
    <s v="SP"/>
    <s v="Balanced"/>
    <n v="100"/>
    <m/>
    <m/>
    <m/>
    <m/>
    <m/>
    <m/>
    <s v="S9"/>
    <s v="S10"/>
    <n v="62"/>
    <m/>
    <m/>
    <m/>
    <m/>
    <m/>
    <m/>
    <m/>
    <m/>
    <m/>
    <m/>
    <m/>
    <n v="100"/>
    <m/>
    <m/>
    <m/>
  </r>
  <r>
    <m/>
    <x v="9"/>
    <s v="BradyMac2438"/>
    <s v="Brady McKenzie - SP"/>
    <s v="Brady McKenzie"/>
    <s v="SP"/>
    <s v="Balance"/>
    <n v="100"/>
    <m/>
    <m/>
    <m/>
    <m/>
    <m/>
    <m/>
    <s v="S9"/>
    <s v="S10"/>
    <n v="70"/>
    <m/>
    <m/>
    <m/>
    <m/>
    <m/>
    <m/>
    <m/>
    <m/>
    <m/>
    <m/>
    <m/>
    <n v="100"/>
    <m/>
    <m/>
    <m/>
  </r>
  <r>
    <s v="http://probaseballexperience.jcink.net/index.php?showtopic=3606"/>
    <x v="8"/>
    <s v="Joester09"/>
    <s v="Troy Castlefield-Pfloog - C"/>
    <s v="Troy Castlefield-Pfloo"/>
    <s v="C"/>
    <s v="Power/Arm"/>
    <n v="100"/>
    <m/>
    <m/>
    <m/>
    <m/>
    <m/>
    <s v="S10 MO"/>
    <s v="S7"/>
    <s v="S7"/>
    <n v="28"/>
    <m/>
    <m/>
    <m/>
    <m/>
    <m/>
    <m/>
    <m/>
    <m/>
    <s v="5 (0)"/>
    <n v="1"/>
    <n v="1"/>
    <n v="100"/>
    <m/>
    <m/>
    <m/>
  </r>
  <r>
    <m/>
    <x v="8"/>
    <s v="BaseScoutX1"/>
    <s v="Billy Bob Booker V - 2B"/>
    <s v="Billy Bob Booker V"/>
    <s v="2B"/>
    <s v="Balanced/Balanced"/>
    <n v="100"/>
    <m/>
    <m/>
    <m/>
    <m/>
    <m/>
    <m/>
    <s v="S9"/>
    <s v="S9"/>
    <n v="50"/>
    <m/>
    <m/>
    <m/>
    <m/>
    <m/>
    <m/>
    <m/>
    <m/>
    <m/>
    <m/>
    <m/>
    <n v="100"/>
    <m/>
    <m/>
    <m/>
  </r>
  <r>
    <m/>
    <x v="8"/>
    <s v="Kellertime"/>
    <s v="Jaxsin Tyler - LF"/>
    <s v="Jaxsin Tyler"/>
    <s v="LF"/>
    <s v="Contact/Arm"/>
    <n v="100"/>
    <m/>
    <m/>
    <m/>
    <m/>
    <m/>
    <m/>
    <s v="S9"/>
    <s v="S9"/>
    <n v="41"/>
    <m/>
    <m/>
    <m/>
    <m/>
    <m/>
    <m/>
    <m/>
    <m/>
    <m/>
    <m/>
    <m/>
    <n v="100"/>
    <m/>
    <m/>
    <m/>
  </r>
  <r>
    <s v="http://probaseballexperience.jcink.net/index.php?showtopic=3174"/>
    <x v="8"/>
    <s v="Goofus Maximus"/>
    <s v="Leonard Church- 2B"/>
    <s v="Leonard Churc"/>
    <s v="2B"/>
    <s v="Contact/Quick"/>
    <n v="100"/>
    <m/>
    <m/>
    <m/>
    <m/>
    <m/>
    <m/>
    <s v="S6"/>
    <s v="S6"/>
    <n v="12"/>
    <s v="SCS"/>
    <n v="6"/>
    <n v="7"/>
    <m/>
    <m/>
    <m/>
    <m/>
    <n v="2"/>
    <n v="2"/>
    <n v="2"/>
    <n v="2"/>
    <n v="100"/>
    <m/>
    <m/>
    <m/>
  </r>
  <r>
    <s v="http://probaseballexperience.jcink.net/index.php?showtopic=3170"/>
    <x v="8"/>
    <s v="TYP0"/>
    <s v="Michael Oxard- SP"/>
    <s v="Michael Oxar"/>
    <s v="SP"/>
    <s v="Finnese"/>
    <n v="100"/>
    <m/>
    <m/>
    <m/>
    <m/>
    <m/>
    <m/>
    <s v="S6"/>
    <s v="S6"/>
    <n v="14"/>
    <s v="SCS"/>
    <n v="6"/>
    <n v="13"/>
    <m/>
    <m/>
    <m/>
    <m/>
    <n v="1.5"/>
    <n v="1.5"/>
    <n v="1.5"/>
    <n v="1.5"/>
    <n v="100"/>
    <m/>
    <m/>
    <m/>
  </r>
  <r>
    <s v="http://probaseballexperience.jcink.net/index.php?showtopic=3097"/>
    <x v="8"/>
    <s v="aceguy"/>
    <s v="Justin Moreland- 3B"/>
    <s v="Justin Morelan"/>
    <s v="3B"/>
    <s v="Balanced/Arm"/>
    <n v="100"/>
    <m/>
    <m/>
    <m/>
    <m/>
    <m/>
    <s v="S8 MO"/>
    <s v="S6"/>
    <s v="S6"/>
    <n v="17"/>
    <s v="SCS"/>
    <n v="6"/>
    <n v="10"/>
    <m/>
    <m/>
    <m/>
    <m/>
    <n v="1.5"/>
    <n v="1.5"/>
    <m/>
    <m/>
    <n v="100"/>
    <m/>
    <m/>
    <m/>
  </r>
  <r>
    <s v="http://probaseballexperience.jcink.net/index.php?showtopic=3186"/>
    <x v="8"/>
    <s v="qtwillis"/>
    <s v="Martinez Pedro - SP"/>
    <s v="Martinez Pedro"/>
    <s v="SP"/>
    <s v="Balanced"/>
    <n v="100"/>
    <m/>
    <m/>
    <m/>
    <m/>
    <m/>
    <s v="S9 TO"/>
    <s v="S6"/>
    <s v="S6"/>
    <n v="27"/>
    <m/>
    <m/>
    <m/>
    <m/>
    <m/>
    <m/>
    <m/>
    <m/>
    <n v="3"/>
    <n v="0.5"/>
    <n v="1"/>
    <n v="100"/>
    <m/>
    <m/>
    <m/>
  </r>
  <r>
    <s v="http://probaseballexperience.jcink.net/index.php?showtopic=2967"/>
    <x v="8"/>
    <s v="lordbubbington"/>
    <s v="Cole Davenport - SP"/>
    <s v="Cole Davenport"/>
    <s v="SP"/>
    <s v="Balanced"/>
    <n v="100"/>
    <m/>
    <m/>
    <m/>
    <m/>
    <m/>
    <m/>
    <s v="S6"/>
    <s v="S6"/>
    <n v="39"/>
    <m/>
    <m/>
    <m/>
    <m/>
    <m/>
    <m/>
    <m/>
    <m/>
    <m/>
    <m/>
    <m/>
    <n v="100"/>
    <m/>
    <m/>
    <m/>
  </r>
  <r>
    <s v="http://probaseballexperience.jcink.net/index.php?showtopic=2905"/>
    <x v="8"/>
    <s v="Clint Eastwood"/>
    <s v="Tiddlywink McTicklestick - SP"/>
    <s v="Tiddlywink McTicklestick"/>
    <s v="SP"/>
    <s v="Power"/>
    <n v="100"/>
    <m/>
    <m/>
    <m/>
    <m/>
    <m/>
    <m/>
    <s v="S6"/>
    <s v="S6"/>
    <n v="28"/>
    <s v="ASE"/>
    <n v="6"/>
    <n v="16"/>
    <s v="Y"/>
    <m/>
    <m/>
    <m/>
    <m/>
    <m/>
    <m/>
    <m/>
    <n v="100"/>
    <m/>
    <m/>
    <m/>
  </r>
  <r>
    <s v="http://probaseballexperience.jcink.net/index.php?showtopic=3008"/>
    <x v="8"/>
    <s v="Preza"/>
    <s v="Chase Preza - 1B"/>
    <s v="Chase Preza"/>
    <s v="1B"/>
    <s v="Speed/Quick"/>
    <n v="100"/>
    <m/>
    <m/>
    <m/>
    <m/>
    <m/>
    <m/>
    <s v="S6"/>
    <s v="S6"/>
    <n v="26"/>
    <s v="ASE"/>
    <n v="6"/>
    <n v="12"/>
    <s v="Y"/>
    <m/>
    <m/>
    <m/>
    <m/>
    <m/>
    <m/>
    <m/>
    <n v="100"/>
    <m/>
    <m/>
    <m/>
  </r>
  <r>
    <s v="http://probaseballexperience.jcink.net/index.php?showtopic=2966#"/>
    <x v="8"/>
    <s v="abrod8"/>
    <s v="Aidan Broderick - RF"/>
    <s v="Aidan Broderick"/>
    <s v="RF"/>
    <s v="Balanced/Arm"/>
    <n v="100"/>
    <m/>
    <m/>
    <m/>
    <m/>
    <m/>
    <m/>
    <s v="S6"/>
    <s v="S6"/>
    <n v="45"/>
    <m/>
    <m/>
    <m/>
    <m/>
    <m/>
    <m/>
    <m/>
    <m/>
    <m/>
    <m/>
    <m/>
    <n v="100"/>
    <m/>
    <m/>
    <m/>
  </r>
  <r>
    <s v="http://probaseballexperience.jcink.net/index.php?showtopic=2622"/>
    <x v="8"/>
    <s v="cesarb182"/>
    <s v="Cesar Ellis - CL"/>
    <s v="Cesar Ellis"/>
    <s v="CL"/>
    <s v="Power"/>
    <n v="100"/>
    <m/>
    <m/>
    <m/>
    <m/>
    <m/>
    <m/>
    <s v="S5"/>
    <s v="S5"/>
    <n v="31"/>
    <m/>
    <m/>
    <m/>
    <m/>
    <m/>
    <m/>
    <m/>
    <n v="1"/>
    <n v="1"/>
    <n v="1"/>
    <m/>
    <n v="100"/>
    <m/>
    <m/>
    <m/>
  </r>
  <r>
    <s v="http://probaseballexperience.jcink.net/index.php?showtopic=1673"/>
    <x v="8"/>
    <s v="Tyler"/>
    <s v="Nico Evans - 3B"/>
    <s v="Nico Evans"/>
    <s v="3B"/>
    <m/>
    <n v="100"/>
    <m/>
    <m/>
    <m/>
    <m/>
    <m/>
    <m/>
    <s v="S3"/>
    <s v="S3"/>
    <n v="35"/>
    <m/>
    <m/>
    <m/>
    <m/>
    <s v="Yes"/>
    <m/>
    <m/>
    <m/>
    <m/>
    <m/>
    <m/>
    <n v="100"/>
    <m/>
    <m/>
    <m/>
  </r>
  <r>
    <s v="http://probaseballexperience.jcink.net/index.php?showtopic=1738"/>
    <x v="8"/>
    <s v="leftyonleftycrime"/>
    <s v="Kahlil Callahan - CL"/>
    <s v="Kahlil Callahan"/>
    <s v="CL"/>
    <s v="Balanced"/>
    <n v="100"/>
    <m/>
    <m/>
    <m/>
    <m/>
    <m/>
    <m/>
    <s v="S3"/>
    <s v="S3"/>
    <n v="19"/>
    <m/>
    <m/>
    <m/>
    <m/>
    <m/>
    <n v="3"/>
    <m/>
    <n v="0.37"/>
    <m/>
    <m/>
    <m/>
    <n v="100"/>
    <m/>
    <n v="100"/>
    <n v="100"/>
  </r>
  <r>
    <s v="http://probaseballexperience.jcink.net/index.php?showtopic=1070"/>
    <x v="8"/>
    <s v="Peter R Kotsay"/>
    <s v="Peter R Kotsay - CL"/>
    <s v="Peter R Kotsay"/>
    <s v="CL"/>
    <s v="Finesse "/>
    <n v="100"/>
    <m/>
    <m/>
    <m/>
    <m/>
    <m/>
    <m/>
    <s v="S2"/>
    <s v="S2"/>
    <s v="Undrafted"/>
    <m/>
    <m/>
    <m/>
    <m/>
    <s v="Yes"/>
    <m/>
    <m/>
    <m/>
    <m/>
    <m/>
    <m/>
    <n v="100"/>
    <m/>
    <m/>
    <m/>
  </r>
  <r>
    <s v="http://probaseballexperience.jcink.net/index.php?showtopic=1093"/>
    <x v="8"/>
    <s v="Mcdirty3"/>
    <s v="Rex Pennebaker - 2B"/>
    <s v="Rex Pennebaker"/>
    <s v="2B"/>
    <s v="Power/Quick"/>
    <n v="100"/>
    <m/>
    <m/>
    <m/>
    <m/>
    <m/>
    <m/>
    <s v="S2"/>
    <s v="S2"/>
    <n v="41"/>
    <m/>
    <m/>
    <m/>
    <m/>
    <m/>
    <n v="0.5"/>
    <m/>
    <m/>
    <m/>
    <m/>
    <m/>
    <n v="100"/>
    <m/>
    <m/>
    <n v="100"/>
  </r>
  <r>
    <s v="http://probaseballexperience.jcink.net/index.php?showtopic=1097"/>
    <x v="8"/>
    <s v="Someguy9500"/>
    <s v="Sam Sinister - SS"/>
    <s v="Sam Sinister"/>
    <s v="SS"/>
    <s v="Balanced/Arm"/>
    <n v="100"/>
    <m/>
    <m/>
    <m/>
    <m/>
    <m/>
    <m/>
    <s v="S2"/>
    <s v="S2"/>
    <n v="29"/>
    <m/>
    <m/>
    <m/>
    <m/>
    <m/>
    <n v="2"/>
    <m/>
    <m/>
    <m/>
    <m/>
    <m/>
    <n v="100"/>
    <m/>
    <m/>
    <n v="100"/>
  </r>
  <r>
    <s v="http://probaseballexperience.jcink.net/index.php?showtopic=1148"/>
    <x v="8"/>
    <s v="Kruton"/>
    <s v="Kruton Bazko - CL"/>
    <s v="Kruton Bazko"/>
    <s v="CL"/>
    <s v="Power"/>
    <n v="100"/>
    <m/>
    <m/>
    <m/>
    <m/>
    <m/>
    <m/>
    <s v="S2"/>
    <s v="S2"/>
    <n v="18"/>
    <m/>
    <m/>
    <m/>
    <m/>
    <m/>
    <n v="0.5"/>
    <m/>
    <m/>
    <m/>
    <m/>
    <m/>
    <n v="100"/>
    <m/>
    <m/>
    <n v="100"/>
  </r>
  <r>
    <s v="http://probaseballexperience.jcink.net/index.php?showtopic=1048"/>
    <x v="8"/>
    <s v="Twitchy"/>
    <s v="John Luther - CL"/>
    <s v="John Luther"/>
    <s v="CL"/>
    <s v="Power"/>
    <n v="100"/>
    <m/>
    <m/>
    <m/>
    <m/>
    <m/>
    <m/>
    <s v="S2"/>
    <s v="S2"/>
    <n v="44"/>
    <m/>
    <m/>
    <m/>
    <m/>
    <m/>
    <n v="0.5"/>
    <m/>
    <m/>
    <m/>
    <m/>
    <m/>
    <n v="100"/>
    <m/>
    <n v="100"/>
    <n v="100"/>
  </r>
  <r>
    <s v="http://probaseballexperience.jcink.net/index.php?showtopic=1104"/>
    <x v="8"/>
    <s v="bl0903"/>
    <s v="Bouf LeBeef - CL"/>
    <s v="Bouf LeBeef"/>
    <s v="CL"/>
    <s v="Power"/>
    <n v="100"/>
    <m/>
    <m/>
    <m/>
    <m/>
    <m/>
    <m/>
    <s v="S2"/>
    <s v="S2"/>
    <n v="39"/>
    <m/>
    <m/>
    <m/>
    <m/>
    <m/>
    <n v="0.5"/>
    <m/>
    <m/>
    <m/>
    <m/>
    <m/>
    <n v="100"/>
    <m/>
    <n v="100"/>
    <n v="100"/>
  </r>
  <r>
    <s v="http://probaseballexperience.jcink.net/index.php?showtopic=1076"/>
    <x v="8"/>
    <s v="NYRangers2227"/>
    <s v="Hans Herjólfur - CL"/>
    <s v="Hans Herjólfur"/>
    <s v="CL"/>
    <s v="Balanced"/>
    <n v="100"/>
    <m/>
    <m/>
    <m/>
    <m/>
    <m/>
    <m/>
    <s v="S2"/>
    <s v="S3"/>
    <n v="21"/>
    <m/>
    <m/>
    <m/>
    <m/>
    <s v="Yes"/>
    <m/>
    <n v="0.5"/>
    <m/>
    <m/>
    <m/>
    <m/>
    <n v="100"/>
    <m/>
    <n v="100"/>
    <e v="#REF!"/>
  </r>
  <r>
    <s v="http://probaseballexperience.jcink.net/index.php?showtopic=1064"/>
    <x v="8"/>
    <s v="Mpaolino88"/>
    <s v="Mike Paolino - C"/>
    <s v="Mike Paolin"/>
    <s v="C"/>
    <s v="Power/Arm"/>
    <n v="100"/>
    <m/>
    <m/>
    <m/>
    <m/>
    <m/>
    <m/>
    <s v="S2"/>
    <s v="S2"/>
    <n v="26"/>
    <m/>
    <m/>
    <m/>
    <m/>
    <m/>
    <n v="2"/>
    <n v="1"/>
    <m/>
    <m/>
    <m/>
    <m/>
    <n v="100"/>
    <m/>
    <n v="100"/>
    <n v="100"/>
  </r>
  <r>
    <s v="http://probaseballexperience.jcink.net/index.php?showtopic=1426"/>
    <x v="8"/>
    <s v="Ramicus"/>
    <s v="Gray Goose McGillicuddy - CL"/>
    <s v="Gray Goose McGillicuddy"/>
    <s v="CL"/>
    <m/>
    <n v="100"/>
    <m/>
    <m/>
    <m/>
    <m/>
    <m/>
    <m/>
    <s v="S2"/>
    <s v="S3"/>
    <n v="24"/>
    <m/>
    <m/>
    <m/>
    <m/>
    <s v="Yes"/>
    <m/>
    <m/>
    <m/>
    <m/>
    <m/>
    <m/>
    <n v="100"/>
    <m/>
    <m/>
    <m/>
  </r>
  <r>
    <s v="http://probaseballexperience.jcink.net/index.php?showtopic=1082"/>
    <x v="8"/>
    <s v="Evan_beckett"/>
    <s v="Evan Beckett 1B"/>
    <s v="Evan Becke"/>
    <s v="1B"/>
    <m/>
    <n v="100"/>
    <m/>
    <m/>
    <m/>
    <m/>
    <m/>
    <m/>
    <s v="S2"/>
    <s v="S2"/>
    <s v="Undrafted"/>
    <m/>
    <m/>
    <m/>
    <m/>
    <s v="Yes"/>
    <m/>
    <m/>
    <m/>
    <m/>
    <m/>
    <m/>
    <n v="100"/>
    <m/>
    <m/>
    <m/>
  </r>
  <r>
    <s v="http://probaseballexperience.jcink.net/index.php?showtopic=1541"/>
    <x v="8"/>
    <s v="badrajlouni"/>
    <s v="Badr Ajlouni - CF"/>
    <s v="Badr Ajlouni"/>
    <s v="CF"/>
    <m/>
    <n v="100"/>
    <m/>
    <m/>
    <m/>
    <m/>
    <m/>
    <m/>
    <s v="S2"/>
    <s v="S3"/>
    <n v="29"/>
    <m/>
    <m/>
    <m/>
    <m/>
    <s v="Yes"/>
    <m/>
    <m/>
    <m/>
    <m/>
    <m/>
    <m/>
    <n v="100"/>
    <m/>
    <m/>
    <m/>
  </r>
  <r>
    <s v="http://probaseballexperience.jcink.net/index.php?showtopic=1083"/>
    <x v="8"/>
    <s v="Cubzlover84"/>
    <s v="Austin Schwartz SP"/>
    <s v="Austin Schwar"/>
    <s v="SP"/>
    <m/>
    <n v="100"/>
    <m/>
    <m/>
    <m/>
    <m/>
    <m/>
    <m/>
    <s v="S2"/>
    <s v="S2"/>
    <s v="Undrafted"/>
    <m/>
    <m/>
    <m/>
    <m/>
    <s v="Yes"/>
    <m/>
    <m/>
    <m/>
    <m/>
    <m/>
    <m/>
    <n v="100"/>
    <m/>
    <m/>
    <m/>
  </r>
  <r>
    <s v="http://probaseballexperience.jcink.net/index.php?showtopic=1085"/>
    <x v="8"/>
    <s v="Bhill_Kosbi"/>
    <s v="Mike Honcho - SS"/>
    <s v="Mike Honcho"/>
    <s v="SS"/>
    <m/>
    <n v="100"/>
    <m/>
    <m/>
    <m/>
    <m/>
    <m/>
    <m/>
    <s v="S2"/>
    <s v="S2"/>
    <s v="Undrafted"/>
    <m/>
    <m/>
    <m/>
    <m/>
    <s v="Yes"/>
    <m/>
    <m/>
    <m/>
    <m/>
    <m/>
    <m/>
    <n v="100"/>
    <m/>
    <m/>
    <m/>
  </r>
  <r>
    <s v="http://probaseballexperience.jcink.net/index.php?showtopic=1174"/>
    <x v="8"/>
    <s v="NeckBird"/>
    <s v="Mam Siller - 3B"/>
    <s v="Mam Siller"/>
    <s v="3B"/>
    <s v="Power/Arm"/>
    <n v="100"/>
    <m/>
    <m/>
    <m/>
    <m/>
    <m/>
    <m/>
    <s v="S2"/>
    <s v="S2"/>
    <n v="31"/>
    <m/>
    <m/>
    <m/>
    <m/>
    <m/>
    <n v="0.75"/>
    <n v="0.75"/>
    <m/>
    <m/>
    <m/>
    <m/>
    <n v="100"/>
    <m/>
    <n v="100"/>
    <n v="100"/>
  </r>
  <r>
    <s v="http://probaseballexperience.jcink.net/index.php?showtopic=1034"/>
    <x v="8"/>
    <s v="mjg13x"/>
    <s v="Marc Garvey - CF"/>
    <s v="Marc Garvey"/>
    <s v="CF"/>
    <s v="Speed/Arm"/>
    <n v="100"/>
    <m/>
    <m/>
    <m/>
    <m/>
    <m/>
    <m/>
    <s v="S2"/>
    <s v="S2"/>
    <n v="23"/>
    <m/>
    <m/>
    <m/>
    <m/>
    <m/>
    <n v="2"/>
    <n v="2"/>
    <n v="0.5"/>
    <m/>
    <m/>
    <m/>
    <n v="100"/>
    <m/>
    <n v="100"/>
    <n v="100"/>
  </r>
  <r>
    <m/>
    <x v="9"/>
    <s v="Lt. Gregory Stevens"/>
    <s v="Gregory Stevens - 1B"/>
    <s v="Gregory Stevens"/>
    <s v="1B"/>
    <s v="Balanced/Balanced"/>
    <n v="100"/>
    <m/>
    <m/>
    <m/>
    <m/>
    <m/>
    <m/>
    <s v="S10"/>
    <s v="S10"/>
    <n v="35"/>
    <m/>
    <m/>
    <m/>
    <m/>
    <m/>
    <m/>
    <m/>
    <m/>
    <m/>
    <m/>
    <m/>
    <n v="100"/>
    <m/>
    <m/>
    <m/>
  </r>
  <r>
    <m/>
    <x v="9"/>
    <s v="robinson5932"/>
    <s v="Gary Banks - SS"/>
    <s v="Gary Banks"/>
    <s v="SS"/>
    <s v="Power/Speedy"/>
    <n v="100"/>
    <m/>
    <m/>
    <m/>
    <m/>
    <m/>
    <m/>
    <s v="S10"/>
    <s v="S10"/>
    <n v="40"/>
    <m/>
    <m/>
    <m/>
    <m/>
    <m/>
    <m/>
    <m/>
    <m/>
    <m/>
    <m/>
    <m/>
    <n v="100"/>
    <m/>
    <m/>
    <m/>
  </r>
  <r>
    <m/>
    <x v="9"/>
    <s v="jaredwideman"/>
    <s v="Jared Wideman - 3B"/>
    <s v="Jared Wideman"/>
    <s v="3B"/>
    <s v="Balanced/Utility"/>
    <n v="100"/>
    <m/>
    <m/>
    <m/>
    <m/>
    <m/>
    <m/>
    <s v="S10"/>
    <s v="S10"/>
    <n v="52"/>
    <m/>
    <m/>
    <m/>
    <m/>
    <m/>
    <m/>
    <m/>
    <m/>
    <m/>
    <m/>
    <m/>
    <n v="100"/>
    <m/>
    <m/>
    <m/>
  </r>
  <r>
    <m/>
    <x v="9"/>
    <s v="PandOGod"/>
    <s v="Orlando Mcclain - C"/>
    <s v="Orlando Mcclain"/>
    <s v="C"/>
    <s v="Contact/Arm"/>
    <n v="100"/>
    <m/>
    <m/>
    <m/>
    <m/>
    <m/>
    <m/>
    <s v="S10"/>
    <s v="S10"/>
    <n v="78"/>
    <m/>
    <m/>
    <m/>
    <m/>
    <m/>
    <m/>
    <m/>
    <m/>
    <m/>
    <m/>
    <m/>
    <n v="100"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">
  <r>
    <s v="http://probaseballexperience.jcink.net/index.php?showtopic=79"/>
    <s v="FL"/>
    <s v="kckolbe"/>
    <s v="Kevin Biggio - CF"/>
    <s v="Kevin Biggio"/>
    <x v="0"/>
    <s v="Speed/Speed"/>
    <x v="0"/>
    <n v="10"/>
    <n v="10"/>
    <m/>
    <m/>
    <m/>
    <s v="http://probaseballexperience.jcink.net/index.php?showtopic=4994"/>
    <s v="S1"/>
    <s v="S1"/>
    <n v="10"/>
    <m/>
    <m/>
    <m/>
    <m/>
    <n v="3.5"/>
    <n v="6"/>
    <n v="6"/>
    <n v="10"/>
    <n v="8"/>
    <n v="8.25"/>
    <n v="5"/>
    <n v="1793"/>
    <n v="625"/>
    <n v="602"/>
    <n v="593"/>
  </r>
  <r>
    <s v="http://probaseballexperience.jcink.net/index.php?showtopic=1114"/>
    <s v="PRO"/>
    <s v="timeconsumer"/>
    <s v="Eduardo Dinero - SS"/>
    <s v="Eduardo Dinero"/>
    <x v="1"/>
    <s v="Balanced/Balanced "/>
    <x v="1"/>
    <n v="10"/>
    <n v="10"/>
    <m/>
    <m/>
    <m/>
    <s v="http://probaseballexperience.jcink.net/index.php?showtopic=4883"/>
    <s v="S2"/>
    <s v="S2"/>
    <n v="15"/>
    <m/>
    <m/>
    <m/>
    <m/>
    <n v="3"/>
    <n v="3"/>
    <n v="13"/>
    <n v="13"/>
    <n v="13"/>
    <n v="13"/>
    <n v="13"/>
    <n v="1545"/>
    <n v="416"/>
    <n v="398"/>
    <n v="395"/>
  </r>
  <r>
    <s v="http://probaseballexperience.jcink.net/index.php?showtopic=104"/>
    <s v="OBX"/>
    <s v="Rabidsponge21"/>
    <s v="Connor Macdonald - 2B"/>
    <s v="Connor Macdonald"/>
    <x v="2"/>
    <s v="Contact/Balanced"/>
    <x v="2"/>
    <n v="10"/>
    <m/>
    <m/>
    <m/>
    <m/>
    <s v="NTC S10 MO"/>
    <s v="S1"/>
    <s v="S1"/>
    <n v="5"/>
    <m/>
    <m/>
    <m/>
    <m/>
    <m/>
    <n v="10"/>
    <n v="4"/>
    <n v="4"/>
    <n v="10"/>
    <n v="12"/>
    <n v="9.5"/>
    <n v="1759"/>
    <n v="614"/>
    <n v="596"/>
    <n v="582"/>
  </r>
  <r>
    <s v="http://probaseballexperience.jcink.net/index.php?showtopic=1154"/>
    <s v="FL"/>
    <s v="Asawisemansaid"/>
    <s v="Greg Steiner - SP"/>
    <s v="Greg Steiner"/>
    <x v="3"/>
    <s v="Power"/>
    <x v="3"/>
    <n v="10"/>
    <n v="15"/>
    <m/>
    <m/>
    <m/>
    <m/>
    <s v="S2"/>
    <s v="S2"/>
    <n v="10"/>
    <m/>
    <m/>
    <m/>
    <m/>
    <n v="2"/>
    <n v="2"/>
    <n v="12"/>
    <n v="8"/>
    <n v="404"/>
    <n v="4"/>
    <n v="4.625"/>
    <n v="1521"/>
    <n v="20"/>
    <n v="386"/>
    <n v="320"/>
  </r>
  <r>
    <s v="http://probaseballexperience.jcink.net/index.php?showtopic=345"/>
    <s v="DVS"/>
    <s v="Mavfatha"/>
    <s v="Ozamataz Buckshank - SS"/>
    <s v="Ozamataz Buckshank"/>
    <x v="1"/>
    <s v="Balanced/Balanced"/>
    <x v="4"/>
    <n v="9.75"/>
    <m/>
    <m/>
    <m/>
    <m/>
    <s v="S5-S10 MO"/>
    <s v="S1"/>
    <s v="S1"/>
    <n v="40"/>
    <m/>
    <m/>
    <m/>
    <m/>
    <n v="3.5"/>
    <n v="5"/>
    <n v="5.75"/>
    <n v="7.25"/>
    <n v="8"/>
    <n v="9"/>
    <n v="9.25"/>
    <n v="1729"/>
    <n v="569"/>
    <n v="549"/>
    <n v="531"/>
  </r>
  <r>
    <s v="http://probaseballexperience.jcink.net/index.php?showtopic=180"/>
    <s v="SAS"/>
    <s v="JuOSu"/>
    <s v="Julian O'Sullivan - C"/>
    <s v="Julian O'Sullivan"/>
    <x v="4"/>
    <s v="Power/Quick"/>
    <x v="5"/>
    <n v="9.75"/>
    <m/>
    <m/>
    <m/>
    <m/>
    <s v="S5-S10 MO"/>
    <s v="S1"/>
    <s v="S1"/>
    <n v="2"/>
    <m/>
    <m/>
    <m/>
    <m/>
    <m/>
    <n v="3"/>
    <n v="5"/>
    <n v="6.5"/>
    <n v="7.25"/>
    <n v="8.5"/>
    <n v="9"/>
    <n v="1711"/>
    <n v="622"/>
    <n v="604"/>
    <n v="590"/>
  </r>
  <r>
    <s v="http://probaseballexperience.jcink.net/index.php?showtopic=405"/>
    <s v="FL"/>
    <s v="JKortesi81"/>
    <s v="Penny Kowers - CL"/>
    <s v="Penny Kowers"/>
    <x v="3"/>
    <s v="Balanced"/>
    <x v="6"/>
    <n v="10"/>
    <m/>
    <m/>
    <m/>
    <m/>
    <s v="S10 PO"/>
    <s v="S1"/>
    <s v="S1"/>
    <n v="48"/>
    <m/>
    <m/>
    <m/>
    <m/>
    <n v="12"/>
    <n v="1.5"/>
    <n v="10"/>
    <n v="8"/>
    <n v="9"/>
    <n v="586"/>
    <n v="26.5"/>
    <n v="1673"/>
    <n v="10"/>
    <n v="572"/>
    <n v="558"/>
  </r>
  <r>
    <s v="http://probaseballexperience.jcink.net/index.php?showtopic=156"/>
    <s v="DVS"/>
    <s v="Evok"/>
    <s v="Victoria Secret - SP"/>
    <s v="Victoria Secret"/>
    <x v="3"/>
    <s v="Finesse"/>
    <x v="7"/>
    <n v="10"/>
    <n v="10"/>
    <m/>
    <m/>
    <m/>
    <s v="S10-11 PO"/>
    <s v="S1"/>
    <s v="S1"/>
    <n v="3"/>
    <m/>
    <m/>
    <m/>
    <m/>
    <n v="3"/>
    <n v="8"/>
    <n v="7"/>
    <n v="3.75"/>
    <n v="9.25"/>
    <n v="9.5"/>
    <n v="10"/>
    <n v="1791"/>
    <n v="603"/>
    <n v="589"/>
    <n v="565"/>
  </r>
  <r>
    <s v="http://probaseballexperience.jcink.net/index.php?showtopic=1161"/>
    <s v="OBX"/>
    <s v="LGM2018"/>
    <s v="Phillip Thompson - SP"/>
    <s v="Phillip Thompson"/>
    <x v="3"/>
    <s v="Knuckleball"/>
    <x v="8"/>
    <n v="9.25"/>
    <n v="9.5"/>
    <n v="9.75"/>
    <n v="10"/>
    <n v="10"/>
    <s v="S9/12/14 TO"/>
    <s v="S2"/>
    <s v="S2"/>
    <n v="16"/>
    <m/>
    <m/>
    <m/>
    <m/>
    <n v="2"/>
    <n v="2"/>
    <n v="6.5"/>
    <n v="7.25"/>
    <n v="408"/>
    <n v="5"/>
    <n v="8.5"/>
    <n v="1445"/>
    <n v="389"/>
    <n v="351"/>
    <n v="351"/>
  </r>
  <r>
    <s v="http://probaseballexperience.jcink.net/index.php?showtopic=1560"/>
    <s v="FL"/>
    <s v="bovo"/>
    <s v="D'Aroldis Borkman - CL"/>
    <s v="D'Aroldis Borkman"/>
    <x v="3"/>
    <s v="Power"/>
    <x v="9"/>
    <n v="9.75"/>
    <m/>
    <m/>
    <m/>
    <m/>
    <m/>
    <s v="S2"/>
    <s v="S3"/>
    <n v="3"/>
    <m/>
    <m/>
    <m/>
    <m/>
    <n v="3"/>
    <n v="3"/>
    <n v="3"/>
    <n v="6.5"/>
    <n v="354"/>
    <n v="12"/>
    <n v="9.25"/>
    <n v="1408"/>
    <n v="15"/>
    <n v="306"/>
    <n v="306"/>
  </r>
  <r>
    <s v="http://probaseballexperience.jcink.net/index.php?showtopic=1732"/>
    <s v="DVS"/>
    <s v="majesiu"/>
    <s v="Paulo Di Stephano - RF"/>
    <s v="Paulo Di Stephano"/>
    <x v="5"/>
    <s v="Power/Arm"/>
    <x v="10"/>
    <n v="9.25"/>
    <n v="9.5"/>
    <n v="10"/>
    <n v="10"/>
    <n v="10"/>
    <s v="S6-S14 MO"/>
    <s v="S3"/>
    <s v="S3"/>
    <n v="5"/>
    <m/>
    <m/>
    <m/>
    <m/>
    <n v="3"/>
    <n v="4"/>
    <n v="8.75"/>
    <n v="1"/>
    <n v="6.5"/>
    <n v="8"/>
    <n v="8.5"/>
    <n v="1393"/>
    <n v="208"/>
    <n v="194"/>
    <n v="170"/>
  </r>
  <r>
    <s v="http://probaseballexperience.jcink.net/index.php?showtopic=122"/>
    <s v="FL"/>
    <s v="iamslm22"/>
    <s v="Esteban Rodriguez - SP"/>
    <s v="Esteban Rodriguez"/>
    <x v="3"/>
    <s v="Power"/>
    <x v="11"/>
    <n v="11.5"/>
    <n v="8"/>
    <m/>
    <m/>
    <m/>
    <m/>
    <s v="S1"/>
    <s v="S1"/>
    <s v="as GM"/>
    <m/>
    <m/>
    <m/>
    <m/>
    <n v="2"/>
    <n v="5"/>
    <n v="6.5"/>
    <n v="10.75"/>
    <n v="9"/>
    <n v="4.75"/>
    <n v="9.75"/>
    <n v="1612"/>
    <n v="606"/>
    <n v="588"/>
    <n v="564"/>
  </r>
  <r>
    <s v="http://probaseballexperience.jcink.net/index.php?showtopic=211"/>
    <s v="FL"/>
    <s v="Jonstradamus"/>
    <s v="Johnny Runakiwi - SS"/>
    <s v="Johnny Runakiwi"/>
    <x v="1"/>
    <s v="Contact/Quick"/>
    <x v="12"/>
    <n v="9.75"/>
    <m/>
    <m/>
    <m/>
    <m/>
    <s v="S10-12 MO"/>
    <s v="S1"/>
    <s v="S1"/>
    <n v="58"/>
    <m/>
    <m/>
    <m/>
    <m/>
    <n v="4"/>
    <n v="5"/>
    <n v="6.5"/>
    <n v="7.25"/>
    <n v="9"/>
    <n v="9.5"/>
    <n v="9.75"/>
    <n v="1564"/>
    <n v="599"/>
    <n v="585"/>
    <n v="571"/>
  </r>
  <r>
    <s v="http://probaseballexperience.jcink.net/index.php?showtopic=1045"/>
    <s v="OBX"/>
    <s v="MrStennett"/>
    <s v="Jake Stennett - RF"/>
    <s v="Jake Stennett"/>
    <x v="5"/>
    <s v="Balanced/Arm"/>
    <x v="13"/>
    <n v="9.25"/>
    <m/>
    <m/>
    <m/>
    <m/>
    <m/>
    <s v="S2"/>
    <s v="S2"/>
    <n v="17"/>
    <m/>
    <m/>
    <m/>
    <m/>
    <m/>
    <n v="3"/>
    <n v="3"/>
    <n v="7"/>
    <n v="5.5"/>
    <n v="3"/>
    <n v="8"/>
    <n v="1351"/>
    <n v="303"/>
    <n v="289"/>
    <n v="276"/>
  </r>
  <r>
    <s v="http://probaseballexperience.jcink.net/index.php?showtopic=191"/>
    <s v="SAS"/>
    <s v="goilers"/>
    <s v="Sophia Bennett - RF"/>
    <s v="Sophia Bennett"/>
    <x v="5"/>
    <s v="Contact/Speed"/>
    <x v="14"/>
    <n v="10"/>
    <n v="10"/>
    <m/>
    <m/>
    <m/>
    <s v="S10-11 PO"/>
    <s v="S1"/>
    <s v="S1"/>
    <n v="16"/>
    <m/>
    <m/>
    <m/>
    <m/>
    <m/>
    <n v="4"/>
    <n v="6"/>
    <n v="6"/>
    <n v="6.5"/>
    <n v="8"/>
    <n v="8.5"/>
    <n v="1512"/>
    <n v="524"/>
    <n v="503"/>
    <n v="492"/>
  </r>
  <r>
    <s v="http://probaseballexperience.jcink.net/index.php?showtopic=153"/>
    <s v="SAS"/>
    <s v="PigSnout"/>
    <s v="Vick Thunder - LF"/>
    <s v="Vick Thunder"/>
    <x v="6"/>
    <s v="Power/Speed"/>
    <x v="15"/>
    <n v="7"/>
    <n v="10"/>
    <n v="10"/>
    <n v="10"/>
    <n v="10"/>
    <s v="S7-S14 TO"/>
    <s v="S1"/>
    <s v="S1"/>
    <n v="15"/>
    <m/>
    <m/>
    <m/>
    <m/>
    <n v="1.5"/>
    <n v="8"/>
    <n v="3.5"/>
    <n v="7.25"/>
    <n v="8.5"/>
    <n v="9"/>
    <n v="9"/>
    <n v="1597"/>
    <n v="587"/>
    <n v="559"/>
    <n v="513"/>
  </r>
  <r>
    <s v="http://probaseballexperience.jcink.net/index.php?showtopic=120"/>
    <s v="SAS"/>
    <s v="manicmav36"/>
    <s v="Shooty McLish - 1B"/>
    <s v="Shooty McLish"/>
    <x v="7"/>
    <s v="Contact/Quick"/>
    <x v="16"/>
    <n v="13"/>
    <n v="13"/>
    <n v="10"/>
    <m/>
    <m/>
    <m/>
    <s v="S1"/>
    <s v="S1"/>
    <n v="72"/>
    <m/>
    <m/>
    <m/>
    <m/>
    <m/>
    <n v="2"/>
    <n v="12"/>
    <n v="13.5"/>
    <n v="15"/>
    <n v="13"/>
    <n v="13"/>
    <n v="1509"/>
    <n v="531"/>
    <n v="512"/>
    <n v="482"/>
  </r>
  <r>
    <s v="http://probaseballexperience.jcink.net/index.php?showtopic=101"/>
    <s v="DVS"/>
    <s v="Beaver"/>
    <s v="Do Min-joon - 1B"/>
    <s v="Do Min-joon"/>
    <x v="2"/>
    <s v="Power/Balanced"/>
    <x v="17"/>
    <n v="9.75"/>
    <n v="10"/>
    <n v="10"/>
    <m/>
    <m/>
    <s v="S9-S12 MO"/>
    <s v="S1"/>
    <s v="S1"/>
    <n v="33"/>
    <m/>
    <m/>
    <m/>
    <m/>
    <n v="3.5"/>
    <n v="5"/>
    <n v="5"/>
    <n v="458"/>
    <n v="8"/>
    <n v="9"/>
    <n v="9.25"/>
    <n v="1470"/>
    <n v="440"/>
    <n v="426"/>
    <n v="362"/>
  </r>
  <r>
    <s v="http://probaseballexperience.jcink.net/index.php?showtopic=627"/>
    <s v="PRO"/>
    <s v="Leafer"/>
    <s v="Jarrod Stanton - 2B"/>
    <s v="Jarrod Stanton"/>
    <x v="2"/>
    <s v="Power/Arm"/>
    <x v="18"/>
    <n v="9.75"/>
    <n v="10"/>
    <n v="10"/>
    <m/>
    <m/>
    <s v="S10-S12"/>
    <s v="S1"/>
    <s v="S2"/>
    <n v="1"/>
    <m/>
    <m/>
    <m/>
    <m/>
    <n v="5"/>
    <n v="5"/>
    <n v="6.5"/>
    <n v="8.5"/>
    <n v="9"/>
    <n v="9"/>
    <n v="9.5"/>
    <n v="1445"/>
    <n v="540"/>
    <n v="522"/>
    <n v="508"/>
  </r>
  <r>
    <s v="http://probaseballexperience.jcink.net/index.php?showtopic=88"/>
    <s v="DVS"/>
    <s v="Shadowz"/>
    <s v="Elston Sinclair - SP"/>
    <s v="Elston Sinclair"/>
    <x v="3"/>
    <s v="Power"/>
    <x v="19"/>
    <n v="11"/>
    <m/>
    <m/>
    <m/>
    <m/>
    <s v="S8-10 MO"/>
    <s v="S1"/>
    <s v="S1"/>
    <s v="as GM"/>
    <m/>
    <m/>
    <m/>
    <m/>
    <m/>
    <n v="2"/>
    <n v="5"/>
    <n v="6.5"/>
    <n v="7.25"/>
    <n v="6.5"/>
    <n v="8.5"/>
    <n v="1355"/>
    <n v="575"/>
    <n v="575"/>
    <n v="558"/>
  </r>
  <r>
    <s v="http://probaseballexperience.jcink.net/index.php?showtopic=66"/>
    <s v="OBX"/>
    <s v="ckroyal92"/>
    <s v="Kenny McCormick - 2B"/>
    <s v="Kenny McCormick"/>
    <x v="1"/>
    <s v="Contact/Quick"/>
    <x v="20"/>
    <n v="9.25"/>
    <m/>
    <m/>
    <m/>
    <m/>
    <m/>
    <s v="S1"/>
    <s v="S1"/>
    <m/>
    <m/>
    <m/>
    <m/>
    <m/>
    <m/>
    <n v="2"/>
    <n v="4"/>
    <n v="8.25"/>
    <n v="5.5"/>
    <n v="5"/>
    <n v="8"/>
    <n v="1368"/>
    <n v="427"/>
    <n v="419"/>
    <n v="402"/>
  </r>
  <r>
    <s v="http://probaseballexperience.jcink.net/index.php?showtopic=1042"/>
    <s v="SAS"/>
    <s v="vasolinetigers"/>
    <s v="Simon Hans - SS"/>
    <s v="Simon Hans"/>
    <x v="8"/>
    <s v="Balanced/Balanced"/>
    <x v="21"/>
    <n v="9.25"/>
    <n v="9.75"/>
    <n v="10"/>
    <m/>
    <m/>
    <s v="S12 MO NTC"/>
    <s v="S2"/>
    <s v="S2"/>
    <n v="38"/>
    <m/>
    <m/>
    <m/>
    <m/>
    <m/>
    <n v="3"/>
    <n v="3.5"/>
    <n v="5"/>
    <n v="5.75"/>
    <n v="7.25"/>
    <n v="8"/>
    <n v="1224"/>
    <n v="354"/>
    <n v="328"/>
    <n v="306"/>
  </r>
  <r>
    <s v="http://probaseballexperience.jcink.net/index.php?showtopic=2155"/>
    <s v="SAS"/>
    <s v="Moosecop"/>
    <s v="Clem Johnson - 2B"/>
    <s v="Clem Johnson"/>
    <x v="1"/>
    <s v="Contact/Quick"/>
    <x v="22"/>
    <n v="4.25"/>
    <n v="6.75"/>
    <n v="9.5"/>
    <m/>
    <m/>
    <s v="S9-12 MO"/>
    <s v="S4"/>
    <s v="S4"/>
    <n v="3"/>
    <m/>
    <m/>
    <m/>
    <m/>
    <m/>
    <m/>
    <n v="5"/>
    <n v="5"/>
    <n v="4.5"/>
    <n v="4.5"/>
    <n v="6.5"/>
    <n v="1095"/>
    <m/>
    <n v="100"/>
    <n v="100"/>
  </r>
  <r>
    <s v="http://probaseballexperience.jcink.net/index.php?showtopic=2467"/>
    <s v="OBX"/>
    <s v="Bayley"/>
    <s v="Mookie Banks - SP"/>
    <s v="Mookie Banks"/>
    <x v="3"/>
    <s v="Power"/>
    <x v="23"/>
    <n v="5"/>
    <n v="5"/>
    <n v="5"/>
    <m/>
    <m/>
    <m/>
    <s v="S4"/>
    <s v="S5"/>
    <n v="3"/>
    <m/>
    <m/>
    <m/>
    <m/>
    <m/>
    <m/>
    <n v="3"/>
    <n v="6"/>
    <n v="3"/>
    <n v="19.25"/>
    <n v="5"/>
    <n v="1086"/>
    <m/>
    <m/>
    <m/>
  </r>
  <r>
    <s v="http://probaseballexperience.jcink.net/index.php?showtopic=2154"/>
    <s v="NYV"/>
    <s v="pazuzu"/>
    <s v="Phillip J Fry - RF"/>
    <s v="Phillip J Fry"/>
    <x v="5"/>
    <s v="Balanced/Arm"/>
    <x v="24"/>
    <n v="9.5"/>
    <n v="9.25"/>
    <n v="9.5"/>
    <n v="10"/>
    <m/>
    <m/>
    <s v="S4"/>
    <s v="S4"/>
    <n v="9"/>
    <m/>
    <m/>
    <m/>
    <m/>
    <m/>
    <m/>
    <n v="5"/>
    <n v="5"/>
    <n v="5"/>
    <n v="5.5"/>
    <n v="5.25"/>
    <n v="1055"/>
    <n v="100"/>
    <n v="100"/>
    <m/>
  </r>
  <r>
    <s v="http://probaseballexperience.jcink.net/index.php?showtopic=84"/>
    <s v="PRO"/>
    <s v="tlk742"/>
    <s v="Randy Koufax - SP"/>
    <s v="Randy Koufax"/>
    <x v="3"/>
    <s v="Balanced"/>
    <x v="25"/>
    <n v="9"/>
    <m/>
    <m/>
    <m/>
    <m/>
    <s v="S8-10 MO"/>
    <s v="S1"/>
    <s v="S1"/>
    <s v="as GM"/>
    <m/>
    <m/>
    <m/>
    <m/>
    <n v="2"/>
    <n v="4"/>
    <n v="5.75"/>
    <n v="6.5"/>
    <n v="8.5"/>
    <n v="9.25"/>
    <n v="9.5"/>
    <n v="1225"/>
    <n v="538"/>
    <n v="514"/>
    <n v="492"/>
  </r>
  <r>
    <s v="http://probaseballexperience.jcink.net/index.php?showtopic=792"/>
    <s v="DVS"/>
    <s v="CDub2"/>
    <s v="Ziggy Coffey - SS"/>
    <s v="Ziggy Coffey"/>
    <x v="7"/>
    <s v="Speed/Quick"/>
    <x v="26"/>
    <n v="9.25"/>
    <n v="9.25"/>
    <n v="9.25"/>
    <m/>
    <m/>
    <s v="S8-9 MO"/>
    <s v="S1"/>
    <s v="S2"/>
    <n v="9"/>
    <m/>
    <m/>
    <m/>
    <m/>
    <n v="3.5"/>
    <n v="3.5"/>
    <n v="7"/>
    <n v="7"/>
    <n v="7"/>
    <n v="7"/>
    <n v="7"/>
    <n v="1239"/>
    <n v="406"/>
    <n v="372"/>
    <n v="372"/>
  </r>
  <r>
    <s v="http://probaseballexperience.jcink.net/index.php?showtopic=2598"/>
    <s v="DVS"/>
    <s v="Trautner"/>
    <s v="Jimmy Dong - CF"/>
    <s v="Jimmy Dong"/>
    <x v="0"/>
    <s v="Balanced/Balanced"/>
    <x v="27"/>
    <n v="7.25"/>
    <n v="8.5"/>
    <m/>
    <m/>
    <m/>
    <s v="S7-S11 MO"/>
    <s v="S5"/>
    <s v="S5"/>
    <n v="9"/>
    <m/>
    <m/>
    <m/>
    <m/>
    <m/>
    <m/>
    <n v="4"/>
    <n v="4"/>
    <n v="4"/>
    <n v="5"/>
    <n v="6.5"/>
    <n v="999"/>
    <m/>
    <m/>
    <m/>
  </r>
  <r>
    <s v="http://probaseballexperience.jcink.net/index.php?showtopic=2455"/>
    <s v="NYV"/>
    <s v="BWIII"/>
    <s v="Weldon Borthwell - 3B"/>
    <s v="Weldon Borthwell"/>
    <x v="8"/>
    <s v="Balanced/Balanced"/>
    <x v="27"/>
    <n v="7"/>
    <m/>
    <m/>
    <m/>
    <m/>
    <m/>
    <s v="S4"/>
    <s v="S5"/>
    <n v="1"/>
    <m/>
    <m/>
    <m/>
    <m/>
    <m/>
    <m/>
    <n v="1"/>
    <n v="5"/>
    <n v="5"/>
    <n v="5"/>
    <n v="7"/>
    <n v="1037"/>
    <m/>
    <m/>
    <m/>
  </r>
  <r>
    <s v="http://probaseballexperience.jcink.net/index.php?showtopic=1209"/>
    <s v="SAS"/>
    <s v="yoye"/>
    <s v="Roger Baton - 2B"/>
    <s v="Roger Baton"/>
    <x v="2"/>
    <s v="Balanced/Balanced"/>
    <x v="28"/>
    <n v="8.5"/>
    <n v="9.25"/>
    <n v="9.5"/>
    <m/>
    <m/>
    <m/>
    <s v="S2"/>
    <s v="S2"/>
    <n v="32"/>
    <m/>
    <m/>
    <m/>
    <m/>
    <m/>
    <n v="3"/>
    <n v="4"/>
    <n v="5"/>
    <n v="5.75"/>
    <n v="6.5"/>
    <n v="6.5"/>
    <n v="981"/>
    <n v="329"/>
    <n v="314"/>
    <n v="300"/>
  </r>
  <r>
    <s v="http://probaseballexperience.jcink.net/index.php?showtopic=2569"/>
    <s v="OBX"/>
    <s v="cpetrella"/>
    <s v="Billy Benson - C"/>
    <s v="Billy Benson"/>
    <x v="4"/>
    <s v="Balanced/React"/>
    <x v="29"/>
    <n v="4.25"/>
    <m/>
    <m/>
    <m/>
    <m/>
    <m/>
    <s v="S5"/>
    <s v="S5"/>
    <n v="8"/>
    <m/>
    <m/>
    <m/>
    <m/>
    <m/>
    <m/>
    <m/>
    <n v="6"/>
    <n v="3"/>
    <n v="10"/>
    <n v="4.25"/>
    <n v="926"/>
    <m/>
    <m/>
    <m/>
  </r>
  <r>
    <s v="http://probaseballexperience.jcink.net/index.php?showtopic=195"/>
    <s v="DVS"/>
    <s v="Bzerkap"/>
    <s v="Toshihiro Ishikawa - C"/>
    <s v="Toshihiro Ishikawa"/>
    <x v="4"/>
    <s v="Balanced/React"/>
    <x v="30"/>
    <n v="9"/>
    <n v="9"/>
    <m/>
    <m/>
    <m/>
    <s v="S10-11 PO"/>
    <s v="S1"/>
    <s v="S1"/>
    <n v="38"/>
    <m/>
    <m/>
    <m/>
    <m/>
    <n v="3"/>
    <n v="8"/>
    <n v="7"/>
    <n v="3.75"/>
    <n v="12"/>
    <n v="12"/>
    <n v="9"/>
    <n v="1107"/>
    <n v="505"/>
    <n v="492"/>
    <n v="468"/>
  </r>
  <r>
    <s v="http://probaseballexperience.jcink.net/index.php?showtopic=2604"/>
    <s v="DVS"/>
    <s v="Halfygar"/>
    <s v="Guy Walker - CL"/>
    <s v="Guy Walker"/>
    <x v="3"/>
    <s v="Power"/>
    <x v="31"/>
    <n v="8"/>
    <n v="8"/>
    <n v="8.25"/>
    <m/>
    <m/>
    <m/>
    <s v="S5"/>
    <s v="S5"/>
    <n v="21"/>
    <m/>
    <m/>
    <m/>
    <m/>
    <m/>
    <m/>
    <n v="4"/>
    <n v="4"/>
    <n v="3"/>
    <n v="5"/>
    <n v="5.75"/>
    <n v="804"/>
    <m/>
    <m/>
    <m/>
  </r>
  <r>
    <s v="http://probaseballexperience.jcink.net/index.php?showtopic=2606"/>
    <s v="OBX"/>
    <s v="AndrewWarren13"/>
    <s v="Ludwig Groetzinger - CL"/>
    <s v="Ludwig Groetzinger"/>
    <x v="3"/>
    <s v="Power"/>
    <x v="32"/>
    <n v="6"/>
    <m/>
    <m/>
    <m/>
    <m/>
    <m/>
    <s v="S5"/>
    <s v="S5"/>
    <n v="13"/>
    <m/>
    <m/>
    <m/>
    <m/>
    <m/>
    <m/>
    <m/>
    <n v="4"/>
    <n v="2"/>
    <n v="1.5"/>
    <n v="10.25"/>
    <n v="885"/>
    <m/>
    <m/>
    <m/>
  </r>
  <r>
    <s v="http://probaseballexperience.jcink.net/index.php?showtopic=2142"/>
    <s v="OBX"/>
    <s v="Keygan"/>
    <s v="Connor Tanner - 3B"/>
    <s v="Connor Tanner"/>
    <x v="0"/>
    <s v="Power/Balanced"/>
    <x v="33"/>
    <n v="18.25"/>
    <n v="4"/>
    <n v="4"/>
    <m/>
    <m/>
    <m/>
    <s v="S4"/>
    <s v="S4"/>
    <n v="2"/>
    <m/>
    <m/>
    <m/>
    <m/>
    <m/>
    <m/>
    <n v="10"/>
    <n v="1"/>
    <n v="10"/>
    <n v="4"/>
    <n v="4.25"/>
    <n v="977"/>
    <n v="100"/>
    <n v="100"/>
    <m/>
  </r>
  <r>
    <s v="http://probaseballexperience.jcink.net/index.php?showtopic=2906"/>
    <s v="DVS"/>
    <s v="caltroit_red_flames"/>
    <s v="Speedy Boi - CF"/>
    <s v="Speedy Boi"/>
    <x v="6"/>
    <s v="Speed/Speed"/>
    <x v="34"/>
    <n v="7.75"/>
    <n v="7.75"/>
    <m/>
    <m/>
    <m/>
    <m/>
    <s v="S5"/>
    <s v="S6"/>
    <n v="1"/>
    <m/>
    <m/>
    <m/>
    <m/>
    <m/>
    <m/>
    <m/>
    <n v="7"/>
    <n v="2"/>
    <n v="3"/>
    <n v="7.75"/>
    <n v="815"/>
    <m/>
    <m/>
    <m/>
  </r>
  <r>
    <s v="http://probaseballexperience.jcink.net/index.php?showtopic=1232"/>
    <s v="SAS"/>
    <s v="Kahn"/>
    <s v="Khamati Kahn - SP"/>
    <s v="Khamati Kahn"/>
    <x v="3"/>
    <s v="Finesse"/>
    <x v="35"/>
    <n v="7.25"/>
    <m/>
    <m/>
    <m/>
    <m/>
    <m/>
    <s v="S2"/>
    <s v="S2"/>
    <n v="21"/>
    <m/>
    <m/>
    <m/>
    <m/>
    <m/>
    <n v="3"/>
    <n v="3"/>
    <n v="3"/>
    <n v="4"/>
    <n v="5"/>
    <n v="6.5"/>
    <n v="863"/>
    <n v="285"/>
    <n v="273"/>
    <n v="256"/>
  </r>
  <r>
    <s v="http://probaseballexperience.jcink.net/index.php?showtopic=2590"/>
    <s v="NYV"/>
    <s v="Ryan0413"/>
    <s v="Ryan Stryker - SP"/>
    <s v="Ryan Stryker"/>
    <x v="3"/>
    <s v="Power"/>
    <x v="36"/>
    <n v="5"/>
    <m/>
    <m/>
    <m/>
    <m/>
    <m/>
    <s v="S5"/>
    <s v="S5"/>
    <n v="7"/>
    <m/>
    <m/>
    <m/>
    <m/>
    <m/>
    <m/>
    <m/>
    <n v="5"/>
    <n v="4"/>
    <n v="4"/>
    <n v="8"/>
    <n v="782"/>
    <m/>
    <m/>
    <m/>
  </r>
  <r>
    <s v="http://probaseballexperience.jcink.net/index.php?showtopic=2614"/>
    <s v="VAN"/>
    <s v="Frozen Rope"/>
    <s v="Godfrey Bowman - RF"/>
    <s v="Godfrey Bowman"/>
    <x v="5"/>
    <s v="Contact/Speed"/>
    <x v="37"/>
    <n v="8"/>
    <n v="9"/>
    <m/>
    <m/>
    <m/>
    <s v="S11 TO"/>
    <s v="S5"/>
    <s v="S5"/>
    <n v="12"/>
    <m/>
    <m/>
    <m/>
    <m/>
    <m/>
    <m/>
    <n v="2"/>
    <n v="2"/>
    <n v="2"/>
    <n v="5.75"/>
    <n v="6.5"/>
    <n v="731"/>
    <m/>
    <m/>
    <m/>
  </r>
  <r>
    <s v="http://probaseballexperience.jcink.net/index.php?showtopic=288"/>
    <s v="FL"/>
    <s v="OnceAndFutureKing"/>
    <s v="Sebastian Musgrave-Smythe - CL"/>
    <s v="Sebastian Musgrave-Smythe"/>
    <x v="9"/>
    <s v="Finesse"/>
    <x v="38"/>
    <n v="8"/>
    <n v="8"/>
    <m/>
    <m/>
    <m/>
    <m/>
    <s v="S1"/>
    <s v="S1"/>
    <n v="52"/>
    <m/>
    <m/>
    <m/>
    <m/>
    <n v="3.5"/>
    <n v="3.5"/>
    <n v="3.5"/>
    <n v="5"/>
    <n v="5"/>
    <n v="6.25"/>
    <n v="6.5"/>
    <n v="918"/>
    <n v="304"/>
    <n v="304"/>
    <n v="289"/>
  </r>
  <r>
    <s v="http://probaseballexperience.jcink.net/index.php?showtopic=1664"/>
    <s v="PRO"/>
    <s v="Tindomul"/>
    <s v="Pete Rose - CL"/>
    <s v="Pete Rose"/>
    <x v="9"/>
    <s v="Balanced"/>
    <x v="39"/>
    <n v="7.25"/>
    <m/>
    <m/>
    <m/>
    <m/>
    <m/>
    <s v="S3"/>
    <s v="S3"/>
    <n v="10"/>
    <m/>
    <m/>
    <m/>
    <m/>
    <n v="7"/>
    <n v="1"/>
    <n v="1"/>
    <n v="4"/>
    <n v="5"/>
    <n v="6.5"/>
    <n v="6.5"/>
    <n v="819"/>
    <n v="175"/>
    <n v="165"/>
    <n v="154"/>
  </r>
  <r>
    <s v="http://probaseballexperience.jcink.net/index.php?showtopic=258"/>
    <s v="SAS"/>
    <s v="TheWoZy"/>
    <s v="Eijun Wozy - SP"/>
    <s v="Eijun Wozy"/>
    <x v="3"/>
    <s v="Finesse"/>
    <x v="40"/>
    <n v="8"/>
    <m/>
    <m/>
    <m/>
    <m/>
    <m/>
    <s v="S1"/>
    <s v="S1"/>
    <n v="8"/>
    <m/>
    <m/>
    <m/>
    <m/>
    <n v="4"/>
    <n v="4"/>
    <n v="5"/>
    <n v="6.5"/>
    <n v="464"/>
    <n v="16"/>
    <n v="12"/>
    <n v="943"/>
    <n v="452"/>
    <n v="418"/>
    <n v="346"/>
  </r>
  <r>
    <s v="http://probaseballexperience.jcink.net/index.php?showtopic=213"/>
    <s v="SAS"/>
    <s v="loneDigger"/>
    <s v="Chaz LaLocke - SP"/>
    <s v="Chaz LaLocke"/>
    <x v="3"/>
    <s v="Finesse"/>
    <x v="41"/>
    <n v="8"/>
    <m/>
    <m/>
    <m/>
    <m/>
    <m/>
    <s v="S1"/>
    <s v="S1"/>
    <n v="1"/>
    <m/>
    <m/>
    <m/>
    <m/>
    <m/>
    <n v="5"/>
    <n v="6.95"/>
    <n v="10.35"/>
    <n v="8.5500000000000007"/>
    <n v="8"/>
    <n v="8"/>
    <n v="933"/>
    <n v="587"/>
    <n v="575"/>
    <n v="532"/>
  </r>
  <r>
    <s v="http://probaseballexperience.jcink.net/index.php?showtopic=3087"/>
    <s v="NYV"/>
    <s v="StormZ_23"/>
    <s v="Louis Storm - 2B"/>
    <s v="Louis Storm"/>
    <x v="2"/>
    <s v="Contact/Quick"/>
    <x v="42"/>
    <n v="6"/>
    <n v="5"/>
    <n v="4"/>
    <m/>
    <m/>
    <s v="S12 MO"/>
    <s v="S6"/>
    <s v="S6"/>
    <n v="16"/>
    <s v="SCS"/>
    <n v="6"/>
    <n v="12"/>
    <s v="Y"/>
    <m/>
    <m/>
    <m/>
    <m/>
    <n v="2.5"/>
    <n v="2.5"/>
    <n v="2.5"/>
    <n v="600"/>
    <m/>
    <m/>
    <m/>
  </r>
  <r>
    <s v="http://probaseballexperience.jcink.net/index.php?showtopic=100"/>
    <s v="NYV"/>
    <s v="Raven"/>
    <s v="Laddy McBantershire - C"/>
    <s v="Laddy McBantershire"/>
    <x v="4"/>
    <s v="Balanced/React"/>
    <x v="42"/>
    <n v="6.5"/>
    <m/>
    <m/>
    <m/>
    <m/>
    <s v="http://probaseballexperience.jcink.net/index.php?showtopic=5123&amp;view=findpost&amp;p=61652"/>
    <s v="S1"/>
    <s v="S1"/>
    <n v="12"/>
    <m/>
    <m/>
    <m/>
    <m/>
    <m/>
    <n v="2"/>
    <n v="3"/>
    <n v="4"/>
    <n v="5.75"/>
    <n v="6.25"/>
    <n v="6"/>
    <n v="706"/>
    <n v="360"/>
    <n v="352"/>
    <n v="344"/>
  </r>
  <r>
    <s v="http://probaseballexperience.jcink.net/index.php?showtopic=256"/>
    <s v="NYV"/>
    <s v="FTR"/>
    <s v="Pepe Alazar - LF"/>
    <s v="Pepe Alazar"/>
    <x v="0"/>
    <s v="Contact/Speed"/>
    <x v="42"/>
    <n v="7.25"/>
    <m/>
    <m/>
    <m/>
    <m/>
    <m/>
    <s v="S1"/>
    <s v="S1"/>
    <n v="49"/>
    <m/>
    <m/>
    <m/>
    <m/>
    <m/>
    <n v="14"/>
    <n v="4"/>
    <n v="6.5"/>
    <n v="14.5"/>
    <n v="7.25"/>
    <n v="7.25"/>
    <n v="881"/>
    <n v="595"/>
    <n v="577"/>
    <n v="563"/>
  </r>
  <r>
    <s v="http://probaseballexperience.jcink.net/index.php?showtopic=3046&amp;st=0&amp;#entry32489"/>
    <s v="SAS"/>
    <s v="Whatistheinternet"/>
    <s v="Bobby Hill - SP"/>
    <s v="Bobby Hill"/>
    <x v="3"/>
    <s v="Power"/>
    <x v="43"/>
    <n v="8.74"/>
    <n v="10"/>
    <n v="12"/>
    <m/>
    <m/>
    <m/>
    <s v="S6"/>
    <s v="S6"/>
    <n v="9"/>
    <s v="SCS"/>
    <n v="6"/>
    <n v="2"/>
    <m/>
    <m/>
    <m/>
    <m/>
    <m/>
    <n v="2.5"/>
    <n v="3.5"/>
    <n v="4"/>
    <n v="665"/>
    <m/>
    <m/>
    <m/>
  </r>
  <r>
    <s v="http://probaseballexperience.jcink.net/index.php?showtopic=453"/>
    <s v="PRO"/>
    <s v="Boss"/>
    <s v="Mike Boss - 1B"/>
    <s v="Mike Boss"/>
    <x v="7"/>
    <s v="Power/Balanced"/>
    <x v="44"/>
    <n v="7.25"/>
    <m/>
    <m/>
    <m/>
    <m/>
    <m/>
    <s v="S1"/>
    <s v="S1"/>
    <n v="17"/>
    <m/>
    <m/>
    <m/>
    <m/>
    <n v="4"/>
    <n v="5"/>
    <n v="6.5"/>
    <n v="7.25"/>
    <n v="7.5"/>
    <n v="7.25"/>
    <n v="7.25"/>
    <n v="868"/>
    <n v="544"/>
    <n v="525"/>
    <n v="511"/>
  </r>
  <r>
    <s v="http://probaseballexperience.jcink.net/index.php?showtopic=123"/>
    <s v="PRO"/>
    <s v="Unicorn"/>
    <s v="Matthew Valentine - CF"/>
    <s v="Matthew Valentine"/>
    <x v="0"/>
    <s v="Balanced/Speed"/>
    <x v="45"/>
    <n v="7.25"/>
    <m/>
    <m/>
    <m/>
    <m/>
    <s v="NTC"/>
    <s v="S1"/>
    <s v="S1"/>
    <n v="53"/>
    <m/>
    <m/>
    <m/>
    <m/>
    <n v="3"/>
    <n v="4"/>
    <n v="5"/>
    <n v="5.75"/>
    <n v="5"/>
    <n v="6.5"/>
    <n v="7.25"/>
    <n v="722"/>
    <n v="427"/>
    <n v="408"/>
    <n v="408"/>
  </r>
  <r>
    <s v="http://probaseballexperience.jcink.net/index.php?showtopic=72"/>
    <s v="PRO"/>
    <s v="4D Chess"/>
    <s v="Jackson Jackson - C"/>
    <s v="Jackson Jackson"/>
    <x v="4"/>
    <s v="Balanced/Arm"/>
    <x v="46"/>
    <n v="8"/>
    <m/>
    <m/>
    <m/>
    <m/>
    <s v="S8-10 MO"/>
    <s v="S1"/>
    <s v="S1"/>
    <s v="as GM"/>
    <m/>
    <m/>
    <m/>
    <m/>
    <n v="2"/>
    <n v="3"/>
    <n v="3"/>
    <n v="3"/>
    <n v="5"/>
    <n v="5.75"/>
    <n v="7.25"/>
    <n v="843"/>
    <n v="373"/>
    <n v="373"/>
    <n v="373"/>
  </r>
  <r>
    <s v="http://probaseballexperience.jcink.net/index.php?showtopic=2599"/>
    <s v="FL"/>
    <s v="NamelessNate"/>
    <s v="Nate Piazza - C"/>
    <s v="Nate Piazza"/>
    <x v="4"/>
    <s v="Power/React"/>
    <x v="47"/>
    <n v="5.75"/>
    <n v="6.5"/>
    <m/>
    <m/>
    <m/>
    <s v="http://probaseballexperience.jcink.net/index.php?showtopic=4884"/>
    <s v="S5"/>
    <s v="S5"/>
    <n v="5"/>
    <m/>
    <m/>
    <m/>
    <m/>
    <m/>
    <m/>
    <m/>
    <n v="5"/>
    <n v="5"/>
    <n v="12"/>
    <n v="5.75"/>
    <n v="616"/>
    <n v="6.5"/>
    <m/>
    <m/>
  </r>
  <r>
    <s v="http://probaseballexperience.jcink.net/index.php?showtopic=2165"/>
    <s v="FL"/>
    <s v="adam2552"/>
    <s v="Hawk Russell - LF"/>
    <s v="Hawk Russell"/>
    <x v="6"/>
    <s v="Power/Balanced"/>
    <x v="48"/>
    <n v="6.5"/>
    <m/>
    <m/>
    <m/>
    <m/>
    <m/>
    <s v="S4"/>
    <s v="S4"/>
    <n v="7"/>
    <m/>
    <m/>
    <m/>
    <m/>
    <m/>
    <m/>
    <n v="4"/>
    <n v="3"/>
    <n v="8.5"/>
    <n v="10"/>
    <n v="5.75"/>
    <n v="684"/>
    <n v="5"/>
    <n v="100"/>
    <e v="#REF!"/>
  </r>
  <r>
    <s v="http://probaseballexperience.jcink.net/index.php?showtopic=3586"/>
    <s v="OBX"/>
    <s v="PSanchez55"/>
    <s v="Johnathon Livingston - CL"/>
    <s v="Johnathon Livingston"/>
    <x v="9"/>
    <s v="Power"/>
    <x v="49"/>
    <n v="3"/>
    <m/>
    <m/>
    <m/>
    <m/>
    <s v="S10 TO"/>
    <s v="S7"/>
    <s v="S7"/>
    <n v="9"/>
    <m/>
    <m/>
    <m/>
    <m/>
    <m/>
    <m/>
    <m/>
    <m/>
    <m/>
    <s v="5 (0)"/>
    <n v="3"/>
    <n v="542"/>
    <m/>
    <m/>
    <m/>
  </r>
  <r>
    <s v="http://probaseballexperience.jcink.net/index.php?showtopic=3123"/>
    <s v="OBX"/>
    <s v="JVMjrDOT"/>
    <s v="Jordan von Matt - LF"/>
    <s v="Jordan von Matt"/>
    <x v="6"/>
    <s v="Power/Balanced"/>
    <x v="50"/>
    <n v="6"/>
    <n v="7"/>
    <m/>
    <m/>
    <m/>
    <m/>
    <s v="S6"/>
    <s v="S6"/>
    <n v="19"/>
    <m/>
    <m/>
    <m/>
    <m/>
    <m/>
    <m/>
    <m/>
    <m/>
    <n v="2"/>
    <n v="2"/>
    <n v="2"/>
    <n v="625"/>
    <m/>
    <m/>
    <m/>
  </r>
  <r>
    <s v="http://probaseballexperience.jcink.net/index.php?showtopic=3561"/>
    <s v="OBX"/>
    <s v="BigTittySmitty"/>
    <s v="JJ Windsor - CL"/>
    <s v="JJ Windsor"/>
    <x v="9"/>
    <s v="Balanced"/>
    <x v="51"/>
    <n v="4.5"/>
    <m/>
    <m/>
    <m/>
    <m/>
    <s v="S10 TO"/>
    <s v="S7"/>
    <s v="S7"/>
    <n v="7"/>
    <m/>
    <m/>
    <m/>
    <m/>
    <m/>
    <m/>
    <m/>
    <m/>
    <m/>
    <s v="5 (0)"/>
    <n v="3.5"/>
    <n v="544"/>
    <m/>
    <m/>
    <m/>
  </r>
  <r>
    <s v="http://probaseballexperience.jcink.net/index.php?showtopic=3108"/>
    <s v="VAN"/>
    <s v="rog"/>
    <s v="Huki Hawaii - C"/>
    <s v="Huki Hawaii"/>
    <x v="4"/>
    <s v="Balanced/Arm"/>
    <x v="51"/>
    <n v="15"/>
    <n v="15"/>
    <n v="10"/>
    <n v="10"/>
    <m/>
    <m/>
    <s v="S6"/>
    <s v="S6"/>
    <n v="2"/>
    <s v="SCS"/>
    <n v="6"/>
    <n v="6"/>
    <m/>
    <m/>
    <m/>
    <m/>
    <n v="3"/>
    <n v="3"/>
    <n v="3"/>
    <n v="3"/>
    <n v="604"/>
    <m/>
    <m/>
    <m/>
  </r>
  <r>
    <s v="http://probaseballexperience.jcink.net/index.php?showtopic=3019"/>
    <s v="OBX"/>
    <s v="CactusLeague"/>
    <s v="Kellan Buchanan - CF"/>
    <s v="Kellan Buchanan"/>
    <x v="8"/>
    <s v="Balanced/Balanced"/>
    <x v="52"/>
    <n v="5.75"/>
    <m/>
    <m/>
    <m/>
    <m/>
    <s v="http://probaseballexperience.jcink.net/index.php?showtopic=5382"/>
    <s v="S6"/>
    <s v="S6"/>
    <n v="13"/>
    <m/>
    <m/>
    <m/>
    <m/>
    <m/>
    <m/>
    <m/>
    <m/>
    <n v="1.5"/>
    <n v="1.5"/>
    <n v="1.5"/>
    <n v="626"/>
    <m/>
    <m/>
    <m/>
  </r>
  <r>
    <s v="http://probaseballexperience.jcink.net/index.php?showtopic=2518"/>
    <s v="UTA"/>
    <s v="to12143"/>
    <s v="Tyler Oles - SP"/>
    <s v="Tyler Oles"/>
    <x v="3"/>
    <s v="Power"/>
    <x v="53"/>
    <n v="4"/>
    <n v="4"/>
    <m/>
    <m/>
    <m/>
    <m/>
    <s v="S5"/>
    <s v="S5"/>
    <n v="4"/>
    <m/>
    <m/>
    <m/>
    <m/>
    <m/>
    <m/>
    <n v="3"/>
    <n v="3"/>
    <n v="5"/>
    <m/>
    <n v="10"/>
    <n v="701"/>
    <n v="2.5"/>
    <m/>
    <m/>
  </r>
  <r>
    <s v="http://probaseballexperience.jcink.net/index.php?showtopic=2591"/>
    <s v="DVS"/>
    <s v="Anderson Pooper"/>
    <s v="Anderson Pooper - SP"/>
    <s v="Anderson Pooper"/>
    <x v="3"/>
    <s v="Balanced"/>
    <x v="54"/>
    <n v="6"/>
    <n v="5"/>
    <m/>
    <m/>
    <m/>
    <m/>
    <s v="S5"/>
    <s v="S5"/>
    <n v="29"/>
    <m/>
    <m/>
    <m/>
    <m/>
    <m/>
    <m/>
    <m/>
    <n v="2"/>
    <n v="2"/>
    <n v="3.4"/>
    <n v="15.49"/>
    <n v="467"/>
    <m/>
    <m/>
    <m/>
  </r>
  <r>
    <s v="http://probaseballexperience.jcink.net/index.php?showtopic=354"/>
    <s v="UTA"/>
    <s v="Symmetrik"/>
    <s v="Marcos Gonzalez - CF"/>
    <s v="Marcos Gonzalez"/>
    <x v="0"/>
    <s v="Power/Speed"/>
    <x v="55"/>
    <n v="6.5"/>
    <m/>
    <m/>
    <m/>
    <m/>
    <m/>
    <s v="S1"/>
    <s v="S1"/>
    <n v="69"/>
    <m/>
    <m/>
    <m/>
    <m/>
    <n v="3"/>
    <n v="5"/>
    <n v="5"/>
    <n v="5"/>
    <n v="5.75"/>
    <n v="7.25"/>
    <n v="8"/>
    <n v="749"/>
    <n v="302"/>
    <n v="270"/>
    <n v="270"/>
  </r>
  <r>
    <s v="http://probaseballexperience.jcink.net/index.php?showtopic=3117"/>
    <s v="FL"/>
    <s v="Daybe"/>
    <s v="Jax Hunter - SP"/>
    <s v="Jax Hunter"/>
    <x v="9"/>
    <s v="Power"/>
    <x v="56"/>
    <n v="5"/>
    <m/>
    <m/>
    <m/>
    <m/>
    <m/>
    <s v="S6"/>
    <s v="S6"/>
    <n v="31"/>
    <s v="ASE"/>
    <n v="6"/>
    <n v="5"/>
    <s v="Y"/>
    <m/>
    <m/>
    <m/>
    <m/>
    <n v="1.5"/>
    <n v="7"/>
    <n v="8"/>
    <n v="565"/>
    <n v="0.75"/>
    <m/>
    <m/>
  </r>
  <r>
    <s v="http://probaseballexperience.jcink.net/index.php?showtopic=618"/>
    <s v="SAS"/>
    <s v="HalfEatenOnionBagel"/>
    <s v="Chuck Gamble - CL"/>
    <s v="Chuck Gamble"/>
    <x v="9"/>
    <s v="Balanced"/>
    <x v="57"/>
    <n v="7.5"/>
    <m/>
    <m/>
    <m/>
    <m/>
    <m/>
    <s v="S1"/>
    <s v="S2"/>
    <n v="4"/>
    <m/>
    <m/>
    <m/>
    <m/>
    <n v="3"/>
    <n v="4"/>
    <n v="4"/>
    <n v="5.75"/>
    <n v="8"/>
    <n v="8"/>
    <n v="422"/>
    <n v="675"/>
    <n v="404"/>
    <n v="392"/>
    <n v="351"/>
  </r>
  <r>
    <s v="http://probaseballexperience.jcink.net/index.php?showtopic=3909"/>
    <s v="VAN"/>
    <s v="StamkosFan"/>
    <s v="Barry Keller - SP"/>
    <s v="Barry Keller"/>
    <x v="3"/>
    <s v="Balance"/>
    <x v="58"/>
    <n v="6"/>
    <n v="7"/>
    <m/>
    <m/>
    <m/>
    <s v="S11 MO"/>
    <s v="S7"/>
    <s v="S8"/>
    <n v="1"/>
    <m/>
    <m/>
    <m/>
    <m/>
    <m/>
    <m/>
    <m/>
    <m/>
    <m/>
    <n v="0"/>
    <n v="5"/>
    <n v="498"/>
    <m/>
    <m/>
    <m/>
  </r>
  <r>
    <s v="http://probaseballexperience.jcink.net/index.php?showtopic=3764"/>
    <s v="VAN"/>
    <s v="DeathOnReddit"/>
    <s v="Arbin Asipi Jr - SS"/>
    <s v="Arbin Asipi Jr"/>
    <x v="1"/>
    <s v="Contact/Quick"/>
    <x v="59"/>
    <n v="6"/>
    <n v="6"/>
    <m/>
    <m/>
    <m/>
    <s v="S11 MO"/>
    <s v="S7"/>
    <s v="S8"/>
    <n v="9"/>
    <m/>
    <m/>
    <m/>
    <m/>
    <m/>
    <m/>
    <m/>
    <m/>
    <m/>
    <n v="0"/>
    <n v="6"/>
    <n v="493"/>
    <m/>
    <m/>
    <m/>
  </r>
  <r>
    <s v="http://probaseballexperience.jcink.net/index.php?showtopic=2525"/>
    <s v="OBX"/>
    <s v="Rindiee"/>
    <s v="Kimetrius Webster - 2B"/>
    <s v="Kimetrius Webster"/>
    <x v="7"/>
    <s v="Power/Arm"/>
    <x v="60"/>
    <n v="5.75"/>
    <m/>
    <m/>
    <m/>
    <m/>
    <m/>
    <s v="S5"/>
    <s v="S5"/>
    <n v="20"/>
    <m/>
    <m/>
    <m/>
    <m/>
    <m/>
    <m/>
    <m/>
    <n v="6"/>
    <n v="3"/>
    <n v="3"/>
    <n v="5"/>
    <n v="647"/>
    <m/>
    <m/>
    <m/>
  </r>
  <r>
    <s v="http://probaseballexperience.jcink.net/index.php?showtopic=1934"/>
    <s v="SAS"/>
    <s v="Dweaves08"/>
    <s v="Matthew Auston - SP"/>
    <s v="Matthew Auston"/>
    <x v="3"/>
    <s v="Power"/>
    <x v="61"/>
    <n v="7.25"/>
    <m/>
    <m/>
    <m/>
    <m/>
    <m/>
    <s v="S3"/>
    <s v="S4"/>
    <n v="5"/>
    <m/>
    <m/>
    <m/>
    <m/>
    <m/>
    <n v="1"/>
    <n v="5"/>
    <n v="5"/>
    <n v="5"/>
    <n v="4"/>
    <n v="5"/>
    <n v="646"/>
    <n v="150"/>
    <n v="140"/>
    <n v="129"/>
  </r>
  <r>
    <s v="http://probaseballexperience.jcink.net/index.php?showtopic=3018"/>
    <s v="FL"/>
    <s v="Isaac"/>
    <s v="George McBash - 3B"/>
    <s v="George McBash"/>
    <x v="7"/>
    <s v="Power/Arm"/>
    <x v="62"/>
    <n v="6"/>
    <n v="6"/>
    <n v="7.5"/>
    <m/>
    <m/>
    <m/>
    <s v="S6"/>
    <s v="S6"/>
    <n v="8"/>
    <m/>
    <m/>
    <m/>
    <m/>
    <m/>
    <m/>
    <m/>
    <m/>
    <n v="3.5"/>
    <n v="3.5"/>
    <n v="3.5"/>
    <n v="508"/>
    <n v="10"/>
    <m/>
    <m/>
  </r>
  <r>
    <s v="http://probaseballexperience.jcink.net/index.php?showtopic=4057"/>
    <s v="SAS"/>
    <s v="Patdatass"/>
    <s v="Patrick Kelley - SS"/>
    <s v="Patrick Kelley"/>
    <x v="1"/>
    <s v="Balanced/Balanced"/>
    <x v="63"/>
    <n v="3"/>
    <n v="3"/>
    <m/>
    <m/>
    <m/>
    <s v="S11 MO"/>
    <s v="S8"/>
    <s v="S8"/>
    <n v="18"/>
    <m/>
    <m/>
    <m/>
    <m/>
    <m/>
    <m/>
    <m/>
    <m/>
    <m/>
    <m/>
    <n v="0"/>
    <n v="380"/>
    <m/>
    <m/>
    <m/>
  </r>
  <r>
    <s v="http://probaseballexperience.jcink.net/index.php?showtopic=4072"/>
    <s v="VAN"/>
    <s v="speculadora"/>
    <s v="Hunter Harrison - 3B"/>
    <s v="Hunter Harrison"/>
    <x v="8"/>
    <s v="Contact/Arm"/>
    <x v="64"/>
    <n v="6"/>
    <n v="7"/>
    <m/>
    <m/>
    <m/>
    <s v="S11 TO"/>
    <s v="S8"/>
    <s v="S8"/>
    <n v="8"/>
    <m/>
    <m/>
    <m/>
    <m/>
    <m/>
    <m/>
    <m/>
    <m/>
    <m/>
    <n v="0"/>
    <n v="5"/>
    <n v="396"/>
    <m/>
    <m/>
    <m/>
  </r>
  <r>
    <s v="http://probaseballexperience.jcink.net/index.php?showtopic=114"/>
    <s v="UTA"/>
    <s v="ADwyer87"/>
    <s v="Austin Dye - SS"/>
    <s v="Austin Dye"/>
    <x v="1"/>
    <s v="Balanced/Strong Arm"/>
    <x v="65"/>
    <n v="5"/>
    <m/>
    <m/>
    <m/>
    <m/>
    <m/>
    <s v="S1"/>
    <s v="S1"/>
    <s v="as GM"/>
    <m/>
    <m/>
    <m/>
    <m/>
    <m/>
    <n v="2"/>
    <m/>
    <n v="2"/>
    <n v="4"/>
    <n v="6"/>
    <n v="8"/>
    <n v="564"/>
    <m/>
    <m/>
    <n v="261"/>
  </r>
  <r>
    <s v="http://probaseballexperience.jcink.net/index.php?showtopic=3634"/>
    <s v="UTA"/>
    <s v="Muford"/>
    <s v="Mikhail Burgen - SP"/>
    <s v="Mikhail Burgen"/>
    <x v="3"/>
    <s v="Power"/>
    <x v="66"/>
    <n v="15"/>
    <m/>
    <m/>
    <m/>
    <m/>
    <s v="S10 TO"/>
    <s v="S7"/>
    <s v="S7"/>
    <n v="12"/>
    <m/>
    <m/>
    <m/>
    <m/>
    <m/>
    <m/>
    <m/>
    <m/>
    <m/>
    <s v="5 (0)"/>
    <n v="3"/>
    <n v="403"/>
    <n v="3"/>
    <m/>
    <m/>
  </r>
  <r>
    <s v="http://probaseballexperience.jcink.net/index.php?showtopic=3476"/>
    <s v="DVS"/>
    <s v="Blastmeaway"/>
    <s v="Amp Bogart - RF"/>
    <s v="Amp Bogart"/>
    <x v="8"/>
    <s v="Power/Arm"/>
    <x v="67"/>
    <n v="4.5"/>
    <m/>
    <m/>
    <m/>
    <m/>
    <s v="S10 MO"/>
    <s v="S7"/>
    <s v="S7"/>
    <n v="1"/>
    <m/>
    <m/>
    <m/>
    <m/>
    <m/>
    <m/>
    <m/>
    <m/>
    <s v="5 (0)"/>
    <n v="5"/>
    <n v="4"/>
    <n v="478"/>
    <m/>
    <m/>
    <m/>
  </r>
  <r>
    <s v="http://probaseballexperience.jcink.net/index.php?showtopic=4032"/>
    <s v="DVS"/>
    <s v="kentuckycolonel"/>
    <s v="Frederick Birdington - SP"/>
    <s v="Frederick Birdington"/>
    <x v="3"/>
    <s v="Balanced"/>
    <x v="68"/>
    <n v="4"/>
    <m/>
    <m/>
    <m/>
    <m/>
    <s v="S10 MO http://probaseballexperience.jcink.net/index.php?showtopic=4214"/>
    <s v="S8"/>
    <s v="S8"/>
    <n v="4"/>
    <m/>
    <m/>
    <m/>
    <m/>
    <m/>
    <m/>
    <m/>
    <m/>
    <m/>
    <n v="0"/>
    <n v="4"/>
    <n v="395"/>
    <m/>
    <m/>
    <m/>
  </r>
  <r>
    <s v="http://probaseballexperience.jcink.net/index.php?showtopic=3104"/>
    <s v="DVS"/>
    <s v="andybj"/>
    <s v="Catolo Kittone - C"/>
    <s v="Catolo Kittone"/>
    <x v="4"/>
    <s v="Contact/React"/>
    <x v="69"/>
    <n v="4.75"/>
    <n v="5"/>
    <m/>
    <m/>
    <m/>
    <m/>
    <s v="S6"/>
    <s v="S6"/>
    <n v="11"/>
    <s v="ASE"/>
    <n v="6"/>
    <n v="4"/>
    <m/>
    <m/>
    <m/>
    <m/>
    <n v="2"/>
    <n v="2"/>
    <n v="2"/>
    <n v="2"/>
    <n v="473"/>
    <m/>
    <m/>
    <m/>
  </r>
  <r>
    <s v="http://probaseballexperience.jcink.net/index.php?showtopic=2307"/>
    <s v="FL"/>
    <s v="Neb"/>
    <s v="Trent Boult - SP"/>
    <s v="Trent Boult"/>
    <x v="3"/>
    <s v="Power"/>
    <x v="70"/>
    <n v="4"/>
    <m/>
    <m/>
    <m/>
    <m/>
    <s v="http://probaseballexperience.jcink.net/index.php?showtopic=4939"/>
    <s v="S4"/>
    <s v="S4"/>
    <n v="13"/>
    <m/>
    <m/>
    <m/>
    <m/>
    <m/>
    <m/>
    <n v="3"/>
    <n v="3"/>
    <n v="3"/>
    <n v="2"/>
    <n v="5"/>
    <n v="454"/>
    <n v="4"/>
    <n v="100"/>
    <m/>
  </r>
  <r>
    <s v="http://probaseballexperience.jcink.net/index.php?showtopic=3539"/>
    <s v="VAN"/>
    <s v="J.G.10"/>
    <s v="Coreys Brother - SP"/>
    <s v="Coreys Brother"/>
    <x v="3"/>
    <s v="Power"/>
    <x v="71"/>
    <n v="3"/>
    <m/>
    <m/>
    <m/>
    <m/>
    <s v="S10 TO NTC"/>
    <s v="S7"/>
    <s v="S7"/>
    <n v="3"/>
    <m/>
    <m/>
    <m/>
    <m/>
    <m/>
    <m/>
    <m/>
    <m/>
    <s v="5 (0)"/>
    <n v="3"/>
    <n v="3"/>
    <n v="473"/>
    <m/>
    <m/>
    <m/>
  </r>
  <r>
    <s v="http://probaseballexperience.jcink.net/index.php?showtopic=3980"/>
    <s v="VAN"/>
    <s v="McWolf"/>
    <s v="Isidore Fox - CF"/>
    <s v="Isidore Fox"/>
    <x v="0"/>
    <s v="Contact/Speedy"/>
    <x v="72"/>
    <n v="3"/>
    <m/>
    <m/>
    <m/>
    <m/>
    <s v="S10 MO http://probaseballexperience.jcink.net/index.php?showtopic=4215"/>
    <s v="S8"/>
    <s v="S8"/>
    <n v="10"/>
    <m/>
    <m/>
    <m/>
    <m/>
    <m/>
    <m/>
    <m/>
    <m/>
    <m/>
    <n v="0"/>
    <n v="3"/>
    <n v="374"/>
    <m/>
    <m/>
    <m/>
  </r>
  <r>
    <s v="http://probaseballexperience.jcink.net/index.php?showtopic=115"/>
    <s v="VAN"/>
    <s v="DrunkenTeddy"/>
    <s v="Robert Phelps - LF"/>
    <s v="Robert Phelps"/>
    <x v="6"/>
    <s v="Contact/Balanced"/>
    <x v="73"/>
    <n v="5.75"/>
    <m/>
    <m/>
    <m/>
    <m/>
    <m/>
    <s v="S1"/>
    <s v="S1"/>
    <n v="7"/>
    <m/>
    <m/>
    <m/>
    <m/>
    <m/>
    <n v="4.5"/>
    <n v="4"/>
    <n v="5"/>
    <n v="5.75"/>
    <n v="7.25"/>
    <n v="5.75"/>
    <n v="611"/>
    <n v="5.75"/>
    <n v="456"/>
    <n v="444"/>
  </r>
  <r>
    <s v="http://probaseballexperience.jcink.net/index.php?showtopic=3967"/>
    <s v="NYV"/>
    <s v="Yurt6"/>
    <s v="Ulysses Rove - SS"/>
    <s v="Ulysses Rove"/>
    <x v="1"/>
    <s v="Power/Speedy"/>
    <x v="74"/>
    <n v="3"/>
    <n v="3"/>
    <m/>
    <m/>
    <m/>
    <s v="S11 TO"/>
    <s v="S8"/>
    <s v="S8"/>
    <n v="5"/>
    <m/>
    <m/>
    <m/>
    <m/>
    <m/>
    <m/>
    <m/>
    <m/>
    <m/>
    <m/>
    <n v="0"/>
    <n v="355"/>
    <m/>
    <m/>
    <m/>
  </r>
  <r>
    <s v="http://probaseballexperience.jcink.net/index.php?showtopic=188"/>
    <s v="VAN"/>
    <s v="StevenO'Sullivan"/>
    <s v="Steven O'Sullivan - CF"/>
    <s v="Steven O'Sullivan"/>
    <x v="4"/>
    <s v="Speed/Speed"/>
    <x v="75"/>
    <n v="6.5"/>
    <m/>
    <m/>
    <m/>
    <m/>
    <m/>
    <s v="S1"/>
    <s v="S1"/>
    <n v="35"/>
    <m/>
    <m/>
    <m/>
    <m/>
    <m/>
    <n v="3"/>
    <n v="3"/>
    <n v="4"/>
    <n v="5.75"/>
    <n v="5"/>
    <n v="5"/>
    <n v="598"/>
    <n v="5"/>
    <n v="342"/>
    <n v="292"/>
  </r>
  <r>
    <s v="http://probaseballexperience.jcink.net/index.php?showtopic=3576"/>
    <s v="FL"/>
    <s v="klitmania"/>
    <s v="Alexander Blitz - SS"/>
    <s v="Alexander Blitz"/>
    <x v="2"/>
    <s v="Contact/Balanced"/>
    <x v="76"/>
    <n v="4"/>
    <m/>
    <m/>
    <m/>
    <m/>
    <s v="S10 TO"/>
    <s v="S7"/>
    <s v="S7"/>
    <n v="30"/>
    <m/>
    <m/>
    <m/>
    <m/>
    <m/>
    <m/>
    <m/>
    <m/>
    <m/>
    <s v="5 (0)"/>
    <n v="4"/>
    <n v="375"/>
    <n v="3"/>
    <m/>
    <m/>
  </r>
  <r>
    <m/>
    <s v="FL"/>
    <s v="John DeMars"/>
    <s v="John DeMars - RF"/>
    <s v="John DeMars"/>
    <x v="5"/>
    <s v="Balanced/Speedy"/>
    <x v="77"/>
    <n v="6"/>
    <n v="6"/>
    <m/>
    <m/>
    <m/>
    <s v="http://probaseballexperience.jcink.net/index.php?showtopic=4745&amp;hl=kramer"/>
    <s v="S8"/>
    <m/>
    <m/>
    <m/>
    <m/>
    <m/>
    <m/>
    <m/>
    <m/>
    <m/>
    <m/>
    <m/>
    <m/>
    <n v="3"/>
    <n v="323"/>
    <m/>
    <m/>
    <m/>
  </r>
  <r>
    <s v="http://probaseballexperience.jcink.net/index.php?showtopic=2575"/>
    <s v="UTA"/>
    <s v="Carbine"/>
    <s v="Mac Kaarbine - SP"/>
    <s v="Mac Kaarbine"/>
    <x v="9"/>
    <s v="Finesse"/>
    <x v="78"/>
    <n v="5"/>
    <n v="5"/>
    <m/>
    <m/>
    <m/>
    <s v="S11 PO"/>
    <s v="S5"/>
    <s v="S5"/>
    <n v="15"/>
    <m/>
    <m/>
    <m/>
    <m/>
    <m/>
    <m/>
    <n v="4"/>
    <n v="3"/>
    <n v="3"/>
    <n v="5"/>
    <n v="5"/>
    <n v="471"/>
    <m/>
    <m/>
    <m/>
  </r>
  <r>
    <s v="http://probaseballexperience.jcink.net/index.php?showtopic=2601"/>
    <s v="PRO"/>
    <s v="Nathan_Hall"/>
    <s v="AJ Robertson - 3B"/>
    <s v="AJ Robertson"/>
    <x v="8"/>
    <s v="Balanced/Arm"/>
    <x v="79"/>
    <n v="7.25"/>
    <m/>
    <m/>
    <m/>
    <m/>
    <m/>
    <s v="S5"/>
    <s v="S5"/>
    <n v="17"/>
    <m/>
    <m/>
    <m/>
    <m/>
    <m/>
    <m/>
    <m/>
    <n v="1.66"/>
    <n v="3.5"/>
    <n v="3"/>
    <n v="5"/>
    <n v="462"/>
    <n v="4"/>
    <m/>
    <m/>
  </r>
  <r>
    <s v="http://probaseballexperience.jcink.net/index.php?showtopic=3619"/>
    <s v="UTA"/>
    <s v="ml002"/>
    <s v="Micheal Lang - SP"/>
    <s v="Micheal Lang"/>
    <x v="3"/>
    <s v="Balanced"/>
    <x v="80"/>
    <n v="4"/>
    <m/>
    <m/>
    <m/>
    <m/>
    <s v="S10 TO"/>
    <s v="S7"/>
    <s v="S7"/>
    <n v="5"/>
    <m/>
    <m/>
    <m/>
    <m/>
    <m/>
    <m/>
    <m/>
    <m/>
    <m/>
    <s v="5 (0)"/>
    <n v="4"/>
    <n v="364"/>
    <n v="4"/>
    <m/>
    <m/>
  </r>
  <r>
    <s v="http://probaseballexperience.jcink.net/index.php?showtopic=2989"/>
    <s v="PRO"/>
    <s v="Dawegg"/>
    <s v="Lucas North - SP"/>
    <s v="Lucas North"/>
    <x v="3"/>
    <s v="Finesse"/>
    <x v="81"/>
    <n v="4"/>
    <m/>
    <m/>
    <m/>
    <m/>
    <m/>
    <s v="S6"/>
    <s v="S6"/>
    <n v="4"/>
    <m/>
    <m/>
    <m/>
    <m/>
    <m/>
    <m/>
    <m/>
    <m/>
    <n v="4"/>
    <n v="6"/>
    <n v="3"/>
    <n v="434"/>
    <n v="4"/>
    <m/>
    <m/>
  </r>
  <r>
    <s v="http://probaseballexperience.jcink.net/index.php?showtopic=2674"/>
    <s v="FL"/>
    <s v="JSS"/>
    <s v="Zack Malatesta - CF"/>
    <s v="Zack Malatesta"/>
    <x v="0"/>
    <s v="Speed/Balanced"/>
    <x v="82"/>
    <n v="4"/>
    <m/>
    <m/>
    <m/>
    <m/>
    <s v="http://probaseballexperience.jcink.net/index.php?showtopic=4884"/>
    <s v="S5"/>
    <s v="S5"/>
    <n v="19"/>
    <s v="ASE"/>
    <n v="6"/>
    <n v="1"/>
    <m/>
    <m/>
    <m/>
    <m/>
    <n v="1.25"/>
    <n v="1.25"/>
    <n v="1.25"/>
    <n v="4"/>
    <n v="431"/>
    <n v="3"/>
    <m/>
    <m/>
  </r>
  <r>
    <m/>
    <s v="UTA"/>
    <s v="OBESE"/>
    <s v="Brett Smoky - CL"/>
    <s v="Brett Smoky"/>
    <x v="9"/>
    <s v="Finesse"/>
    <x v="83"/>
    <n v="4"/>
    <m/>
    <m/>
    <m/>
    <m/>
    <m/>
    <s v="S6"/>
    <s v="S6"/>
    <n v="13"/>
    <m/>
    <m/>
    <m/>
    <m/>
    <m/>
    <m/>
    <m/>
    <m/>
    <m/>
    <m/>
    <n v="1"/>
    <n v="430"/>
    <m/>
    <m/>
    <m/>
  </r>
  <r>
    <s v="http://probaseballexperience.jcink.net/index.php?showtopic=2337"/>
    <s v="VAN"/>
    <s v="run_CMC"/>
    <s v="Orlando Jackson - LF"/>
    <s v="Orlando Jackson"/>
    <x v="6"/>
    <s v="Balanced/Balanced "/>
    <x v="84"/>
    <n v="6.5"/>
    <n v="7.25"/>
    <m/>
    <m/>
    <m/>
    <s v="S11 TO"/>
    <s v="S4"/>
    <s v="S5"/>
    <n v="18"/>
    <m/>
    <m/>
    <m/>
    <m/>
    <m/>
    <n v="2"/>
    <n v="1.5"/>
    <n v="1.5"/>
    <n v="1.5"/>
    <n v="4"/>
    <n v="5"/>
    <n v="422"/>
    <n v="100"/>
    <n v="100"/>
    <m/>
  </r>
  <r>
    <s v="http://probaseballexperience.jcink.net/index.php?showtopic=141"/>
    <s v="NYV"/>
    <s v="TheMemeMaestro"/>
    <s v="Lazaro Hernandez - 1B"/>
    <s v="Lazaro Hernandez"/>
    <x v="7"/>
    <s v="Power/Quick"/>
    <x v="85"/>
    <n v="4"/>
    <m/>
    <m/>
    <m/>
    <m/>
    <m/>
    <s v="S1"/>
    <s v="S1"/>
    <n v="63"/>
    <m/>
    <m/>
    <m/>
    <m/>
    <n v="0.5"/>
    <n v="2"/>
    <n v="3"/>
    <n v="5"/>
    <n v="5.75"/>
    <n v="7.25"/>
    <n v="8"/>
    <n v="477"/>
    <n v="269"/>
    <n v="247"/>
    <n v="149"/>
  </r>
  <r>
    <s v="http://probaseballexperience.jcink.net/index.php?showtopic=3430&amp;view=findpost&amp;p=37310"/>
    <s v="PRO"/>
    <s v="luketd"/>
    <s v="Pete Peters - SP"/>
    <s v="Pete Peters"/>
    <x v="3"/>
    <s v="Finesse"/>
    <x v="86"/>
    <n v="3"/>
    <m/>
    <m/>
    <m/>
    <m/>
    <s v="S10 MO"/>
    <s v="S6"/>
    <s v="S7"/>
    <n v="4"/>
    <m/>
    <m/>
    <m/>
    <m/>
    <m/>
    <m/>
    <m/>
    <m/>
    <n v="0.9"/>
    <n v="3"/>
    <n v="3"/>
    <n v="360"/>
    <m/>
    <m/>
    <m/>
  </r>
  <r>
    <s v="http://probaseballexperience.jcink.net/index.php?showtopic=3153"/>
    <s v="UTA"/>
    <s v="Ace"/>
    <s v="Ace Faulkner - SP"/>
    <s v="Ace Faulkner"/>
    <x v="3"/>
    <s v="Balanced"/>
    <x v="87"/>
    <n v="8"/>
    <m/>
    <m/>
    <m/>
    <m/>
    <m/>
    <s v="S6"/>
    <s v="S6"/>
    <n v="6"/>
    <m/>
    <m/>
    <m/>
    <m/>
    <m/>
    <m/>
    <m/>
    <m/>
    <n v="3"/>
    <n v="3"/>
    <n v="3"/>
    <n v="353"/>
    <n v="3"/>
    <m/>
    <m/>
  </r>
  <r>
    <s v="http://probaseballexperience.jcink.net/index.php?showtopic=3979"/>
    <s v="SAS"/>
    <s v="YeliBoy"/>
    <s v="Yeliboy Uecker - RF"/>
    <s v="Yeliboy Uecker"/>
    <x v="0"/>
    <s v="Power/Arm"/>
    <x v="88"/>
    <n v="5"/>
    <n v="5"/>
    <m/>
    <m/>
    <m/>
    <s v="S11 TO"/>
    <s v="S8"/>
    <s v="S8"/>
    <n v="3"/>
    <m/>
    <m/>
    <m/>
    <m/>
    <m/>
    <m/>
    <m/>
    <m/>
    <m/>
    <m/>
    <n v="0"/>
    <n v="293"/>
    <m/>
    <m/>
    <m/>
  </r>
  <r>
    <m/>
    <s v="UTA"/>
    <s v="Jiggly_333"/>
    <s v="Dorothy Morimura - RF"/>
    <s v="Dorothy Morimura"/>
    <x v="5"/>
    <s v="Contact/Arm"/>
    <x v="89"/>
    <n v="2"/>
    <n v="2.5"/>
    <n v="3"/>
    <m/>
    <m/>
    <s v="S12 TO"/>
    <s v="S9"/>
    <s v="S9"/>
    <n v="25"/>
    <m/>
    <m/>
    <m/>
    <m/>
    <m/>
    <m/>
    <m/>
    <m/>
    <m/>
    <m/>
    <s v="0 (5)"/>
    <n v="222"/>
    <m/>
    <m/>
    <m/>
  </r>
  <r>
    <m/>
    <s v="DVS"/>
    <s v="PersonMann"/>
    <s v="Firstname Lastname - C"/>
    <s v="Firstname Lastname"/>
    <x v="4"/>
    <s v="Power/Arm"/>
    <x v="90"/>
    <n v="4.5"/>
    <n v="5"/>
    <m/>
    <m/>
    <m/>
    <s v="S11 TO"/>
    <s v="S9"/>
    <s v="S9"/>
    <n v="8"/>
    <m/>
    <m/>
    <m/>
    <m/>
    <m/>
    <m/>
    <m/>
    <m/>
    <m/>
    <m/>
    <s v="0(5)"/>
    <n v="199"/>
    <m/>
    <m/>
    <m/>
  </r>
  <r>
    <s v="http://probaseballexperience.jcink.net/index.php?showtopic=1441"/>
    <s v="FA"/>
    <s v="KeeksMarone"/>
    <s v="Keeks Marone - CF"/>
    <s v="Keeks Marone"/>
    <x v="6"/>
    <s v="Contact/Speed"/>
    <x v="90"/>
    <m/>
    <m/>
    <m/>
    <m/>
    <m/>
    <m/>
    <s v="S2"/>
    <s v="S3"/>
    <n v="23"/>
    <m/>
    <m/>
    <m/>
    <m/>
    <n v="7"/>
    <n v="1"/>
    <n v="1"/>
    <n v="3"/>
    <n v="5"/>
    <n v="5.75"/>
    <n v="3"/>
    <n v="394"/>
    <m/>
    <n v="215"/>
    <n v="199"/>
  </r>
  <r>
    <s v="http://probaseballexperience.jcink.net/index.php?showtopic=2605"/>
    <s v="NYV"/>
    <s v="Doctor Topher"/>
    <s v="Chris Bennett - CL"/>
    <s v="Chris Bennett"/>
    <x v="3"/>
    <s v="Finesse"/>
    <x v="91"/>
    <n v="3"/>
    <m/>
    <m/>
    <m/>
    <m/>
    <m/>
    <s v="S5"/>
    <s v="S5"/>
    <n v="2"/>
    <m/>
    <m/>
    <m/>
    <m/>
    <m/>
    <m/>
    <n v="4"/>
    <n v="5"/>
    <n v="5"/>
    <n v="4"/>
    <m/>
    <n v="390"/>
    <m/>
    <m/>
    <m/>
  </r>
  <r>
    <m/>
    <s v="UTA"/>
    <s v="KC Philip"/>
    <s v="Seth Crossland - CF"/>
    <s v="Seth Crossland"/>
    <x v="0"/>
    <s v="Speed/Speedy"/>
    <x v="92"/>
    <n v="5"/>
    <n v="5"/>
    <n v="5"/>
    <m/>
    <m/>
    <s v="S12 TO"/>
    <s v="S9"/>
    <s v="S9"/>
    <n v="4"/>
    <m/>
    <m/>
    <m/>
    <m/>
    <m/>
    <m/>
    <m/>
    <m/>
    <m/>
    <m/>
    <s v="0(5)"/>
    <n v="168"/>
    <m/>
    <m/>
    <m/>
  </r>
  <r>
    <m/>
    <s v="FL"/>
    <s v="SJMcWalless06"/>
    <s v="Hayley MaConnell - SP"/>
    <s v="Hayley MaConnell"/>
    <x v="3"/>
    <s v="Knuckleball"/>
    <x v="92"/>
    <n v="5"/>
    <n v="5"/>
    <n v="5"/>
    <m/>
    <m/>
    <s v="http://probaseballexperience.jcink.net/index.php?showtopic=4745&amp;hl=kramer"/>
    <s v="S9"/>
    <s v="S9"/>
    <n v="38"/>
    <m/>
    <m/>
    <m/>
    <m/>
    <m/>
    <m/>
    <m/>
    <m/>
    <m/>
    <m/>
    <s v="0(5)"/>
    <n v="174"/>
    <m/>
    <m/>
    <m/>
  </r>
  <r>
    <s v="http://probaseballexperience.jcink.net/index.php?showtopic=3736"/>
    <s v="NYV"/>
    <s v="Banackock"/>
    <s v="Tristan Cameron - LF"/>
    <s v="Tristan Cameron"/>
    <x v="6"/>
    <s v="Power/Balanced"/>
    <x v="92"/>
    <n v="2.5"/>
    <n v="2.5"/>
    <m/>
    <m/>
    <m/>
    <s v="S11 TO"/>
    <s v="S7"/>
    <s v="S8"/>
    <n v="15"/>
    <m/>
    <m/>
    <m/>
    <m/>
    <m/>
    <m/>
    <m/>
    <m/>
    <m/>
    <m/>
    <n v="0"/>
    <n v="271"/>
    <m/>
    <m/>
    <m/>
  </r>
  <r>
    <m/>
    <s v="FL"/>
    <s v="JAJabs"/>
    <s v="J.A. Jabs - SP"/>
    <s v="J.A. Jabs"/>
    <x v="3"/>
    <s v="Balanced"/>
    <x v="93"/>
    <n v="6"/>
    <n v="4"/>
    <m/>
    <m/>
    <m/>
    <s v="http://probaseballexperience.jcink.net/index.php?showtopic=4745&amp;hl=kramer"/>
    <s v="S9"/>
    <s v="S9"/>
    <n v="3"/>
    <m/>
    <m/>
    <m/>
    <m/>
    <m/>
    <m/>
    <m/>
    <m/>
    <m/>
    <m/>
    <n v="0.499"/>
    <n v="196"/>
    <m/>
    <m/>
    <m/>
  </r>
  <r>
    <m/>
    <s v="UTA"/>
    <s v="Jdre17"/>
    <s v="JD Jacks - SS"/>
    <s v="JD Jacks"/>
    <x v="1"/>
    <s v="Balanced/Balanced"/>
    <x v="94"/>
    <n v="2"/>
    <n v="3"/>
    <m/>
    <m/>
    <m/>
    <s v="S11 TO"/>
    <s v="S9"/>
    <s v="S9"/>
    <n v="42"/>
    <m/>
    <m/>
    <m/>
    <m/>
    <m/>
    <m/>
    <m/>
    <m/>
    <m/>
    <m/>
    <s v="0(5)"/>
    <n v="159"/>
    <m/>
    <m/>
    <m/>
  </r>
  <r>
    <s v="http://probaseballexperience.jcink.net/index.php?showtopic=2984"/>
    <s v="DVS"/>
    <s v="Muf BeatsBy Crit Feinstein"/>
    <s v="Damien Walec - SP"/>
    <s v="Damien Walec"/>
    <x v="3"/>
    <s v="Balanced"/>
    <x v="95"/>
    <n v="3"/>
    <m/>
    <m/>
    <m/>
    <m/>
    <m/>
    <s v="S6"/>
    <s v="S6"/>
    <n v="5"/>
    <m/>
    <m/>
    <m/>
    <m/>
    <m/>
    <m/>
    <m/>
    <n v="6.5"/>
    <n v="2.5"/>
    <n v="2"/>
    <n v="2"/>
    <n v="364"/>
    <m/>
    <m/>
    <m/>
  </r>
  <r>
    <m/>
    <s v="FL"/>
    <s v="PaytonM34"/>
    <s v="Chanandler Bong - 1B"/>
    <s v="Chanandler Bong"/>
    <x v="7"/>
    <s v="Power/DH"/>
    <x v="96"/>
    <n v="5"/>
    <n v="5"/>
    <n v="5"/>
    <m/>
    <m/>
    <s v="http://probaseballexperience.jcink.net/index.php?showtopic=4745&amp;hl=kramer"/>
    <s v="S9"/>
    <s v="S9"/>
    <n v="19"/>
    <m/>
    <m/>
    <m/>
    <m/>
    <m/>
    <m/>
    <m/>
    <m/>
    <m/>
    <m/>
    <s v="0(5)"/>
    <n v="174"/>
    <m/>
    <m/>
    <m/>
  </r>
  <r>
    <s v="http://probaseballexperience.jcink.net/index.php?showtopic=2930"/>
    <s v="NYV"/>
    <s v="Grapehead"/>
    <s v="Adam Squiggly - CL"/>
    <s v="Adam Squiggly"/>
    <x v="9"/>
    <s v="Finnese"/>
    <x v="97"/>
    <n v="4.25"/>
    <n v="4.25"/>
    <n v="4.25"/>
    <m/>
    <m/>
    <m/>
    <s v="S6"/>
    <s v="S6"/>
    <n v="3"/>
    <m/>
    <m/>
    <m/>
    <m/>
    <m/>
    <m/>
    <m/>
    <m/>
    <n v="3"/>
    <n v="4"/>
    <n v="5"/>
    <n v="336"/>
    <m/>
    <m/>
    <m/>
  </r>
  <r>
    <m/>
    <s v="UTA"/>
    <s v="jsteele14"/>
    <s v="Josh Steele - 2B"/>
    <s v="Josh Steele"/>
    <x v="2"/>
    <s v="Contact/Balanced"/>
    <x v="98"/>
    <n v="3"/>
    <n v="3.5"/>
    <n v="4"/>
    <m/>
    <m/>
    <s v="S12 TO"/>
    <s v="S9"/>
    <s v="S9"/>
    <n v="18"/>
    <m/>
    <m/>
    <m/>
    <m/>
    <m/>
    <m/>
    <m/>
    <m/>
    <m/>
    <m/>
    <s v="0(5)"/>
    <n v="154"/>
    <m/>
    <m/>
    <m/>
  </r>
  <r>
    <m/>
    <s v="PRO"/>
    <s v="thedangazone"/>
    <s v="Fenway Turner - RF"/>
    <s v="Fenway Turner"/>
    <x v="5"/>
    <s v="Power/Speedy"/>
    <x v="99"/>
    <n v="2"/>
    <n v="2"/>
    <n v="2"/>
    <m/>
    <m/>
    <s v="S12 MO"/>
    <s v="S9"/>
    <s v="S9"/>
    <n v="13"/>
    <m/>
    <m/>
    <m/>
    <m/>
    <m/>
    <m/>
    <m/>
    <m/>
    <m/>
    <m/>
    <s v="0(5)"/>
    <n v="202"/>
    <m/>
    <m/>
    <m/>
  </r>
  <r>
    <m/>
    <s v="PRO"/>
    <s v="soryantyler"/>
    <s v="Jahseh Tentacion - LF"/>
    <s v="Jahseh Tentacion"/>
    <x v="6"/>
    <s v="Power/Arm"/>
    <x v="100"/>
    <n v="1"/>
    <n v="1"/>
    <n v="1"/>
    <m/>
    <m/>
    <s v="S12 MO"/>
    <s v="S9"/>
    <s v="S9"/>
    <n v="36"/>
    <m/>
    <m/>
    <m/>
    <m/>
    <m/>
    <m/>
    <m/>
    <m/>
    <m/>
    <m/>
    <s v="0(5)"/>
    <n v="142"/>
    <m/>
    <m/>
    <m/>
  </r>
  <r>
    <m/>
    <s v="VAN"/>
    <s v="maxcrazy"/>
    <s v="Kyle Bellinger - 2B"/>
    <s v="Kyle Bellinger"/>
    <x v="2"/>
    <s v="Power/Speedy"/>
    <x v="101"/>
    <n v="3"/>
    <n v="3"/>
    <n v="3"/>
    <m/>
    <m/>
    <s v="S12 TO"/>
    <s v="S9"/>
    <s v="S9"/>
    <n v="5"/>
    <m/>
    <m/>
    <m/>
    <m/>
    <m/>
    <m/>
    <m/>
    <m/>
    <m/>
    <m/>
    <s v="0(5)"/>
    <n v="195"/>
    <m/>
    <m/>
    <m/>
  </r>
  <r>
    <s v="http://probaseballexperience.jcink.net/index.php?showtopic=3581"/>
    <s v="FL"/>
    <s v="WALDO"/>
    <s v="Jeffery Murphy - 3B"/>
    <s v="Jeffery Murphy"/>
    <x v="8"/>
    <s v="Power/Arm"/>
    <x v="102"/>
    <n v="1.5"/>
    <m/>
    <m/>
    <m/>
    <m/>
    <s v="S10 TO"/>
    <s v="S7"/>
    <s v="S7"/>
    <n v="18"/>
    <m/>
    <m/>
    <m/>
    <m/>
    <m/>
    <m/>
    <m/>
    <m/>
    <s v="5 (0)"/>
    <n v="1.5"/>
    <n v="1.5"/>
    <n v="178"/>
    <m/>
    <m/>
    <m/>
  </r>
  <r>
    <s v="http://probaseballexperience.jcink.net/index.php?showtopic=192"/>
    <s v="OBX"/>
    <s v="Zodak Pink"/>
    <s v="Bobby Shmurda - SS"/>
    <s v="Bobby Shmurda"/>
    <x v="1"/>
    <s v="Balanced/Balanced "/>
    <x v="102"/>
    <n v="3"/>
    <m/>
    <m/>
    <m/>
    <m/>
    <m/>
    <s v="S1"/>
    <s v="S1"/>
    <n v="19"/>
    <m/>
    <m/>
    <m/>
    <m/>
    <m/>
    <n v="3"/>
    <n v="3"/>
    <n v="3"/>
    <n v="3"/>
    <n v="3"/>
    <n v="3"/>
    <n v="384"/>
    <n v="384"/>
    <n v="384"/>
    <n v="384"/>
  </r>
  <r>
    <s v="http://probaseballexperience.jcink.net/index.php?showtopic=1740"/>
    <s v="OBX"/>
    <s v="ATRDCI"/>
    <s v="Alvin Enax - CP"/>
    <s v="Alvin Enax"/>
    <x v="9"/>
    <s v="Balanced"/>
    <x v="103"/>
    <n v="3"/>
    <m/>
    <m/>
    <m/>
    <m/>
    <m/>
    <s v="S3"/>
    <s v="S3"/>
    <n v="12"/>
    <m/>
    <m/>
    <m/>
    <m/>
    <m/>
    <n v="8"/>
    <n v="2.5"/>
    <n v="2.5"/>
    <n v="3"/>
    <n v="3"/>
    <n v="4"/>
    <n v="336"/>
    <n v="208"/>
    <n v="180"/>
    <n v="180"/>
  </r>
  <r>
    <s v="http://probaseballexperience.jcink.net/index.php?showtopic=1058"/>
    <s v="UTA"/>
    <s v="ProfessorHotBot"/>
    <s v="George Delrod - 3B"/>
    <s v="George Delrod"/>
    <x v="8"/>
    <s v="Balanced/Quick"/>
    <x v="104"/>
    <n v="3"/>
    <m/>
    <m/>
    <m/>
    <m/>
    <m/>
    <s v="S2"/>
    <s v="S2"/>
    <n v="24"/>
    <m/>
    <m/>
    <m/>
    <m/>
    <m/>
    <n v="4"/>
    <n v="6"/>
    <n v="3"/>
    <n v="3"/>
    <n v="3"/>
    <n v="3"/>
    <n v="327"/>
    <m/>
    <n v="319"/>
    <n v="305"/>
  </r>
  <r>
    <m/>
    <s v="VAN"/>
    <s v="dieselj123"/>
    <s v="Peter Dawson - SP"/>
    <s v="Peter Dawson"/>
    <x v="3"/>
    <s v="Balanced"/>
    <x v="105"/>
    <n v="3"/>
    <n v="3"/>
    <m/>
    <m/>
    <m/>
    <s v="S11 TO"/>
    <s v="S9"/>
    <s v="S9"/>
    <n v="6"/>
    <m/>
    <m/>
    <m/>
    <m/>
    <m/>
    <m/>
    <m/>
    <m/>
    <m/>
    <m/>
    <s v="0(5)"/>
    <n v="164"/>
    <m/>
    <m/>
    <m/>
  </r>
  <r>
    <m/>
    <s v="VAN"/>
    <s v="Wkdfire53"/>
    <s v="Hendrix Lamar - C"/>
    <s v="Hendrix Lamar"/>
    <x v="4"/>
    <s v="Contact/Arm"/>
    <x v="106"/>
    <n v="2"/>
    <n v="2"/>
    <n v="2"/>
    <m/>
    <m/>
    <s v="S12 TO"/>
    <s v="S9"/>
    <s v="S9"/>
    <n v="27"/>
    <m/>
    <m/>
    <m/>
    <m/>
    <m/>
    <m/>
    <m/>
    <m/>
    <m/>
    <m/>
    <s v="0(5)"/>
    <n v="148"/>
    <m/>
    <m/>
    <m/>
  </r>
  <r>
    <s v="http://probaseballexperience.jcink.net/index.php?showtopic=3286"/>
    <s v="VAN"/>
    <s v="DonnoMania"/>
    <s v="Toledo  Jones - 1B"/>
    <s v="Toledo Jones"/>
    <x v="7"/>
    <s v="Power/Arm"/>
    <x v="107"/>
    <n v="3"/>
    <m/>
    <m/>
    <m/>
    <m/>
    <s v="S10 TO"/>
    <s v="S6"/>
    <s v="S7"/>
    <n v="6"/>
    <m/>
    <m/>
    <m/>
    <m/>
    <m/>
    <m/>
    <m/>
    <m/>
    <s v="5 (0)"/>
    <n v="3"/>
    <n v="3"/>
    <n v="253"/>
    <m/>
    <m/>
    <m/>
  </r>
  <r>
    <s v="http://probaseballexperience.jcink.net/index.php?showtopic=2450"/>
    <s v="UTA"/>
    <s v="OneAndOnly"/>
    <s v="Takumi Fujiwara - 2B"/>
    <s v="Takumi Fujiwara"/>
    <x v="2"/>
    <s v="Power/Quick"/>
    <x v="108"/>
    <n v="2"/>
    <m/>
    <m/>
    <m/>
    <m/>
    <m/>
    <s v="S4"/>
    <s v="S5"/>
    <n v="27"/>
    <m/>
    <m/>
    <m/>
    <m/>
    <m/>
    <n v="2.5"/>
    <n v="1"/>
    <n v="1"/>
    <n v="1"/>
    <n v="2"/>
    <n v="2"/>
    <n v="315"/>
    <m/>
    <m/>
    <m/>
  </r>
  <r>
    <s v="http://probaseballexperience.jcink.net/index.php?showtopic=918"/>
    <s v="FA"/>
    <s v="BlcknGld18"/>
    <s v="Phil Macioce - 2B"/>
    <s v="Phil Macioce"/>
    <x v="2"/>
    <s v="Balanced/Quick"/>
    <x v="109"/>
    <m/>
    <m/>
    <m/>
    <m/>
    <m/>
    <m/>
    <s v="S1"/>
    <s v="S2"/>
    <n v="36"/>
    <m/>
    <m/>
    <m/>
    <m/>
    <n v="3"/>
    <n v="3"/>
    <m/>
    <n v="3"/>
    <n v="3"/>
    <n v="3"/>
    <n v="310"/>
    <n v="314"/>
    <m/>
    <n v="303"/>
    <n v="290"/>
  </r>
  <r>
    <s v="http://probaseballexperience.jcink.net/index.php?showtopic=3567"/>
    <s v="PRO"/>
    <s v="Gumland"/>
    <s v="Dexter Paquette - LF"/>
    <s v="Dexter Paquette"/>
    <x v="6"/>
    <s v="Contact/Speed"/>
    <x v="110"/>
    <n v="2"/>
    <m/>
    <m/>
    <m/>
    <m/>
    <s v="S10 MO"/>
    <s v="S7"/>
    <s v="S7"/>
    <n v="16"/>
    <m/>
    <m/>
    <m/>
    <m/>
    <m/>
    <m/>
    <m/>
    <m/>
    <s v="5 (0)"/>
    <n v="2"/>
    <n v="2"/>
    <n v="273"/>
    <m/>
    <m/>
    <m/>
  </r>
  <r>
    <s v="http://probaseballexperience.jcink.net/index.php?showtopic=1532"/>
    <s v="SAS"/>
    <s v="Kristy95"/>
    <s v="Joffrey Baratheon - C"/>
    <s v="Joffrey Baratheon"/>
    <x v="4"/>
    <s v="Power/React"/>
    <x v="110"/>
    <n v="3"/>
    <m/>
    <m/>
    <m/>
    <m/>
    <m/>
    <s v="S2"/>
    <s v="S3"/>
    <n v="6"/>
    <m/>
    <m/>
    <m/>
    <m/>
    <m/>
    <n v="4"/>
    <n v="3"/>
    <n v="3"/>
    <n v="3"/>
    <n v="3"/>
    <n v="3"/>
    <n v="301"/>
    <n v="253"/>
    <n v="241"/>
    <n v="227"/>
  </r>
  <r>
    <m/>
    <s v="NYV"/>
    <s v="TopGunSheelay"/>
    <s v="TopGun Sheelay - C"/>
    <s v="TopGun Sheelay"/>
    <x v="4"/>
    <s v="Power/Arm"/>
    <x v="111"/>
    <n v="3"/>
    <n v="3"/>
    <m/>
    <m/>
    <m/>
    <s v="S11 MO"/>
    <s v="S9"/>
    <s v="S9"/>
    <n v="29"/>
    <m/>
    <m/>
    <m/>
    <m/>
    <m/>
    <m/>
    <m/>
    <m/>
    <m/>
    <m/>
    <m/>
    <n v="160"/>
    <m/>
    <m/>
    <m/>
  </r>
  <r>
    <m/>
    <s v="PRO"/>
    <s v="Philip Pryor"/>
    <s v="Richard Small - LF"/>
    <s v="Richard Small"/>
    <x v="6"/>
    <s v="Contact/Balanced"/>
    <x v="112"/>
    <n v="1.5"/>
    <n v="1.5"/>
    <n v="1.5"/>
    <m/>
    <m/>
    <s v="S12 MO"/>
    <s v="S9"/>
    <s v="S9"/>
    <n v="20"/>
    <m/>
    <m/>
    <m/>
    <m/>
    <m/>
    <m/>
    <m/>
    <m/>
    <m/>
    <m/>
    <s v="0(5)"/>
    <n v="142"/>
    <m/>
    <m/>
    <m/>
  </r>
  <r>
    <s v="http://probaseballexperience.jcink.net/index.php?showtopic=3627"/>
    <s v="UTA"/>
    <s v="GrilledTwinkiez"/>
    <s v="Brock Beck - SS"/>
    <s v="Brock Beck"/>
    <x v="1"/>
    <s v="Power/Quick"/>
    <x v="113"/>
    <n v="3"/>
    <m/>
    <m/>
    <m/>
    <m/>
    <s v="S10 TO"/>
    <s v="S7"/>
    <s v="S7"/>
    <n v="25"/>
    <m/>
    <m/>
    <m/>
    <m/>
    <m/>
    <m/>
    <m/>
    <m/>
    <m/>
    <s v="5 (0)"/>
    <n v="3"/>
    <n v="287"/>
    <n v="3"/>
    <m/>
    <m/>
  </r>
  <r>
    <m/>
    <s v="UTA"/>
    <s v="Shaquill"/>
    <s v="Artem Maximovich - C"/>
    <s v="Artem Maximovich"/>
    <x v="4"/>
    <s v="Power/DH"/>
    <x v="114"/>
    <s v="0(5)"/>
    <n v="2"/>
    <n v="2"/>
    <n v="2"/>
    <m/>
    <s v="http://probaseballexperience.jcink.net/index.php?showtopic=5307"/>
    <s v="S9"/>
    <s v="S10"/>
    <n v="20"/>
    <m/>
    <m/>
    <m/>
    <m/>
    <m/>
    <m/>
    <m/>
    <m/>
    <m/>
    <m/>
    <m/>
    <n v="173"/>
    <m/>
    <m/>
    <m/>
  </r>
  <r>
    <s v="http://probaseballexperience.jcink.net/index.php?showtopic=287"/>
    <s v="FA"/>
    <s v="Darnell"/>
    <s v="Darnell Turner-Pitcher"/>
    <s v="Darnell Turner-Pitcher"/>
    <x v="3"/>
    <s v="Power"/>
    <x v="115"/>
    <m/>
    <m/>
    <m/>
    <m/>
    <m/>
    <m/>
    <s v="S1"/>
    <s v="S1"/>
    <n v="70"/>
    <m/>
    <m/>
    <m/>
    <m/>
    <m/>
    <n v="3"/>
    <n v="4"/>
    <n v="3"/>
    <n v="3"/>
    <n v="3"/>
    <n v="3"/>
    <n v="280"/>
    <m/>
    <n v="226"/>
    <n v="226"/>
  </r>
  <r>
    <m/>
    <s v="VAN"/>
    <s v="uncleleo'skomrade"/>
    <s v="Leo Komarov - CL"/>
    <s v="Leo Komarov"/>
    <x v="9"/>
    <s v="MR/LR"/>
    <x v="116"/>
    <n v="2"/>
    <n v="2"/>
    <n v="2"/>
    <m/>
    <m/>
    <s v="S12 TO"/>
    <s v="S9"/>
    <s v="S9"/>
    <n v="16"/>
    <m/>
    <m/>
    <m/>
    <m/>
    <m/>
    <m/>
    <m/>
    <m/>
    <m/>
    <m/>
    <s v="0(5)"/>
    <n v="160"/>
    <m/>
    <m/>
    <m/>
  </r>
  <r>
    <m/>
    <s v="UTA"/>
    <s v="AlainJohns12"/>
    <s v="Alain Johns - CF"/>
    <s v="Alain Johns"/>
    <x v="0"/>
    <s v="Contact/Speedy"/>
    <x v="117"/>
    <s v="0(5)"/>
    <n v="6"/>
    <n v="6"/>
    <n v="6"/>
    <m/>
    <s v="http://probaseballexperience.jcink.net/index.php?showtopic=5303"/>
    <s v="S9"/>
    <s v="S10"/>
    <n v="3"/>
    <m/>
    <m/>
    <m/>
    <m/>
    <m/>
    <m/>
    <m/>
    <m/>
    <m/>
    <m/>
    <m/>
    <n v="199"/>
    <m/>
    <m/>
    <m/>
  </r>
  <r>
    <s v="http://probaseballexperience.jcink.net/index.php?showtopic=3773"/>
    <s v="NYV"/>
    <s v="PrettySimple"/>
    <s v="Joshua Linton - 2B"/>
    <s v="Joshua Linton"/>
    <x v="2"/>
    <s v="Balanced/Speedy"/>
    <x v="118"/>
    <n v="4"/>
    <n v="7"/>
    <m/>
    <m/>
    <m/>
    <s v="S11 MO"/>
    <s v="S7"/>
    <s v="S8"/>
    <n v="6"/>
    <m/>
    <m/>
    <m/>
    <m/>
    <m/>
    <m/>
    <m/>
    <m/>
    <m/>
    <m/>
    <n v="0"/>
    <n v="271"/>
    <m/>
    <m/>
    <m/>
  </r>
  <r>
    <m/>
    <s v="OBX"/>
    <s v="shoxwon"/>
    <s v="Mitch McIntyre - SP"/>
    <s v="Mitch McIntyre"/>
    <x v="3"/>
    <s v="Balanced"/>
    <x v="119"/>
    <s v="0(5)"/>
    <n v="3"/>
    <n v="3"/>
    <n v="3"/>
    <m/>
    <m/>
    <s v="S9"/>
    <s v="S10"/>
    <n v="5"/>
    <m/>
    <m/>
    <m/>
    <m/>
    <m/>
    <m/>
    <m/>
    <m/>
    <m/>
    <m/>
    <m/>
    <n v="176"/>
    <m/>
    <m/>
    <m/>
  </r>
  <r>
    <s v="http://probaseballexperience.jcink.net/index.php?showtopic=138"/>
    <s v="SAS"/>
    <s v="sapp2013"/>
    <s v="Felipe Fernandez - SP"/>
    <s v="Felipe Fernandez"/>
    <x v="3"/>
    <s v="Knuckleball"/>
    <x v="120"/>
    <n v="3"/>
    <m/>
    <m/>
    <m/>
    <m/>
    <m/>
    <s v="S1"/>
    <s v="S1"/>
    <n v="71"/>
    <m/>
    <m/>
    <m/>
    <m/>
    <m/>
    <n v="3"/>
    <n v="5"/>
    <n v="5"/>
    <n v="5"/>
    <n v="3"/>
    <n v="3"/>
    <n v="300"/>
    <n v="251"/>
    <n v="251"/>
    <n v="251"/>
  </r>
  <r>
    <m/>
    <s v="UTA"/>
    <s v="nunccoepi"/>
    <s v="Epictitus Milburn - SP"/>
    <s v="Epictitus Milburn"/>
    <x v="3"/>
    <s v="Power"/>
    <x v="121"/>
    <n v="1"/>
    <n v="1"/>
    <m/>
    <m/>
    <m/>
    <s v="S11 TO"/>
    <s v="S9"/>
    <s v="S9"/>
    <n v="22"/>
    <m/>
    <m/>
    <m/>
    <m/>
    <m/>
    <m/>
    <m/>
    <m/>
    <m/>
    <m/>
    <s v="0(5)"/>
    <n v="176"/>
    <m/>
    <m/>
    <m/>
  </r>
  <r>
    <s v="http://probaseballexperience.jcink.net/index.php?showtopic=3145"/>
    <s v="UTA"/>
    <s v="SlimJim8511"/>
    <s v="Jimmy Caliburn - CF"/>
    <s v="Jimmy Caliburn"/>
    <x v="6"/>
    <s v="Contact/Speed"/>
    <x v="121"/>
    <n v="2"/>
    <m/>
    <m/>
    <m/>
    <m/>
    <m/>
    <s v="S6"/>
    <s v="S6"/>
    <n v="18"/>
    <s v="SCS"/>
    <n v="6"/>
    <n v="11"/>
    <s v="Y"/>
    <m/>
    <m/>
    <m/>
    <m/>
    <n v="3"/>
    <n v="3"/>
    <n v="2"/>
    <n v="262"/>
    <n v="3"/>
    <m/>
    <m/>
  </r>
  <r>
    <s v="http://probaseballexperience.jcink.net/index.php?showtopic=268"/>
    <s v="UTA"/>
    <s v="kennyg.zus"/>
    <s v="Kenny Gzus - LF"/>
    <s v="Kenny Gzus"/>
    <x v="6"/>
    <s v="Contact/Arm"/>
    <x v="121"/>
    <n v="2"/>
    <m/>
    <m/>
    <m/>
    <m/>
    <m/>
    <s v="S1"/>
    <s v="S1"/>
    <n v="85"/>
    <m/>
    <m/>
    <m/>
    <m/>
    <m/>
    <n v="2"/>
    <n v="3"/>
    <n v="4"/>
    <n v="2"/>
    <m/>
    <n v="2"/>
    <n v="297"/>
    <m/>
    <n v="297"/>
    <n v="297"/>
  </r>
  <r>
    <m/>
    <s v="VAN"/>
    <s v="HubDogg"/>
    <s v="Dafydd Davies - SP"/>
    <s v="Dafydd Davies"/>
    <x v="3"/>
    <s v="Balanced"/>
    <x v="122"/>
    <n v="3"/>
    <n v="3"/>
    <n v="3"/>
    <m/>
    <m/>
    <s v="S12 TO"/>
    <s v="S9"/>
    <s v="S9"/>
    <n v="10"/>
    <m/>
    <m/>
    <m/>
    <m/>
    <m/>
    <m/>
    <m/>
    <m/>
    <m/>
    <m/>
    <s v="0(5)"/>
    <n v="147"/>
    <m/>
    <m/>
    <m/>
  </r>
  <r>
    <s v="http://probaseballexperience.jcink.net/index.php?showtopic=2781"/>
    <s v="OBX"/>
    <s v="Waters"/>
    <s v="Ben Waters - 2B"/>
    <s v="Ben Waters"/>
    <x v="2"/>
    <s v="Power/Quick"/>
    <x v="122"/>
    <n v="2"/>
    <m/>
    <m/>
    <m/>
    <m/>
    <s v="S9 MO"/>
    <s v="S5"/>
    <s v="S6"/>
    <n v="29"/>
    <m/>
    <n v="5"/>
    <s v="Waivers"/>
    <m/>
    <m/>
    <m/>
    <m/>
    <n v="1"/>
    <n v="1"/>
    <m/>
    <m/>
    <n v="260"/>
    <m/>
    <m/>
    <m/>
  </r>
  <r>
    <s v="http://probaseballexperience.jcink.net/index.php?showtopic=3781"/>
    <s v="OBX"/>
    <s v="FinesseDaGame"/>
    <s v="Alyssa Elliot - SP"/>
    <s v="Alyssa Elliot"/>
    <x v="3"/>
    <s v="Finesse "/>
    <x v="123"/>
    <n v="3"/>
    <n v="3"/>
    <m/>
    <m/>
    <m/>
    <s v="S11 TO"/>
    <s v="S8"/>
    <s v="S8"/>
    <n v="2"/>
    <m/>
    <m/>
    <m/>
    <m/>
    <m/>
    <m/>
    <m/>
    <m/>
    <m/>
    <m/>
    <n v="0"/>
    <n v="259"/>
    <m/>
    <m/>
    <m/>
  </r>
  <r>
    <s v="http://probaseballexperience.jcink.net/index.php?showtopic=4043"/>
    <s v="VAN"/>
    <s v="Vandelay"/>
    <s v="Lewis Robertson - 3B"/>
    <s v="Lewis Robertson"/>
    <x v="8"/>
    <s v="Balanced/Arm"/>
    <x v="124"/>
    <n v="2"/>
    <m/>
    <m/>
    <m/>
    <m/>
    <s v="S10 MO http://probaseballexperience.jcink.net/index.php?showtopic=4214"/>
    <s v="S8"/>
    <s v="S8"/>
    <n v="28"/>
    <m/>
    <m/>
    <m/>
    <m/>
    <m/>
    <m/>
    <m/>
    <m/>
    <m/>
    <n v="0"/>
    <n v="1"/>
    <n v="156"/>
    <m/>
    <m/>
    <m/>
  </r>
  <r>
    <m/>
    <s v="UTA"/>
    <s v="Baron von Jobi"/>
    <s v="Moises Hammond - C"/>
    <s v="Moises Hammond"/>
    <x v="4"/>
    <s v="Power/Arm"/>
    <x v="124"/>
    <n v="3.5"/>
    <n v="3.5"/>
    <n v="3.5"/>
    <m/>
    <m/>
    <s v="http://probaseballexperience.jcink.net/index.php?showtopic=5307"/>
    <s v="S9"/>
    <s v="S10"/>
    <n v="9"/>
    <m/>
    <m/>
    <m/>
    <m/>
    <m/>
    <m/>
    <m/>
    <m/>
    <m/>
    <m/>
    <m/>
    <n v="177"/>
    <m/>
    <m/>
    <m/>
  </r>
  <r>
    <s v="http://probaseballexperience.jcink.net/index.php?showtopic=1358"/>
    <s v="FA"/>
    <s v="Angels_Otani"/>
    <s v="Dongus Dio - 1B"/>
    <s v="Dongus Dio"/>
    <x v="7"/>
    <s v="Contact/Quick"/>
    <x v="125"/>
    <m/>
    <m/>
    <m/>
    <m/>
    <m/>
    <m/>
    <s v="S2"/>
    <s v="S3"/>
    <n v="18"/>
    <m/>
    <m/>
    <m/>
    <m/>
    <m/>
    <n v="1.5"/>
    <n v="1.5"/>
    <m/>
    <m/>
    <m/>
    <m/>
    <n v="254"/>
    <m/>
    <n v="254"/>
    <n v="251"/>
  </r>
  <r>
    <s v="http://probaseballexperience.jcink.net/index.php?showtopic=176"/>
    <s v="FA"/>
    <s v="Den_Tex_Mix2"/>
    <s v="Lance Travis - 2B"/>
    <s v="Lance Travis"/>
    <x v="2"/>
    <s v="Speed/Quick"/>
    <x v="126"/>
    <m/>
    <m/>
    <m/>
    <m/>
    <m/>
    <m/>
    <s v="S1"/>
    <s v="S1"/>
    <n v="73"/>
    <m/>
    <m/>
    <m/>
    <m/>
    <m/>
    <n v="1"/>
    <n v="2"/>
    <n v="4"/>
    <n v="2"/>
    <m/>
    <n v="3"/>
    <n v="250"/>
    <m/>
    <n v="268"/>
    <n v="268"/>
  </r>
  <r>
    <s v="http://probaseballexperience.jcink.net/index.php?showtopic=3211"/>
    <s v="VAN"/>
    <s v="DollarAndADream"/>
    <s v="Rye Tiffielder - RF"/>
    <s v="Rye Tiffielder"/>
    <x v="5"/>
    <s v="Power/Arm"/>
    <x v="127"/>
    <n v="1.25"/>
    <m/>
    <m/>
    <m/>
    <m/>
    <s v="S10 TO"/>
    <s v="S6"/>
    <s v="S7"/>
    <n v="24"/>
    <m/>
    <m/>
    <m/>
    <m/>
    <m/>
    <m/>
    <m/>
    <m/>
    <s v="5 (0)"/>
    <n v="1.25"/>
    <n v="1.25"/>
    <n v="235"/>
    <m/>
    <m/>
    <m/>
  </r>
  <r>
    <m/>
    <s v="UTA"/>
    <s v="RBden"/>
    <s v="Cisco Xochipilli - C"/>
    <s v="Cisco Xochipilli"/>
    <x v="4"/>
    <s v="Contact/React"/>
    <x v="128"/>
    <n v="3"/>
    <n v="3.5"/>
    <n v="4"/>
    <m/>
    <m/>
    <s v="S12 TO"/>
    <s v="S9"/>
    <s v="S9"/>
    <n v="9"/>
    <m/>
    <m/>
    <m/>
    <m/>
    <m/>
    <m/>
    <m/>
    <m/>
    <m/>
    <m/>
    <s v="0(5)"/>
    <n v="167"/>
    <m/>
    <m/>
    <m/>
  </r>
  <r>
    <s v="http://probaseballexperience.jcink.net/index.php?showtopic=3438"/>
    <s v="UTA"/>
    <s v="Radsin"/>
    <s v="Antonio &quot;Tony&quot; Pisano - SP"/>
    <s v="Antonio &quot;Tony&quot; Pisano"/>
    <x v="3"/>
    <s v="Power"/>
    <x v="129"/>
    <n v="3"/>
    <m/>
    <m/>
    <m/>
    <m/>
    <s v="S10 TO"/>
    <s v="S7"/>
    <s v="S7"/>
    <n v="2"/>
    <m/>
    <m/>
    <m/>
    <m/>
    <m/>
    <m/>
    <m/>
    <m/>
    <m/>
    <s v="5 (0)"/>
    <n v="3"/>
    <n v="244"/>
    <n v="3"/>
    <m/>
    <m/>
  </r>
  <r>
    <s v="http://probaseballexperience.jcink.net/index.php?showtopic=247"/>
    <s v="FA"/>
    <s v="mmfootball"/>
    <s v="Michael Martin - C"/>
    <s v="Michael Marti"/>
    <x v="4"/>
    <s v="Balanced/Arm"/>
    <x v="130"/>
    <m/>
    <m/>
    <m/>
    <m/>
    <m/>
    <m/>
    <s v="S1"/>
    <s v="S1"/>
    <n v="55"/>
    <m/>
    <m/>
    <m/>
    <m/>
    <n v="0.5"/>
    <n v="2.5"/>
    <n v="2.5"/>
    <n v="2"/>
    <n v="233"/>
    <n v="2"/>
    <m/>
    <n v="243"/>
    <m/>
    <n v="233"/>
    <n v="230"/>
  </r>
  <r>
    <s v="http://probaseballexperience.jcink.net/index.php?showtopic=1035"/>
    <s v="OBX"/>
    <s v="Wally"/>
    <s v="Asipi Cantor - CL"/>
    <s v="Asipi Cantor"/>
    <x v="9"/>
    <s v="Power"/>
    <x v="131"/>
    <n v="2"/>
    <m/>
    <m/>
    <m/>
    <m/>
    <m/>
    <s v="S2"/>
    <s v="S2"/>
    <n v="11"/>
    <m/>
    <m/>
    <m/>
    <m/>
    <m/>
    <n v="3"/>
    <n v="3"/>
    <n v="2.5"/>
    <n v="2.5"/>
    <n v="2.5"/>
    <n v="2.5"/>
    <n v="239"/>
    <m/>
    <n v="173"/>
    <n v="173"/>
  </r>
  <r>
    <m/>
    <s v="PRO"/>
    <s v="YoungTB"/>
    <s v="Chase Petten - SP"/>
    <s v="Chase Petten"/>
    <x v="3"/>
    <s v="Balanced"/>
    <x v="132"/>
    <n v="3"/>
    <n v="3"/>
    <n v="3"/>
    <m/>
    <m/>
    <s v="S12 MO"/>
    <s v="S9"/>
    <s v="S9"/>
    <n v="2"/>
    <m/>
    <m/>
    <m/>
    <m/>
    <m/>
    <m/>
    <m/>
    <m/>
    <m/>
    <m/>
    <s v="0(5)"/>
    <n v="178"/>
    <m/>
    <m/>
    <m/>
  </r>
  <r>
    <s v="http://probaseballexperience.jcink.net/index.php?showtopic=1757"/>
    <s v="PRO"/>
    <s v="tbone415"/>
    <s v="Fastguy Pitcherman - SP"/>
    <s v="Fastguy Pitcherman"/>
    <x v="3"/>
    <s v="Power"/>
    <x v="133"/>
    <n v="2"/>
    <m/>
    <m/>
    <m/>
    <m/>
    <m/>
    <s v="S3"/>
    <s v="S3"/>
    <n v="4"/>
    <m/>
    <m/>
    <m/>
    <m/>
    <m/>
    <n v="6"/>
    <n v="3"/>
    <n v="3"/>
    <n v="2"/>
    <n v="2"/>
    <n v="2"/>
    <n v="229"/>
    <n v="2"/>
    <n v="159"/>
    <n v="156"/>
  </r>
  <r>
    <s v="http://probaseballexperience.jcink.net/index.php?showtopic=3910"/>
    <s v="OBX"/>
    <s v="Snussu"/>
    <s v="Catchy Boija - 2B"/>
    <s v="Catchy Boija"/>
    <x v="2"/>
    <s v="Contact/Speed"/>
    <x v="134"/>
    <n v="1.5"/>
    <n v="1.5"/>
    <m/>
    <m/>
    <m/>
    <s v="S11 TO"/>
    <s v="S7"/>
    <s v="S8"/>
    <n v="14"/>
    <m/>
    <m/>
    <m/>
    <m/>
    <m/>
    <m/>
    <m/>
    <m/>
    <m/>
    <m/>
    <n v="0"/>
    <n v="188"/>
    <m/>
    <m/>
    <m/>
  </r>
  <r>
    <s v="http://probaseballexperience.jcink.net/index.php?showtopic=3601"/>
    <s v="VAN"/>
    <s v="enigmatic"/>
    <s v="Kosuke Yamauchi - SP"/>
    <s v="Kosuke Yamauchi"/>
    <x v="3"/>
    <s v="Power"/>
    <x v="135"/>
    <n v="3"/>
    <m/>
    <m/>
    <m/>
    <m/>
    <s v="S10 MO"/>
    <s v="S7"/>
    <s v="S7"/>
    <n v="8"/>
    <m/>
    <m/>
    <m/>
    <m/>
    <m/>
    <m/>
    <m/>
    <m/>
    <s v="5 (0)"/>
    <n v="2"/>
    <n v="3"/>
    <n v="231"/>
    <m/>
    <m/>
    <m/>
  </r>
  <r>
    <s v="http://probaseballexperience.jcink.net/index.php?showtopic=3881"/>
    <s v="NYV"/>
    <s v="CampinKiller"/>
    <s v="Colton Hagan - SP"/>
    <s v="Colton Hagan"/>
    <x v="3"/>
    <s v="Balance"/>
    <x v="135"/>
    <n v="3"/>
    <n v="3"/>
    <m/>
    <m/>
    <m/>
    <s v="S11 TO"/>
    <s v="S7"/>
    <s v="S8"/>
    <n v="12"/>
    <m/>
    <m/>
    <m/>
    <m/>
    <m/>
    <m/>
    <m/>
    <m/>
    <m/>
    <m/>
    <n v="0"/>
    <n v="231"/>
    <m/>
    <m/>
    <m/>
  </r>
  <r>
    <m/>
    <s v="VAN"/>
    <s v="Mashtaters"/>
    <s v="Theodore Crunkleton - SS"/>
    <s v="Theodore Crunkleton"/>
    <x v="1"/>
    <s v="Balanced/Speedy"/>
    <x v="136"/>
    <s v="0(5)"/>
    <n v="5"/>
    <n v="5"/>
    <n v="5"/>
    <m/>
    <m/>
    <s v="S9"/>
    <s v="S10"/>
    <n v="8"/>
    <m/>
    <m/>
    <m/>
    <m/>
    <m/>
    <m/>
    <m/>
    <m/>
    <m/>
    <m/>
    <m/>
    <n v="163"/>
    <m/>
    <m/>
    <m/>
  </r>
  <r>
    <s v="http://probaseballexperience.jcink.net/index.php?showtopic=3582"/>
    <s v="FA"/>
    <s v="mattycarr134"/>
    <s v="Johny Matthews - 2B"/>
    <s v="Johny Matthews"/>
    <x v="2"/>
    <s v="Balanced/Quick"/>
    <x v="137"/>
    <m/>
    <m/>
    <m/>
    <m/>
    <m/>
    <s v="S10 MO"/>
    <s v="S7"/>
    <s v="S7"/>
    <n v="11"/>
    <m/>
    <m/>
    <m/>
    <m/>
    <m/>
    <m/>
    <m/>
    <m/>
    <s v="5 (0)"/>
    <n v="2"/>
    <n v="3"/>
    <n v="228"/>
    <m/>
    <m/>
    <m/>
  </r>
  <r>
    <s v="http://probaseballexperience.jcink.net/index.php?showtopic=3048"/>
    <s v="VAN"/>
    <s v="Fire-Bred"/>
    <s v="Mason Brown - CL"/>
    <s v="Mason Brown"/>
    <x v="9"/>
    <s v="Balanced"/>
    <x v="138"/>
    <n v="3"/>
    <n v="4"/>
    <n v="5.75"/>
    <n v="6.5"/>
    <m/>
    <s v="S11-13 TO"/>
    <s v="S6"/>
    <s v="S6"/>
    <n v="7"/>
    <m/>
    <m/>
    <m/>
    <m/>
    <m/>
    <m/>
    <m/>
    <n v="2.5"/>
    <n v="2.75"/>
    <n v="3"/>
    <n v="3"/>
    <n v="195"/>
    <m/>
    <m/>
    <m/>
  </r>
  <r>
    <s v="http://probaseballexperience.jcink.net/index.php?showtopic=2921"/>
    <s v="FA"/>
    <s v="dropbear"/>
    <s v="Sidney Swing - LF"/>
    <s v="Sidney Swing"/>
    <x v="6"/>
    <s v="Contact/Balanced"/>
    <x v="139"/>
    <m/>
    <m/>
    <m/>
    <m/>
    <m/>
    <s v="S8 MO"/>
    <s v="S6"/>
    <s v="S6"/>
    <n v="33"/>
    <m/>
    <m/>
    <m/>
    <m/>
    <m/>
    <m/>
    <m/>
    <n v="1"/>
    <n v="1"/>
    <m/>
    <m/>
    <n v="218"/>
    <m/>
    <m/>
    <m/>
  </r>
  <r>
    <s v="http://probaseballexperience.jcink.net/index.php?showtopic=1564"/>
    <s v="FA"/>
    <s v="Rockiesfan4ever"/>
    <s v="Travis Ritchie - CF"/>
    <s v="Travis Ritchie"/>
    <x v="0"/>
    <s v="Contact/Hit"/>
    <x v="139"/>
    <m/>
    <m/>
    <m/>
    <m/>
    <m/>
    <m/>
    <s v="S2"/>
    <s v="S3"/>
    <n v="1"/>
    <m/>
    <m/>
    <m/>
    <m/>
    <m/>
    <n v="4"/>
    <n v="6"/>
    <n v="4"/>
    <n v="2"/>
    <n v="2"/>
    <m/>
    <n v="218"/>
    <m/>
    <n v="218"/>
    <n v="218"/>
  </r>
  <r>
    <s v="http://probaseballexperience.jcink.net/index.php?showtopic=1092"/>
    <s v="PRO"/>
    <s v="dano1934"/>
    <s v="Bobby Outman - SP"/>
    <s v="Bobby Outman"/>
    <x v="3"/>
    <s v="Balanced"/>
    <x v="140"/>
    <n v="2"/>
    <m/>
    <m/>
    <m/>
    <m/>
    <m/>
    <s v="S2"/>
    <s v="S2"/>
    <n v="2"/>
    <m/>
    <m/>
    <m/>
    <m/>
    <n v="4"/>
    <n v="4"/>
    <n v="2"/>
    <n v="2"/>
    <n v="215"/>
    <n v="2"/>
    <n v="2"/>
    <n v="215"/>
    <n v="2"/>
    <n v="215"/>
    <n v="215"/>
  </r>
  <r>
    <m/>
    <s v="NYV"/>
    <s v="Noble"/>
    <s v="Adrian Kaine - SP"/>
    <s v="Adrian Kaine"/>
    <x v="3"/>
    <s v="Finesse"/>
    <x v="141"/>
    <n v="5"/>
    <n v="5"/>
    <n v="5"/>
    <m/>
    <m/>
    <s v="S12 TO"/>
    <s v="S9"/>
    <s v="S9"/>
    <n v="17"/>
    <m/>
    <m/>
    <m/>
    <m/>
    <m/>
    <m/>
    <m/>
    <m/>
    <m/>
    <m/>
    <m/>
    <n v="185"/>
    <m/>
    <m/>
    <m/>
  </r>
  <r>
    <m/>
    <s v="VAN"/>
    <s v="Blueline Naptime"/>
    <s v="Blu Line - CL"/>
    <s v="Blu Line"/>
    <x v="9"/>
    <s v="Balanced"/>
    <x v="142"/>
    <s v="0(5)"/>
    <n v="5"/>
    <n v="5"/>
    <n v="5"/>
    <m/>
    <m/>
    <s v="S10"/>
    <s v="S10"/>
    <n v="1"/>
    <m/>
    <m/>
    <m/>
    <m/>
    <m/>
    <m/>
    <m/>
    <m/>
    <m/>
    <m/>
    <m/>
    <n v="108"/>
    <m/>
    <m/>
    <m/>
  </r>
  <r>
    <m/>
    <s v="VAN"/>
    <s v="Ty3"/>
    <s v="Josh Kings - 2B"/>
    <s v="Josh Kings"/>
    <x v="2"/>
    <s v="Power/Utility"/>
    <x v="143"/>
    <n v="1"/>
    <n v="1"/>
    <n v="1"/>
    <m/>
    <m/>
    <s v="S12 TO"/>
    <s v="S9"/>
    <s v="S9"/>
    <n v="43"/>
    <m/>
    <m/>
    <m/>
    <m/>
    <m/>
    <m/>
    <m/>
    <m/>
    <m/>
    <m/>
    <s v="0(5)"/>
    <n v="115"/>
    <m/>
    <m/>
    <m/>
  </r>
  <r>
    <s v="http://probaseballexperience.jcink.net/index.php?showtopic=1246"/>
    <s v="PRO"/>
    <s v="tangboynyc"/>
    <s v="John Cheng - SP"/>
    <s v="John Cheng"/>
    <x v="3"/>
    <s v="Power"/>
    <x v="144"/>
    <n v="2"/>
    <m/>
    <m/>
    <m/>
    <m/>
    <m/>
    <s v="S2"/>
    <s v="S3"/>
    <n v="11"/>
    <m/>
    <m/>
    <m/>
    <m/>
    <m/>
    <n v="4"/>
    <n v="5"/>
    <n v="6"/>
    <n v="2"/>
    <n v="2"/>
    <n v="2"/>
    <n v="203"/>
    <m/>
    <n v="200"/>
    <n v="180"/>
  </r>
  <r>
    <s v="http://probaseballexperience.jcink.net/index.php?showtopic=106"/>
    <s v="FA"/>
    <s v="ztevans"/>
    <s v="Pablo Sanchez - 3B"/>
    <s v="Pablo Sanchez"/>
    <x v="8"/>
    <s v="Balanced/Quick"/>
    <x v="145"/>
    <m/>
    <m/>
    <m/>
    <m/>
    <m/>
    <m/>
    <s v="S1"/>
    <s v="S1"/>
    <n v="11"/>
    <m/>
    <m/>
    <m/>
    <m/>
    <m/>
    <n v="3"/>
    <n v="2"/>
    <n v="2"/>
    <n v="2"/>
    <m/>
    <m/>
    <n v="202"/>
    <m/>
    <n v="202"/>
    <n v="202"/>
  </r>
  <r>
    <s v="http://probaseballexperience.jcink.net/index.php?showtopic=2227"/>
    <s v="NYV"/>
    <s v="xdave2456"/>
    <s v="Omar Wright - SP"/>
    <s v="Omar Wright"/>
    <x v="3"/>
    <s v="Finesse"/>
    <x v="146"/>
    <n v="0.5"/>
    <m/>
    <m/>
    <m/>
    <m/>
    <m/>
    <s v="S4"/>
    <s v="S4"/>
    <n v="1"/>
    <m/>
    <m/>
    <m/>
    <m/>
    <m/>
    <m/>
    <n v="4"/>
    <n v="4"/>
    <m/>
    <m/>
    <m/>
    <n v="198"/>
    <n v="100"/>
    <e v="#REF!"/>
    <m/>
  </r>
  <r>
    <m/>
    <s v="PRO"/>
    <s v="SuperDick"/>
    <s v="Stryker Killian - 3B"/>
    <s v="Stryker Killian"/>
    <x v="8"/>
    <s v="Balanced/Balanced"/>
    <x v="147"/>
    <n v="1.5"/>
    <n v="1.5"/>
    <n v="1.5"/>
    <m/>
    <m/>
    <s v="S12 MO"/>
    <s v="S9"/>
    <s v="S9"/>
    <n v="31"/>
    <m/>
    <m/>
    <m/>
    <m/>
    <m/>
    <m/>
    <m/>
    <m/>
    <m/>
    <m/>
    <s v="0(5)"/>
    <n v="126"/>
    <m/>
    <m/>
    <m/>
  </r>
  <r>
    <s v="http://probaseballexperience.jcink.net/index.php?showtopic=2551"/>
    <s v="FA"/>
    <s v="kit"/>
    <s v="Sleve McDichael - RF"/>
    <s v="Sleve McDichael"/>
    <x v="5"/>
    <s v="Power/Arm"/>
    <x v="148"/>
    <m/>
    <m/>
    <m/>
    <m/>
    <m/>
    <m/>
    <s v="S5"/>
    <s v="S5"/>
    <n v="14"/>
    <m/>
    <m/>
    <m/>
    <m/>
    <m/>
    <m/>
    <m/>
    <n v="6"/>
    <n v="3"/>
    <n v="3"/>
    <n v="1.5"/>
    <n v="196"/>
    <m/>
    <m/>
    <m/>
  </r>
  <r>
    <m/>
    <s v="PRO"/>
    <s v="MiniMan561"/>
    <s v="Eric Tsai - 2B"/>
    <s v="Eric Tsai"/>
    <x v="2"/>
    <s v="Contact/Speedy"/>
    <x v="149"/>
    <n v="2"/>
    <n v="2"/>
    <n v="2"/>
    <m/>
    <m/>
    <s v="S12 MO"/>
    <s v="S9"/>
    <s v="S9"/>
    <n v="15"/>
    <m/>
    <m/>
    <m/>
    <m/>
    <m/>
    <m/>
    <m/>
    <m/>
    <m/>
    <m/>
    <s v="0(5)"/>
    <n v="115"/>
    <m/>
    <m/>
    <m/>
  </r>
  <r>
    <s v="http://probaseballexperience.jcink.net/index.php?showtopic=1218"/>
    <s v="NYV"/>
    <s v="Jider4"/>
    <s v="Mariano Riviera - CL"/>
    <s v="Mariano Riviera"/>
    <x v="9"/>
    <s v="Finesse"/>
    <x v="150"/>
    <n v="0.5"/>
    <m/>
    <m/>
    <m/>
    <m/>
    <m/>
    <s v="S2"/>
    <s v="S2"/>
    <n v="22"/>
    <m/>
    <m/>
    <m/>
    <m/>
    <m/>
    <n v="2"/>
    <n v="2"/>
    <n v="0.5"/>
    <m/>
    <m/>
    <m/>
    <n v="192"/>
    <n v="192"/>
    <n v="192"/>
    <n v="192"/>
  </r>
  <r>
    <m/>
    <s v="PRO"/>
    <s v="Acerayz"/>
    <s v="Yamcha Pu'ar - CL"/>
    <s v="Yamcha Pu'ar"/>
    <x v="9"/>
    <s v="Balance"/>
    <x v="151"/>
    <s v="0(5)"/>
    <n v="2.5"/>
    <n v="2.5"/>
    <n v="2.5"/>
    <m/>
    <s v="http://probaseballexperience.jcink.net/index.php?showtopic=5313"/>
    <s v="S9"/>
    <s v="S10"/>
    <n v="11"/>
    <m/>
    <m/>
    <m/>
    <m/>
    <m/>
    <m/>
    <m/>
    <m/>
    <m/>
    <m/>
    <m/>
    <n v="178"/>
    <m/>
    <m/>
    <m/>
  </r>
  <r>
    <s v="http://probaseballexperience.jcink.net/index.php?showtopic=2183"/>
    <s v="FA"/>
    <s v="Penguin"/>
    <s v="Michael Rapinski- 3B"/>
    <s v="Michael Rapinsk"/>
    <x v="8"/>
    <s v="Balanced/Balanced "/>
    <x v="152"/>
    <m/>
    <m/>
    <m/>
    <m/>
    <m/>
    <m/>
    <s v="S4"/>
    <s v="S4"/>
    <n v="4"/>
    <m/>
    <m/>
    <m/>
    <m/>
    <m/>
    <n v="5"/>
    <n v="5"/>
    <n v="0.5"/>
    <n v="100"/>
    <m/>
    <m/>
    <n v="190"/>
    <m/>
    <n v="100"/>
    <m/>
  </r>
  <r>
    <m/>
    <s v="FL"/>
    <s v="SDCore"/>
    <s v="Speedy Gonzales - 2B"/>
    <s v="Speedy Gonzales"/>
    <x v="2"/>
    <s v="Speed/Utility"/>
    <x v="153"/>
    <s v="0(5)"/>
    <n v="3"/>
    <n v="3"/>
    <n v="3"/>
    <m/>
    <s v="http://probaseballexperience.jcink.net/index.php?showtopic=5301"/>
    <s v="S10"/>
    <s v="S10"/>
    <n v="7"/>
    <m/>
    <m/>
    <m/>
    <m/>
    <m/>
    <m/>
    <m/>
    <m/>
    <m/>
    <m/>
    <m/>
    <n v="100"/>
    <m/>
    <m/>
    <m/>
  </r>
  <r>
    <m/>
    <s v="PRO"/>
    <s v="Hydracronis"/>
    <s v="A.C. Peyton - SP"/>
    <s v="A.C. Peyton"/>
    <x v="3"/>
    <s v="Finesse"/>
    <x v="154"/>
    <s v="0(5)"/>
    <n v="4"/>
    <n v="3"/>
    <n v="3"/>
    <m/>
    <s v="http://probaseballexperience.jcink.net/index.php?showtopic=5313"/>
    <s v="S10"/>
    <s v="S10"/>
    <n v="2"/>
    <m/>
    <m/>
    <m/>
    <m/>
    <m/>
    <m/>
    <m/>
    <m/>
    <m/>
    <m/>
    <m/>
    <n v="100"/>
    <m/>
    <m/>
    <m/>
  </r>
  <r>
    <s v="http://probaseballexperience.jcink.net/index.php?showtopic=168"/>
    <s v="FA"/>
    <s v="Justice"/>
    <s v="Ty Justice - 3B"/>
    <s v="Ty Justice"/>
    <x v="8"/>
    <s v="Contact/Arm"/>
    <x v="155"/>
    <m/>
    <m/>
    <m/>
    <m/>
    <m/>
    <m/>
    <s v="S1"/>
    <s v="S1"/>
    <n v="4"/>
    <m/>
    <m/>
    <m/>
    <m/>
    <s v="Yes"/>
    <m/>
    <m/>
    <m/>
    <m/>
    <m/>
    <m/>
    <n v="187"/>
    <m/>
    <m/>
    <m/>
  </r>
  <r>
    <s v="http://probaseballexperience.jcink.net/index.php?showtopic=3043&amp;st=0&amp;#entry32473"/>
    <s v="FA"/>
    <s v="Keksecutioner"/>
    <s v="Jim Kekton - SS"/>
    <s v="Jim Kekton"/>
    <x v="1"/>
    <s v="Speed/Balance"/>
    <x v="156"/>
    <m/>
    <m/>
    <m/>
    <m/>
    <m/>
    <s v="S9 TO"/>
    <s v="S6"/>
    <s v="S6"/>
    <n v="22"/>
    <m/>
    <m/>
    <m/>
    <m/>
    <m/>
    <m/>
    <m/>
    <n v="4.5"/>
    <n v="1.5"/>
    <m/>
    <n v="1.5"/>
    <n v="186"/>
    <m/>
    <m/>
    <m/>
  </r>
  <r>
    <m/>
    <s v="NYV"/>
    <s v="Ramzavail"/>
    <s v="Shovel Bryant - 2B"/>
    <s v="Shovel Bryant"/>
    <x v="2"/>
    <s v="Speed/Arm"/>
    <x v="157"/>
    <n v="3"/>
    <n v="3"/>
    <n v="4"/>
    <m/>
    <m/>
    <s v="S12 MO"/>
    <s v="S9"/>
    <s v="S9"/>
    <n v="21"/>
    <m/>
    <m/>
    <m/>
    <m/>
    <m/>
    <m/>
    <m/>
    <m/>
    <m/>
    <m/>
    <m/>
    <n v="139"/>
    <m/>
    <m/>
    <m/>
  </r>
  <r>
    <m/>
    <s v="UTA"/>
    <s v="iseedoug"/>
    <s v="Icy Douglas - LF"/>
    <s v="Icy Douglas"/>
    <x v="6"/>
    <s v="Power/Balanced"/>
    <x v="157"/>
    <n v="3"/>
    <n v="3.5"/>
    <n v="4"/>
    <m/>
    <m/>
    <s v="S12 TO"/>
    <s v="S9"/>
    <s v="S9"/>
    <n v="14"/>
    <m/>
    <m/>
    <m/>
    <m/>
    <m/>
    <m/>
    <m/>
    <m/>
    <m/>
    <m/>
    <s v="0(5)"/>
    <n v="144"/>
    <m/>
    <m/>
    <m/>
  </r>
  <r>
    <s v="http://probaseballexperience.jcink.net/index.php?showtopic=1741"/>
    <s v="DVS"/>
    <s v="jaskins811"/>
    <s v="Rodney Flecha - CL"/>
    <s v="Rodney Flecha"/>
    <x v="9"/>
    <s v="Power"/>
    <x v="158"/>
    <n v="0.5"/>
    <m/>
    <m/>
    <m/>
    <m/>
    <m/>
    <s v="S3"/>
    <s v="S3"/>
    <n v="8"/>
    <m/>
    <m/>
    <m/>
    <m/>
    <m/>
    <n v="4"/>
    <n v="4"/>
    <n v="4"/>
    <n v="0.5"/>
    <m/>
    <n v="0.5"/>
    <n v="183"/>
    <n v="175"/>
    <n v="154"/>
    <n v="183"/>
  </r>
  <r>
    <m/>
    <s v="UTA"/>
    <s v="Symmetrik"/>
    <s v="Colben Fairborn - CL"/>
    <s v="Colben Fairborn"/>
    <x v="9"/>
    <s v="Finesse"/>
    <x v="159"/>
    <n v="3"/>
    <n v="3"/>
    <n v="3"/>
    <m/>
    <m/>
    <s v="http://probaseballexperience.jcink.net/index.php?showtopic=5303"/>
    <s v="S10"/>
    <s v="S10"/>
    <n v="4"/>
    <m/>
    <m/>
    <m/>
    <m/>
    <m/>
    <m/>
    <m/>
    <m/>
    <m/>
    <m/>
    <m/>
    <n v="100"/>
    <m/>
    <m/>
    <m/>
  </r>
  <r>
    <s v="http://probaseballexperience.jcink.net/index.php?showtopic=164"/>
    <s v="FA"/>
    <s v="daBenchwarmer"/>
    <s v="Alex Sincario - 2B"/>
    <s v="Alex Sincario"/>
    <x v="2"/>
    <s v="Contact/Quick"/>
    <x v="159"/>
    <m/>
    <m/>
    <m/>
    <m/>
    <m/>
    <m/>
    <s v="S1"/>
    <s v="S1"/>
    <n v="13"/>
    <m/>
    <m/>
    <m/>
    <m/>
    <m/>
    <n v="3"/>
    <m/>
    <m/>
    <m/>
    <m/>
    <m/>
    <n v="181"/>
    <m/>
    <m/>
    <n v="205"/>
  </r>
  <r>
    <s v="http://probaseballexperience.jcink.net/index.php?showtopic=248"/>
    <s v="UTA"/>
    <s v="Majlouni21"/>
    <s v="Mahmoud Ajlouni - C"/>
    <s v="Mahmoud Ajlouni"/>
    <x v="4"/>
    <s v="Power/Arm"/>
    <x v="160"/>
    <n v="0.5"/>
    <m/>
    <m/>
    <m/>
    <m/>
    <m/>
    <s v="S1"/>
    <s v="S1"/>
    <n v="87"/>
    <m/>
    <m/>
    <m/>
    <m/>
    <n v="1"/>
    <n v="2"/>
    <n v="2"/>
    <n v="0.5"/>
    <n v="149"/>
    <m/>
    <m/>
    <n v="179"/>
    <m/>
    <n v="149"/>
    <n v="149"/>
  </r>
  <r>
    <m/>
    <s v="DRA"/>
    <s v="MikeGravy"/>
    <s v="Kenga Yunai - RF"/>
    <s v="Kenga Yunai"/>
    <x v="5"/>
    <s v="Contact/Arm"/>
    <x v="160"/>
    <m/>
    <m/>
    <m/>
    <m/>
    <m/>
    <m/>
    <s v="S9"/>
    <s v="S10"/>
    <n v="44"/>
    <m/>
    <m/>
    <m/>
    <m/>
    <m/>
    <m/>
    <m/>
    <m/>
    <m/>
    <m/>
    <m/>
    <n v="179"/>
    <m/>
    <m/>
    <m/>
  </r>
  <r>
    <m/>
    <s v="DRA"/>
    <s v="AndrewWarren13"/>
    <s v="Bryan Barnes - 3B"/>
    <s v="Bryan Barnes"/>
    <x v="8"/>
    <s v="Balanced/Arm"/>
    <x v="161"/>
    <m/>
    <m/>
    <m/>
    <m/>
    <m/>
    <m/>
    <s v="S10"/>
    <s v="S11"/>
    <m/>
    <m/>
    <m/>
    <m/>
    <m/>
    <m/>
    <m/>
    <m/>
    <m/>
    <m/>
    <m/>
    <m/>
    <n v="100"/>
    <m/>
    <m/>
    <m/>
  </r>
  <r>
    <m/>
    <s v="NYV"/>
    <s v="CatmanIndustries"/>
    <s v="Mork Spaghettelli - 3B"/>
    <s v="Mork Spaghettelli"/>
    <x v="8"/>
    <s v="Power/Balanced"/>
    <x v="161"/>
    <s v="0(5)"/>
    <n v="5"/>
    <n v="5"/>
    <n v="5"/>
    <m/>
    <s v="http://probaseballexperience.jcink.net/index.php?showtopic=5312"/>
    <s v="S9"/>
    <s v="S10"/>
    <n v="17"/>
    <m/>
    <m/>
    <m/>
    <m/>
    <m/>
    <m/>
    <m/>
    <m/>
    <m/>
    <m/>
    <m/>
    <n v="152"/>
    <m/>
    <m/>
    <m/>
  </r>
  <r>
    <m/>
    <s v="VAN"/>
    <s v="kramerattack"/>
    <s v="Kris Kramer - 3B"/>
    <s v="Kris Kramer"/>
    <x v="8"/>
    <s v="Power/Balanced"/>
    <x v="162"/>
    <n v="1"/>
    <n v="5"/>
    <n v="5"/>
    <m/>
    <m/>
    <s v="http://probaseballexperience.jcink.net/index.php?showtopic=4745&amp;hl=kramer"/>
    <s v="S9"/>
    <s v="S9"/>
    <n v="33"/>
    <m/>
    <m/>
    <m/>
    <m/>
    <m/>
    <m/>
    <m/>
    <m/>
    <m/>
    <m/>
    <s v="0(5)"/>
    <n v="100"/>
    <m/>
    <m/>
    <m/>
  </r>
  <r>
    <s v="http://probaseballexperience.jcink.net/index.php?showtopic=2506"/>
    <s v="DVS"/>
    <s v="CptSquall"/>
    <s v="Richard Physt - 1B"/>
    <s v="Richard Physt"/>
    <x v="7"/>
    <s v="Power/Arm"/>
    <x v="163"/>
    <n v="0.5"/>
    <m/>
    <m/>
    <m/>
    <m/>
    <m/>
    <s v="S4"/>
    <s v="S5"/>
    <n v="16"/>
    <m/>
    <m/>
    <m/>
    <m/>
    <m/>
    <n v="1"/>
    <n v="3"/>
    <n v="1.5"/>
    <m/>
    <m/>
    <m/>
    <n v="172"/>
    <m/>
    <m/>
    <m/>
  </r>
  <r>
    <s v="http://probaseballexperience.jcink.net/index.php?showtopic=1075"/>
    <s v="FA"/>
    <s v="c_braun"/>
    <s v="Cody Braun - 2B"/>
    <s v="Cody Braun"/>
    <x v="2"/>
    <s v="Balanced/Quick"/>
    <x v="163"/>
    <m/>
    <m/>
    <m/>
    <m/>
    <m/>
    <m/>
    <s v="S2"/>
    <s v="S2"/>
    <n v="40"/>
    <m/>
    <m/>
    <m/>
    <m/>
    <m/>
    <n v="1"/>
    <n v="1"/>
    <m/>
    <m/>
    <m/>
    <m/>
    <n v="172"/>
    <m/>
    <n v="172"/>
    <n v="172"/>
  </r>
  <r>
    <s v="http://probaseballexperience.jcink.net/index.php?showtopic=219"/>
    <s v="FA"/>
    <s v="BigolPHD"/>
    <s v="Dave Cope - 3B"/>
    <s v="Dave Cope"/>
    <x v="8"/>
    <s v="Balanced/Arm"/>
    <x v="164"/>
    <m/>
    <m/>
    <m/>
    <m/>
    <m/>
    <m/>
    <s v="S1"/>
    <s v="S1"/>
    <n v="27"/>
    <m/>
    <m/>
    <m/>
    <m/>
    <m/>
    <n v="0.5"/>
    <m/>
    <m/>
    <m/>
    <m/>
    <m/>
    <n v="170"/>
    <m/>
    <n v="193"/>
    <n v="193"/>
  </r>
  <r>
    <s v="http://probaseballexperience.jcink.net/index.php?showtopic=607"/>
    <s v="UTA"/>
    <s v="kymiller17"/>
    <s v="Kai-Wei Mai - CL"/>
    <s v="Kai-Wei Mai"/>
    <x v="9"/>
    <s v="Power"/>
    <x v="165"/>
    <n v="0.5"/>
    <m/>
    <m/>
    <m/>
    <m/>
    <m/>
    <s v="S1"/>
    <s v="S2"/>
    <n v="5"/>
    <m/>
    <m/>
    <m/>
    <m/>
    <m/>
    <n v="3"/>
    <n v="3"/>
    <n v="0.5"/>
    <n v="0.5"/>
    <n v="0.5"/>
    <n v="0.5"/>
    <n v="192"/>
    <n v="0.5"/>
    <n v="192"/>
    <n v="192"/>
  </r>
  <r>
    <s v="http://probaseballexperience.jcink.net/index.php?showtopic=98"/>
    <s v="FA"/>
    <s v="Gooney"/>
    <s v="Dirty Dongs - RF"/>
    <s v="Dirty Dongs"/>
    <x v="5"/>
    <s v="Power/Balanced"/>
    <x v="166"/>
    <m/>
    <m/>
    <m/>
    <m/>
    <m/>
    <m/>
    <s v="S1"/>
    <s v="S1"/>
    <n v="31"/>
    <m/>
    <m/>
    <m/>
    <m/>
    <m/>
    <n v="0.5"/>
    <m/>
    <m/>
    <m/>
    <m/>
    <m/>
    <n v="168"/>
    <m/>
    <n v="190"/>
    <n v="190"/>
  </r>
  <r>
    <s v="http://probaseballexperience.jcink.net/index.php?showtopic=1810"/>
    <s v="FA"/>
    <s v="fruitbatattack"/>
    <s v="Eric Bilitnikov - C"/>
    <s v="Eric Bilitniko"/>
    <x v="4"/>
    <s v="Contact/React"/>
    <x v="166"/>
    <m/>
    <m/>
    <m/>
    <m/>
    <m/>
    <m/>
    <s v="S3"/>
    <s v="S3"/>
    <n v="13"/>
    <m/>
    <m/>
    <m/>
    <m/>
    <m/>
    <n v="4"/>
    <n v="4"/>
    <n v="3"/>
    <m/>
    <m/>
    <m/>
    <n v="168"/>
    <m/>
    <n v="100"/>
    <n v="100"/>
  </r>
  <r>
    <m/>
    <s v="NYV"/>
    <s v="hexx55"/>
    <s v="Justin Verbeek - CL"/>
    <s v="Justin Verbeek"/>
    <x v="9"/>
    <s v="MR/LR"/>
    <x v="167"/>
    <n v="4"/>
    <n v="4.5"/>
    <m/>
    <m/>
    <m/>
    <s v="S11 MO"/>
    <s v="S9"/>
    <s v="S9"/>
    <n v="11"/>
    <m/>
    <m/>
    <m/>
    <m/>
    <m/>
    <m/>
    <m/>
    <m/>
    <m/>
    <m/>
    <m/>
    <n v="125"/>
    <m/>
    <m/>
    <m/>
  </r>
  <r>
    <m/>
    <s v="NYV"/>
    <s v="Jepox"/>
    <s v="Mitchell McDowell - SP"/>
    <s v="Mitchell McDowell"/>
    <x v="3"/>
    <s v="Power"/>
    <x v="167"/>
    <n v="4"/>
    <n v="4"/>
    <m/>
    <m/>
    <m/>
    <s v="S11 MO"/>
    <s v="S9"/>
    <s v="S9"/>
    <n v="37"/>
    <m/>
    <m/>
    <m/>
    <m/>
    <m/>
    <m/>
    <m/>
    <m/>
    <m/>
    <m/>
    <m/>
    <n v="143"/>
    <m/>
    <m/>
    <m/>
  </r>
  <r>
    <m/>
    <s v="VAN"/>
    <s v="Sir Earl"/>
    <s v="Mamoru Okonomi - CL"/>
    <s v="Mamoru Okonomi"/>
    <x v="9"/>
    <s v="Power"/>
    <x v="168"/>
    <s v="0(5)"/>
    <n v="2"/>
    <n v="2"/>
    <n v="2"/>
    <m/>
    <m/>
    <s v="S10"/>
    <s v="S10"/>
    <n v="10"/>
    <m/>
    <m/>
    <m/>
    <m/>
    <m/>
    <m/>
    <m/>
    <m/>
    <m/>
    <m/>
    <m/>
    <n v="100"/>
    <m/>
    <m/>
    <m/>
  </r>
  <r>
    <s v="http://probaseballexperience.jcink.net/index.php?showtopic=3791"/>
    <s v="OBX"/>
    <s v="Eggy216"/>
    <s v="Jasper Clayton - C"/>
    <s v="Jasper Clayton"/>
    <x v="4"/>
    <s v="Contact/Arm"/>
    <x v="168"/>
    <n v="1.25"/>
    <n v="1.25"/>
    <m/>
    <m/>
    <m/>
    <s v="S11 TO"/>
    <s v="S7"/>
    <s v="S8"/>
    <n v="20"/>
    <m/>
    <m/>
    <m/>
    <m/>
    <m/>
    <m/>
    <m/>
    <m/>
    <m/>
    <m/>
    <n v="0"/>
    <n v="164"/>
    <m/>
    <m/>
    <m/>
  </r>
  <r>
    <s v="http://probaseballexperience.jcink.net/index.php?showtopic=3027"/>
    <s v="FA"/>
    <s v="cosbornballboy"/>
    <s v="Jayran Mackson - SP"/>
    <s v="Jayran Mackson"/>
    <x v="3"/>
    <s v="Power"/>
    <x v="168"/>
    <m/>
    <m/>
    <m/>
    <m/>
    <m/>
    <m/>
    <s v="S6"/>
    <s v="S6"/>
    <n v="20"/>
    <s v="SCS"/>
    <n v="6"/>
    <n v="9"/>
    <s v="Y"/>
    <m/>
    <m/>
    <m/>
    <m/>
    <n v="2.5"/>
    <n v="1"/>
    <n v="2.5"/>
    <n v="164"/>
    <m/>
    <m/>
    <m/>
  </r>
  <r>
    <s v="http://probaseballexperience.jcink.net/index.php?showtopic=220"/>
    <s v="DVS"/>
    <s v="Tubzaphobia"/>
    <s v="Landon Hope - SP"/>
    <s v="Landon Hope"/>
    <x v="3"/>
    <s v="Balanced"/>
    <x v="169"/>
    <n v="0.5"/>
    <m/>
    <m/>
    <m/>
    <m/>
    <m/>
    <s v="S1"/>
    <s v="S1"/>
    <s v="as GM"/>
    <m/>
    <m/>
    <m/>
    <m/>
    <m/>
    <n v="2"/>
    <n v="0.5"/>
    <n v="0.5"/>
    <n v="0.5"/>
    <m/>
    <n v="0.5"/>
    <n v="181"/>
    <n v="181"/>
    <n v="181"/>
    <n v="181"/>
  </r>
  <r>
    <s v="http://probaseballexperience.jcink.net/index.php?showtopic=3909"/>
    <s v="VAN"/>
    <s v="BALLS"/>
    <s v="Seth Porter - SP"/>
    <s v="Seth Porter"/>
    <x v="3"/>
    <s v="Knuckleball "/>
    <x v="170"/>
    <n v="4"/>
    <n v="4"/>
    <m/>
    <m/>
    <m/>
    <s v="S11 TO"/>
    <s v="S8"/>
    <s v="S8"/>
    <n v="13"/>
    <m/>
    <m/>
    <m/>
    <m/>
    <m/>
    <m/>
    <m/>
    <m/>
    <m/>
    <n v="0"/>
    <n v="4"/>
    <n v="159"/>
    <m/>
    <m/>
    <m/>
  </r>
  <r>
    <m/>
    <s v="DVS"/>
    <s v="yahuckleberry"/>
    <s v="Chip Bowman - SP"/>
    <s v="Chip Bowman"/>
    <x v="3"/>
    <s v="Balanced"/>
    <x v="171"/>
    <s v="0(5)"/>
    <n v="4"/>
    <n v="4"/>
    <m/>
    <m/>
    <s v="http://probaseballexperience.jcink.net/index.php?showtopic=5319"/>
    <s v="S10"/>
    <s v="S10"/>
    <n v="6"/>
    <m/>
    <m/>
    <m/>
    <m/>
    <m/>
    <m/>
    <m/>
    <m/>
    <m/>
    <m/>
    <m/>
    <n v="100"/>
    <m/>
    <m/>
    <m/>
  </r>
  <r>
    <m/>
    <s v="NYV"/>
    <s v="GrilledTwinkiez"/>
    <s v="Ben Beck - 1B"/>
    <s v="Ben Beck"/>
    <x v="7"/>
    <s v="Power/DH"/>
    <x v="171"/>
    <s v="0(5)"/>
    <n v="5"/>
    <n v="5"/>
    <n v="5"/>
    <m/>
    <s v="http://probaseballexperience.jcink.net/index.php?showtopic=5312"/>
    <s v="S10"/>
    <s v="S10"/>
    <n v="23"/>
    <m/>
    <m/>
    <m/>
    <m/>
    <m/>
    <m/>
    <m/>
    <m/>
    <m/>
    <m/>
    <m/>
    <n v="100"/>
    <m/>
    <m/>
    <m/>
  </r>
  <r>
    <m/>
    <s v="DVS"/>
    <s v="AdamS"/>
    <s v="Mountain Thunderfist - 1B"/>
    <s v="Mountain Thunderfist"/>
    <x v="7"/>
    <s v="Balanced/DH"/>
    <x v="172"/>
    <s v="0(5)"/>
    <n v="1.5"/>
    <n v="3"/>
    <m/>
    <m/>
    <s v="http://probaseballexperience.jcink.net/index.php?showtopic=5319"/>
    <s v="S10"/>
    <s v="S10"/>
    <n v="22"/>
    <m/>
    <m/>
    <m/>
    <m/>
    <m/>
    <m/>
    <m/>
    <m/>
    <m/>
    <m/>
    <m/>
    <n v="100"/>
    <m/>
    <m/>
    <m/>
  </r>
  <r>
    <s v="http://probaseballexperience.jcink.net/index.php?showtopic=309"/>
    <s v="FA"/>
    <n v="124715"/>
    <s v="Jack Westin - 1B"/>
    <s v="Jack Westin"/>
    <x v="7"/>
    <s v="Contact/Arm"/>
    <x v="172"/>
    <m/>
    <m/>
    <m/>
    <m/>
    <m/>
    <m/>
    <s v="S1"/>
    <s v="S1"/>
    <n v="24"/>
    <m/>
    <m/>
    <m/>
    <m/>
    <n v="1"/>
    <n v="3"/>
    <n v="0.5"/>
    <n v="0.5"/>
    <n v="0.5"/>
    <n v="0.5"/>
    <n v="0.5"/>
    <n v="156"/>
    <m/>
    <n v="161"/>
    <n v="161"/>
  </r>
  <r>
    <s v="http://probaseballexperience.jcink.net/index.php?showtopic=3934"/>
    <s v="SAS"/>
    <s v="TheLobman"/>
    <s v="Brock Lobster - RP"/>
    <s v="Brock Lobster"/>
    <x v="9"/>
    <s v="MR/LR"/>
    <x v="173"/>
    <n v="2"/>
    <n v="2"/>
    <m/>
    <m/>
    <m/>
    <s v="S11 TO"/>
    <s v="S7"/>
    <s v="S8"/>
    <n v="33"/>
    <m/>
    <m/>
    <m/>
    <m/>
    <m/>
    <m/>
    <m/>
    <m/>
    <m/>
    <m/>
    <n v="0"/>
    <n v="151"/>
    <m/>
    <m/>
    <m/>
  </r>
  <r>
    <m/>
    <s v="OBX"/>
    <s v="Wizedex"/>
    <s v="Chris Gentry - SP"/>
    <s v="Chris Gentry"/>
    <x v="3"/>
    <s v="Balanced"/>
    <x v="174"/>
    <s v="0(5)"/>
    <n v="1.5"/>
    <n v="1.5"/>
    <n v="1.5"/>
    <m/>
    <m/>
    <s v="S10"/>
    <s v="S10"/>
    <n v="21"/>
    <m/>
    <m/>
    <m/>
    <m/>
    <m/>
    <m/>
    <m/>
    <m/>
    <m/>
    <m/>
    <m/>
    <n v="100"/>
    <m/>
    <m/>
    <m/>
  </r>
  <r>
    <m/>
    <s v="UTA"/>
    <s v="jfh1503"/>
    <s v="Jake Grinz - SS"/>
    <s v="Jake Grinz"/>
    <x v="1"/>
    <s v="Contact/Speedy"/>
    <x v="175"/>
    <s v="0(5)"/>
    <n v="2"/>
    <n v="2"/>
    <m/>
    <m/>
    <s v="http://probaseballexperience.jcink.net/index.php?showtopic=5303"/>
    <s v="S10"/>
    <s v="S10"/>
    <n v="25"/>
    <m/>
    <m/>
    <m/>
    <m/>
    <m/>
    <m/>
    <m/>
    <m/>
    <m/>
    <m/>
    <m/>
    <n v="100"/>
    <m/>
    <m/>
    <m/>
  </r>
  <r>
    <s v="http://probaseballexperience.jcink.net/index.php?showtopic=1836"/>
    <s v="DVS"/>
    <s v="SuperSquare04"/>
    <s v="Curtis Kane - SP"/>
    <s v="Curtis Kane"/>
    <x v="3"/>
    <s v="Finesse"/>
    <x v="175"/>
    <n v="0.5"/>
    <m/>
    <m/>
    <m/>
    <m/>
    <m/>
    <s v="S3"/>
    <s v="S4"/>
    <s v="TBD"/>
    <m/>
    <m/>
    <m/>
    <m/>
    <m/>
    <n v="1"/>
    <m/>
    <m/>
    <m/>
    <m/>
    <n v="0.5"/>
    <n v="146"/>
    <n v="146"/>
    <n v="133"/>
    <n v="147"/>
  </r>
  <r>
    <s v="http://probaseballexperience.jcink.net/index.php?showtopic=2999"/>
    <s v="FA"/>
    <s v="evryday"/>
    <s v="Refugio Castro - C"/>
    <s v="Refugio Castr"/>
    <x v="4"/>
    <s v="Power/React"/>
    <x v="175"/>
    <m/>
    <m/>
    <m/>
    <m/>
    <m/>
    <m/>
    <s v="S6"/>
    <s v="S6"/>
    <n v="15"/>
    <s v="SCS"/>
    <n v="6"/>
    <n v="14"/>
    <m/>
    <m/>
    <m/>
    <m/>
    <m/>
    <n v="2"/>
    <n v="3"/>
    <n v="0.5"/>
    <n v="146"/>
    <m/>
    <m/>
    <m/>
  </r>
  <r>
    <s v="http://probaseballexperience.jcink.net/index.php?showtopic=3360"/>
    <s v="SAS"/>
    <s v="Aweseven"/>
    <s v="Dionte Washington - CL"/>
    <s v="Dionte Washington"/>
    <x v="9"/>
    <s v="Power"/>
    <x v="176"/>
    <n v="1.5"/>
    <m/>
    <m/>
    <m/>
    <m/>
    <s v="S10 TO"/>
    <s v="S6"/>
    <s v="S7"/>
    <n v="20"/>
    <m/>
    <m/>
    <m/>
    <m/>
    <m/>
    <m/>
    <m/>
    <m/>
    <m/>
    <s v="5 (0)"/>
    <n v="1.5"/>
    <n v="144"/>
    <m/>
    <m/>
    <m/>
  </r>
  <r>
    <m/>
    <s v="NYV"/>
    <s v="YeetBuddy"/>
    <s v="Mike McSlapp - CF"/>
    <s v="Mike McSlapp"/>
    <x v="0"/>
    <s v="Contact/Balanced"/>
    <x v="177"/>
    <s v="0(5)"/>
    <n v="5"/>
    <n v="5"/>
    <n v="5"/>
    <m/>
    <s v="http://probaseballexperience.jcink.net/index.php?showtopic=5312"/>
    <s v="S10"/>
    <s v="S10"/>
    <n v="16"/>
    <m/>
    <m/>
    <m/>
    <m/>
    <m/>
    <m/>
    <m/>
    <m/>
    <m/>
    <m/>
    <m/>
    <n v="100"/>
    <m/>
    <m/>
    <m/>
  </r>
  <r>
    <m/>
    <s v="NYV"/>
    <s v="Totally_Not_Moosecop"/>
    <s v="Bartolo Pizza - CL"/>
    <s v="Bartolo Pizza"/>
    <x v="9"/>
    <s v="Finesse"/>
    <x v="178"/>
    <s v="0(5)"/>
    <n v="5"/>
    <n v="5"/>
    <n v="5"/>
    <m/>
    <s v="http://probaseballexperience.jcink.net/index.php?showtopic=5312"/>
    <s v="S10"/>
    <s v="S10"/>
    <n v="36"/>
    <m/>
    <m/>
    <m/>
    <m/>
    <m/>
    <m/>
    <m/>
    <m/>
    <m/>
    <m/>
    <m/>
    <n v="100"/>
    <m/>
    <m/>
    <m/>
  </r>
  <r>
    <m/>
    <s v="PRO"/>
    <s v="Esso2264"/>
    <s v="John Bill - CL"/>
    <s v="John Bill"/>
    <x v="9"/>
    <s v="MR/LR"/>
    <x v="178"/>
    <n v="1.5"/>
    <n v="1.5"/>
    <n v="1.5"/>
    <m/>
    <m/>
    <s v="S12 MO"/>
    <s v="S9"/>
    <s v="S9"/>
    <n v="28"/>
    <m/>
    <m/>
    <m/>
    <m/>
    <m/>
    <m/>
    <m/>
    <m/>
    <m/>
    <m/>
    <s v="0(5)"/>
    <n v="129"/>
    <m/>
    <m/>
    <m/>
  </r>
  <r>
    <s v="http://probaseballexperience.jcink.net/index.php?showtopic=2502"/>
    <s v="OBX"/>
    <s v="Sour_Chin_Music"/>
    <s v="Michael O'Dowd - CL"/>
    <s v="Michael O'Dowd"/>
    <x v="9"/>
    <s v="Power"/>
    <x v="178"/>
    <n v="0.5"/>
    <m/>
    <m/>
    <m/>
    <m/>
    <s v="Cut"/>
    <s v="S4"/>
    <s v="S5"/>
    <n v="26"/>
    <m/>
    <m/>
    <m/>
    <m/>
    <m/>
    <m/>
    <n v="2"/>
    <n v="3"/>
    <n v="1.5"/>
    <m/>
    <n v="0.5"/>
    <n v="141"/>
    <m/>
    <m/>
    <m/>
  </r>
  <r>
    <s v="http://probaseballexperience.jcink.net/index.php?showtopic=1735"/>
    <s v="FA"/>
    <s v="OllieDaniels"/>
    <s v="Ollie Daniels - CF"/>
    <s v="Ollie Daniels"/>
    <x v="0"/>
    <s v="Speed/Speed "/>
    <x v="179"/>
    <m/>
    <m/>
    <m/>
    <m/>
    <m/>
    <m/>
    <s v="S3"/>
    <s v="S3"/>
    <n v="16"/>
    <m/>
    <m/>
    <m/>
    <m/>
    <m/>
    <n v="4"/>
    <n v="4"/>
    <n v="5"/>
    <m/>
    <m/>
    <m/>
    <n v="140"/>
    <m/>
    <n v="140"/>
    <n v="100"/>
  </r>
  <r>
    <s v="http://probaseballexperience.jcink.net/index.php?showtopic=3942"/>
    <s v="VAN"/>
    <s v="Shaggy28"/>
    <s v="CJ Henderson - SP"/>
    <s v="CJ Henderson"/>
    <x v="3"/>
    <s v="Power "/>
    <x v="180"/>
    <n v="1"/>
    <n v="1"/>
    <m/>
    <m/>
    <m/>
    <s v="S11 TO"/>
    <s v="S7"/>
    <s v="S8"/>
    <n v="31"/>
    <m/>
    <m/>
    <m/>
    <m/>
    <m/>
    <m/>
    <m/>
    <m/>
    <m/>
    <n v="0"/>
    <n v="1"/>
    <n v="139"/>
    <m/>
    <m/>
    <m/>
  </r>
  <r>
    <s v="http://probaseballexperience.jcink.net/index.php?showtopic=1477"/>
    <s v="FA"/>
    <s v="Confusion"/>
    <s v="Kazuya Miyuki - C"/>
    <s v="Kazuya Miyuk"/>
    <x v="4"/>
    <s v="Power/React"/>
    <x v="180"/>
    <m/>
    <m/>
    <m/>
    <m/>
    <m/>
    <m/>
    <s v="S2"/>
    <s v="S3"/>
    <n v="17"/>
    <m/>
    <m/>
    <m/>
    <m/>
    <n v="1.5"/>
    <n v="1.5"/>
    <n v="1.5"/>
    <n v="0.5"/>
    <n v="0.5"/>
    <n v="0.5"/>
    <n v="139"/>
    <n v="139"/>
    <m/>
    <n v="139"/>
    <n v="139"/>
  </r>
  <r>
    <s v="http://probaseballexperience.jcink.net/index.php?showtopic=3435"/>
    <s v="FA"/>
    <s v=".bojo"/>
    <s v="Boogie Flowers - 3B"/>
    <s v="Boogie Flowers"/>
    <x v="8"/>
    <s v="Speed/Quick"/>
    <x v="181"/>
    <m/>
    <m/>
    <m/>
    <m/>
    <m/>
    <s v="S10 TO"/>
    <s v="S6"/>
    <s v="S7"/>
    <n v="10"/>
    <m/>
    <m/>
    <m/>
    <m/>
    <m/>
    <m/>
    <m/>
    <m/>
    <s v="5 (0)"/>
    <m/>
    <n v="2"/>
    <n v="138"/>
    <m/>
    <m/>
    <m/>
  </r>
  <r>
    <m/>
    <s v="SAS"/>
    <s v="Leafs4ever"/>
    <s v="Ash Dragon - CF"/>
    <s v="Ash Dragon"/>
    <x v="0"/>
    <s v="Balanced/Balanced"/>
    <x v="182"/>
    <s v="0(5)"/>
    <n v="3"/>
    <n v="3"/>
    <n v="3"/>
    <m/>
    <s v="http://probaseballexperience.jcink.net/index.php?showtopic=5277&amp;st=0&amp;#entry63484"/>
    <s v="S10"/>
    <s v="S10"/>
    <n v="12"/>
    <m/>
    <m/>
    <m/>
    <m/>
    <m/>
    <m/>
    <m/>
    <m/>
    <m/>
    <m/>
    <m/>
    <n v="100"/>
    <m/>
    <m/>
    <m/>
  </r>
  <r>
    <m/>
    <s v="VAN"/>
    <s v="bluesfan55"/>
    <s v="Thor Sigurdsson - CF"/>
    <s v="Thor Sigurdsson"/>
    <x v="0"/>
    <s v="Balanced/Balanced"/>
    <x v="182"/>
    <s v="0(5)"/>
    <n v="2"/>
    <n v="2"/>
    <m/>
    <m/>
    <m/>
    <s v="S10"/>
    <s v="S10"/>
    <n v="15"/>
    <m/>
    <m/>
    <m/>
    <m/>
    <m/>
    <m/>
    <m/>
    <m/>
    <m/>
    <m/>
    <m/>
    <n v="100"/>
    <m/>
    <m/>
    <m/>
  </r>
  <r>
    <m/>
    <s v="FL"/>
    <s v="MantoRune"/>
    <s v="Manto Rune - 3B"/>
    <s v="Manto Rune"/>
    <x v="8"/>
    <s v="Balanced/Balanced"/>
    <x v="182"/>
    <s v="0(5)"/>
    <n v="2"/>
    <n v="2"/>
    <n v="2"/>
    <m/>
    <s v="http://probaseballexperience.jcink.net/index.php?showtopic=5301"/>
    <s v="S10"/>
    <s v="S10"/>
    <n v="28"/>
    <m/>
    <m/>
    <m/>
    <m/>
    <m/>
    <m/>
    <m/>
    <m/>
    <m/>
    <m/>
    <m/>
    <n v="100"/>
    <m/>
    <m/>
    <m/>
  </r>
  <r>
    <s v="http://probaseballexperience.jcink.net/index.php?act=ST&amp;f=2&amp;t=2524"/>
    <s v="FA"/>
    <s v="Trifecta"/>
    <s v="Esteban Julio Ricardo Montoya de la Rosa Ramirez - CF"/>
    <s v="Esteban Julio Ricardo Montoya de la Rosa Ramirez"/>
    <x v="0"/>
    <s v="Balanced/Arm"/>
    <x v="183"/>
    <m/>
    <m/>
    <m/>
    <m/>
    <m/>
    <s v="Cut"/>
    <s v="S5"/>
    <s v="S5"/>
    <n v="31"/>
    <m/>
    <m/>
    <m/>
    <m/>
    <m/>
    <m/>
    <m/>
    <n v="5"/>
    <n v="1.5"/>
    <m/>
    <m/>
    <n v="132"/>
    <m/>
    <m/>
    <m/>
  </r>
  <r>
    <s v="http://probaseballexperience.jcink.net/index.php?showtopic=1734"/>
    <s v="FA"/>
    <s v="Redsfan12c"/>
    <s v="Sam Cheung - 2B"/>
    <s v="Sam Cheung"/>
    <x v="2"/>
    <s v="Contact/Quick"/>
    <x v="183"/>
    <m/>
    <m/>
    <m/>
    <m/>
    <m/>
    <m/>
    <s v="S3"/>
    <s v="S3"/>
    <n v="20"/>
    <m/>
    <m/>
    <m/>
    <m/>
    <m/>
    <n v="4"/>
    <n v="4.5"/>
    <m/>
    <m/>
    <m/>
    <m/>
    <n v="132"/>
    <m/>
    <n v="132"/>
    <n v="132"/>
  </r>
  <r>
    <m/>
    <s v="PRO"/>
    <s v="TheWoZy"/>
    <s v="Tylar Finch - SP"/>
    <s v="Tylar Finch"/>
    <x v="3"/>
    <s v="Finesse"/>
    <x v="184"/>
    <s v="0(5)"/>
    <n v="2"/>
    <n v="2"/>
    <n v="2"/>
    <m/>
    <s v="http://probaseballexperience.jcink.net/index.php?showtopic=5313"/>
    <s v="S10"/>
    <s v="S10"/>
    <n v="18"/>
    <m/>
    <m/>
    <m/>
    <m/>
    <m/>
    <m/>
    <m/>
    <m/>
    <m/>
    <m/>
    <m/>
    <n v="100"/>
    <m/>
    <m/>
    <m/>
  </r>
  <r>
    <s v="http://probaseballexperience.jcink.net/index.php?showtopic=3621"/>
    <s v="FA"/>
    <s v="Shaun319"/>
    <s v="Shaun Parrish - CF"/>
    <s v="Shaun Parrish"/>
    <x v="0"/>
    <s v="Contact/Balanced"/>
    <x v="184"/>
    <m/>
    <m/>
    <m/>
    <m/>
    <m/>
    <s v="S10 TO"/>
    <s v="S7"/>
    <s v="S7"/>
    <n v="21"/>
    <m/>
    <m/>
    <m/>
    <m/>
    <m/>
    <m/>
    <m/>
    <m/>
    <m/>
    <s v="5 (0)"/>
    <m/>
    <n v="131"/>
    <m/>
    <m/>
    <m/>
  </r>
  <r>
    <s v="http://probaseballexperience.jcink.net/index.php?showtopic=4070"/>
    <s v="VAN"/>
    <s v="Looofah"/>
    <s v="Corey Bradford - RP"/>
    <s v="Corey Bradford"/>
    <x v="9"/>
    <s v="MR/LR"/>
    <x v="185"/>
    <n v="1.5"/>
    <n v="1.5"/>
    <m/>
    <m/>
    <m/>
    <s v="S11 TO"/>
    <s v="S8"/>
    <s v="S8"/>
    <n v="19"/>
    <m/>
    <m/>
    <m/>
    <m/>
    <m/>
    <m/>
    <m/>
    <m/>
    <m/>
    <n v="0"/>
    <n v="1.5"/>
    <n v="129"/>
    <m/>
    <m/>
    <m/>
  </r>
  <r>
    <m/>
    <s v="VAN"/>
    <s v="doublea"/>
    <s v="Alan Abel - SP"/>
    <s v="Alan Abel"/>
    <x v="3"/>
    <s v="Power"/>
    <x v="185"/>
    <n v="1"/>
    <n v="1"/>
    <m/>
    <m/>
    <m/>
    <s v="S11 PO"/>
    <s v="S9"/>
    <s v="S9"/>
    <n v="32"/>
    <m/>
    <m/>
    <m/>
    <m/>
    <m/>
    <m/>
    <m/>
    <m/>
    <m/>
    <m/>
    <s v="0(5)"/>
    <n v="129"/>
    <m/>
    <m/>
    <m/>
  </r>
  <r>
    <s v="http://probaseballexperience.jcink.net/index.php?showtopic=2615"/>
    <s v="FA"/>
    <s v="Money"/>
    <s v="Reggie Malone - LF"/>
    <s v="Reggie Malone"/>
    <x v="6"/>
    <s v="Contact/Arm"/>
    <x v="185"/>
    <m/>
    <m/>
    <m/>
    <m/>
    <m/>
    <s v="S7 PO"/>
    <s v="S5"/>
    <s v="S5"/>
    <n v="6"/>
    <m/>
    <m/>
    <m/>
    <m/>
    <m/>
    <m/>
    <n v="3"/>
    <n v="3"/>
    <n v="3"/>
    <m/>
    <m/>
    <n v="129"/>
    <m/>
    <m/>
    <m/>
  </r>
  <r>
    <s v="http://probaseballexperience.jcink.net/index.php?showtopic=1377"/>
    <s v="FA"/>
    <s v="k0ala"/>
    <s v="Ben O'Leary - C"/>
    <s v="Ben O'Lear"/>
    <x v="4"/>
    <s v="Power/Arm"/>
    <x v="185"/>
    <m/>
    <m/>
    <m/>
    <m/>
    <m/>
    <m/>
    <s v="S2"/>
    <s v="S2"/>
    <n v="26"/>
    <m/>
    <m/>
    <m/>
    <m/>
    <m/>
    <n v="1"/>
    <n v="1"/>
    <n v="1"/>
    <n v="0.5"/>
    <m/>
    <m/>
    <n v="129"/>
    <m/>
    <n v="129"/>
    <n v="129"/>
  </r>
  <r>
    <m/>
    <s v="UTA"/>
    <s v="Mozer92"/>
    <s v="Jason Lester - 1B"/>
    <s v="Jason Lester"/>
    <x v="7"/>
    <s v="Power/Speedy"/>
    <x v="186"/>
    <s v="0(5)"/>
    <n v="1"/>
    <n v="1.5"/>
    <n v="3"/>
    <m/>
    <s v="http://probaseballexperience.jcink.net/index.php?showtopic=5315"/>
    <s v="S9"/>
    <s v="S10"/>
    <n v="33"/>
    <m/>
    <m/>
    <m/>
    <m/>
    <m/>
    <m/>
    <m/>
    <m/>
    <m/>
    <m/>
    <m/>
    <n v="113"/>
    <m/>
    <m/>
    <m/>
  </r>
  <r>
    <s v="http://probaseballexperience.jcink.net/index.php?showtopic=3889"/>
    <s v="VAN"/>
    <s v="PricklyBoi"/>
    <s v="Prickly Pearboi - SP"/>
    <s v="Prickly Pearboi"/>
    <x v="3"/>
    <s v="Finesse "/>
    <x v="186"/>
    <n v="1"/>
    <n v="1"/>
    <m/>
    <m/>
    <m/>
    <s v="S11 TO"/>
    <s v="S7"/>
    <s v="S8"/>
    <n v="25"/>
    <m/>
    <m/>
    <m/>
    <m/>
    <m/>
    <m/>
    <m/>
    <m/>
    <m/>
    <n v="0"/>
    <n v="1"/>
    <n v="128"/>
    <m/>
    <m/>
    <m/>
  </r>
  <r>
    <s v="http://probaseballexperience.jcink.net/index.php?showtopic=3272"/>
    <s v="FA"/>
    <s v="39alaska39"/>
    <s v="Kevin Winters - C"/>
    <s v="Kevin Winter"/>
    <x v="4"/>
    <s v="Balanced/React"/>
    <x v="187"/>
    <m/>
    <m/>
    <m/>
    <m/>
    <m/>
    <s v="S10 TO"/>
    <s v="S6"/>
    <s v="S7"/>
    <n v="23"/>
    <m/>
    <m/>
    <m/>
    <m/>
    <m/>
    <m/>
    <m/>
    <m/>
    <m/>
    <s v="5 (0)"/>
    <n v="3"/>
    <n v="126"/>
    <m/>
    <m/>
    <m/>
  </r>
  <r>
    <s v="http://probaseballexperience.jcink.net/index.php?showtopic=4076"/>
    <s v="FA"/>
    <s v="Tbeowulf"/>
    <s v="Thomas Beowulf - CF"/>
    <s v="Thomas Beowulf"/>
    <x v="0"/>
    <s v="Speed/Balance"/>
    <x v="187"/>
    <m/>
    <m/>
    <m/>
    <m/>
    <m/>
    <s v="S10 MO http://probaseballexperience.jcink.net/index.php?showtopic=4214"/>
    <s v="S8"/>
    <s v="S8"/>
    <n v="16"/>
    <m/>
    <m/>
    <m/>
    <m/>
    <m/>
    <m/>
    <m/>
    <m/>
    <m/>
    <n v="0"/>
    <n v="1.5"/>
    <n v="126"/>
    <m/>
    <m/>
    <m/>
  </r>
  <r>
    <s v="http://probaseballexperience.jcink.net/index.php?showtopic=3272"/>
    <s v="FA"/>
    <s v="39alaska39"/>
    <s v="Kevin Winters - C"/>
    <s v="Kevin Winter"/>
    <x v="4"/>
    <s v="Balanced/React"/>
    <x v="187"/>
    <m/>
    <m/>
    <m/>
    <m/>
    <m/>
    <s v="S10 TO"/>
    <s v="S6"/>
    <s v="S7"/>
    <n v="23"/>
    <m/>
    <m/>
    <m/>
    <m/>
    <m/>
    <m/>
    <m/>
    <m/>
    <m/>
    <s v="5 (0)"/>
    <n v="3"/>
    <n v="126"/>
    <m/>
    <m/>
    <m/>
  </r>
  <r>
    <m/>
    <s v="DRA"/>
    <s v="AlexF"/>
    <s v="Blake Faux - SP"/>
    <s v="Blake Faux"/>
    <x v="3"/>
    <s v="Knuckleball "/>
    <x v="188"/>
    <m/>
    <m/>
    <m/>
    <m/>
    <m/>
    <m/>
    <s v="S10"/>
    <s v="S11"/>
    <m/>
    <m/>
    <m/>
    <m/>
    <m/>
    <m/>
    <m/>
    <m/>
    <m/>
    <m/>
    <m/>
    <m/>
    <n v="100"/>
    <m/>
    <m/>
    <m/>
  </r>
  <r>
    <m/>
    <s v="DVS"/>
    <s v="Its_Paco"/>
    <s v="Paco Dunbar - CL"/>
    <s v="Paco Dunbar"/>
    <x v="9"/>
    <s v="MR/LR"/>
    <x v="189"/>
    <s v="0(5)"/>
    <n v="1"/>
    <n v="1"/>
    <m/>
    <m/>
    <s v="http://probaseballexperience.jcink.net/index.php?showtopic=5393"/>
    <s v="S10"/>
    <s v="S10"/>
    <n v="38"/>
    <m/>
    <m/>
    <m/>
    <m/>
    <m/>
    <m/>
    <m/>
    <m/>
    <m/>
    <m/>
    <m/>
    <n v="100"/>
    <m/>
    <m/>
    <m/>
  </r>
  <r>
    <m/>
    <s v="FA"/>
    <s v="BarnabyEarl"/>
    <s v="Barnaby Earl - 1B"/>
    <s v="Barnaby Earl"/>
    <x v="7"/>
    <s v="Power/Balanced"/>
    <x v="189"/>
    <m/>
    <m/>
    <m/>
    <m/>
    <m/>
    <m/>
    <s v="S8"/>
    <s v="S9"/>
    <n v="45"/>
    <m/>
    <m/>
    <m/>
    <m/>
    <m/>
    <m/>
    <m/>
    <m/>
    <m/>
    <m/>
    <m/>
    <n v="118"/>
    <m/>
    <m/>
    <m/>
  </r>
  <r>
    <s v="http://probaseballexperience.jcink.net/index.php?showtopic=3097"/>
    <s v="FA"/>
    <s v="Merkury86"/>
    <s v="Eddie Spaghetti - 3B"/>
    <s v="Eddie Spaghetti"/>
    <x v="8"/>
    <s v="Balanced/Balanced"/>
    <x v="189"/>
    <m/>
    <m/>
    <m/>
    <m/>
    <m/>
    <s v="S9 TO"/>
    <s v="S6"/>
    <s v="S6"/>
    <n v="25"/>
    <s v="ASE"/>
    <n v="6"/>
    <n v="8"/>
    <s v="Y"/>
    <m/>
    <m/>
    <m/>
    <m/>
    <n v="1"/>
    <n v="1"/>
    <m/>
    <n v="118"/>
    <m/>
    <m/>
    <m/>
  </r>
  <r>
    <s v="http://probaseballexperience.jcink.net/index.php?showtopic=127"/>
    <s v="PRO"/>
    <s v="Squeeze"/>
    <s v="Buddy McKnight - SP"/>
    <s v="Buddy McKnight"/>
    <x v="3"/>
    <s v="Finesse"/>
    <x v="189"/>
    <n v="0.5"/>
    <m/>
    <m/>
    <m/>
    <m/>
    <m/>
    <s v="S1"/>
    <s v="S1"/>
    <n v="20"/>
    <m/>
    <m/>
    <m/>
    <m/>
    <m/>
    <n v="3"/>
    <n v="0.5"/>
    <n v="0.5"/>
    <n v="0.5"/>
    <n v="0.5"/>
    <n v="0.5"/>
    <n v="133"/>
    <m/>
    <n v="133"/>
    <n v="133"/>
  </r>
  <r>
    <m/>
    <s v="DVS"/>
    <s v="BaseballManiac"/>
    <s v="Diego Duque de Estrada - SP"/>
    <s v="Diego Duque de Estrada"/>
    <x v="3"/>
    <s v="Finesse"/>
    <x v="190"/>
    <n v="1.25"/>
    <n v="1.25"/>
    <m/>
    <m/>
    <m/>
    <s v="S11 MO"/>
    <s v="S9"/>
    <s v="S9"/>
    <n v="40"/>
    <m/>
    <m/>
    <m/>
    <m/>
    <m/>
    <m/>
    <m/>
    <m/>
    <m/>
    <m/>
    <s v="0(5)"/>
    <n v="116"/>
    <m/>
    <m/>
    <m/>
  </r>
  <r>
    <s v="http://probaseballexperience.jcink.net/index.php?showtopic=1041"/>
    <s v="FA"/>
    <s v="lasershow1507"/>
    <s v="Brandon Adams - SP"/>
    <s v="Brandon Adams"/>
    <x v="3"/>
    <s v="Finesse"/>
    <x v="191"/>
    <n v="0.5"/>
    <m/>
    <m/>
    <m/>
    <m/>
    <m/>
    <s v="S2"/>
    <s v="S2"/>
    <n v="35"/>
    <m/>
    <m/>
    <m/>
    <m/>
    <m/>
    <n v="1"/>
    <n v="1"/>
    <n v="0.5"/>
    <n v="0.5"/>
    <m/>
    <n v="0.5"/>
    <n v="114"/>
    <n v="114"/>
    <n v="114"/>
    <n v="114"/>
  </r>
  <r>
    <s v="http://probaseballexperience.jcink.net/index.php?showtopic=2571"/>
    <s v="FA"/>
    <s v="Stockton"/>
    <s v="Ike Thompson - 2B"/>
    <s v="Ike Thompson"/>
    <x v="2"/>
    <s v="Power/Balanced"/>
    <x v="191"/>
    <m/>
    <m/>
    <m/>
    <m/>
    <m/>
    <s v="S7 TO"/>
    <s v="S5"/>
    <s v="S5"/>
    <n v="11"/>
    <m/>
    <m/>
    <m/>
    <m/>
    <m/>
    <m/>
    <n v="2"/>
    <n v="2"/>
    <n v="2"/>
    <m/>
    <m/>
    <n v="114"/>
    <m/>
    <m/>
    <m/>
  </r>
  <r>
    <s v="http://probaseballexperience.jcink.net/index.php?showtopic=1041"/>
    <s v="FA"/>
    <s v="lasershow1507"/>
    <s v="Brandon Adams - SP"/>
    <s v="Brandon Adams"/>
    <x v="3"/>
    <s v="Finesse"/>
    <x v="191"/>
    <m/>
    <m/>
    <m/>
    <m/>
    <m/>
    <m/>
    <s v="S2"/>
    <s v="S2"/>
    <n v="35"/>
    <m/>
    <m/>
    <m/>
    <m/>
    <m/>
    <n v="1"/>
    <n v="1"/>
    <n v="0.5"/>
    <n v="0.5"/>
    <m/>
    <m/>
    <n v="114"/>
    <m/>
    <n v="114"/>
    <n v="114"/>
  </r>
  <r>
    <s v="http://probaseballexperience.jcink.net/index.php?showtopic=3594"/>
    <s v="VAN"/>
    <s v="dreadlordking"/>
    <s v="Marc Steele - RF"/>
    <s v="Marc Steele"/>
    <x v="5"/>
    <s v="Speed/Speed"/>
    <x v="192"/>
    <n v="1.5"/>
    <m/>
    <m/>
    <m/>
    <m/>
    <s v="S10 MO"/>
    <s v="S7"/>
    <s v="S7"/>
    <n v="17"/>
    <m/>
    <m/>
    <m/>
    <m/>
    <m/>
    <m/>
    <m/>
    <m/>
    <s v="5 (0)"/>
    <n v="1.5"/>
    <n v="1.5"/>
    <n v="113"/>
    <m/>
    <m/>
    <m/>
  </r>
  <r>
    <s v="http://probaseballexperience.jcink.net/index.php?showtopic=1799"/>
    <s v="FA"/>
    <s v="Cox2j8"/>
    <s v="Logan Cox - C"/>
    <s v="Logan Co"/>
    <x v="4"/>
    <s v="Balanced/React"/>
    <x v="192"/>
    <m/>
    <m/>
    <m/>
    <m/>
    <m/>
    <m/>
    <s v="S3"/>
    <s v="S3"/>
    <n v="15"/>
    <m/>
    <m/>
    <m/>
    <m/>
    <m/>
    <n v="2"/>
    <m/>
    <m/>
    <m/>
    <m/>
    <m/>
    <n v="113"/>
    <m/>
    <m/>
    <n v="113"/>
  </r>
  <r>
    <s v="http://probaseballexperience.jcink.net/index.php?showtopic=3080"/>
    <s v="FA"/>
    <s v="drphillysblunt"/>
    <s v="Phil Blunt - CF"/>
    <s v="Phil Blunt"/>
    <x v="0"/>
    <s v="Speed/Speed"/>
    <x v="193"/>
    <m/>
    <m/>
    <m/>
    <m/>
    <m/>
    <m/>
    <s v="S6"/>
    <s v="S6"/>
    <n v="21"/>
    <m/>
    <m/>
    <m/>
    <m/>
    <m/>
    <m/>
    <m/>
    <m/>
    <m/>
    <m/>
    <m/>
    <n v="112"/>
    <m/>
    <m/>
    <m/>
  </r>
  <r>
    <s v="http://probaseballexperience.jcink.net/index.php?showtopic=1147"/>
    <s v="FA"/>
    <s v="CrashDavis"/>
    <s v="Ulysses Covfefe - CF"/>
    <s v="Ulysses Covfefe"/>
    <x v="0"/>
    <s v="Speed/Balanced "/>
    <x v="193"/>
    <m/>
    <m/>
    <m/>
    <m/>
    <m/>
    <m/>
    <s v="S2"/>
    <s v="S2"/>
    <n v="37"/>
    <m/>
    <m/>
    <m/>
    <m/>
    <m/>
    <n v="0.6"/>
    <n v="0.6"/>
    <m/>
    <m/>
    <m/>
    <m/>
    <n v="112"/>
    <m/>
    <n v="113"/>
    <n v="113"/>
  </r>
  <r>
    <m/>
    <s v="OBX"/>
    <s v="fade17"/>
    <s v="Bishop Chomke - RF"/>
    <s v="Bishop Chomke"/>
    <x v="5"/>
    <s v="Contact/Balanced"/>
    <x v="194"/>
    <n v="2"/>
    <n v="2"/>
    <m/>
    <m/>
    <m/>
    <s v="S11 TO"/>
    <s v="S9"/>
    <s v="S9"/>
    <n v="39"/>
    <m/>
    <m/>
    <m/>
    <m/>
    <m/>
    <m/>
    <m/>
    <m/>
    <m/>
    <m/>
    <m/>
    <n v="111"/>
    <m/>
    <m/>
    <m/>
  </r>
  <r>
    <s v="http://probaseballexperience.jcink.net/index.php?showtopic=239"/>
    <s v="PRO"/>
    <s v="christian"/>
    <s v="Christian Augustine - SP"/>
    <s v="Christian Augustine"/>
    <x v="3"/>
    <s v="Finesse"/>
    <x v="194"/>
    <n v="0.5"/>
    <m/>
    <m/>
    <m/>
    <m/>
    <m/>
    <s v="S1"/>
    <s v="S1"/>
    <n v="65"/>
    <m/>
    <m/>
    <m/>
    <m/>
    <n v="0.5"/>
    <n v="0.5"/>
    <n v="0.5"/>
    <n v="0.5"/>
    <n v="0.5"/>
    <n v="0.5"/>
    <n v="0.5"/>
    <n v="111"/>
    <n v="111"/>
    <n v="111"/>
    <n v="111"/>
  </r>
  <r>
    <s v="http://probaseballexperience.jcink.net/index.php?showtopic=2229"/>
    <s v="FA"/>
    <s v="CompleteBelter"/>
    <s v="Stuart Westerkamp - C"/>
    <s v="Stuart Westerkam"/>
    <x v="4"/>
    <s v="Contact/React"/>
    <x v="194"/>
    <m/>
    <m/>
    <m/>
    <m/>
    <m/>
    <m/>
    <s v="S4"/>
    <s v="S4"/>
    <n v="13"/>
    <m/>
    <m/>
    <m/>
    <m/>
    <m/>
    <m/>
    <n v="2.5"/>
    <n v="1.25"/>
    <m/>
    <m/>
    <m/>
    <n v="111"/>
    <m/>
    <m/>
    <m/>
  </r>
  <r>
    <s v="http://probaseballexperience.jcink.net/index.php?showtopic=1062"/>
    <s v="FA"/>
    <s v="Sky23"/>
    <s v="Addison Steinbach - SP"/>
    <s v="Addison Steinbach"/>
    <x v="3"/>
    <s v="Power"/>
    <x v="194"/>
    <m/>
    <m/>
    <m/>
    <m/>
    <m/>
    <m/>
    <s v="S2"/>
    <s v="S2"/>
    <n v="30"/>
    <m/>
    <m/>
    <m/>
    <m/>
    <m/>
    <n v="4"/>
    <n v="4"/>
    <n v="0.5"/>
    <m/>
    <m/>
    <m/>
    <n v="111"/>
    <m/>
    <n v="111"/>
    <n v="111"/>
  </r>
  <r>
    <m/>
    <s v="DRA"/>
    <s v="chucky267"/>
    <s v="Dinero Torres - SP"/>
    <s v="Dinero Torres"/>
    <x v="3"/>
    <s v="Balanced"/>
    <x v="195"/>
    <m/>
    <m/>
    <m/>
    <m/>
    <m/>
    <m/>
    <s v="S10"/>
    <s v="S11"/>
    <m/>
    <m/>
    <m/>
    <m/>
    <m/>
    <m/>
    <m/>
    <m/>
    <m/>
    <m/>
    <m/>
    <m/>
    <n v="100"/>
    <m/>
    <m/>
    <m/>
  </r>
  <r>
    <m/>
    <s v="DVS"/>
    <s v="PoopsMagee"/>
    <s v="Arthur Meebles - LF"/>
    <s v="Arthur Meebles"/>
    <x v="6"/>
    <s v="Contact/Arm"/>
    <x v="195"/>
    <s v="0(5)"/>
    <n v="1"/>
    <n v="3"/>
    <m/>
    <m/>
    <s v="http://probaseballexperience.jcink.net/index.php?showtopic=5319"/>
    <s v="S10"/>
    <s v="S10"/>
    <n v="34"/>
    <m/>
    <m/>
    <m/>
    <m/>
    <m/>
    <m/>
    <m/>
    <m/>
    <m/>
    <m/>
    <m/>
    <n v="100"/>
    <m/>
    <m/>
    <m/>
  </r>
  <r>
    <m/>
    <s v="PRO"/>
    <s v="Plasman"/>
    <s v="Orin Valeryn - CL"/>
    <s v="Orin Valeryn"/>
    <x v="9"/>
    <s v="MR/LR"/>
    <x v="195"/>
    <s v="0(5)"/>
    <n v="2"/>
    <n v="2"/>
    <n v="2"/>
    <m/>
    <s v="http://probaseballexperience.jcink.net/index.php?showtopic=5313"/>
    <s v="S10"/>
    <s v="S10"/>
    <n v="24"/>
    <m/>
    <m/>
    <m/>
    <m/>
    <m/>
    <m/>
    <m/>
    <m/>
    <m/>
    <m/>
    <m/>
    <n v="100"/>
    <m/>
    <m/>
    <m/>
  </r>
  <r>
    <m/>
    <s v="OBX"/>
    <s v="UnderdogWSNC"/>
    <s v="Goose Boozer - CL"/>
    <s v="Goose Boozer"/>
    <x v="9"/>
    <s v="Balanced"/>
    <x v="195"/>
    <n v="3"/>
    <n v="3"/>
    <m/>
    <m/>
    <m/>
    <s v="S11 TO"/>
    <s v="S9"/>
    <s v="S9"/>
    <n v="7"/>
    <m/>
    <m/>
    <m/>
    <m/>
    <m/>
    <m/>
    <m/>
    <m/>
    <m/>
    <m/>
    <m/>
    <n v="108"/>
    <m/>
    <m/>
    <m/>
  </r>
  <r>
    <m/>
    <s v="VAN"/>
    <s v="Good_Ole_Kimmy"/>
    <s v="Jack Blll - CL"/>
    <s v="Jack Blll"/>
    <x v="9"/>
    <s v="MR/LR"/>
    <x v="195"/>
    <n v="1.5"/>
    <n v="1.5"/>
    <n v="1.5"/>
    <m/>
    <m/>
    <s v="S12 TO"/>
    <s v="S9"/>
    <s v="S9"/>
    <n v="35"/>
    <m/>
    <m/>
    <m/>
    <m/>
    <m/>
    <m/>
    <m/>
    <m/>
    <m/>
    <m/>
    <s v="0(5)"/>
    <n v="108"/>
    <m/>
    <m/>
    <m/>
  </r>
  <r>
    <m/>
    <s v="VAN"/>
    <s v="Blandryt"/>
    <s v="Tyler Findling - SS"/>
    <s v="Tyler Findling"/>
    <x v="1"/>
    <s v="Contact/Utility"/>
    <x v="195"/>
    <n v="1.5"/>
    <n v="1.5"/>
    <n v="1.5"/>
    <m/>
    <m/>
    <s v="S12 MO"/>
    <s v="S9"/>
    <s v="S9"/>
    <n v="24"/>
    <m/>
    <m/>
    <m/>
    <m/>
    <m/>
    <m/>
    <m/>
    <m/>
    <m/>
    <m/>
    <s v="0(5)"/>
    <n v="108"/>
    <m/>
    <m/>
    <m/>
  </r>
  <r>
    <s v="http://probaseballexperience.jcink.net/index.php?showtopic=3196"/>
    <s v="VAN"/>
    <s v="Macsimusx"/>
    <s v="Benjamin Beaux - SS"/>
    <s v="Benjamin Beaux"/>
    <x v="1"/>
    <s v="Balanced/Quick"/>
    <x v="195"/>
    <n v="1"/>
    <m/>
    <m/>
    <m/>
    <m/>
    <s v="S10 TO"/>
    <s v="S6"/>
    <s v="S7"/>
    <n v="13"/>
    <m/>
    <m/>
    <m/>
    <m/>
    <m/>
    <m/>
    <m/>
    <m/>
    <n v="1"/>
    <n v="1"/>
    <n v="1"/>
    <n v="108"/>
    <m/>
    <m/>
    <m/>
  </r>
  <r>
    <m/>
    <s v="FA"/>
    <s v="UnderdogWSNC"/>
    <s v="Goose Boozer - CL"/>
    <s v="Goose Boozer"/>
    <x v="9"/>
    <s v="Balanced"/>
    <x v="195"/>
    <m/>
    <m/>
    <m/>
    <m/>
    <m/>
    <m/>
    <s v="S9"/>
    <s v="S9"/>
    <n v="7"/>
    <m/>
    <m/>
    <m/>
    <m/>
    <m/>
    <m/>
    <m/>
    <m/>
    <m/>
    <m/>
    <m/>
    <n v="108"/>
    <m/>
    <m/>
    <m/>
  </r>
  <r>
    <m/>
    <s v="FA"/>
    <s v="Jbm3333"/>
    <s v="Elon Bezos - SS"/>
    <s v="Elon Bezos"/>
    <x v="1"/>
    <s v="Balanced/Speedy"/>
    <x v="195"/>
    <m/>
    <m/>
    <m/>
    <m/>
    <m/>
    <m/>
    <s v="S9"/>
    <s v="S9"/>
    <n v="44"/>
    <m/>
    <m/>
    <m/>
    <m/>
    <m/>
    <m/>
    <m/>
    <m/>
    <m/>
    <m/>
    <m/>
    <n v="108"/>
    <m/>
    <m/>
    <m/>
  </r>
  <r>
    <s v="http://probaseballexperience.jcink.net/index.php?showtopic=3610"/>
    <s v="FA"/>
    <s v="datboi"/>
    <s v="Andrew Cathington - CF"/>
    <s v="Andrew Cathington"/>
    <x v="0"/>
    <s v="Speed/Speed"/>
    <x v="195"/>
    <m/>
    <m/>
    <m/>
    <m/>
    <m/>
    <s v="S10 TO"/>
    <s v="S7"/>
    <s v="S7"/>
    <n v="15"/>
    <m/>
    <m/>
    <m/>
    <m/>
    <m/>
    <m/>
    <m/>
    <m/>
    <m/>
    <s v="5 (0)"/>
    <m/>
    <n v="108"/>
    <m/>
    <m/>
    <m/>
  </r>
  <r>
    <s v="http://probaseballexperience.jcink.net/index.php?showtopic=3573"/>
    <s v="FA"/>
    <s v="Nbrown55"/>
    <s v="Dino Panini - SP"/>
    <s v="Dino Panini"/>
    <x v="3"/>
    <s v="Finesse "/>
    <x v="195"/>
    <m/>
    <m/>
    <m/>
    <m/>
    <m/>
    <s v="S10 TO"/>
    <s v="S7"/>
    <s v="S7"/>
    <n v="14"/>
    <m/>
    <m/>
    <m/>
    <m/>
    <m/>
    <m/>
    <m/>
    <m/>
    <s v="5 (0)"/>
    <m/>
    <n v="1.5"/>
    <n v="108"/>
    <m/>
    <m/>
    <m/>
  </r>
  <r>
    <s v="http://probaseballexperience.jcink.net/index.php?showtopic=3585"/>
    <s v="FA"/>
    <s v="Mawcuzz"/>
    <s v="Marc Courtremanche - 3B"/>
    <s v="Marc Courtremanche"/>
    <x v="8"/>
    <s v="Balanced/Balanced"/>
    <x v="195"/>
    <m/>
    <m/>
    <m/>
    <m/>
    <m/>
    <s v="S10 PO"/>
    <s v="S7"/>
    <s v="S7"/>
    <n v="19"/>
    <m/>
    <m/>
    <m/>
    <m/>
    <m/>
    <m/>
    <m/>
    <m/>
    <m/>
    <s v="5 (0)"/>
    <n v="3"/>
    <n v="108"/>
    <m/>
    <m/>
    <m/>
  </r>
  <r>
    <s v="http://probaseballexperience.jcink.net/index.php?showtopic=2596"/>
    <s v="FA"/>
    <s v="KingSwampTroll"/>
    <s v="King Swamp Troll RF"/>
    <s v="King Swamp Tro"/>
    <x v="5"/>
    <s v="Power/Balanced"/>
    <x v="195"/>
    <m/>
    <m/>
    <m/>
    <m/>
    <m/>
    <s v="Cut"/>
    <s v="S5"/>
    <s v="S5"/>
    <n v="22"/>
    <m/>
    <m/>
    <m/>
    <m/>
    <m/>
    <m/>
    <m/>
    <n v="2"/>
    <n v="0.625"/>
    <m/>
    <m/>
    <n v="108"/>
    <m/>
    <m/>
    <m/>
  </r>
  <r>
    <s v="http://probaseballexperience.jcink.net/index.php?showtopic=2194"/>
    <s v="FA"/>
    <s v="adfalcon"/>
    <s v="Alex Rolison - SP"/>
    <s v="Alex Rolison"/>
    <x v="3"/>
    <s v="Finesse"/>
    <x v="195"/>
    <m/>
    <m/>
    <m/>
    <m/>
    <m/>
    <m/>
    <s v="S4"/>
    <s v="S4"/>
    <n v="8"/>
    <m/>
    <m/>
    <m/>
    <m/>
    <m/>
    <m/>
    <n v="3"/>
    <n v="1.75"/>
    <m/>
    <m/>
    <m/>
    <n v="108"/>
    <m/>
    <n v="100"/>
    <e v="#REF!"/>
  </r>
  <r>
    <m/>
    <s v="PRO"/>
    <s v="GoodLeftUndone"/>
    <s v="Tormund Gingerbomb - 3B"/>
    <s v="Tormund Gingerbomb"/>
    <x v="8"/>
    <s v="Power/Speedy"/>
    <x v="196"/>
    <s v="0(5)"/>
    <n v="1.5"/>
    <n v="1.5"/>
    <n v="1.5"/>
    <m/>
    <s v="http://probaseballexperience.jcink.net/index.php?showtopic=5362"/>
    <s v="S10"/>
    <s v="S10"/>
    <n v="32"/>
    <m/>
    <m/>
    <m/>
    <m/>
    <m/>
    <m/>
    <m/>
    <m/>
    <m/>
    <m/>
    <m/>
    <n v="100"/>
    <m/>
    <m/>
    <m/>
  </r>
  <r>
    <m/>
    <s v="PRO"/>
    <s v="JerseyBorn"/>
    <s v="Olle Sylvegaard - RF"/>
    <s v="Olle Sylvegaard"/>
    <x v="5"/>
    <s v="Power/Arm"/>
    <x v="197"/>
    <n v="1.5"/>
    <n v="1.5"/>
    <n v="1.5"/>
    <m/>
    <m/>
    <s v="S12 MO"/>
    <s v="S9"/>
    <s v="S9"/>
    <n v="23"/>
    <m/>
    <m/>
    <m/>
    <m/>
    <m/>
    <m/>
    <m/>
    <m/>
    <m/>
    <m/>
    <s v="0(5)"/>
    <n v="113"/>
    <m/>
    <m/>
    <m/>
  </r>
  <r>
    <m/>
    <s v="DRA"/>
    <s v="MasterDolphin19"/>
    <s v="Randy Drumbo - C"/>
    <s v="Randy Drumbo"/>
    <x v="4"/>
    <s v="Power/Balanced"/>
    <x v="198"/>
    <m/>
    <m/>
    <m/>
    <m/>
    <m/>
    <m/>
    <s v="S10"/>
    <s v="S11"/>
    <m/>
    <m/>
    <m/>
    <m/>
    <m/>
    <m/>
    <m/>
    <m/>
    <m/>
    <m/>
    <m/>
    <m/>
    <n v="100"/>
    <m/>
    <m/>
    <m/>
  </r>
  <r>
    <s v="http://probaseballexperience.jcink.net/index.php?showtopic=2190"/>
    <s v="FA"/>
    <s v="mako1355"/>
    <s v="TJ Sparks - SP"/>
    <s v="TJ Sparks"/>
    <x v="3"/>
    <s v="Finesse"/>
    <x v="198"/>
    <m/>
    <m/>
    <m/>
    <m/>
    <m/>
    <m/>
    <s v="S4"/>
    <s v="S4"/>
    <n v="12"/>
    <m/>
    <m/>
    <m/>
    <m/>
    <m/>
    <m/>
    <n v="3"/>
    <n v="1.5"/>
    <m/>
    <m/>
    <m/>
    <n v="105"/>
    <m/>
    <n v="100"/>
    <e v="#REF!"/>
  </r>
  <r>
    <m/>
    <s v="OBX"/>
    <s v="Nykonax"/>
    <s v="Paul DiMirio III - 2B"/>
    <s v="Paul DiMirio III"/>
    <x v="2"/>
    <s v="Power/Speed"/>
    <x v="199"/>
    <s v="0(5)"/>
    <n v="1"/>
    <n v="1"/>
    <n v="1"/>
    <m/>
    <m/>
    <s v="S10"/>
    <s v="S10"/>
    <n v="37"/>
    <m/>
    <m/>
    <m/>
    <m/>
    <m/>
    <m/>
    <m/>
    <m/>
    <m/>
    <m/>
    <m/>
    <n v="100"/>
    <m/>
    <m/>
    <m/>
  </r>
  <r>
    <s v="http://probaseballexperience.jcink.net/index.php?showtopic=1032"/>
    <s v="FA"/>
    <s v="Sopath"/>
    <s v="Harvey Bones - SP"/>
    <s v="Harvey Bones"/>
    <x v="3"/>
    <s v="Power"/>
    <x v="199"/>
    <m/>
    <m/>
    <m/>
    <m/>
    <m/>
    <s v="Cut"/>
    <s v="S2"/>
    <s v="S2"/>
    <n v="8"/>
    <m/>
    <m/>
    <m/>
    <m/>
    <m/>
    <n v="3"/>
    <n v="3"/>
    <n v="0.5"/>
    <n v="0.25"/>
    <m/>
    <m/>
    <n v="103"/>
    <m/>
    <n v="103"/>
    <n v="103"/>
  </r>
  <r>
    <m/>
    <s v="DRA"/>
    <s v="TheFlash"/>
    <s v="Randy Savage - SP"/>
    <s v="Randy Savage"/>
    <x v="3"/>
    <s v="Balanced"/>
    <x v="200"/>
    <m/>
    <m/>
    <m/>
    <m/>
    <m/>
    <m/>
    <s v="S10"/>
    <s v="S11"/>
    <m/>
    <m/>
    <m/>
    <m/>
    <m/>
    <m/>
    <m/>
    <m/>
    <m/>
    <m/>
    <m/>
    <m/>
    <n v="100"/>
    <m/>
    <m/>
    <m/>
  </r>
  <r>
    <m/>
    <s v="DRA"/>
    <s v="DONG"/>
    <s v="Albert Blueballs - 1B"/>
    <s v="Albert Blueballs"/>
    <x v="7"/>
    <s v="Balanced/Balanced"/>
    <x v="200"/>
    <m/>
    <m/>
    <m/>
    <m/>
    <m/>
    <m/>
    <s v="S10"/>
    <s v="S11"/>
    <m/>
    <m/>
    <m/>
    <m/>
    <m/>
    <m/>
    <m/>
    <m/>
    <m/>
    <m/>
    <m/>
    <m/>
    <n v="100"/>
    <m/>
    <m/>
    <m/>
  </r>
  <r>
    <m/>
    <s v="DRA"/>
    <s v="Ash2020"/>
    <s v="Juan Dong - 1B"/>
    <s v="Juan Dong"/>
    <x v="7"/>
    <s v="Balanced/Utility"/>
    <x v="200"/>
    <m/>
    <m/>
    <m/>
    <m/>
    <m/>
    <m/>
    <s v="S10"/>
    <s v="S11"/>
    <m/>
    <m/>
    <m/>
    <m/>
    <m/>
    <m/>
    <m/>
    <m/>
    <m/>
    <m/>
    <m/>
    <m/>
    <n v="100"/>
    <m/>
    <m/>
    <m/>
  </r>
  <r>
    <m/>
    <s v="SAS"/>
    <s v="Dante"/>
    <s v="Dante Zarazel - CF"/>
    <s v="Dante Zarazel"/>
    <x v="0"/>
    <s v="Balanced/Speedy"/>
    <x v="200"/>
    <s v="0(5)"/>
    <n v="1"/>
    <n v="1"/>
    <n v="1"/>
    <m/>
    <m/>
    <s v="S9"/>
    <s v="S10"/>
    <n v="39"/>
    <m/>
    <m/>
    <m/>
    <m/>
    <m/>
    <m/>
    <m/>
    <m/>
    <m/>
    <m/>
    <m/>
    <n v="100"/>
    <m/>
    <m/>
    <m/>
  </r>
  <r>
    <m/>
    <s v="DVS"/>
    <s v="🐨Wombat🐨"/>
    <s v="Ed Barker - SP"/>
    <s v="Ed Barker"/>
    <x v="3"/>
    <s v="Power"/>
    <x v="200"/>
    <s v="0(5)"/>
    <n v="4"/>
    <n v="4"/>
    <m/>
    <m/>
    <s v="http://probaseballexperience.jcink.net/index.php?showtopic=5319"/>
    <s v="S10"/>
    <s v="S10"/>
    <n v="14"/>
    <m/>
    <m/>
    <m/>
    <m/>
    <m/>
    <m/>
    <m/>
    <m/>
    <m/>
    <m/>
    <m/>
    <n v="100"/>
    <m/>
    <m/>
    <m/>
  </r>
  <r>
    <m/>
    <s v="NYV"/>
    <s v="BigRudy"/>
    <s v="Fliff Cloyd - LF"/>
    <s v="Fliff Cloyd"/>
    <x v="6"/>
    <s v="Power/Balanced"/>
    <x v="200"/>
    <s v="0(5)"/>
    <n v="5"/>
    <n v="5"/>
    <n v="5"/>
    <m/>
    <s v="http://probaseballexperience.jcink.net/index.php?showtopic=5312"/>
    <s v="S10"/>
    <s v="S10"/>
    <n v="30"/>
    <m/>
    <m/>
    <m/>
    <m/>
    <m/>
    <m/>
    <m/>
    <m/>
    <m/>
    <m/>
    <m/>
    <n v="100"/>
    <m/>
    <m/>
    <m/>
  </r>
  <r>
    <m/>
    <s v="PRO"/>
    <s v="PDXBaller"/>
    <s v="Ryusei Makunouchi - C"/>
    <s v="Ryusei Makunouchi"/>
    <x v="4"/>
    <s v="Contact/Arm"/>
    <x v="200"/>
    <s v="0(5)"/>
    <n v="2.5"/>
    <n v="2.5"/>
    <m/>
    <m/>
    <s v="http://probaseballexperience.jcink.net/index.php?showtopic=5313"/>
    <s v="S10"/>
    <s v="S10"/>
    <n v="13"/>
    <m/>
    <m/>
    <m/>
    <m/>
    <m/>
    <m/>
    <m/>
    <m/>
    <m/>
    <m/>
    <m/>
    <n v="100"/>
    <m/>
    <m/>
    <m/>
  </r>
  <r>
    <m/>
    <s v="PRO"/>
    <s v="DripDropDrippin"/>
    <s v="Glenn Cahill - 3B"/>
    <s v="Glenn Cahill"/>
    <x v="8"/>
    <s v="Power/Arm"/>
    <x v="200"/>
    <s v="0(5)"/>
    <n v="2"/>
    <n v="2"/>
    <n v="2"/>
    <m/>
    <s v="http://probaseballexperience.jcink.net/index.php?showtopic=5313"/>
    <s v="S10"/>
    <s v="S10"/>
    <n v="27"/>
    <m/>
    <m/>
    <m/>
    <m/>
    <m/>
    <m/>
    <m/>
    <m/>
    <m/>
    <m/>
    <m/>
    <n v="100"/>
    <m/>
    <m/>
    <m/>
  </r>
  <r>
    <m/>
    <s v="PRO"/>
    <s v="DaquanNibbason"/>
    <s v="Daquan Nibbason - SP"/>
    <s v="Daquan Nibbason"/>
    <x v="3"/>
    <s v="Finesse"/>
    <x v="200"/>
    <s v="0(5)"/>
    <n v="1.5"/>
    <n v="1.5"/>
    <n v="1.5"/>
    <m/>
    <s v="http://probaseballexperience.jcink.net/index.php?showtopic=5473"/>
    <s v="S10"/>
    <s v="S10"/>
    <n v="19"/>
    <m/>
    <m/>
    <m/>
    <m/>
    <m/>
    <m/>
    <m/>
    <m/>
    <m/>
    <m/>
    <m/>
    <n v="100"/>
    <m/>
    <m/>
    <m/>
  </r>
  <r>
    <m/>
    <s v="FL"/>
    <s v="dankoa"/>
    <s v="Tyler Finch - SP"/>
    <s v="Tyler Finch"/>
    <x v="3"/>
    <s v="Balanced"/>
    <x v="200"/>
    <s v="0(5)"/>
    <n v="1.25"/>
    <n v="1.25"/>
    <m/>
    <m/>
    <s v="http://probaseballexperience.jcink.net/index.php?showtopic=5301"/>
    <s v="S10"/>
    <s v="S10"/>
    <n v="31"/>
    <m/>
    <m/>
    <m/>
    <m/>
    <m/>
    <m/>
    <m/>
    <m/>
    <m/>
    <m/>
    <m/>
    <n v="100"/>
    <m/>
    <m/>
    <m/>
  </r>
  <r>
    <m/>
    <s v="VAN"/>
    <s v="Fire-Bred"/>
    <s v="Mason Brown 2.0 - LF"/>
    <s v="Mason Brown 2.0"/>
    <x v="6"/>
    <s v="Power/Speedy"/>
    <x v="200"/>
    <n v="2"/>
    <n v="2"/>
    <n v="2"/>
    <n v="2"/>
    <m/>
    <m/>
    <s v="S10"/>
    <s v="S10"/>
    <n v="26"/>
    <m/>
    <m/>
    <m/>
    <m/>
    <m/>
    <m/>
    <m/>
    <m/>
    <m/>
    <m/>
    <m/>
    <n v="100"/>
    <m/>
    <m/>
    <m/>
  </r>
  <r>
    <m/>
    <s v="FA"/>
    <s v="sableye2"/>
    <s v="Stratfer Wakera - SS"/>
    <s v="Stratfer Wakera"/>
    <x v="1"/>
    <s v="Contact/Utility"/>
    <x v="200"/>
    <n v="1.25"/>
    <m/>
    <m/>
    <m/>
    <m/>
    <s v="S11  TO"/>
    <s v="S9"/>
    <s v="S9"/>
    <n v="34"/>
    <m/>
    <m/>
    <m/>
    <m/>
    <m/>
    <m/>
    <m/>
    <m/>
    <m/>
    <m/>
    <n v="4"/>
    <n v="100"/>
    <m/>
    <m/>
    <m/>
  </r>
  <r>
    <m/>
    <s v="FL"/>
    <s v="Eaphus"/>
    <s v="Tater Sewell- C"/>
    <s v="Tater Sewel"/>
    <x v="4"/>
    <s v="Balanced/React"/>
    <x v="200"/>
    <n v="1"/>
    <n v="5"/>
    <n v="5"/>
    <m/>
    <m/>
    <s v="http://probaseballexperience.jcink.net/index.php?showtopic=4745&amp;hl=kramer"/>
    <s v="S9"/>
    <s v="S9"/>
    <n v="26"/>
    <m/>
    <m/>
    <m/>
    <m/>
    <m/>
    <m/>
    <m/>
    <m/>
    <m/>
    <m/>
    <m/>
    <n v="100"/>
    <m/>
    <m/>
    <m/>
  </r>
  <r>
    <m/>
    <s v="DRA"/>
    <s v="SnuggleNugget"/>
    <s v="Bobby Donger - SP"/>
    <s v="Bobby Donger"/>
    <x v="3"/>
    <s v="Balanced"/>
    <x v="200"/>
    <m/>
    <m/>
    <m/>
    <m/>
    <m/>
    <m/>
    <s v="S9"/>
    <s v="S10"/>
    <n v="54"/>
    <m/>
    <m/>
    <m/>
    <m/>
    <m/>
    <m/>
    <m/>
    <m/>
    <m/>
    <m/>
    <m/>
    <n v="100"/>
    <m/>
    <m/>
    <m/>
  </r>
  <r>
    <m/>
    <s v="DRA"/>
    <s v="atcovin"/>
    <s v="Felix Meier - SP"/>
    <s v="Felix Meier"/>
    <x v="3"/>
    <s v="Balanced"/>
    <x v="200"/>
    <m/>
    <m/>
    <m/>
    <m/>
    <m/>
    <m/>
    <s v="S9"/>
    <s v="S10"/>
    <n v="62"/>
    <m/>
    <m/>
    <m/>
    <m/>
    <m/>
    <m/>
    <m/>
    <m/>
    <m/>
    <m/>
    <m/>
    <n v="100"/>
    <m/>
    <m/>
    <m/>
  </r>
  <r>
    <m/>
    <s v="DRA"/>
    <s v="BradyMac2438"/>
    <s v="Brady McKenzie - SP"/>
    <s v="Brady McKenzie"/>
    <x v="3"/>
    <s v="Balance"/>
    <x v="200"/>
    <m/>
    <m/>
    <m/>
    <m/>
    <m/>
    <m/>
    <s v="S9"/>
    <s v="S10"/>
    <n v="70"/>
    <m/>
    <m/>
    <m/>
    <m/>
    <m/>
    <m/>
    <m/>
    <m/>
    <m/>
    <m/>
    <m/>
    <n v="10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2000000}" name="Analysis 3" cacheId="8" applyNumberFormats="0" applyBorderFormats="0" applyFontFormats="0" applyPatternFormats="0" applyAlignmentFormats="0" applyWidthHeightFormats="0" dataCaption="" updatedVersion="6" createdVersion="6" compact="0" compactData="0">
  <location ref="M3:N14" firstHeaderRow="1" firstDataRow="1" firstDataCol="1" rowPageCount="1" colPageCount="1"/>
  <pivotFields count="32">
    <pivotField name=" " compact="0" outline="0" multipleItemSelectionAllowed="1" showAll="0"/>
    <pivotField name="Team" compact="0" outline="0" multipleItemSelectionAllowed="1" showAll="0"/>
    <pivotField name="Forum Handle" compact="0" outline="0" multipleItemSelectionAllowed="1" showAll="0"/>
    <pivotField name="Player Thread" compact="0" outline="0" multipleItemSelectionAllowed="1" showAll="0"/>
    <pivotField name="Player Name" compact="0" outline="0" multipleItemSelectionAllowed="1" showAll="0"/>
    <pivotField name="Position" axis="axisRow" compact="0" outline="0" multipleItemSelectionAllowed="1" showAll="0" sortType="ascending">
      <items count="11">
        <item x="7"/>
        <item x="2"/>
        <item x="8"/>
        <item x="4"/>
        <item x="0"/>
        <item x="9"/>
        <item x="6"/>
        <item x="5"/>
        <item x="3"/>
        <item x="1"/>
        <item t="default"/>
      </items>
    </pivotField>
    <pivotField name="Archetype" compact="0" outline="0" multipleItemSelectionAllowed="1" showAll="0"/>
    <pivotField name="TPE" axis="axisPage" dataField="1" compact="0" outline="0" multipleItemSelectionAllowed="1" showAll="0">
      <items count="20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x="79"/>
        <item h="1" x="80"/>
        <item x="81"/>
        <item x="82"/>
        <item h="1" x="83"/>
        <item h="1" x="84"/>
        <item x="85"/>
        <item h="1" x="86"/>
        <item x="87"/>
        <item h="1" x="88"/>
        <item h="1" x="89"/>
        <item x="90"/>
        <item x="91"/>
        <item h="1" x="92"/>
        <item h="1" x="93"/>
        <item h="1" x="94"/>
        <item x="95"/>
        <item h="1" x="96"/>
        <item h="1" x="97"/>
        <item h="1" x="98"/>
        <item h="1" x="99"/>
        <item x="100"/>
        <item h="1" x="101"/>
        <item h="1" x="102"/>
        <item x="103"/>
        <item x="104"/>
        <item h="1" x="105"/>
        <item h="1" x="106"/>
        <item h="1" x="107"/>
        <item x="108"/>
        <item h="1" x="109"/>
        <item x="110"/>
        <item x="111"/>
        <item h="1" x="112"/>
        <item x="113"/>
        <item x="114"/>
        <item h="1" x="115"/>
        <item h="1" x="116"/>
        <item h="1" x="117"/>
        <item x="118"/>
        <item h="1" x="119"/>
        <item h="1" x="120"/>
        <item x="121"/>
        <item x="122"/>
        <item x="123"/>
        <item h="1" x="124"/>
        <item x="125"/>
        <item h="1" x="126"/>
        <item h="1" x="127"/>
        <item h="1" x="128"/>
        <item x="129"/>
        <item x="130"/>
        <item h="1" x="131"/>
        <item h="1" x="132"/>
        <item x="133"/>
        <item x="134"/>
        <item x="135"/>
        <item x="136"/>
        <item h="1" x="137"/>
        <item x="138"/>
        <item x="139"/>
        <item x="140"/>
        <item x="141"/>
        <item h="1" x="142"/>
        <item x="143"/>
        <item x="144"/>
        <item x="145"/>
        <item x="146"/>
        <item h="1" x="147"/>
        <item x="148"/>
        <item h="1" x="149"/>
        <item x="150"/>
        <item h="1" x="151"/>
        <item x="152"/>
        <item h="1" x="153"/>
        <item x="154"/>
        <item h="1" x="155"/>
        <item x="156"/>
        <item h="1" x="157"/>
        <item x="158"/>
        <item x="159"/>
        <item h="1" x="160"/>
        <item x="161"/>
        <item h="1" x="162"/>
        <item x="163"/>
        <item h="1" x="164"/>
        <item h="1" x="165"/>
        <item x="166"/>
        <item h="1" x="167"/>
        <item x="168"/>
        <item x="169"/>
        <item x="170"/>
        <item h="1" x="171"/>
        <item x="172"/>
        <item x="173"/>
        <item h="1" x="174"/>
        <item x="175"/>
        <item x="176"/>
        <item h="1" x="177"/>
        <item x="178"/>
        <item x="179"/>
        <item x="180"/>
        <item x="181"/>
        <item h="1" x="182"/>
        <item x="183"/>
        <item x="184"/>
        <item x="185"/>
        <item x="186"/>
        <item x="187"/>
        <item h="1" x="188"/>
        <item x="189"/>
        <item x="190"/>
        <item x="191"/>
        <item x="192"/>
        <item x="193"/>
        <item x="194"/>
        <item x="195"/>
        <item x="196"/>
        <item h="1" x="197"/>
        <item x="198"/>
        <item x="199"/>
        <item x="200"/>
        <item t="default"/>
      </items>
    </pivotField>
    <pivotField name="S10" compact="0" outline="0" multipleItemSelectionAllowed="1" showAll="0"/>
    <pivotField name="S11" compact="0" numFmtId="164" outline="0" multipleItemSelectionAllowed="1" showAll="0"/>
    <pivotField name="S12" compact="0" numFmtId="164" outline="0" multipleItemSelectionAllowed="1" showAll="0"/>
    <pivotField name="S13" compact="0" numFmtId="164" outline="0" multipleItemSelectionAllowed="1" showAll="0"/>
    <pivotField name="S14" compact="0" numFmtId="164" outline="0" multipleItemSelectionAllowed="1" showAll="0"/>
    <pivotField name="Contract Notes" compact="0" outline="0" multipleItemSelectionAllowed="1" showAll="0"/>
    <pivotField name="Regression class" compact="0" outline="0" multipleItemSelectionAllowed="1" showAll="0"/>
    <pivotField name="Season Drafted" compact="0" outline="0" multipleItemSelectionAllowed="1" showAll="0"/>
    <pivotField name="Drafted Overall" compact="0" outline="0" multipleItemSelectionAllowed="1" showAll="0"/>
    <pivotField name="Mi Team" compact="0" outline="0" multipleItemSelectionAllowed="1" showAll="0"/>
    <pivotField name="Mi Draft" compact="0" outline="0" multipleItemSelectionAllowed="1" showAll="0"/>
    <pivotField name="MiTaken" compact="0" outline="0" multipleItemSelectionAllowed="1" showAll="0"/>
    <pivotField name="Inactive" compact="0" outline="0" multipleItemSelectionAllowed="1" showAll="0"/>
    <pivotField name="S3 Salary" compact="0" outline="0" multipleItemSelectionAllowed="1" showAll="0"/>
    <pivotField name="S4" compact="0" outline="0" multipleItemSelectionAllowed="1" showAll="0"/>
    <pivotField name="S5" compact="0" outline="0" multipleItemSelectionAllowed="1" showAll="0"/>
    <pivotField name="S6" compact="0" outline="0" multipleItemSelectionAllowed="1" showAll="0"/>
    <pivotField name="S7" compact="0" outline="0" multipleItemSelectionAllowed="1" showAll="0"/>
    <pivotField name="S8" compact="0" outline="0" multipleItemSelectionAllowed="1" showAll="0"/>
    <pivotField name="S9" compact="0" outline="0" multipleItemSelectionAllowed="1" showAll="0"/>
    <pivotField name="S9 Start TPE" compact="0" outline="0" multipleItemSelectionAllowed="1" showAll="0"/>
    <pivotField name="25.03.2018 TPE" compact="0" outline="0" multipleItemSelectionAllowed="1" showAll="0"/>
    <pivotField name="18.03.2018 TPE" compact="0" outline="0" multipleItemSelectionAllowed="1" showAll="0"/>
    <pivotField name="11.03.2018 TPE" compact="0" outline="0" multipleItemSelectionAllowed="1"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7" hier="0"/>
  </pageFields>
  <dataFields count="1">
    <dataField name="Average TPE" fld="7" subtotal="average" baseField="0"/>
  </dataFields>
  <pivotTableStyleInfo name="Google Sheets Pivot Table Style" showRowHeaders="1" showColHeaders="1" showRowStripes="0" showColStripes="0" showLastColumn="1"/>
  <filters count="1">
    <filter fld="7" type="captionGreaterThan" evalOrder="-1" id="1" stringValue1="150">
      <autoFilter ref="A1">
        <filterColumn colId="0">
          <customFilters>
            <customFilter operator="greaterThan" val="150"/>
          </customFilters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4000000}" name="Analysis 5" cacheId="8" applyNumberFormats="0" applyBorderFormats="0" applyFontFormats="0" applyPatternFormats="0" applyAlignmentFormats="0" applyWidthHeightFormats="0" dataCaption="" updatedVersion="6" compact="0" compactData="0">
  <location ref="M38:N49" firstHeaderRow="1" firstDataRow="1" firstDataCol="1" rowPageCount="1" colPageCount="1"/>
  <pivotFields count="32">
    <pivotField name=" " compact="0" outline="0" multipleItemSelectionAllowed="1" showAll="0"/>
    <pivotField name="Team" compact="0" outline="0" multipleItemSelectionAllowed="1" showAll="0"/>
    <pivotField name="Forum Handle" compact="0" outline="0" multipleItemSelectionAllowed="1" showAll="0"/>
    <pivotField name="Player Thread" compact="0" outline="0" multipleItemSelectionAllowed="1" showAll="0"/>
    <pivotField name="Player Name" compact="0" outline="0" multipleItemSelectionAllowed="1" showAll="0"/>
    <pivotField name="Position" axis="axisRow" compact="0" outline="0" multipleItemSelectionAllowed="1" showAll="0" sortType="ascending">
      <items count="11">
        <item x="7"/>
        <item x="2"/>
        <item x="8"/>
        <item x="4"/>
        <item x="0"/>
        <item x="9"/>
        <item x="6"/>
        <item x="5"/>
        <item x="3"/>
        <item x="1"/>
        <item t="default"/>
      </items>
    </pivotField>
    <pivotField name="Archetype" compact="0" outline="0" multipleItemSelectionAllowed="1" showAll="0"/>
    <pivotField name="TPE" axis="axisPage" compact="0" outline="0" multipleItemSelectionAllowed="1" showAll="0">
      <items count="20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x="79"/>
        <item h="1" x="80"/>
        <item x="81"/>
        <item x="82"/>
        <item h="1" x="83"/>
        <item h="1" x="84"/>
        <item x="85"/>
        <item h="1" x="86"/>
        <item x="87"/>
        <item h="1" x="88"/>
        <item h="1" x="89"/>
        <item x="90"/>
        <item x="91"/>
        <item h="1" x="92"/>
        <item h="1" x="93"/>
        <item h="1" x="94"/>
        <item x="95"/>
        <item h="1" x="96"/>
        <item h="1" x="97"/>
        <item h="1" x="98"/>
        <item h="1" x="99"/>
        <item x="100"/>
        <item h="1" x="101"/>
        <item h="1" x="102"/>
        <item x="103"/>
        <item x="104"/>
        <item h="1" x="105"/>
        <item h="1" x="106"/>
        <item h="1" x="107"/>
        <item x="108"/>
        <item h="1" x="109"/>
        <item x="110"/>
        <item x="111"/>
        <item h="1" x="112"/>
        <item x="113"/>
        <item x="114"/>
        <item h="1" x="115"/>
        <item h="1" x="116"/>
        <item h="1" x="117"/>
        <item x="118"/>
        <item h="1" x="119"/>
        <item h="1" x="120"/>
        <item x="121"/>
        <item x="122"/>
        <item x="123"/>
        <item h="1" x="124"/>
        <item x="125"/>
        <item h="1" x="126"/>
        <item h="1" x="127"/>
        <item h="1" x="128"/>
        <item x="129"/>
        <item x="130"/>
        <item h="1" x="131"/>
        <item h="1" x="132"/>
        <item x="133"/>
        <item x="134"/>
        <item x="135"/>
        <item x="136"/>
        <item h="1" x="137"/>
        <item x="138"/>
        <item x="139"/>
        <item x="140"/>
        <item x="141"/>
        <item h="1" x="142"/>
        <item x="143"/>
        <item x="144"/>
        <item x="145"/>
        <item x="146"/>
        <item h="1" x="147"/>
        <item x="148"/>
        <item h="1" x="149"/>
        <item x="150"/>
        <item h="1" x="151"/>
        <item x="152"/>
        <item h="1" x="153"/>
        <item x="154"/>
        <item h="1" x="155"/>
        <item x="156"/>
        <item h="1" x="157"/>
        <item x="158"/>
        <item x="159"/>
        <item h="1" x="160"/>
        <item x="161"/>
        <item h="1" x="162"/>
        <item x="163"/>
        <item h="1" x="164"/>
        <item h="1" x="165"/>
        <item x="166"/>
        <item h="1" x="167"/>
        <item x="168"/>
        <item x="169"/>
        <item x="170"/>
        <item h="1" x="171"/>
        <item x="172"/>
        <item x="173"/>
        <item h="1" x="174"/>
        <item x="175"/>
        <item x="176"/>
        <item h="1" x="177"/>
        <item x="178"/>
        <item x="179"/>
        <item x="180"/>
        <item x="181"/>
        <item h="1" x="182"/>
        <item x="183"/>
        <item x="184"/>
        <item x="185"/>
        <item x="186"/>
        <item x="187"/>
        <item h="1" x="188"/>
        <item x="189"/>
        <item x="190"/>
        <item x="191"/>
        <item x="192"/>
        <item x="193"/>
        <item x="194"/>
        <item x="195"/>
        <item x="196"/>
        <item h="1" x="197"/>
        <item x="198"/>
        <item x="199"/>
        <item h="1" x="200"/>
        <item t="default"/>
      </items>
    </pivotField>
    <pivotField name="S10" compact="0" outline="0" multipleItemSelectionAllowed="1" showAll="0"/>
    <pivotField name="S11" compact="0" numFmtId="164" outline="0" multipleItemSelectionAllowed="1" showAll="0"/>
    <pivotField name="S12" compact="0" numFmtId="164" outline="0" multipleItemSelectionAllowed="1" showAll="0"/>
    <pivotField name="S13" compact="0" numFmtId="164" outline="0" multipleItemSelectionAllowed="1" showAll="0"/>
    <pivotField name="S14" compact="0" numFmtId="164" outline="0" multipleItemSelectionAllowed="1" showAll="0"/>
    <pivotField name="Contract Notes" compact="0" outline="0" multipleItemSelectionAllowed="1" showAll="0"/>
    <pivotField name="Regression class" compact="0" outline="0" multipleItemSelectionAllowed="1" showAll="0"/>
    <pivotField name="Season Drafted" compact="0" outline="0" multipleItemSelectionAllowed="1" showAll="0"/>
    <pivotField name="Drafted Overall" compact="0" outline="0" multipleItemSelectionAllowed="1" showAll="0"/>
    <pivotField name="Mi Team" compact="0" outline="0" multipleItemSelectionAllowed="1" showAll="0"/>
    <pivotField name="Mi Draft" compact="0" outline="0" multipleItemSelectionAllowed="1" showAll="0"/>
    <pivotField name="MiTaken" compact="0" outline="0" multipleItemSelectionAllowed="1" showAll="0"/>
    <pivotField name="Inactive" compact="0" outline="0" multipleItemSelectionAllowed="1" showAll="0"/>
    <pivotField name="S3 Salary" compact="0" outline="0" multipleItemSelectionAllowed="1" showAll="0"/>
    <pivotField name="S4" compact="0" outline="0" multipleItemSelectionAllowed="1" showAll="0"/>
    <pivotField name="S5" compact="0" outline="0" multipleItemSelectionAllowed="1" showAll="0"/>
    <pivotField name="S6" compact="0" outline="0" multipleItemSelectionAllowed="1" showAll="0"/>
    <pivotField name="S7" compact="0" outline="0" multipleItemSelectionAllowed="1" showAll="0"/>
    <pivotField name="S8" compact="0" outline="0" multipleItemSelectionAllowed="1" showAll="0"/>
    <pivotField name="S9" dataField="1" compact="0" outline="0" multipleItemSelectionAllowed="1" showAll="0"/>
    <pivotField name="S9 Start TPE" compact="0" outline="0" multipleItemSelectionAllowed="1" showAll="0"/>
    <pivotField name="25.03.2018 TPE" compact="0" outline="0" multipleItemSelectionAllowed="1" showAll="0"/>
    <pivotField name="18.03.2018 TPE" compact="0" outline="0" multipleItemSelectionAllowed="1" showAll="0"/>
    <pivotField name="11.03.2018 TPE" compact="0" outline="0" multipleItemSelectionAllowed="1"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7" hier="0"/>
  </pageFields>
  <dataFields count="1">
    <dataField name="Average Contract" fld="27" subtotal="average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Analysis" cacheId="4" applyNumberFormats="0" applyBorderFormats="0" applyFontFormats="0" applyPatternFormats="0" applyAlignmentFormats="0" applyWidthHeightFormats="0" dataCaption="" updatedVersion="6" compact="0" compactData="0">
  <location ref="A1:B13" firstHeaderRow="1" firstDataRow="1" firstDataCol="1"/>
  <pivotFields count="32">
    <pivotField name=" " compact="0" outline="0" multipleItemSelectionAllowed="1" showAll="0"/>
    <pivotField name="Team" axis="axisRow" compact="0" outline="0" multipleItemSelectionAllowed="1" showAll="0" sortType="ascending">
      <items count="12">
        <item x="9"/>
        <item x="3"/>
        <item x="8"/>
        <item x="0"/>
        <item x="5"/>
        <item x="2"/>
        <item x="1"/>
        <item x="4"/>
        <item x="7"/>
        <item x="6"/>
        <item x="10"/>
        <item t="default"/>
      </items>
    </pivotField>
    <pivotField name="Forum Handle" compact="0" outline="0" multipleItemSelectionAllowed="1" showAll="0"/>
    <pivotField name="Player Thread" compact="0" outline="0" multipleItemSelectionAllowed="1" showAll="0"/>
    <pivotField name="Player Name" compact="0" outline="0" multipleItemSelectionAllowed="1" showAll="0"/>
    <pivotField name="Position" compact="0" outline="0" multipleItemSelectionAllowed="1" showAll="0"/>
    <pivotField name="Archetype" compact="0" outline="0" multipleItemSelectionAllowed="1" showAll="0"/>
    <pivotField name="TPE" dataField="1" compact="0" outline="0" multipleItemSelectionAllowed="1" showAll="0"/>
    <pivotField name="S10" compact="0" outline="0" multipleItemSelectionAllowed="1" showAll="0"/>
    <pivotField name="S11" compact="0" numFmtId="164" outline="0" multipleItemSelectionAllowed="1" showAll="0"/>
    <pivotField name="S12" compact="0" numFmtId="164" outline="0" multipleItemSelectionAllowed="1" showAll="0"/>
    <pivotField name="S13" compact="0" numFmtId="164" outline="0" multipleItemSelectionAllowed="1" showAll="0"/>
    <pivotField name="S14" compact="0" numFmtId="164" outline="0" multipleItemSelectionAllowed="1" showAll="0"/>
    <pivotField name="Contract Notes" compact="0" outline="0" multipleItemSelectionAllowed="1" showAll="0"/>
    <pivotField name="Regression class" compact="0" outline="0" multipleItemSelectionAllowed="1" showAll="0"/>
    <pivotField name="Season Drafted" compact="0" outline="0" multipleItemSelectionAllowed="1" showAll="0"/>
    <pivotField name="Drafted Overall" compact="0" outline="0" multipleItemSelectionAllowed="1" showAll="0"/>
    <pivotField name="Mi Team" compact="0" outline="0" multipleItemSelectionAllowed="1" showAll="0"/>
    <pivotField name="Mi Draft" compact="0" outline="0" multipleItemSelectionAllowed="1" showAll="0"/>
    <pivotField name="MiTaken" compact="0" outline="0" multipleItemSelectionAllowed="1" showAll="0"/>
    <pivotField name="Inactive" compact="0" outline="0" multipleItemSelectionAllowed="1" showAll="0"/>
    <pivotField name="S3 Salary" compact="0" outline="0" multipleItemSelectionAllowed="1" showAll="0"/>
    <pivotField name="S4" compact="0" outline="0" multipleItemSelectionAllowed="1" showAll="0"/>
    <pivotField name="S5" compact="0" outline="0" multipleItemSelectionAllowed="1" showAll="0"/>
    <pivotField name="S6" compact="0" outline="0" multipleItemSelectionAllowed="1" showAll="0"/>
    <pivotField name="S7" compact="0" outline="0" multipleItemSelectionAllowed="1" showAll="0"/>
    <pivotField name="S8" compact="0" outline="0" multipleItemSelectionAllowed="1" showAll="0"/>
    <pivotField name="S9" compact="0" outline="0" multipleItemSelectionAllowed="1" showAll="0"/>
    <pivotField name="S9 Start TPE" compact="0" outline="0" multipleItemSelectionAllowed="1" showAll="0"/>
    <pivotField name="25.03.2018 TPE" compact="0" outline="0" multipleItemSelectionAllowed="1" showAll="0"/>
    <pivotField name="18.03.2018 TPE" compact="0" outline="0" multipleItemSelectionAllowed="1" showAll="0"/>
    <pivotField name="11.03.2018 TPE" compact="0" outline="0" multipleItemSelectionAllowed="1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TPE" fld="7" subtotal="average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1000000}" name="Analysis 2" cacheId="4" applyNumberFormats="0" applyBorderFormats="0" applyFontFormats="0" applyPatternFormats="0" applyAlignmentFormats="0" applyWidthHeightFormats="0" dataCaption="" updatedVersion="6" compact="0" compactData="0">
  <location ref="D1:E13" firstHeaderRow="1" firstDataRow="1" firstDataCol="1"/>
  <pivotFields count="32">
    <pivotField name=" " compact="0" outline="0" multipleItemSelectionAllowed="1" showAll="0"/>
    <pivotField name="Team" axis="axisRow" compact="0" outline="0" multipleItemSelectionAllowed="1" showAll="0" sortType="ascending">
      <items count="12">
        <item x="9"/>
        <item x="3"/>
        <item x="8"/>
        <item x="0"/>
        <item x="5"/>
        <item x="2"/>
        <item x="1"/>
        <item x="4"/>
        <item x="7"/>
        <item x="6"/>
        <item x="10"/>
        <item t="default"/>
      </items>
    </pivotField>
    <pivotField name="Forum Handle" compact="0" outline="0" multipleItemSelectionAllowed="1" showAll="0"/>
    <pivotField name="Player Thread" compact="0" outline="0" multipleItemSelectionAllowed="1" showAll="0"/>
    <pivotField name="Player Name" compact="0" outline="0" multipleItemSelectionAllowed="1" showAll="0"/>
    <pivotField name="Position" compact="0" outline="0" multipleItemSelectionAllowed="1" showAll="0"/>
    <pivotField name="Archetype" compact="0" outline="0" multipleItemSelectionAllowed="1" showAll="0"/>
    <pivotField name="TPE" dataField="1" compact="0" outline="0" multipleItemSelectionAllowed="1" showAll="0"/>
    <pivotField name="S10" compact="0" outline="0" multipleItemSelectionAllowed="1" showAll="0"/>
    <pivotField name="S11" compact="0" numFmtId="164" outline="0" multipleItemSelectionAllowed="1" showAll="0"/>
    <pivotField name="S12" compact="0" numFmtId="164" outline="0" multipleItemSelectionAllowed="1" showAll="0"/>
    <pivotField name="S13" compact="0" numFmtId="164" outline="0" multipleItemSelectionAllowed="1" showAll="0"/>
    <pivotField name="S14" compact="0" numFmtId="164" outline="0" multipleItemSelectionAllowed="1" showAll="0"/>
    <pivotField name="Contract Notes" compact="0" outline="0" multipleItemSelectionAllowed="1" showAll="0"/>
    <pivotField name="Regression class" compact="0" outline="0" multipleItemSelectionAllowed="1" showAll="0"/>
    <pivotField name="Season Drafted" compact="0" outline="0" multipleItemSelectionAllowed="1" showAll="0"/>
    <pivotField name="Drafted Overall" compact="0" outline="0" multipleItemSelectionAllowed="1" showAll="0"/>
    <pivotField name="Mi Team" compact="0" outline="0" multipleItemSelectionAllowed="1" showAll="0"/>
    <pivotField name="Mi Draft" compact="0" outline="0" multipleItemSelectionAllowed="1" showAll="0"/>
    <pivotField name="MiTaken" compact="0" outline="0" multipleItemSelectionAllowed="1" showAll="0"/>
    <pivotField name="Inactive" compact="0" outline="0" multipleItemSelectionAllowed="1" showAll="0"/>
    <pivotField name="S3 Salary" compact="0" outline="0" multipleItemSelectionAllowed="1" showAll="0"/>
    <pivotField name="S4" compact="0" outline="0" multipleItemSelectionAllowed="1" showAll="0"/>
    <pivotField name="S5" compact="0" outline="0" multipleItemSelectionAllowed="1" showAll="0"/>
    <pivotField name="S6" compact="0" outline="0" multipleItemSelectionAllowed="1" showAll="0"/>
    <pivotField name="S7" compact="0" outline="0" multipleItemSelectionAllowed="1" showAll="0"/>
    <pivotField name="S8" compact="0" outline="0" multipleItemSelectionAllowed="1" showAll="0"/>
    <pivotField name="S9" compact="0" outline="0" multipleItemSelectionAllowed="1" showAll="0"/>
    <pivotField name="S9 Start TPE" compact="0" outline="0" multipleItemSelectionAllowed="1" showAll="0"/>
    <pivotField name="25.03.2018 TPE" compact="0" outline="0" multipleItemSelectionAllowed="1" showAll="0"/>
    <pivotField name="18.03.2018 TPE" compact="0" outline="0" multipleItemSelectionAllowed="1" showAll="0"/>
    <pivotField name="11.03.2018 TPE" compact="0" outline="0" multipleItemSelectionAllowed="1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TPE" fld="7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3000000}" name="Analysis 4" cacheId="8" applyNumberFormats="0" applyBorderFormats="0" applyFontFormats="0" applyPatternFormats="0" applyAlignmentFormats="0" applyWidthHeightFormats="0" dataCaption="" updatedVersion="6" createdVersion="6" compact="0" compactData="0">
  <location ref="M20:N31" firstHeaderRow="1" firstDataRow="1" firstDataCol="1" rowPageCount="1" colPageCount="1"/>
  <pivotFields count="32">
    <pivotField name=" " compact="0" outline="0" multipleItemSelectionAllowed="1" showAll="0"/>
    <pivotField name="Team" compact="0" outline="0" multipleItemSelectionAllowed="1" showAll="0"/>
    <pivotField name="Forum Handle" compact="0" outline="0" multipleItemSelectionAllowed="1" showAll="0"/>
    <pivotField name="Player Thread" compact="0" outline="0" multipleItemSelectionAllowed="1" showAll="0"/>
    <pivotField name="Player Name" compact="0" outline="0" multipleItemSelectionAllowed="1" showAll="0"/>
    <pivotField name="Position" axis="axisRow" compact="0" outline="0" multipleItemSelectionAllowed="1" showAll="0" sortType="ascending">
      <items count="11">
        <item x="7"/>
        <item x="2"/>
        <item x="8"/>
        <item x="4"/>
        <item x="0"/>
        <item x="9"/>
        <item x="6"/>
        <item x="5"/>
        <item x="3"/>
        <item x="1"/>
        <item t="default"/>
      </items>
    </pivotField>
    <pivotField name="Archetype" compact="0" outline="0" multipleItemSelectionAllowed="1" showAll="0"/>
    <pivotField name="TPE" axis="axisPage" dataField="1" compact="0" outline="0" multipleItemSelectionAllowed="1" showAll="0">
      <items count="20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x="79"/>
        <item h="1" x="80"/>
        <item x="81"/>
        <item x="82"/>
        <item h="1" x="83"/>
        <item h="1" x="84"/>
        <item x="85"/>
        <item h="1" x="86"/>
        <item x="87"/>
        <item h="1" x="88"/>
        <item h="1" x="89"/>
        <item x="90"/>
        <item x="91"/>
        <item h="1" x="92"/>
        <item h="1" x="93"/>
        <item h="1" x="94"/>
        <item x="95"/>
        <item h="1" x="96"/>
        <item h="1" x="97"/>
        <item h="1" x="98"/>
        <item h="1" x="99"/>
        <item x="100"/>
        <item h="1" x="101"/>
        <item h="1" x="102"/>
        <item x="103"/>
        <item x="104"/>
        <item h="1" x="105"/>
        <item h="1" x="106"/>
        <item h="1" x="107"/>
        <item x="108"/>
        <item h="1" x="109"/>
        <item x="110"/>
        <item x="111"/>
        <item h="1" x="112"/>
        <item x="113"/>
        <item x="114"/>
        <item h="1" x="115"/>
        <item h="1" x="116"/>
        <item h="1" x="117"/>
        <item x="118"/>
        <item h="1" x="119"/>
        <item h="1" x="120"/>
        <item x="121"/>
        <item x="122"/>
        <item x="123"/>
        <item h="1" x="124"/>
        <item x="125"/>
        <item h="1" x="126"/>
        <item h="1" x="127"/>
        <item h="1" x="128"/>
        <item x="129"/>
        <item x="130"/>
        <item h="1" x="131"/>
        <item h="1" x="132"/>
        <item x="133"/>
        <item x="134"/>
        <item x="135"/>
        <item x="136"/>
        <item h="1" x="137"/>
        <item x="138"/>
        <item x="139"/>
        <item x="140"/>
        <item x="141"/>
        <item h="1" x="142"/>
        <item x="143"/>
        <item x="144"/>
        <item x="145"/>
        <item x="146"/>
        <item h="1" x="147"/>
        <item x="148"/>
        <item h="1" x="149"/>
        <item x="150"/>
        <item h="1" x="151"/>
        <item x="152"/>
        <item h="1" x="153"/>
        <item x="154"/>
        <item h="1" x="155"/>
        <item x="156"/>
        <item h="1" x="157"/>
        <item x="158"/>
        <item x="159"/>
        <item h="1" x="160"/>
        <item x="161"/>
        <item h="1" x="162"/>
        <item x="163"/>
        <item h="1" x="164"/>
        <item h="1" x="165"/>
        <item x="166"/>
        <item h="1" x="167"/>
        <item x="168"/>
        <item x="169"/>
        <item x="170"/>
        <item h="1" x="171"/>
        <item x="172"/>
        <item x="173"/>
        <item h="1" x="174"/>
        <item x="175"/>
        <item x="176"/>
        <item h="1" x="177"/>
        <item x="178"/>
        <item x="179"/>
        <item x="180"/>
        <item x="181"/>
        <item h="1" x="182"/>
        <item x="183"/>
        <item x="184"/>
        <item x="185"/>
        <item x="186"/>
        <item x="187"/>
        <item h="1" x="188"/>
        <item x="189"/>
        <item x="190"/>
        <item x="191"/>
        <item x="192"/>
        <item x="193"/>
        <item x="194"/>
        <item x="195"/>
        <item x="196"/>
        <item h="1" x="197"/>
        <item x="198"/>
        <item x="199"/>
        <item x="200"/>
        <item t="default"/>
      </items>
    </pivotField>
    <pivotField name="S10" compact="0" outline="0" multipleItemSelectionAllowed="1" showAll="0"/>
    <pivotField name="S11" compact="0" numFmtId="164" outline="0" multipleItemSelectionAllowed="1" showAll="0"/>
    <pivotField name="S12" compact="0" numFmtId="164" outline="0" multipleItemSelectionAllowed="1" showAll="0"/>
    <pivotField name="S13" compact="0" numFmtId="164" outline="0" multipleItemSelectionAllowed="1" showAll="0"/>
    <pivotField name="S14" compact="0" numFmtId="164" outline="0" multipleItemSelectionAllowed="1" showAll="0"/>
    <pivotField name="Contract Notes" compact="0" outline="0" multipleItemSelectionAllowed="1" showAll="0"/>
    <pivotField name="Regression class" compact="0" outline="0" multipleItemSelectionAllowed="1" showAll="0"/>
    <pivotField name="Season Drafted" compact="0" outline="0" multipleItemSelectionAllowed="1" showAll="0"/>
    <pivotField name="Drafted Overall" compact="0" outline="0" multipleItemSelectionAllowed="1" showAll="0"/>
    <pivotField name="Mi Team" compact="0" outline="0" multipleItemSelectionAllowed="1" showAll="0"/>
    <pivotField name="Mi Draft" compact="0" outline="0" multipleItemSelectionAllowed="1" showAll="0"/>
    <pivotField name="MiTaken" compact="0" outline="0" multipleItemSelectionAllowed="1" showAll="0"/>
    <pivotField name="Inactive" compact="0" outline="0" multipleItemSelectionAllowed="1" showAll="0"/>
    <pivotField name="S3 Salary" compact="0" outline="0" multipleItemSelectionAllowed="1" showAll="0"/>
    <pivotField name="S4" compact="0" outline="0" multipleItemSelectionAllowed="1" showAll="0"/>
    <pivotField name="S5" compact="0" outline="0" multipleItemSelectionAllowed="1" showAll="0"/>
    <pivotField name="S6" compact="0" outline="0" multipleItemSelectionAllowed="1" showAll="0"/>
    <pivotField name="S7" compact="0" outline="0" multipleItemSelectionAllowed="1" showAll="0"/>
    <pivotField name="S8" compact="0" outline="0" multipleItemSelectionAllowed="1" showAll="0"/>
    <pivotField name="S9" compact="0" outline="0" multipleItemSelectionAllowed="1" showAll="0"/>
    <pivotField name="S9 Start TPE" compact="0" outline="0" multipleItemSelectionAllowed="1" showAll="0"/>
    <pivotField name="25.03.2018 TPE" compact="0" outline="0" multipleItemSelectionAllowed="1" showAll="0"/>
    <pivotField name="18.03.2018 TPE" compact="0" outline="0" multipleItemSelectionAllowed="1" showAll="0"/>
    <pivotField name="11.03.2018 TPE" compact="0" outline="0" multipleItemSelectionAllowed="1"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7" hier="0"/>
  </pageFields>
  <dataFields count="1">
    <dataField name="Count" fld="7" subtotal="countNums" baseField="0"/>
  </dataFields>
  <pivotTableStyleInfo name="Google Sheets Pivot Table Style" showRowHeaders="1" showColHeaders="1" showRowStripes="0" showColStripes="0" showLastColumn="1"/>
  <filters count="1">
    <filter fld="7" type="captionGreaterThan" evalOrder="-1" id="1" stringValue1="150">
      <autoFilter ref="A1">
        <filterColumn colId="0">
          <customFilters>
            <customFilter operator="greaterThan" val="150"/>
          </customFilters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_2" displayName="Table_2" ref="A1:BE998" headerRowCount="0">
  <tableColumns count="57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  <tableColumn id="29" xr3:uid="{00000000-0010-0000-0000-00001D000000}" name="Column29"/>
    <tableColumn id="30" xr3:uid="{00000000-0010-0000-0000-00001E000000}" name="Column30"/>
    <tableColumn id="31" xr3:uid="{00000000-0010-0000-0000-00001F000000}" name="Column31"/>
    <tableColumn id="32" xr3:uid="{00000000-0010-0000-0000-000020000000}" name="Column32"/>
    <tableColumn id="33" xr3:uid="{00000000-0010-0000-0000-000021000000}" name="Column33"/>
    <tableColumn id="34" xr3:uid="{00000000-0010-0000-0000-000022000000}" name="Column34"/>
    <tableColumn id="35" xr3:uid="{00000000-0010-0000-0000-000023000000}" name="Column35"/>
    <tableColumn id="36" xr3:uid="{00000000-0010-0000-0000-000024000000}" name="Column36"/>
    <tableColumn id="37" xr3:uid="{00000000-0010-0000-0000-000025000000}" name="Column37"/>
    <tableColumn id="38" xr3:uid="{00000000-0010-0000-0000-000026000000}" name="Column38"/>
    <tableColumn id="39" xr3:uid="{00000000-0010-0000-0000-000027000000}" name="Column39"/>
    <tableColumn id="40" xr3:uid="{00000000-0010-0000-0000-000028000000}" name="Column40"/>
    <tableColumn id="41" xr3:uid="{00000000-0010-0000-0000-000029000000}" name="Column41"/>
    <tableColumn id="42" xr3:uid="{00000000-0010-0000-0000-00002A000000}" name="Column42"/>
    <tableColumn id="43" xr3:uid="{00000000-0010-0000-0000-00002B000000}" name="Column43"/>
    <tableColumn id="44" xr3:uid="{00000000-0010-0000-0000-00002C000000}" name="Column44"/>
    <tableColumn id="45" xr3:uid="{00000000-0010-0000-0000-00002D000000}" name="Column45"/>
    <tableColumn id="46" xr3:uid="{00000000-0010-0000-0000-00002E000000}" name="Column46"/>
    <tableColumn id="47" xr3:uid="{00000000-0010-0000-0000-00002F000000}" name="Column47"/>
    <tableColumn id="48" xr3:uid="{00000000-0010-0000-0000-000030000000}" name="Column48"/>
    <tableColumn id="49" xr3:uid="{00000000-0010-0000-0000-000031000000}" name="Column49"/>
    <tableColumn id="50" xr3:uid="{00000000-0010-0000-0000-000032000000}" name="Column50"/>
    <tableColumn id="51" xr3:uid="{00000000-0010-0000-0000-000033000000}" name="Column51"/>
    <tableColumn id="52" xr3:uid="{00000000-0010-0000-0000-000034000000}" name="Column52"/>
    <tableColumn id="53" xr3:uid="{00000000-0010-0000-0000-000035000000}" name="Column53"/>
    <tableColumn id="54" xr3:uid="{00000000-0010-0000-0000-000036000000}" name="Column54"/>
    <tableColumn id="55" xr3:uid="{00000000-0010-0000-0000-000037000000}" name="Column55"/>
    <tableColumn id="56" xr3:uid="{00000000-0010-0000-0000-000038000000}" name="Column56"/>
    <tableColumn id="57" xr3:uid="{00000000-0010-0000-0000-000039000000}" name="Column57"/>
  </tableColumns>
  <tableStyleInfo name="S12 Draf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_1" displayName="Table_1" ref="B1:BA29" headerRowCount="0" totalsRowCount="1">
  <tableColumns count="52">
    <tableColumn id="1" xr3:uid="{00000000-0010-0000-0100-000001000000}" name="Column1" totalsRowDxfId="373"/>
    <tableColumn id="2" xr3:uid="{00000000-0010-0000-0100-000002000000}" name="Column2" totalsRowDxfId="372"/>
    <tableColumn id="3" xr3:uid="{00000000-0010-0000-0100-000003000000}" name="Column3" totalsRowDxfId="371"/>
    <tableColumn id="4" xr3:uid="{00000000-0010-0000-0100-000004000000}" name="Column4" totalsRowDxfId="370"/>
    <tableColumn id="5" xr3:uid="{00000000-0010-0000-0100-000005000000}" name="Column5" totalsRowDxfId="369"/>
    <tableColumn id="6" xr3:uid="{00000000-0010-0000-0100-000006000000}" name="Column6" totalsRowDxfId="368"/>
    <tableColumn id="7" xr3:uid="{00000000-0010-0000-0100-000007000000}" name="Column7" totalsRowDxfId="367"/>
    <tableColumn id="8" xr3:uid="{00000000-0010-0000-0100-000008000000}" name="Column8" totalsRowFunction="custom" totalsRowDxfId="366">
      <totalsRowFormula>SUM(I2:I28)</totalsRowFormula>
    </tableColumn>
    <tableColumn id="9" xr3:uid="{00000000-0010-0000-0100-000009000000}" name="Column9" totalsRowFunction="custom" totalsRowDxfId="365">
      <totalsRowFormula>SUM(J2:J28)</totalsRowFormula>
    </tableColumn>
    <tableColumn id="10" xr3:uid="{00000000-0010-0000-0100-00000A000000}" name="Column10" totalsRowFunction="custom" totalsRowDxfId="364">
      <totalsRowFormula>SUM(K2:K28)</totalsRowFormula>
    </tableColumn>
    <tableColumn id="11" xr3:uid="{00000000-0010-0000-0100-00000B000000}" name="Column11" totalsRowFunction="custom" totalsRowDxfId="363">
      <totalsRowFormula>SUM(L2:L28)</totalsRowFormula>
    </tableColumn>
    <tableColumn id="12" xr3:uid="{00000000-0010-0000-0100-00000C000000}" name="Column12" totalsRowFunction="custom" totalsRowDxfId="362">
      <totalsRowFormula>SUM(M2:M28)</totalsRowFormula>
    </tableColumn>
    <tableColumn id="13" xr3:uid="{00000000-0010-0000-0100-00000D000000}" name="Column13" totalsRowDxfId="361"/>
    <tableColumn id="14" xr3:uid="{00000000-0010-0000-0100-00000E000000}" name="Column14" totalsRowDxfId="360"/>
    <tableColumn id="15" xr3:uid="{00000000-0010-0000-0100-00000F000000}" name="Column15" totalsRowDxfId="359"/>
    <tableColumn id="16" xr3:uid="{00000000-0010-0000-0100-000010000000}" name="Column16" totalsRowDxfId="358"/>
    <tableColumn id="17" xr3:uid="{00000000-0010-0000-0100-000011000000}" name="Column17" totalsRowDxfId="357"/>
    <tableColumn id="18" xr3:uid="{00000000-0010-0000-0100-000012000000}" name="Column18" totalsRowDxfId="356"/>
    <tableColumn id="19" xr3:uid="{00000000-0010-0000-0100-000013000000}" name="Column19" totalsRowDxfId="355"/>
    <tableColumn id="20" xr3:uid="{00000000-0010-0000-0100-000014000000}" name="Column20" totalsRowDxfId="354"/>
    <tableColumn id="21" xr3:uid="{00000000-0010-0000-0100-000015000000}" name="Column21" totalsRowFunction="custom" totalsRowDxfId="353">
      <totalsRowFormula>SUM(V5:V6)</totalsRowFormula>
    </tableColumn>
    <tableColumn id="22" xr3:uid="{00000000-0010-0000-0100-000016000000}" name="Column22" totalsRowFunction="custom" totalsRowDxfId="352">
      <totalsRowFormula>SUM(W4:W7)</totalsRowFormula>
    </tableColumn>
    <tableColumn id="23" xr3:uid="{00000000-0010-0000-0100-000017000000}" name="Column23" totalsRowFunction="custom" totalsRowDxfId="351">
      <totalsRowFormula>SUM(X4:X7)</totalsRowFormula>
    </tableColumn>
    <tableColumn id="24" xr3:uid="{00000000-0010-0000-0100-000018000000}" name="Column24" totalsRowFunction="custom" totalsRowDxfId="350">
      <totalsRowFormula>SUM(Y4:Y27)</totalsRowFormula>
    </tableColumn>
    <tableColumn id="25" xr3:uid="{00000000-0010-0000-0100-000019000000}" name="Column25" totalsRowFunction="custom" totalsRowDxfId="349">
      <totalsRowFormula>SUM(Z2:Z28)</totalsRowFormula>
    </tableColumn>
    <tableColumn id="26" xr3:uid="{00000000-0010-0000-0100-00001A000000}" name="Column26" totalsRowFunction="custom" totalsRowDxfId="348">
      <totalsRowFormula>SUM(AA2:AA28)</totalsRowFormula>
    </tableColumn>
    <tableColumn id="27" xr3:uid="{00000000-0010-0000-0100-00001B000000}" name="Column27" totalsRowFunction="custom" totalsRowDxfId="347">
      <totalsRowFormula>SUM(AB2:AB28)</totalsRowFormula>
    </tableColumn>
    <tableColumn id="28" xr3:uid="{00000000-0010-0000-0100-00001C000000}" name="Column28" totalsRowFunction="custom" totalsRowDxfId="346">
      <totalsRowFormula>SUM(AC2:AC28)</totalsRowFormula>
    </tableColumn>
    <tableColumn id="29" xr3:uid="{00000000-0010-0000-0100-00001D000000}" name="Column29" totalsRowDxfId="345"/>
    <tableColumn id="30" xr3:uid="{00000000-0010-0000-0100-00001E000000}" name="Column30" totalsRowDxfId="344"/>
    <tableColumn id="31" xr3:uid="{00000000-0010-0000-0100-00001F000000}" name="Column31" totalsRowDxfId="343"/>
    <tableColumn id="32" xr3:uid="{00000000-0010-0000-0100-000020000000}" name="Column32" totalsRowDxfId="342"/>
    <tableColumn id="33" xr3:uid="{00000000-0010-0000-0100-000021000000}" name="Column33" totalsRowDxfId="341"/>
    <tableColumn id="34" xr3:uid="{00000000-0010-0000-0100-000022000000}" name="Column34" totalsRowDxfId="340"/>
    <tableColumn id="35" xr3:uid="{00000000-0010-0000-0100-000023000000}" name="Column35" totalsRowDxfId="339"/>
    <tableColumn id="36" xr3:uid="{00000000-0010-0000-0100-000024000000}" name="Column36" totalsRowDxfId="338"/>
    <tableColumn id="37" xr3:uid="{00000000-0010-0000-0100-000025000000}" name="Column37" totalsRowDxfId="337"/>
    <tableColumn id="38" xr3:uid="{00000000-0010-0000-0100-000026000000}" name="Column38" totalsRowDxfId="336"/>
    <tableColumn id="39" xr3:uid="{00000000-0010-0000-0100-000027000000}" name="Column39" totalsRowDxfId="335"/>
    <tableColumn id="40" xr3:uid="{00000000-0010-0000-0100-000028000000}" name="Column40" totalsRowDxfId="334"/>
    <tableColumn id="41" xr3:uid="{00000000-0010-0000-0100-000029000000}" name="Column41" totalsRowDxfId="333"/>
    <tableColumn id="42" xr3:uid="{00000000-0010-0000-0100-00002A000000}" name="Column42" totalsRowDxfId="332"/>
    <tableColumn id="43" xr3:uid="{00000000-0010-0000-0100-00002B000000}" name="Column43" totalsRowDxfId="331"/>
    <tableColumn id="44" xr3:uid="{00000000-0010-0000-0100-00002C000000}" name="Column44" totalsRowDxfId="330"/>
    <tableColumn id="45" xr3:uid="{00000000-0010-0000-0100-00002D000000}" name="Column45" totalsRowDxfId="329"/>
    <tableColumn id="46" xr3:uid="{00000000-0010-0000-0100-00002E000000}" name="Column46" totalsRowDxfId="328"/>
    <tableColumn id="47" xr3:uid="{00000000-0010-0000-0100-00002F000000}" name="Column47" totalsRowDxfId="327"/>
    <tableColumn id="48" xr3:uid="{00000000-0010-0000-0100-000030000000}" name="Column48" totalsRowDxfId="326"/>
    <tableColumn id="49" xr3:uid="{00000000-0010-0000-0100-000031000000}" name="Column49" totalsRowDxfId="325"/>
    <tableColumn id="50" xr3:uid="{00000000-0010-0000-0100-000032000000}" name="Column50" totalsRowDxfId="324"/>
    <tableColumn id="51" xr3:uid="{00000000-0010-0000-0100-000033000000}" name="Column51" totalsRowDxfId="323"/>
    <tableColumn id="52" xr3:uid="{00000000-0010-0000-0100-000034000000}" name="Column52" totalsRowDxfId="322"/>
  </tableColumns>
  <tableStyleInfo name="DV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H28" headerRowCount="0" totalsRowCount="1">
  <tableColumns count="60">
    <tableColumn id="1" xr3:uid="{00000000-0010-0000-0200-000001000000}" name="Column1" totalsRowDxfId="321"/>
    <tableColumn id="2" xr3:uid="{00000000-0010-0000-0200-000002000000}" name="Column2" totalsRowDxfId="320"/>
    <tableColumn id="3" xr3:uid="{00000000-0010-0000-0200-000003000000}" name="Column3" totalsRowDxfId="319"/>
    <tableColumn id="4" xr3:uid="{00000000-0010-0000-0200-000004000000}" name="Column4" totalsRowDxfId="318"/>
    <tableColumn id="5" xr3:uid="{00000000-0010-0000-0200-000005000000}" name="Column5" totalsRowDxfId="317"/>
    <tableColumn id="6" xr3:uid="{00000000-0010-0000-0200-000006000000}" name="Column6" totalsRowDxfId="316"/>
    <tableColumn id="7" xr3:uid="{00000000-0010-0000-0200-000007000000}" name="Column7" totalsRowDxfId="315"/>
    <tableColumn id="8" xr3:uid="{00000000-0010-0000-0200-000008000000}" name="Column8" totalsRowDxfId="314"/>
    <tableColumn id="9" xr3:uid="{00000000-0010-0000-0200-000009000000}" name="Column9" totalsRowFunction="custom" totalsRowDxfId="313">
      <totalsRowFormula>SUM(I2:I27)</totalsRowFormula>
    </tableColumn>
    <tableColumn id="10" xr3:uid="{00000000-0010-0000-0200-00000A000000}" name="Column10" totalsRowFunction="custom" totalsRowDxfId="312">
      <totalsRowFormula>SUM(J2:J27)</totalsRowFormula>
    </tableColumn>
    <tableColumn id="11" xr3:uid="{00000000-0010-0000-0200-00000B000000}" name="Column11" totalsRowFunction="custom" totalsRowDxfId="311">
      <totalsRowFormula>SUM(K2:K27)</totalsRowFormula>
    </tableColumn>
    <tableColumn id="12" xr3:uid="{00000000-0010-0000-0200-00000C000000}" name="Column12" totalsRowFunction="custom" totalsRowDxfId="310">
      <totalsRowFormula>SUM(L2:L27)</totalsRowFormula>
    </tableColumn>
    <tableColumn id="13" xr3:uid="{00000000-0010-0000-0200-00000D000000}" name="Column13" totalsRowFunction="custom" totalsRowDxfId="309">
      <totalsRowFormula>SUM(M2:M27)</totalsRowFormula>
    </tableColumn>
    <tableColumn id="14" xr3:uid="{00000000-0010-0000-0200-00000E000000}" name="Column14" totalsRowDxfId="308"/>
    <tableColumn id="15" xr3:uid="{00000000-0010-0000-0200-00000F000000}" name="Column15" totalsRowDxfId="307"/>
    <tableColumn id="16" xr3:uid="{00000000-0010-0000-0200-000010000000}" name="Column16" totalsRowDxfId="306"/>
    <tableColumn id="17" xr3:uid="{00000000-0010-0000-0200-000011000000}" name="Column17" totalsRowDxfId="305"/>
    <tableColumn id="18" xr3:uid="{00000000-0010-0000-0200-000012000000}" name="Column18" totalsRowDxfId="304"/>
    <tableColumn id="19" xr3:uid="{00000000-0010-0000-0200-000013000000}" name="Column19" totalsRowDxfId="303"/>
    <tableColumn id="20" xr3:uid="{00000000-0010-0000-0200-000014000000}" name="Column20" totalsRowDxfId="302"/>
    <tableColumn id="21" xr3:uid="{00000000-0010-0000-0200-000015000000}" name="Column21" totalsRowDxfId="301"/>
    <tableColumn id="22" xr3:uid="{00000000-0010-0000-0200-000016000000}" name="Column22" totalsRowDxfId="300"/>
    <tableColumn id="23" xr3:uid="{00000000-0010-0000-0200-000017000000}" name="Column23" totalsRowFunction="custom" totalsRowDxfId="299">
      <totalsRowFormula>SUM(W3:W9)</totalsRowFormula>
    </tableColumn>
    <tableColumn id="24" xr3:uid="{00000000-0010-0000-0200-000018000000}" name="Column24" totalsRowFunction="custom" totalsRowDxfId="298">
      <totalsRowFormula>SUM(X2:X9)</totalsRowFormula>
    </tableColumn>
    <tableColumn id="25" xr3:uid="{00000000-0010-0000-0200-000019000000}" name="Column25" totalsRowFunction="custom" totalsRowDxfId="297">
      <totalsRowFormula>SUM(Y2:Y9)</totalsRowFormula>
    </tableColumn>
    <tableColumn id="26" xr3:uid="{00000000-0010-0000-0200-00001A000000}" name="Column26" totalsRowFunction="custom" totalsRowDxfId="296">
      <totalsRowFormula>SUM(Z2:Z9)</totalsRowFormula>
    </tableColumn>
    <tableColumn id="27" xr3:uid="{00000000-0010-0000-0200-00001B000000}" name="Column27" totalsRowFunction="custom" totalsRowDxfId="295">
      <totalsRowFormula>SUM(AA2:AA27)</totalsRowFormula>
    </tableColumn>
    <tableColumn id="28" xr3:uid="{00000000-0010-0000-0200-00001C000000}" name="Column28" totalsRowFunction="custom" totalsRowDxfId="294">
      <totalsRowFormula>SUM(AB2:AB27)</totalsRowFormula>
    </tableColumn>
    <tableColumn id="29" xr3:uid="{00000000-0010-0000-0200-00001D000000}" name="Column29" totalsRowFunction="custom" totalsRowDxfId="293">
      <totalsRowFormula>SUM(AC2:AC27)</totalsRowFormula>
    </tableColumn>
    <tableColumn id="30" xr3:uid="{00000000-0010-0000-0200-00001E000000}" name="Column30" totalsRowFunction="custom" totalsRowDxfId="292">
      <totalsRowFormula>SUM(AD2:AD27)</totalsRowFormula>
    </tableColumn>
    <tableColumn id="31" xr3:uid="{00000000-0010-0000-0200-00001F000000}" name="Column31" totalsRowDxfId="291"/>
    <tableColumn id="32" xr3:uid="{00000000-0010-0000-0200-000020000000}" name="Column32" totalsRowDxfId="290"/>
    <tableColumn id="33" xr3:uid="{00000000-0010-0000-0200-000021000000}" name="Column33" totalsRowDxfId="289"/>
    <tableColumn id="34" xr3:uid="{00000000-0010-0000-0200-000022000000}" name="Column34" totalsRowDxfId="288"/>
    <tableColumn id="35" xr3:uid="{00000000-0010-0000-0200-000023000000}" name="Column35" totalsRowDxfId="287"/>
    <tableColumn id="36" xr3:uid="{00000000-0010-0000-0200-000024000000}" name="Column36" totalsRowDxfId="286"/>
    <tableColumn id="37" xr3:uid="{00000000-0010-0000-0200-000025000000}" name="Column37" totalsRowDxfId="285"/>
    <tableColumn id="38" xr3:uid="{00000000-0010-0000-0200-000026000000}" name="Column38" totalsRowDxfId="284"/>
    <tableColumn id="39" xr3:uid="{00000000-0010-0000-0200-000027000000}" name="Column39" totalsRowDxfId="283"/>
    <tableColumn id="40" xr3:uid="{00000000-0010-0000-0200-000028000000}" name="Column40" totalsRowDxfId="282"/>
    <tableColumn id="41" xr3:uid="{00000000-0010-0000-0200-000029000000}" name="Column41" totalsRowDxfId="281"/>
    <tableColumn id="42" xr3:uid="{00000000-0010-0000-0200-00002A000000}" name="Column42" totalsRowDxfId="280"/>
    <tableColumn id="43" xr3:uid="{00000000-0010-0000-0200-00002B000000}" name="Column43" totalsRowDxfId="279"/>
    <tableColumn id="44" xr3:uid="{00000000-0010-0000-0200-00002C000000}" name="Column44" totalsRowDxfId="278"/>
    <tableColumn id="45" xr3:uid="{00000000-0010-0000-0200-00002D000000}" name="Column45" totalsRowDxfId="277"/>
    <tableColumn id="46" xr3:uid="{00000000-0010-0000-0200-00002E000000}" name="Column46" totalsRowDxfId="276"/>
    <tableColumn id="47" xr3:uid="{00000000-0010-0000-0200-00002F000000}" name="Column47" totalsRowDxfId="275"/>
    <tableColumn id="48" xr3:uid="{00000000-0010-0000-0200-000030000000}" name="Column48" totalsRowDxfId="274"/>
    <tableColumn id="49" xr3:uid="{00000000-0010-0000-0200-000031000000}" name="Column49" totalsRowDxfId="273"/>
    <tableColumn id="50" xr3:uid="{00000000-0010-0000-0200-000032000000}" name="Column50" totalsRowDxfId="272"/>
    <tableColumn id="51" xr3:uid="{00000000-0010-0000-0200-000033000000}" name="Column51" totalsRowDxfId="271"/>
    <tableColumn id="52" xr3:uid="{00000000-0010-0000-0200-000034000000}" name="Column52" totalsRowDxfId="270"/>
    <tableColumn id="53" xr3:uid="{00000000-0010-0000-0200-000035000000}" name="Column53" totalsRowDxfId="269"/>
    <tableColumn id="54" xr3:uid="{00000000-0010-0000-0200-000036000000}" name="Column54" totalsRowDxfId="268"/>
    <tableColumn id="55" xr3:uid="{00000000-0010-0000-0200-000037000000}" name="Column55" totalsRowDxfId="267"/>
    <tableColumn id="56" xr3:uid="{00000000-0010-0000-0200-000038000000}" name="Column56" totalsRowDxfId="266"/>
    <tableColumn id="57" xr3:uid="{00000000-0010-0000-0200-000039000000}" name="Column57" totalsRowDxfId="265"/>
    <tableColumn id="58" xr3:uid="{00000000-0010-0000-0200-00003A000000}" name="Column58" totalsRowDxfId="264"/>
    <tableColumn id="59" xr3:uid="{00000000-0010-0000-0200-00003B000000}" name="Column59" totalsRowDxfId="263"/>
    <tableColumn id="60" xr3:uid="{00000000-0010-0000-0200-00003C000000}" name="Column60" totalsRowDxfId="262"/>
  </tableColumns>
  <tableStyleInfo name="SA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H31" headerRowCount="0" totalsRowCount="1">
  <tableColumns count="60">
    <tableColumn id="1" xr3:uid="{00000000-0010-0000-0300-000001000000}" name="Column1" totalsRowDxfId="261"/>
    <tableColumn id="2" xr3:uid="{00000000-0010-0000-0300-000002000000}" name="Column2" totalsRowDxfId="260"/>
    <tableColumn id="3" xr3:uid="{00000000-0010-0000-0300-000003000000}" name="Column3" totalsRowDxfId="259"/>
    <tableColumn id="4" xr3:uid="{00000000-0010-0000-0300-000004000000}" name="Column4" totalsRowDxfId="258"/>
    <tableColumn id="5" xr3:uid="{00000000-0010-0000-0300-000005000000}" name="Column5" totalsRowDxfId="257"/>
    <tableColumn id="6" xr3:uid="{00000000-0010-0000-0300-000006000000}" name="Column6" totalsRowDxfId="256"/>
    <tableColumn id="7" xr3:uid="{00000000-0010-0000-0300-000007000000}" name="Column7" totalsRowDxfId="255"/>
    <tableColumn id="8" xr3:uid="{00000000-0010-0000-0300-000008000000}" name="Column8" totalsRowDxfId="254"/>
    <tableColumn id="9" xr3:uid="{00000000-0010-0000-0300-000009000000}" name="Column9" totalsRowFunction="custom" totalsRowDxfId="253">
      <totalsRowFormula>SUM(I2:I30)</totalsRowFormula>
    </tableColumn>
    <tableColumn id="10" xr3:uid="{00000000-0010-0000-0300-00000A000000}" name="Column10" totalsRowFunction="custom" totalsRowDxfId="252">
      <totalsRowFormula>SUM(J2:J30)</totalsRowFormula>
    </tableColumn>
    <tableColumn id="11" xr3:uid="{00000000-0010-0000-0300-00000B000000}" name="Column11" totalsRowFunction="custom" totalsRowDxfId="251">
      <totalsRowFormula>SUM(K2:K30)</totalsRowFormula>
    </tableColumn>
    <tableColumn id="12" xr3:uid="{00000000-0010-0000-0300-00000C000000}" name="Column12" totalsRowFunction="custom" totalsRowDxfId="250">
      <totalsRowFormula>SUM(L2:L30)</totalsRowFormula>
    </tableColumn>
    <tableColumn id="13" xr3:uid="{00000000-0010-0000-0300-00000D000000}" name="Column13" totalsRowDxfId="249"/>
    <tableColumn id="14" xr3:uid="{00000000-0010-0000-0300-00000E000000}" name="Column14" totalsRowDxfId="248"/>
    <tableColumn id="15" xr3:uid="{00000000-0010-0000-0300-00000F000000}" name="Column15" totalsRowDxfId="247"/>
    <tableColumn id="16" xr3:uid="{00000000-0010-0000-0300-000010000000}" name="Column16" totalsRowDxfId="246"/>
    <tableColumn id="17" xr3:uid="{00000000-0010-0000-0300-000011000000}" name="Column17" totalsRowDxfId="245"/>
    <tableColumn id="18" xr3:uid="{00000000-0010-0000-0300-000012000000}" name="Column18" totalsRowDxfId="244"/>
    <tableColumn id="19" xr3:uid="{00000000-0010-0000-0300-000013000000}" name="Column19" totalsRowDxfId="243"/>
    <tableColumn id="20" xr3:uid="{00000000-0010-0000-0300-000014000000}" name="Column20" totalsRowDxfId="242"/>
    <tableColumn id="21" xr3:uid="{00000000-0010-0000-0300-000015000000}" name="Column21" totalsRowDxfId="241"/>
    <tableColumn id="22" xr3:uid="{00000000-0010-0000-0300-000016000000}" name="Column22" totalsRowDxfId="240"/>
    <tableColumn id="23" xr3:uid="{00000000-0010-0000-0300-000017000000}" name="Column23" totalsRowDxfId="239"/>
    <tableColumn id="24" xr3:uid="{00000000-0010-0000-0300-000018000000}" name="Column24" totalsRowDxfId="238"/>
    <tableColumn id="25" xr3:uid="{00000000-0010-0000-0300-000019000000}" name="Column25" totalsRowFunction="custom" totalsRowDxfId="237">
      <totalsRowFormula>SUM(Y4:Y10)</totalsRowFormula>
    </tableColumn>
    <tableColumn id="26" xr3:uid="{00000000-0010-0000-0300-00001A000000}" name="Column26" totalsRowFunction="custom" totalsRowDxfId="236">
      <totalsRowFormula>SUM(Z4:Z30)</totalsRowFormula>
    </tableColumn>
    <tableColumn id="27" xr3:uid="{00000000-0010-0000-0300-00001B000000}" name="Column27" totalsRowFunction="custom" totalsRowDxfId="235">
      <totalsRowFormula>SUM(AA4:AA30)</totalsRowFormula>
    </tableColumn>
    <tableColumn id="28" xr3:uid="{00000000-0010-0000-0300-00001C000000}" name="Column28" totalsRowFunction="custom" totalsRowDxfId="234">
      <totalsRowFormula>SUM(AB4:AB30)</totalsRowFormula>
    </tableColumn>
    <tableColumn id="29" xr3:uid="{00000000-0010-0000-0300-00001D000000}" name="Column29" totalsRowFunction="custom" totalsRowDxfId="233">
      <totalsRowFormula>SUM(AC4:AC30)</totalsRowFormula>
    </tableColumn>
    <tableColumn id="30" xr3:uid="{00000000-0010-0000-0300-00001E000000}" name="Column30" totalsRowDxfId="232"/>
    <tableColumn id="31" xr3:uid="{00000000-0010-0000-0300-00001F000000}" name="Column31" totalsRowDxfId="231"/>
    <tableColumn id="32" xr3:uid="{00000000-0010-0000-0300-000020000000}" name="Column32" totalsRowDxfId="230"/>
    <tableColumn id="33" xr3:uid="{00000000-0010-0000-0300-000021000000}" name="Column33" totalsRowDxfId="229"/>
    <tableColumn id="34" xr3:uid="{00000000-0010-0000-0300-000022000000}" name="Column34" totalsRowDxfId="228"/>
    <tableColumn id="35" xr3:uid="{00000000-0010-0000-0300-000023000000}" name="Column35" totalsRowDxfId="227"/>
    <tableColumn id="36" xr3:uid="{00000000-0010-0000-0300-000024000000}" name="Column36" totalsRowDxfId="226"/>
    <tableColumn id="37" xr3:uid="{00000000-0010-0000-0300-000025000000}" name="Column37" totalsRowDxfId="225"/>
    <tableColumn id="38" xr3:uid="{00000000-0010-0000-0300-000026000000}" name="Column38" totalsRowDxfId="224"/>
    <tableColumn id="39" xr3:uid="{00000000-0010-0000-0300-000027000000}" name="Column39" totalsRowDxfId="223"/>
    <tableColumn id="40" xr3:uid="{00000000-0010-0000-0300-000028000000}" name="Column40" totalsRowDxfId="222"/>
    <tableColumn id="41" xr3:uid="{00000000-0010-0000-0300-000029000000}" name="Column41" totalsRowDxfId="221"/>
    <tableColumn id="42" xr3:uid="{00000000-0010-0000-0300-00002A000000}" name="Column42" totalsRowDxfId="220"/>
    <tableColumn id="43" xr3:uid="{00000000-0010-0000-0300-00002B000000}" name="Column43" totalsRowDxfId="219"/>
    <tableColumn id="44" xr3:uid="{00000000-0010-0000-0300-00002C000000}" name="Column44" totalsRowDxfId="218"/>
    <tableColumn id="45" xr3:uid="{00000000-0010-0000-0300-00002D000000}" name="Column45" totalsRowDxfId="217"/>
    <tableColumn id="46" xr3:uid="{00000000-0010-0000-0300-00002E000000}" name="Column46" totalsRowDxfId="216"/>
    <tableColumn id="47" xr3:uid="{00000000-0010-0000-0300-00002F000000}" name="Column47" totalsRowDxfId="215"/>
    <tableColumn id="48" xr3:uid="{00000000-0010-0000-0300-000030000000}" name="Column48" totalsRowDxfId="214"/>
    <tableColumn id="49" xr3:uid="{00000000-0010-0000-0300-000031000000}" name="Column49" totalsRowDxfId="213"/>
    <tableColumn id="50" xr3:uid="{00000000-0010-0000-0300-000032000000}" name="Column50" totalsRowDxfId="212"/>
    <tableColumn id="51" xr3:uid="{00000000-0010-0000-0300-000033000000}" name="Column51" totalsRowDxfId="211"/>
    <tableColumn id="52" xr3:uid="{00000000-0010-0000-0300-000034000000}" name="Column52" totalsRowDxfId="210"/>
    <tableColumn id="53" xr3:uid="{00000000-0010-0000-0300-000035000000}" name="Column53" totalsRowDxfId="209"/>
    <tableColumn id="54" xr3:uid="{00000000-0010-0000-0300-000036000000}" name="Column54" totalsRowDxfId="208"/>
    <tableColumn id="55" xr3:uid="{00000000-0010-0000-0300-000037000000}" name="Column55" totalsRowDxfId="207"/>
    <tableColumn id="56" xr3:uid="{00000000-0010-0000-0300-000038000000}" name="Column56" totalsRowDxfId="206"/>
    <tableColumn id="57" xr3:uid="{00000000-0010-0000-0300-000039000000}" name="Column57" totalsRowDxfId="205"/>
    <tableColumn id="58" xr3:uid="{00000000-0010-0000-0300-00003A000000}" name="Column58" totalsRowDxfId="204"/>
    <tableColumn id="59" xr3:uid="{00000000-0010-0000-0300-00003B000000}" name="Column59" totalsRowDxfId="203"/>
    <tableColumn id="60" xr3:uid="{00000000-0010-0000-0300-00003C000000}" name="Column60" totalsRowDxfId="202"/>
  </tableColumns>
  <tableStyleInfo name="VAN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AH40" headerRowCount="0" totalsRowCount="1">
  <tableColumns count="34">
    <tableColumn id="1" xr3:uid="{00000000-0010-0000-0400-000001000000}" name="Column1" totalsRowDxfId="201"/>
    <tableColumn id="2" xr3:uid="{00000000-0010-0000-0400-000002000000}" name="Column2" totalsRowDxfId="200"/>
    <tableColumn id="3" xr3:uid="{00000000-0010-0000-0400-000003000000}" name="Column3" totalsRowDxfId="199"/>
    <tableColumn id="4" xr3:uid="{00000000-0010-0000-0400-000004000000}" name="Column4" totalsRowDxfId="198"/>
    <tableColumn id="5" xr3:uid="{00000000-0010-0000-0400-000005000000}" name="Column5" totalsRowDxfId="197"/>
    <tableColumn id="6" xr3:uid="{00000000-0010-0000-0400-000006000000}" name="Column6" totalsRowDxfId="196"/>
    <tableColumn id="7" xr3:uid="{00000000-0010-0000-0400-000007000000}" name="Column7" totalsRowDxfId="195"/>
    <tableColumn id="8" xr3:uid="{00000000-0010-0000-0400-000008000000}" name="Column8" totalsRowDxfId="194"/>
    <tableColumn id="9" xr3:uid="{00000000-0010-0000-0400-000009000000}" name="Column9" totalsRowFunction="custom" totalsRowDxfId="193">
      <totalsRowFormula>SUM(I2:I39)</totalsRowFormula>
    </tableColumn>
    <tableColumn id="10" xr3:uid="{00000000-0010-0000-0400-00000A000000}" name="Column10" totalsRowFunction="custom" totalsRowDxfId="192">
      <totalsRowFormula>SUM(J2:J39)</totalsRowFormula>
    </tableColumn>
    <tableColumn id="11" xr3:uid="{00000000-0010-0000-0400-00000B000000}" name="Column11" totalsRowFunction="custom" totalsRowDxfId="191">
      <totalsRowFormula>SUM(K2:K39)</totalsRowFormula>
    </tableColumn>
    <tableColumn id="12" xr3:uid="{00000000-0010-0000-0400-00000C000000}" name="Column12" totalsRowFunction="custom" totalsRowDxfId="190">
      <totalsRowFormula>SUM(L2:L39)</totalsRowFormula>
    </tableColumn>
    <tableColumn id="13" xr3:uid="{00000000-0010-0000-0400-00000D000000}" name="Column13" totalsRowFunction="custom" totalsRowDxfId="189">
      <totalsRowFormula>SUM(M2:M39)</totalsRowFormula>
    </tableColumn>
    <tableColumn id="14" xr3:uid="{00000000-0010-0000-0400-00000E000000}" name="Column14" totalsRowDxfId="188"/>
    <tableColumn id="15" xr3:uid="{00000000-0010-0000-0400-00000F000000}" name="Column15" totalsRowDxfId="187"/>
    <tableColumn id="16" xr3:uid="{00000000-0010-0000-0400-000010000000}" name="Column16" totalsRowDxfId="186"/>
    <tableColumn id="17" xr3:uid="{00000000-0010-0000-0400-000011000000}" name="Column17" totalsRowDxfId="185"/>
    <tableColumn id="18" xr3:uid="{00000000-0010-0000-0400-000012000000}" name="Column18" totalsRowDxfId="184"/>
    <tableColumn id="19" xr3:uid="{00000000-0010-0000-0400-000013000000}" name="Column19" totalsRowDxfId="183"/>
    <tableColumn id="20" xr3:uid="{00000000-0010-0000-0400-000014000000}" name="Column20" totalsRowDxfId="182"/>
    <tableColumn id="21" xr3:uid="{00000000-0010-0000-0400-000015000000}" name="Column21" totalsRowDxfId="181"/>
    <tableColumn id="22" xr3:uid="{00000000-0010-0000-0400-000016000000}" name="Column22" totalsRowDxfId="180"/>
    <tableColumn id="23" xr3:uid="{00000000-0010-0000-0400-000017000000}" name="Column23" totalsRowDxfId="179"/>
    <tableColumn id="24" xr3:uid="{00000000-0010-0000-0400-000018000000}" name="Column24" totalsRowDxfId="178"/>
    <tableColumn id="25" xr3:uid="{00000000-0010-0000-0400-000019000000}" name="Column25" totalsRowDxfId="177"/>
    <tableColumn id="26" xr3:uid="{00000000-0010-0000-0400-00001A000000}" name="Column26" totalsRowDxfId="176"/>
    <tableColumn id="27" xr3:uid="{00000000-0010-0000-0400-00001B000000}" name="Column27" totalsRowDxfId="175"/>
    <tableColumn id="28" xr3:uid="{00000000-0010-0000-0400-00001C000000}" name="Column28" totalsRowFunction="custom" totalsRowDxfId="174">
      <totalsRowFormula>SUM(AB2:AB39)</totalsRowFormula>
    </tableColumn>
    <tableColumn id="29" xr3:uid="{00000000-0010-0000-0400-00001D000000}" name="Column29" totalsRowFunction="custom" totalsRowDxfId="173">
      <totalsRowFormula>SUM(AC2:AC39)</totalsRowFormula>
    </tableColumn>
    <tableColumn id="30" xr3:uid="{00000000-0010-0000-0400-00001E000000}" name="Column30" totalsRowDxfId="172"/>
    <tableColumn id="31" xr3:uid="{00000000-0010-0000-0400-00001F000000}" name="Column31" totalsRowDxfId="171"/>
    <tableColumn id="32" xr3:uid="{00000000-0010-0000-0400-000020000000}" name="Column32" totalsRowDxfId="170"/>
    <tableColumn id="33" xr3:uid="{00000000-0010-0000-0400-000021000000}" name="Column33" totalsRowDxfId="169"/>
    <tableColumn id="34" xr3:uid="{00000000-0010-0000-0400-000022000000}" name="Column34" totalsRowDxfId="168"/>
  </tableColumns>
  <tableStyleInfo name="UTA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BH29" headerRowCount="0" totalsRowCount="1">
  <tableColumns count="60">
    <tableColumn id="1" xr3:uid="{00000000-0010-0000-0500-000001000000}" name="Column1" totalsRowDxfId="167"/>
    <tableColumn id="2" xr3:uid="{00000000-0010-0000-0500-000002000000}" name="Column2" totalsRowDxfId="166"/>
    <tableColumn id="3" xr3:uid="{00000000-0010-0000-0500-000003000000}" name="Column3" totalsRowDxfId="165"/>
    <tableColumn id="4" xr3:uid="{00000000-0010-0000-0500-000004000000}" name="Column4" totalsRowDxfId="164"/>
    <tableColumn id="5" xr3:uid="{00000000-0010-0000-0500-000005000000}" name="Column5" totalsRowDxfId="163"/>
    <tableColumn id="6" xr3:uid="{00000000-0010-0000-0500-000006000000}" name="Column6" totalsRowDxfId="162"/>
    <tableColumn id="7" xr3:uid="{00000000-0010-0000-0500-000007000000}" name="Column7" totalsRowDxfId="161"/>
    <tableColumn id="8" xr3:uid="{00000000-0010-0000-0500-000008000000}" name="Column8" totalsRowDxfId="160"/>
    <tableColumn id="9" xr3:uid="{00000000-0010-0000-0500-000009000000}" name="Column9" totalsRowFunction="custom" totalsRowDxfId="159">
      <totalsRowFormula>SUM(I2:I28)</totalsRowFormula>
    </tableColumn>
    <tableColumn id="10" xr3:uid="{00000000-0010-0000-0500-00000A000000}" name="Column10" totalsRowFunction="custom" totalsRowDxfId="158">
      <totalsRowFormula>SUM(J2:J28)</totalsRowFormula>
    </tableColumn>
    <tableColumn id="11" xr3:uid="{00000000-0010-0000-0500-00000B000000}" name="Column11" totalsRowFunction="custom" totalsRowDxfId="157">
      <totalsRowFormula>SUM(K2:K28)</totalsRowFormula>
    </tableColumn>
    <tableColumn id="12" xr3:uid="{00000000-0010-0000-0500-00000C000000}" name="Column12" totalsRowFunction="custom" totalsRowDxfId="156">
      <totalsRowFormula>SUM(L2:L28)</totalsRowFormula>
    </tableColumn>
    <tableColumn id="13" xr3:uid="{00000000-0010-0000-0500-00000D000000}" name="Column13" totalsRowDxfId="155"/>
    <tableColumn id="14" xr3:uid="{00000000-0010-0000-0500-00000E000000}" name="Column14" totalsRowDxfId="154"/>
    <tableColumn id="15" xr3:uid="{00000000-0010-0000-0500-00000F000000}" name="Column15" totalsRowDxfId="153"/>
    <tableColumn id="16" xr3:uid="{00000000-0010-0000-0500-000010000000}" name="Column16" totalsRowDxfId="152"/>
    <tableColumn id="17" xr3:uid="{00000000-0010-0000-0500-000011000000}" name="Column17" totalsRowDxfId="151"/>
    <tableColumn id="18" xr3:uid="{00000000-0010-0000-0500-000012000000}" name="Column18" totalsRowDxfId="150"/>
    <tableColumn id="19" xr3:uid="{00000000-0010-0000-0500-000013000000}" name="Column19" totalsRowDxfId="149"/>
    <tableColumn id="20" xr3:uid="{00000000-0010-0000-0500-000014000000}" name="Column20" totalsRowDxfId="148"/>
    <tableColumn id="21" xr3:uid="{00000000-0010-0000-0500-000015000000}" name="Column21" totalsRowDxfId="147"/>
    <tableColumn id="22" xr3:uid="{00000000-0010-0000-0500-000016000000}" name="Column22" totalsRowDxfId="146"/>
    <tableColumn id="23" xr3:uid="{00000000-0010-0000-0500-000017000000}" name="Column23" totalsRowFunction="custom" totalsRowDxfId="145">
      <totalsRowFormula>SUM(W2:W6)</totalsRowFormula>
    </tableColumn>
    <tableColumn id="24" xr3:uid="{00000000-0010-0000-0500-000018000000}" name="Column24" totalsRowFunction="custom" totalsRowDxfId="144">
      <totalsRowFormula>SUM(X2:X6)</totalsRowFormula>
    </tableColumn>
    <tableColumn id="25" xr3:uid="{00000000-0010-0000-0500-000019000000}" name="Column25" totalsRowFunction="custom" totalsRowDxfId="143">
      <totalsRowFormula>SUM(Y2:Y6)</totalsRowFormula>
    </tableColumn>
    <tableColumn id="26" xr3:uid="{00000000-0010-0000-0500-00001A000000}" name="Column26" totalsRowFunction="custom" totalsRowDxfId="142">
      <totalsRowFormula>SUM(Z2:Z28)</totalsRowFormula>
    </tableColumn>
    <tableColumn id="27" xr3:uid="{00000000-0010-0000-0500-00001B000000}" name="Column27" totalsRowFunction="custom" totalsRowDxfId="141">
      <totalsRowFormula>SUM(AA2:AA28)</totalsRowFormula>
    </tableColumn>
    <tableColumn id="28" xr3:uid="{00000000-0010-0000-0500-00001C000000}" name="Column28" totalsRowFunction="custom" totalsRowDxfId="140">
      <totalsRowFormula>SUM(AB2:AB28)</totalsRowFormula>
    </tableColumn>
    <tableColumn id="29" xr3:uid="{00000000-0010-0000-0500-00001D000000}" name="Column29" totalsRowFunction="custom" totalsRowDxfId="139">
      <totalsRowFormula>SUM(AC2:AC28)</totalsRowFormula>
    </tableColumn>
    <tableColumn id="30" xr3:uid="{00000000-0010-0000-0500-00001E000000}" name="Column30" totalsRowFunction="custom" totalsRowDxfId="138">
      <totalsRowFormula>SUM(AD2:AD28)</totalsRowFormula>
    </tableColumn>
    <tableColumn id="31" xr3:uid="{00000000-0010-0000-0500-00001F000000}" name="Column31" totalsRowDxfId="137"/>
    <tableColumn id="32" xr3:uid="{00000000-0010-0000-0500-000020000000}" name="Column32" totalsRowDxfId="136"/>
    <tableColumn id="33" xr3:uid="{00000000-0010-0000-0500-000021000000}" name="Column33" totalsRowDxfId="135"/>
    <tableColumn id="34" xr3:uid="{00000000-0010-0000-0500-000022000000}" name="Column34" totalsRowDxfId="134"/>
    <tableColumn id="35" xr3:uid="{00000000-0010-0000-0500-000023000000}" name="Column35" totalsRowDxfId="133"/>
    <tableColumn id="36" xr3:uid="{00000000-0010-0000-0500-000024000000}" name="Column36" totalsRowDxfId="132"/>
    <tableColumn id="37" xr3:uid="{00000000-0010-0000-0500-000025000000}" name="Column37" totalsRowDxfId="131"/>
    <tableColumn id="38" xr3:uid="{00000000-0010-0000-0500-000026000000}" name="Column38" totalsRowDxfId="130"/>
    <tableColumn id="39" xr3:uid="{00000000-0010-0000-0500-000027000000}" name="Column39" totalsRowDxfId="129"/>
    <tableColumn id="40" xr3:uid="{00000000-0010-0000-0500-000028000000}" name="Column40" totalsRowDxfId="128"/>
    <tableColumn id="41" xr3:uid="{00000000-0010-0000-0500-000029000000}" name="Column41" totalsRowDxfId="127"/>
    <tableColumn id="42" xr3:uid="{00000000-0010-0000-0500-00002A000000}" name="Column42" totalsRowDxfId="126"/>
    <tableColumn id="43" xr3:uid="{00000000-0010-0000-0500-00002B000000}" name="Column43" totalsRowDxfId="125"/>
    <tableColumn id="44" xr3:uid="{00000000-0010-0000-0500-00002C000000}" name="Column44" totalsRowDxfId="124"/>
    <tableColumn id="45" xr3:uid="{00000000-0010-0000-0500-00002D000000}" name="Column45" totalsRowDxfId="123"/>
    <tableColumn id="46" xr3:uid="{00000000-0010-0000-0500-00002E000000}" name="Column46" totalsRowDxfId="122"/>
    <tableColumn id="47" xr3:uid="{00000000-0010-0000-0500-00002F000000}" name="Column47" totalsRowDxfId="121"/>
    <tableColumn id="48" xr3:uid="{00000000-0010-0000-0500-000030000000}" name="Column48" totalsRowDxfId="120"/>
    <tableColumn id="49" xr3:uid="{00000000-0010-0000-0500-000031000000}" name="Column49" totalsRowDxfId="119"/>
    <tableColumn id="50" xr3:uid="{00000000-0010-0000-0500-000032000000}" name="Column50" totalsRowDxfId="118"/>
    <tableColumn id="51" xr3:uid="{00000000-0010-0000-0500-000033000000}" name="Column51" totalsRowDxfId="117"/>
    <tableColumn id="52" xr3:uid="{00000000-0010-0000-0500-000034000000}" name="Column52" totalsRowDxfId="116"/>
    <tableColumn id="53" xr3:uid="{00000000-0010-0000-0500-000035000000}" name="Column53" totalsRowDxfId="115"/>
    <tableColumn id="54" xr3:uid="{00000000-0010-0000-0500-000036000000}" name="Column54" totalsRowDxfId="114"/>
    <tableColumn id="55" xr3:uid="{00000000-0010-0000-0500-000037000000}" name="Column55" totalsRowDxfId="113"/>
    <tableColumn id="56" xr3:uid="{00000000-0010-0000-0500-000038000000}" name="Column56" totalsRowDxfId="112"/>
    <tableColumn id="57" xr3:uid="{00000000-0010-0000-0500-000039000000}" name="Column57" totalsRowDxfId="111"/>
    <tableColumn id="58" xr3:uid="{00000000-0010-0000-0500-00003A000000}" name="Column58" totalsRowDxfId="110"/>
    <tableColumn id="59" xr3:uid="{00000000-0010-0000-0500-00003B000000}" name="Column59" totalsRowDxfId="109"/>
    <tableColumn id="60" xr3:uid="{00000000-0010-0000-0500-00003C000000}" name="Column60" totalsRowDxfId="108"/>
  </tableColumns>
  <tableStyleInfo name="OBX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BH37" headerRowCount="0" totalsRowCount="1">
  <tableColumns count="60">
    <tableColumn id="1" xr3:uid="{00000000-0010-0000-0600-000001000000}" name="Column1"/>
    <tableColumn id="2" xr3:uid="{00000000-0010-0000-0600-000002000000}" name="Column2"/>
    <tableColumn id="3" xr3:uid="{00000000-0010-0000-0600-000003000000}" name="Column3" totalsRowDxfId="107"/>
    <tableColumn id="4" xr3:uid="{00000000-0010-0000-0600-000004000000}" name="Column4" totalsRowDxfId="106"/>
    <tableColumn id="5" xr3:uid="{00000000-0010-0000-0600-000005000000}" name="Column5"/>
    <tableColumn id="6" xr3:uid="{00000000-0010-0000-0600-000006000000}" name="Column6"/>
    <tableColumn id="7" xr3:uid="{00000000-0010-0000-0600-000007000000}" name="Column7" totalsRowDxfId="105"/>
    <tableColumn id="8" xr3:uid="{00000000-0010-0000-0600-000008000000}" name="Column8" totalsRowDxfId="104"/>
    <tableColumn id="9" xr3:uid="{00000000-0010-0000-0600-000009000000}" name="Column9" totalsRowFunction="custom" totalsRowDxfId="103">
      <totalsRowFormula>SUM(I2:I35)</totalsRowFormula>
    </tableColumn>
    <tableColumn id="10" xr3:uid="{00000000-0010-0000-0600-00000A000000}" name="Column10" totalsRowFunction="custom" totalsRowDxfId="102">
      <totalsRowFormula>SUM(J2:J35)</totalsRowFormula>
    </tableColumn>
    <tableColumn id="11" xr3:uid="{00000000-0010-0000-0600-00000B000000}" name="Column11" totalsRowFunction="custom" totalsRowDxfId="101">
      <totalsRowFormula>SUM(K2:K35)</totalsRowFormula>
    </tableColumn>
    <tableColumn id="12" xr3:uid="{00000000-0010-0000-0600-00000C000000}" name="Column12" totalsRowFunction="custom" totalsRowDxfId="100">
      <totalsRowFormula>SUM(L2:L35)</totalsRowFormula>
    </tableColumn>
    <tableColumn id="13" xr3:uid="{00000000-0010-0000-0600-00000D000000}" name="Column13" totalsRowDxfId="99"/>
    <tableColumn id="14" xr3:uid="{00000000-0010-0000-0600-00000E000000}" name="Column14"/>
    <tableColumn id="15" xr3:uid="{00000000-0010-0000-0600-00000F000000}" name="Column15"/>
    <tableColumn id="16" xr3:uid="{00000000-0010-0000-0600-000010000000}" name="Column16"/>
    <tableColumn id="17" xr3:uid="{00000000-0010-0000-0600-000011000000}" name="Column17"/>
    <tableColumn id="18" xr3:uid="{00000000-0010-0000-0600-000012000000}" name="Column18" totalsRowDxfId="98"/>
    <tableColumn id="19" xr3:uid="{00000000-0010-0000-0600-000013000000}" name="Column19" totalsRowDxfId="97"/>
    <tableColumn id="20" xr3:uid="{00000000-0010-0000-0600-000014000000}" name="Column20" totalsRowDxfId="96"/>
    <tableColumn id="21" xr3:uid="{00000000-0010-0000-0600-000015000000}" name="Column21" totalsRowDxfId="95"/>
    <tableColumn id="22" xr3:uid="{00000000-0010-0000-0600-000016000000}" name="Column22" totalsRowDxfId="94"/>
    <tableColumn id="23" xr3:uid="{00000000-0010-0000-0600-000017000000}" name="Column23" totalsRowFunction="custom">
      <totalsRowFormula>SUM(W2:W5)</totalsRowFormula>
    </tableColumn>
    <tableColumn id="24" xr3:uid="{00000000-0010-0000-0600-000018000000}" name="Column24" totalsRowFunction="custom">
      <totalsRowFormula>SUM(X2:X6)</totalsRowFormula>
    </tableColumn>
    <tableColumn id="25" xr3:uid="{00000000-0010-0000-0600-000019000000}" name="Column25" totalsRowFunction="custom">
      <totalsRowFormula>SUM(Y2:Y6)</totalsRowFormula>
    </tableColumn>
    <tableColumn id="26" xr3:uid="{00000000-0010-0000-0600-00001A000000}" name="Column26" totalsRowFunction="custom">
      <totalsRowFormula>SUM(Z2:Z35)</totalsRowFormula>
    </tableColumn>
    <tableColumn id="27" xr3:uid="{00000000-0010-0000-0600-00001B000000}" name="Column27" totalsRowFunction="custom">
      <totalsRowFormula>SUM(AA2:AA35)</totalsRowFormula>
    </tableColumn>
    <tableColumn id="28" xr3:uid="{00000000-0010-0000-0600-00001C000000}" name="Column28" totalsRowFunction="custom">
      <totalsRowFormula>SUM(AB2:AB35)</totalsRowFormula>
    </tableColumn>
    <tableColumn id="29" xr3:uid="{00000000-0010-0000-0600-00001D000000}" name="Column29" totalsRowFunction="custom" totalsRowDxfId="93">
      <totalsRowFormula>SUM(AC2:AC35)</totalsRowFormula>
    </tableColumn>
    <tableColumn id="30" xr3:uid="{00000000-0010-0000-0600-00001E000000}" name="Column30" totalsRowFunction="custom" totalsRowDxfId="92">
      <totalsRowFormula>SUM(AD2:AD36)</totalsRowFormula>
    </tableColumn>
    <tableColumn id="31" xr3:uid="{00000000-0010-0000-0600-00001F000000}" name="Column31" totalsRowDxfId="91"/>
    <tableColumn id="32" xr3:uid="{00000000-0010-0000-0600-000020000000}" name="Column32"/>
    <tableColumn id="33" xr3:uid="{00000000-0010-0000-0600-000021000000}" name="Column33"/>
    <tableColumn id="34" xr3:uid="{00000000-0010-0000-0600-000022000000}" name="Column34"/>
    <tableColumn id="35" xr3:uid="{00000000-0010-0000-0600-000023000000}" name="Column35"/>
    <tableColumn id="36" xr3:uid="{00000000-0010-0000-0600-000024000000}" name="Column36"/>
    <tableColumn id="37" xr3:uid="{00000000-0010-0000-0600-000025000000}" name="Column37"/>
    <tableColumn id="38" xr3:uid="{00000000-0010-0000-0600-000026000000}" name="Column38"/>
    <tableColumn id="39" xr3:uid="{00000000-0010-0000-0600-000027000000}" name="Column39"/>
    <tableColumn id="40" xr3:uid="{00000000-0010-0000-0600-000028000000}" name="Column40"/>
    <tableColumn id="41" xr3:uid="{00000000-0010-0000-0600-000029000000}" name="Column41"/>
    <tableColumn id="42" xr3:uid="{00000000-0010-0000-0600-00002A000000}" name="Column42"/>
    <tableColumn id="43" xr3:uid="{00000000-0010-0000-0600-00002B000000}" name="Column43"/>
    <tableColumn id="44" xr3:uid="{00000000-0010-0000-0600-00002C000000}" name="Column44"/>
    <tableColumn id="45" xr3:uid="{00000000-0010-0000-0600-00002D000000}" name="Column45"/>
    <tableColumn id="46" xr3:uid="{00000000-0010-0000-0600-00002E000000}" name="Column46"/>
    <tableColumn id="47" xr3:uid="{00000000-0010-0000-0600-00002F000000}" name="Column47"/>
    <tableColumn id="48" xr3:uid="{00000000-0010-0000-0600-000030000000}" name="Column48"/>
    <tableColumn id="49" xr3:uid="{00000000-0010-0000-0600-000031000000}" name="Column49"/>
    <tableColumn id="50" xr3:uid="{00000000-0010-0000-0600-000032000000}" name="Column50"/>
    <tableColumn id="51" xr3:uid="{00000000-0010-0000-0600-000033000000}" name="Column51"/>
    <tableColumn id="52" xr3:uid="{00000000-0010-0000-0600-000034000000}" name="Column52"/>
    <tableColumn id="53" xr3:uid="{00000000-0010-0000-0600-000035000000}" name="Column53"/>
    <tableColumn id="54" xr3:uid="{00000000-0010-0000-0600-000036000000}" name="Column54"/>
    <tableColumn id="55" xr3:uid="{00000000-0010-0000-0600-000037000000}" name="Column55"/>
    <tableColumn id="56" xr3:uid="{00000000-0010-0000-0600-000038000000}" name="Column56"/>
    <tableColumn id="57" xr3:uid="{00000000-0010-0000-0600-000039000000}" name="Column57"/>
    <tableColumn id="58" xr3:uid="{00000000-0010-0000-0600-00003A000000}" name="Column58"/>
    <tableColumn id="59" xr3:uid="{00000000-0010-0000-0600-00003B000000}" name="Column59"/>
    <tableColumn id="60" xr3:uid="{00000000-0010-0000-0600-00003C000000}" name="Column60"/>
  </tableColumns>
  <tableStyleInfo name="NYV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1:BC38" headerRowCount="0" totalsRowCount="1">
  <tableColumns count="54">
    <tableColumn id="1" xr3:uid="{00000000-0010-0000-0700-000001000000}" name="Column1"/>
    <tableColumn id="2" xr3:uid="{00000000-0010-0000-0700-000002000000}" name="Column2" totalsRowDxfId="90"/>
    <tableColumn id="3" xr3:uid="{00000000-0010-0000-0700-000003000000}" name="Column3" totalsRowDxfId="89"/>
    <tableColumn id="4" xr3:uid="{00000000-0010-0000-0700-000004000000}" name="Column4"/>
    <tableColumn id="5" xr3:uid="{00000000-0010-0000-0700-000005000000}" name="Column5" totalsRowDxfId="88"/>
    <tableColumn id="6" xr3:uid="{00000000-0010-0000-0700-000006000000}" name="Column6" totalsRowDxfId="87"/>
    <tableColumn id="7" xr3:uid="{00000000-0010-0000-0700-000007000000}" name="Column7"/>
    <tableColumn id="8" xr3:uid="{00000000-0010-0000-0700-000008000000}" name="Column8" totalsRowFunction="custom" totalsRowDxfId="86">
      <totalsRowFormula>SUM(I2:I37)</totalsRowFormula>
    </tableColumn>
    <tableColumn id="9" xr3:uid="{00000000-0010-0000-0700-000009000000}" name="Column9" totalsRowFunction="custom" totalsRowDxfId="85">
      <totalsRowFormula>SUM(J2:J37)</totalsRowFormula>
    </tableColumn>
    <tableColumn id="10" xr3:uid="{00000000-0010-0000-0700-00000A000000}" name="Column10" totalsRowFunction="custom" totalsRowDxfId="84">
      <totalsRowFormula>SUM(K2:K37)</totalsRowFormula>
    </tableColumn>
    <tableColumn id="11" xr3:uid="{00000000-0010-0000-0700-00000B000000}" name="Column11" totalsRowFunction="custom" totalsRowDxfId="83">
      <totalsRowFormula>SUM(L2:L37)</totalsRowFormula>
    </tableColumn>
    <tableColumn id="12" xr3:uid="{00000000-0010-0000-0700-00000C000000}" name="Column12" totalsRowFunction="custom" totalsRowDxfId="82">
      <totalsRowFormula>SUM(M2:M37)</totalsRowFormula>
    </tableColumn>
    <tableColumn id="13" xr3:uid="{00000000-0010-0000-0700-00000D000000}" name="Column13"/>
    <tableColumn id="14" xr3:uid="{00000000-0010-0000-0700-00000E000000}" name="Column14"/>
    <tableColumn id="15" xr3:uid="{00000000-0010-0000-0700-00000F000000}" name="Column15"/>
    <tableColumn id="16" xr3:uid="{00000000-0010-0000-0700-000010000000}" name="Column16"/>
    <tableColumn id="17" xr3:uid="{00000000-0010-0000-0700-000011000000}" name="Column17"/>
    <tableColumn id="18" xr3:uid="{00000000-0010-0000-0700-000012000000}" name="Column18"/>
    <tableColumn id="19" xr3:uid="{00000000-0010-0000-0700-000013000000}" name="Column19"/>
    <tableColumn id="20" xr3:uid="{00000000-0010-0000-0700-000014000000}" name="Column20"/>
    <tableColumn id="21" xr3:uid="{00000000-0010-0000-0700-000015000000}" name="Column21" totalsRowFunction="custom">
      <totalsRowFormula>SUM(V4)</totalsRowFormula>
    </tableColumn>
    <tableColumn id="22" xr3:uid="{00000000-0010-0000-0700-000016000000}" name="Column22" totalsRowFunction="custom">
      <totalsRowFormula>SUM(W4)</totalsRowFormula>
    </tableColumn>
    <tableColumn id="23" xr3:uid="{00000000-0010-0000-0700-000017000000}" name="Column23" totalsRowFunction="custom">
      <totalsRowFormula>SUM(X3:X4)</totalsRowFormula>
    </tableColumn>
    <tableColumn id="24" xr3:uid="{00000000-0010-0000-0700-000018000000}" name="Column24" totalsRowFunction="custom">
      <totalsRowFormula>SUM(Y3:Y37)</totalsRowFormula>
    </tableColumn>
    <tableColumn id="25" xr3:uid="{00000000-0010-0000-0700-000019000000}" name="Column25" totalsRowFunction="custom">
      <totalsRowFormula>SUM(Z3:Z37)</totalsRowFormula>
    </tableColumn>
    <tableColumn id="26" xr3:uid="{00000000-0010-0000-0700-00001A000000}" name="Column26" totalsRowFunction="custom">
      <totalsRowFormula>SUM(AA3:AA37)</totalsRowFormula>
    </tableColumn>
    <tableColumn id="27" xr3:uid="{00000000-0010-0000-0700-00001B000000}" name="Column27" totalsRowFunction="custom" totalsRowDxfId="81">
      <totalsRowFormula>SUM(AB3:AB37)</totalsRowFormula>
    </tableColumn>
    <tableColumn id="28" xr3:uid="{00000000-0010-0000-0700-00001C000000}" name="Column28" totalsRowFunction="custom" totalsRowDxfId="80">
      <totalsRowFormula>SUM(AC3:AC37)</totalsRowFormula>
    </tableColumn>
    <tableColumn id="29" xr3:uid="{00000000-0010-0000-0700-00001D000000}" name="Column29"/>
    <tableColumn id="30" xr3:uid="{00000000-0010-0000-0700-00001E000000}" name="Column30"/>
    <tableColumn id="31" xr3:uid="{00000000-0010-0000-0700-00001F000000}" name="Column31"/>
    <tableColumn id="32" xr3:uid="{00000000-0010-0000-0700-000020000000}" name="Column32"/>
    <tableColumn id="33" xr3:uid="{00000000-0010-0000-0700-000021000000}" name="Column33"/>
    <tableColumn id="34" xr3:uid="{00000000-0010-0000-0700-000022000000}" name="Column34"/>
    <tableColumn id="35" xr3:uid="{00000000-0010-0000-0700-000023000000}" name="Column35" totalsRowDxfId="79"/>
    <tableColumn id="36" xr3:uid="{00000000-0010-0000-0700-000024000000}" name="Column36" totalsRowDxfId="78"/>
    <tableColumn id="37" xr3:uid="{00000000-0010-0000-0700-000025000000}" name="Column37" totalsRowDxfId="77"/>
    <tableColumn id="38" xr3:uid="{00000000-0010-0000-0700-000026000000}" name="Column38" totalsRowDxfId="76"/>
    <tableColumn id="39" xr3:uid="{00000000-0010-0000-0700-000027000000}" name="Column39" totalsRowDxfId="75"/>
    <tableColumn id="40" xr3:uid="{00000000-0010-0000-0700-000028000000}" name="Column40" totalsRowDxfId="74"/>
    <tableColumn id="41" xr3:uid="{00000000-0010-0000-0700-000029000000}" name="Column41" totalsRowDxfId="73"/>
    <tableColumn id="42" xr3:uid="{00000000-0010-0000-0700-00002A000000}" name="Column42" totalsRowDxfId="72"/>
    <tableColumn id="43" xr3:uid="{00000000-0010-0000-0700-00002B000000}" name="Column43" totalsRowDxfId="71"/>
    <tableColumn id="44" xr3:uid="{00000000-0010-0000-0700-00002C000000}" name="Column44" totalsRowDxfId="70"/>
    <tableColumn id="45" xr3:uid="{00000000-0010-0000-0700-00002D000000}" name="Column45" totalsRowDxfId="69"/>
    <tableColumn id="46" xr3:uid="{00000000-0010-0000-0700-00002E000000}" name="Column46" totalsRowDxfId="68"/>
    <tableColumn id="47" xr3:uid="{00000000-0010-0000-0700-00002F000000}" name="Column47" totalsRowDxfId="67"/>
    <tableColumn id="48" xr3:uid="{00000000-0010-0000-0700-000030000000}" name="Column48" totalsRowDxfId="66"/>
    <tableColumn id="49" xr3:uid="{00000000-0010-0000-0700-000031000000}" name="Column49" totalsRowDxfId="65"/>
    <tableColumn id="50" xr3:uid="{00000000-0010-0000-0700-000032000000}" name="Column50" totalsRowDxfId="64"/>
    <tableColumn id="51" xr3:uid="{00000000-0010-0000-0700-000033000000}" name="Column51" totalsRowDxfId="63"/>
    <tableColumn id="52" xr3:uid="{00000000-0010-0000-0700-000034000000}" name="Column52" totalsRowDxfId="62"/>
    <tableColumn id="53" xr3:uid="{00000000-0010-0000-0700-000035000000}" name="Column53" totalsRowDxfId="61"/>
    <tableColumn id="54" xr3:uid="{00000000-0010-0000-0700-000036000000}" name="Column54" totalsRowDxfId="60"/>
  </tableColumns>
  <tableStyleInfo name="PRO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BH27" headerRowCount="0" totalsRowCount="1">
  <tableColumns count="60">
    <tableColumn id="1" xr3:uid="{00000000-0010-0000-0800-000001000000}" name="Column1" totalsRowDxfId="59"/>
    <tableColumn id="2" xr3:uid="{00000000-0010-0000-0800-000002000000}" name="Column2" totalsRowDxfId="58"/>
    <tableColumn id="3" xr3:uid="{00000000-0010-0000-0800-000003000000}" name="Column3" totalsRowDxfId="57"/>
    <tableColumn id="4" xr3:uid="{00000000-0010-0000-0800-000004000000}" name="Column4" totalsRowDxfId="56"/>
    <tableColumn id="5" xr3:uid="{00000000-0010-0000-0800-000005000000}" name="Column5" totalsRowDxfId="55"/>
    <tableColumn id="6" xr3:uid="{00000000-0010-0000-0800-000006000000}" name="Column6" totalsRowDxfId="54"/>
    <tableColumn id="7" xr3:uid="{00000000-0010-0000-0800-000007000000}" name="Column7" totalsRowDxfId="53"/>
    <tableColumn id="8" xr3:uid="{00000000-0010-0000-0800-000008000000}" name="Column8" totalsRowDxfId="52"/>
    <tableColumn id="9" xr3:uid="{00000000-0010-0000-0800-000009000000}" name="Column9" totalsRowFunction="custom" totalsRowDxfId="51">
      <totalsRowFormula>SUM(I2:I26)</totalsRowFormula>
    </tableColumn>
    <tableColumn id="10" xr3:uid="{00000000-0010-0000-0800-00000A000000}" name="Column10" totalsRowFunction="custom" totalsRowDxfId="50">
      <totalsRowFormula>SUM(J2:J26)</totalsRowFormula>
    </tableColumn>
    <tableColumn id="11" xr3:uid="{00000000-0010-0000-0800-00000B000000}" name="Column11" totalsRowFunction="custom" totalsRowDxfId="49">
      <totalsRowFormula>SUM(K2:K26)</totalsRowFormula>
    </tableColumn>
    <tableColumn id="12" xr3:uid="{00000000-0010-0000-0800-00000C000000}" name="Column12" totalsRowFunction="custom" totalsRowDxfId="48">
      <totalsRowFormula>SUM(L2:L26)</totalsRowFormula>
    </tableColumn>
    <tableColumn id="13" xr3:uid="{00000000-0010-0000-0800-00000D000000}" name="Column13" totalsRowDxfId="47"/>
    <tableColumn id="14" xr3:uid="{00000000-0010-0000-0800-00000E000000}" name="Column14" totalsRowDxfId="46"/>
    <tableColumn id="15" xr3:uid="{00000000-0010-0000-0800-00000F000000}" name="Column15" totalsRowDxfId="45"/>
    <tableColumn id="16" xr3:uid="{00000000-0010-0000-0800-000010000000}" name="Column16" totalsRowDxfId="44"/>
    <tableColumn id="17" xr3:uid="{00000000-0010-0000-0800-000011000000}" name="Column17" totalsRowDxfId="43"/>
    <tableColumn id="18" xr3:uid="{00000000-0010-0000-0800-000012000000}" name="Column18" totalsRowDxfId="42"/>
    <tableColumn id="19" xr3:uid="{00000000-0010-0000-0800-000013000000}" name="Column19" totalsRowDxfId="41"/>
    <tableColumn id="20" xr3:uid="{00000000-0010-0000-0800-000014000000}" name="Column20" totalsRowDxfId="40"/>
    <tableColumn id="21" xr3:uid="{00000000-0010-0000-0800-000015000000}" name="Column21" totalsRowDxfId="39"/>
    <tableColumn id="22" xr3:uid="{00000000-0010-0000-0800-000016000000}" name="Column22" totalsRowDxfId="38"/>
    <tableColumn id="23" xr3:uid="{00000000-0010-0000-0800-000017000000}" name="Column23" totalsRowDxfId="37"/>
    <tableColumn id="24" xr3:uid="{00000000-0010-0000-0800-000018000000}" name="Column24" totalsRowDxfId="36"/>
    <tableColumn id="25" xr3:uid="{00000000-0010-0000-0800-000019000000}" name="Column25" totalsRowDxfId="35"/>
    <tableColumn id="26" xr3:uid="{00000000-0010-0000-0800-00001A000000}" name="Column26" totalsRowDxfId="34"/>
    <tableColumn id="27" xr3:uid="{00000000-0010-0000-0800-00001B000000}" name="Column27" totalsRowDxfId="33"/>
    <tableColumn id="28" xr3:uid="{00000000-0010-0000-0800-00001C000000}" name="Column28" totalsRowFunction="custom" totalsRowDxfId="32">
      <totalsRowFormula>SUM(AB2:AB26)</totalsRowFormula>
    </tableColumn>
    <tableColumn id="29" xr3:uid="{00000000-0010-0000-0800-00001D000000}" name="Column29" totalsRowFunction="custom" totalsRowDxfId="31">
      <totalsRowFormula>SUM(AC2:AC26)</totalsRowFormula>
    </tableColumn>
    <tableColumn id="30" xr3:uid="{00000000-0010-0000-0800-00001E000000}" name="Column30" totalsRowDxfId="30"/>
    <tableColumn id="31" xr3:uid="{00000000-0010-0000-0800-00001F000000}" name="Column31" totalsRowDxfId="29"/>
    <tableColumn id="32" xr3:uid="{00000000-0010-0000-0800-000020000000}" name="Column32" totalsRowDxfId="28"/>
    <tableColumn id="33" xr3:uid="{00000000-0010-0000-0800-000021000000}" name="Column33" totalsRowDxfId="27"/>
    <tableColumn id="34" xr3:uid="{00000000-0010-0000-0800-000022000000}" name="Column34" totalsRowDxfId="26"/>
    <tableColumn id="35" xr3:uid="{00000000-0010-0000-0800-000023000000}" name="Column35" totalsRowDxfId="25"/>
    <tableColumn id="36" xr3:uid="{00000000-0010-0000-0800-000024000000}" name="Column36" totalsRowDxfId="24"/>
    <tableColumn id="37" xr3:uid="{00000000-0010-0000-0800-000025000000}" name="Column37" totalsRowDxfId="23"/>
    <tableColumn id="38" xr3:uid="{00000000-0010-0000-0800-000026000000}" name="Column38" totalsRowDxfId="22"/>
    <tableColumn id="39" xr3:uid="{00000000-0010-0000-0800-000027000000}" name="Column39" totalsRowDxfId="21"/>
    <tableColumn id="40" xr3:uid="{00000000-0010-0000-0800-000028000000}" name="Column40" totalsRowDxfId="20"/>
    <tableColumn id="41" xr3:uid="{00000000-0010-0000-0800-000029000000}" name="Column41" totalsRowDxfId="19"/>
    <tableColumn id="42" xr3:uid="{00000000-0010-0000-0800-00002A000000}" name="Column42" totalsRowDxfId="18"/>
    <tableColumn id="43" xr3:uid="{00000000-0010-0000-0800-00002B000000}" name="Column43" totalsRowDxfId="17"/>
    <tableColumn id="44" xr3:uid="{00000000-0010-0000-0800-00002C000000}" name="Column44" totalsRowDxfId="16"/>
    <tableColumn id="45" xr3:uid="{00000000-0010-0000-0800-00002D000000}" name="Column45" totalsRowDxfId="15"/>
    <tableColumn id="46" xr3:uid="{00000000-0010-0000-0800-00002E000000}" name="Column46" totalsRowDxfId="14"/>
    <tableColumn id="47" xr3:uid="{00000000-0010-0000-0800-00002F000000}" name="Column47" totalsRowDxfId="13"/>
    <tableColumn id="48" xr3:uid="{00000000-0010-0000-0800-000030000000}" name="Column48" totalsRowDxfId="12"/>
    <tableColumn id="49" xr3:uid="{00000000-0010-0000-0800-000031000000}" name="Column49" totalsRowDxfId="11"/>
    <tableColumn id="50" xr3:uid="{00000000-0010-0000-0800-000032000000}" name="Column50" totalsRowDxfId="10"/>
    <tableColumn id="51" xr3:uid="{00000000-0010-0000-0800-000033000000}" name="Column51" totalsRowDxfId="9"/>
    <tableColumn id="52" xr3:uid="{00000000-0010-0000-0800-000034000000}" name="Column52" totalsRowDxfId="8"/>
    <tableColumn id="53" xr3:uid="{00000000-0010-0000-0800-000035000000}" name="Column53" totalsRowDxfId="7"/>
    <tableColumn id="54" xr3:uid="{00000000-0010-0000-0800-000036000000}" name="Column54" totalsRowDxfId="6"/>
    <tableColumn id="55" xr3:uid="{00000000-0010-0000-0800-000037000000}" name="Column55" totalsRowDxfId="5"/>
    <tableColumn id="56" xr3:uid="{00000000-0010-0000-0800-000038000000}" name="Column56" totalsRowDxfId="4"/>
    <tableColumn id="57" xr3:uid="{00000000-0010-0000-0800-000039000000}" name="Column57" totalsRowDxfId="3"/>
    <tableColumn id="58" xr3:uid="{00000000-0010-0000-0800-00003A000000}" name="Column58" totalsRowDxfId="2"/>
    <tableColumn id="59" xr3:uid="{00000000-0010-0000-0800-00003B000000}" name="Column59" totalsRowDxfId="1"/>
    <tableColumn id="60" xr3:uid="{00000000-0010-0000-0800-00003C000000}" name="Column60" totalsRowDxfId="0"/>
  </tableColumns>
  <tableStyleInfo name="FL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63:BH92" headerRowCount="0">
  <tableColumns count="60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  <tableColumn id="10" xr3:uid="{00000000-0010-0000-0900-00000A000000}" name="Column10"/>
    <tableColumn id="11" xr3:uid="{00000000-0010-0000-0900-00000B000000}" name="Column11"/>
    <tableColumn id="12" xr3:uid="{00000000-0010-0000-0900-00000C000000}" name="Column12"/>
    <tableColumn id="13" xr3:uid="{00000000-0010-0000-0900-00000D000000}" name="Column13"/>
    <tableColumn id="14" xr3:uid="{00000000-0010-0000-0900-00000E000000}" name="Column14"/>
    <tableColumn id="15" xr3:uid="{00000000-0010-0000-0900-00000F000000}" name="Column15"/>
    <tableColumn id="16" xr3:uid="{00000000-0010-0000-0900-000010000000}" name="Column16"/>
    <tableColumn id="17" xr3:uid="{00000000-0010-0000-0900-000011000000}" name="Column17"/>
    <tableColumn id="18" xr3:uid="{00000000-0010-0000-0900-000012000000}" name="Column18"/>
    <tableColumn id="19" xr3:uid="{00000000-0010-0000-0900-000013000000}" name="Column19"/>
    <tableColumn id="20" xr3:uid="{00000000-0010-0000-0900-000014000000}" name="Column20"/>
    <tableColumn id="21" xr3:uid="{00000000-0010-0000-0900-000015000000}" name="Column21"/>
    <tableColumn id="22" xr3:uid="{00000000-0010-0000-0900-000016000000}" name="Column22"/>
    <tableColumn id="23" xr3:uid="{00000000-0010-0000-0900-000017000000}" name="Column23"/>
    <tableColumn id="24" xr3:uid="{00000000-0010-0000-0900-000018000000}" name="Column24"/>
    <tableColumn id="25" xr3:uid="{00000000-0010-0000-0900-000019000000}" name="Column25"/>
    <tableColumn id="26" xr3:uid="{00000000-0010-0000-0900-00001A000000}" name="Column26"/>
    <tableColumn id="27" xr3:uid="{00000000-0010-0000-0900-00001B000000}" name="Column27"/>
    <tableColumn id="28" xr3:uid="{00000000-0010-0000-0900-00001C000000}" name="Column28"/>
    <tableColumn id="29" xr3:uid="{00000000-0010-0000-0900-00001D000000}" name="Column29"/>
    <tableColumn id="30" xr3:uid="{00000000-0010-0000-0900-00001E000000}" name="Column30"/>
    <tableColumn id="31" xr3:uid="{00000000-0010-0000-0900-00001F000000}" name="Column31"/>
    <tableColumn id="32" xr3:uid="{00000000-0010-0000-0900-000020000000}" name="Column32"/>
    <tableColumn id="33" xr3:uid="{00000000-0010-0000-0900-000021000000}" name="Column33"/>
    <tableColumn id="34" xr3:uid="{00000000-0010-0000-0900-000022000000}" name="Column34"/>
    <tableColumn id="35" xr3:uid="{00000000-0010-0000-0900-000023000000}" name="Column35"/>
    <tableColumn id="36" xr3:uid="{00000000-0010-0000-0900-000024000000}" name="Column36"/>
    <tableColumn id="37" xr3:uid="{00000000-0010-0000-0900-000025000000}" name="Column37"/>
    <tableColumn id="38" xr3:uid="{00000000-0010-0000-0900-000026000000}" name="Column38"/>
    <tableColumn id="39" xr3:uid="{00000000-0010-0000-0900-000027000000}" name="Column39"/>
    <tableColumn id="40" xr3:uid="{00000000-0010-0000-0900-000028000000}" name="Column40"/>
    <tableColumn id="41" xr3:uid="{00000000-0010-0000-0900-000029000000}" name="Column41"/>
    <tableColumn id="42" xr3:uid="{00000000-0010-0000-0900-00002A000000}" name="Column42"/>
    <tableColumn id="43" xr3:uid="{00000000-0010-0000-0900-00002B000000}" name="Column43"/>
    <tableColumn id="44" xr3:uid="{00000000-0010-0000-0900-00002C000000}" name="Column44"/>
    <tableColumn id="45" xr3:uid="{00000000-0010-0000-0900-00002D000000}" name="Column45"/>
    <tableColumn id="46" xr3:uid="{00000000-0010-0000-0900-00002E000000}" name="Column46"/>
    <tableColumn id="47" xr3:uid="{00000000-0010-0000-0900-00002F000000}" name="Column47"/>
    <tableColumn id="48" xr3:uid="{00000000-0010-0000-0900-000030000000}" name="Column48"/>
    <tableColumn id="49" xr3:uid="{00000000-0010-0000-0900-000031000000}" name="Column49"/>
    <tableColumn id="50" xr3:uid="{00000000-0010-0000-0900-000032000000}" name="Column50"/>
    <tableColumn id="51" xr3:uid="{00000000-0010-0000-0900-000033000000}" name="Column51"/>
    <tableColumn id="52" xr3:uid="{00000000-0010-0000-0900-000034000000}" name="Column52"/>
    <tableColumn id="53" xr3:uid="{00000000-0010-0000-0900-000035000000}" name="Column53"/>
    <tableColumn id="54" xr3:uid="{00000000-0010-0000-0900-000036000000}" name="Column54"/>
    <tableColumn id="55" xr3:uid="{00000000-0010-0000-0900-000037000000}" name="Column55"/>
    <tableColumn id="56" xr3:uid="{00000000-0010-0000-0900-000038000000}" name="Column56"/>
    <tableColumn id="57" xr3:uid="{00000000-0010-0000-0900-000039000000}" name="Column57"/>
    <tableColumn id="58" xr3:uid="{00000000-0010-0000-0900-00003A000000}" name="Column58"/>
    <tableColumn id="59" xr3:uid="{00000000-0010-0000-0900-00003B000000}" name="Column59"/>
    <tableColumn id="60" xr3:uid="{00000000-0010-0000-0900-00003C000000}" name="Column60"/>
  </tableColumns>
  <tableStyleInfo name="Retired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AD30" headerRowCount="0">
  <tableColumns count="30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  <tableColumn id="6" xr3:uid="{00000000-0010-0000-0A00-000006000000}" name="Column6"/>
    <tableColumn id="7" xr3:uid="{00000000-0010-0000-0A00-000007000000}" name="Column7"/>
    <tableColumn id="8" xr3:uid="{00000000-0010-0000-0A00-000008000000}" name="Column8"/>
    <tableColumn id="9" xr3:uid="{00000000-0010-0000-0A00-000009000000}" name="Column9"/>
    <tableColumn id="10" xr3:uid="{00000000-0010-0000-0A00-00000A000000}" name="Column10"/>
    <tableColumn id="11" xr3:uid="{00000000-0010-0000-0A00-00000B000000}" name="Column11"/>
    <tableColumn id="12" xr3:uid="{00000000-0010-0000-0A00-00000C000000}" name="Column12"/>
    <tableColumn id="13" xr3:uid="{00000000-0010-0000-0A00-00000D000000}" name="Column13"/>
    <tableColumn id="14" xr3:uid="{00000000-0010-0000-0A00-00000E000000}" name="Column14"/>
    <tableColumn id="15" xr3:uid="{00000000-0010-0000-0A00-00000F000000}" name="Column15"/>
    <tableColumn id="16" xr3:uid="{00000000-0010-0000-0A00-000010000000}" name="Column16"/>
    <tableColumn id="17" xr3:uid="{00000000-0010-0000-0A00-000011000000}" name="Column17"/>
    <tableColumn id="18" xr3:uid="{00000000-0010-0000-0A00-000012000000}" name="Column18"/>
    <tableColumn id="19" xr3:uid="{00000000-0010-0000-0A00-000013000000}" name="Column19"/>
    <tableColumn id="20" xr3:uid="{00000000-0010-0000-0A00-000014000000}" name="Column20"/>
    <tableColumn id="21" xr3:uid="{00000000-0010-0000-0A00-000015000000}" name="Column21"/>
    <tableColumn id="22" xr3:uid="{00000000-0010-0000-0A00-000016000000}" name="Column22"/>
    <tableColumn id="23" xr3:uid="{00000000-0010-0000-0A00-000017000000}" name="Column23"/>
    <tableColumn id="24" xr3:uid="{00000000-0010-0000-0A00-000018000000}" name="Column24"/>
    <tableColumn id="25" xr3:uid="{00000000-0010-0000-0A00-000019000000}" name="Column25"/>
    <tableColumn id="26" xr3:uid="{00000000-0010-0000-0A00-00001A000000}" name="Column26"/>
    <tableColumn id="27" xr3:uid="{00000000-0010-0000-0A00-00001B000000}" name="Column27"/>
    <tableColumn id="28" xr3:uid="{00000000-0010-0000-0A00-00001C000000}" name="Column28"/>
    <tableColumn id="29" xr3:uid="{00000000-0010-0000-0A00-00001D000000}" name="Column29"/>
    <tableColumn id="30" xr3:uid="{00000000-0010-0000-0A00-00001E000000}" name="Column30"/>
  </tableColumns>
  <tableStyleInfo name="Retired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B6" headerRowCount="0">
  <tableColumns count="2">
    <tableColumn id="1" xr3:uid="{00000000-0010-0000-0B00-000001000000}" name="Column1"/>
    <tableColumn id="2" xr3:uid="{00000000-0010-0000-0B00-000002000000}" name="Column2"/>
  </tableColumns>
  <tableStyleInfo name="Calc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A9:B15" headerRowCount="0">
  <tableColumns count="2">
    <tableColumn id="1" xr3:uid="{00000000-0010-0000-0C00-000001000000}" name="Column1"/>
    <tableColumn id="2" xr3:uid="{00000000-0010-0000-0C00-000002000000}" name="Column2"/>
  </tableColumns>
  <tableStyleInfo name="Calc-style 2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I1:J15" headerRowCount="0">
  <tableColumns count="2">
    <tableColumn id="1" xr3:uid="{00000000-0010-0000-0D00-000001000000}" name="Column1"/>
    <tableColumn id="2" xr3:uid="{00000000-0010-0000-0D00-000002000000}" name="Column2"/>
  </tableColumns>
  <tableStyleInfo name="Calc-style 3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D20:H36" headerRowCount="0">
  <tableColumns count="5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  <tableColumn id="5" xr3:uid="{00000000-0010-0000-0E00-000005000000}" name="Column5"/>
  </tableColumns>
  <tableStyleInfo name="Calc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D1:H17" headerRowCount="0">
  <tableColumns count="5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</tableColumns>
  <tableStyleInfo name="Calc-style 5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le_18" displayName="Table_18" ref="A36:A87" headerRowCount="0">
  <tableColumns count="1">
    <tableColumn id="1" xr3:uid="{00000000-0010-0000-1000-000001000000}" name="Column1"/>
  </tableColumns>
  <tableStyleInfo name="Analysis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Table_17" displayName="Table_17" ref="A1:B49" headerRowCount="0">
  <tableColumns count="2">
    <tableColumn id="1" xr3:uid="{00000000-0010-0000-1100-000001000000}" name="Column1"/>
    <tableColumn id="2" xr3:uid="{00000000-0010-0000-1100-000002000000}" name="Column2"/>
  </tableColumns>
  <tableStyleInfo name="Dump-style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le_20" displayName="Table_20" ref="A1:BF997" headerRowCount="0">
  <tableColumns count="58">
    <tableColumn id="1" xr3:uid="{00000000-0010-0000-1200-000001000000}" name="Column1"/>
    <tableColumn id="2" xr3:uid="{00000000-0010-0000-1200-000002000000}" name="Column2"/>
    <tableColumn id="3" xr3:uid="{00000000-0010-0000-1200-000003000000}" name="Column3"/>
    <tableColumn id="4" xr3:uid="{00000000-0010-0000-1200-000004000000}" name="Column4"/>
    <tableColumn id="5" xr3:uid="{00000000-0010-0000-1200-000005000000}" name="Column5"/>
    <tableColumn id="6" xr3:uid="{00000000-0010-0000-1200-000006000000}" name="Column6"/>
    <tableColumn id="7" xr3:uid="{00000000-0010-0000-1200-000007000000}" name="Column7"/>
    <tableColumn id="8" xr3:uid="{00000000-0010-0000-1200-000008000000}" name="Column8"/>
    <tableColumn id="9" xr3:uid="{00000000-0010-0000-1200-000009000000}" name="Column9"/>
    <tableColumn id="10" xr3:uid="{00000000-0010-0000-1200-00000A000000}" name="Column10"/>
    <tableColumn id="11" xr3:uid="{00000000-0010-0000-1200-00000B000000}" name="Column11"/>
    <tableColumn id="12" xr3:uid="{00000000-0010-0000-1200-00000C000000}" name="Column12"/>
    <tableColumn id="13" xr3:uid="{00000000-0010-0000-1200-00000D000000}" name="Column13"/>
    <tableColumn id="14" xr3:uid="{00000000-0010-0000-1200-00000E000000}" name="Column14"/>
    <tableColumn id="15" xr3:uid="{00000000-0010-0000-1200-00000F000000}" name="Column15"/>
    <tableColumn id="16" xr3:uid="{00000000-0010-0000-1200-000010000000}" name="Column16"/>
    <tableColumn id="17" xr3:uid="{00000000-0010-0000-1200-000011000000}" name="Column17"/>
    <tableColumn id="18" xr3:uid="{00000000-0010-0000-1200-000012000000}" name="Column18"/>
    <tableColumn id="19" xr3:uid="{00000000-0010-0000-1200-000013000000}" name="Column19"/>
    <tableColumn id="20" xr3:uid="{00000000-0010-0000-1200-000014000000}" name="Column20"/>
    <tableColumn id="21" xr3:uid="{00000000-0010-0000-1200-000015000000}" name="Column21"/>
    <tableColumn id="22" xr3:uid="{00000000-0010-0000-1200-000016000000}" name="Column22"/>
    <tableColumn id="23" xr3:uid="{00000000-0010-0000-1200-000017000000}" name="Column23"/>
    <tableColumn id="24" xr3:uid="{00000000-0010-0000-1200-000018000000}" name="Column24"/>
    <tableColumn id="25" xr3:uid="{00000000-0010-0000-1200-000019000000}" name="Column25"/>
    <tableColumn id="26" xr3:uid="{00000000-0010-0000-1200-00001A000000}" name="Column26"/>
    <tableColumn id="27" xr3:uid="{00000000-0010-0000-1200-00001B000000}" name="Column27"/>
    <tableColumn id="28" xr3:uid="{00000000-0010-0000-1200-00001C000000}" name="Column28"/>
    <tableColumn id="29" xr3:uid="{00000000-0010-0000-1200-00001D000000}" name="Column29"/>
    <tableColumn id="30" xr3:uid="{00000000-0010-0000-1200-00001E000000}" name="Column30"/>
    <tableColumn id="31" xr3:uid="{00000000-0010-0000-1200-00001F000000}" name="Column31"/>
    <tableColumn id="32" xr3:uid="{00000000-0010-0000-1200-000020000000}" name="Column32"/>
    <tableColumn id="33" xr3:uid="{00000000-0010-0000-1200-000021000000}" name="Column33"/>
    <tableColumn id="34" xr3:uid="{00000000-0010-0000-1200-000022000000}" name="Column34"/>
    <tableColumn id="35" xr3:uid="{00000000-0010-0000-1200-000023000000}" name="Column35"/>
    <tableColumn id="36" xr3:uid="{00000000-0010-0000-1200-000024000000}" name="Column36"/>
    <tableColumn id="37" xr3:uid="{00000000-0010-0000-1200-000025000000}" name="Column37"/>
    <tableColumn id="38" xr3:uid="{00000000-0010-0000-1200-000026000000}" name="Column38"/>
    <tableColumn id="39" xr3:uid="{00000000-0010-0000-1200-000027000000}" name="Column39"/>
    <tableColumn id="40" xr3:uid="{00000000-0010-0000-1200-000028000000}" name="Column40"/>
    <tableColumn id="41" xr3:uid="{00000000-0010-0000-1200-000029000000}" name="Column41"/>
    <tableColumn id="42" xr3:uid="{00000000-0010-0000-1200-00002A000000}" name="Column42"/>
    <tableColumn id="43" xr3:uid="{00000000-0010-0000-1200-00002B000000}" name="Column43"/>
    <tableColumn id="44" xr3:uid="{00000000-0010-0000-1200-00002C000000}" name="Column44"/>
    <tableColumn id="45" xr3:uid="{00000000-0010-0000-1200-00002D000000}" name="Column45"/>
    <tableColumn id="46" xr3:uid="{00000000-0010-0000-1200-00002E000000}" name="Column46"/>
    <tableColumn id="47" xr3:uid="{00000000-0010-0000-1200-00002F000000}" name="Column47"/>
    <tableColumn id="48" xr3:uid="{00000000-0010-0000-1200-000030000000}" name="Column48"/>
    <tableColumn id="49" xr3:uid="{00000000-0010-0000-1200-000031000000}" name="Column49"/>
    <tableColumn id="50" xr3:uid="{00000000-0010-0000-1200-000032000000}" name="Column50"/>
    <tableColumn id="51" xr3:uid="{00000000-0010-0000-1200-000033000000}" name="Column51"/>
    <tableColumn id="52" xr3:uid="{00000000-0010-0000-1200-000034000000}" name="Column52"/>
    <tableColumn id="53" xr3:uid="{00000000-0010-0000-1200-000035000000}" name="Column53"/>
    <tableColumn id="54" xr3:uid="{00000000-0010-0000-1200-000036000000}" name="Column54"/>
    <tableColumn id="55" xr3:uid="{00000000-0010-0000-1200-000037000000}" name="Column55"/>
    <tableColumn id="56" xr3:uid="{00000000-0010-0000-1200-000038000000}" name="Column56"/>
    <tableColumn id="57" xr3:uid="{00000000-0010-0000-1200-000039000000}" name="Column57"/>
    <tableColumn id="58" xr3:uid="{00000000-0010-0000-1200-00003A000000}" name="Column58"/>
  </tableColumns>
  <tableStyleInfo name="S11 Draf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Table_19" displayName="Table_19" ref="A1:V32" headerRowCount="0">
  <tableColumns count="22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  <tableColumn id="5" xr3:uid="{00000000-0010-0000-1300-000005000000}" name="Column5"/>
    <tableColumn id="6" xr3:uid="{00000000-0010-0000-1300-000006000000}" name="Column6"/>
    <tableColumn id="7" xr3:uid="{00000000-0010-0000-1300-000007000000}" name="Column7"/>
    <tableColumn id="8" xr3:uid="{00000000-0010-0000-1300-000008000000}" name="Column8"/>
    <tableColumn id="9" xr3:uid="{00000000-0010-0000-1300-000009000000}" name="Column9"/>
    <tableColumn id="10" xr3:uid="{00000000-0010-0000-1300-00000A000000}" name="Column10"/>
    <tableColumn id="11" xr3:uid="{00000000-0010-0000-1300-00000B000000}" name="Column11"/>
    <tableColumn id="12" xr3:uid="{00000000-0010-0000-1300-00000C000000}" name="Column12"/>
    <tableColumn id="13" xr3:uid="{00000000-0010-0000-1300-00000D000000}" name="Column13"/>
    <tableColumn id="14" xr3:uid="{00000000-0010-0000-1300-00000E000000}" name="Column14"/>
    <tableColumn id="15" xr3:uid="{00000000-0010-0000-1300-00000F000000}" name="Column15"/>
    <tableColumn id="16" xr3:uid="{00000000-0010-0000-1300-000010000000}" name="Column16"/>
    <tableColumn id="17" xr3:uid="{00000000-0010-0000-1300-000011000000}" name="Column17"/>
    <tableColumn id="18" xr3:uid="{00000000-0010-0000-1300-000012000000}" name="Column18"/>
    <tableColumn id="19" xr3:uid="{00000000-0010-0000-1300-000013000000}" name="Column19"/>
    <tableColumn id="20" xr3:uid="{00000000-0010-0000-1300-000014000000}" name="Column20"/>
    <tableColumn id="21" xr3:uid="{00000000-0010-0000-1300-000015000000}" name="Column21"/>
    <tableColumn id="22" xr3:uid="{00000000-0010-0000-1300-000016000000}" name="Column22"/>
  </tableColumns>
  <tableStyleInfo name="S6 Draftee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probaseballexperience.jcink.net/index.php?showuser=69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://probaseballexperience.jcink.net/index.php?showuser=363" TargetMode="External"/><Relationship Id="rId1" Type="http://schemas.openxmlformats.org/officeDocument/2006/relationships/hyperlink" Target="http://probaseballexperience.jcink.net/index.php?showuser=560" TargetMode="External"/><Relationship Id="rId6" Type="http://schemas.openxmlformats.org/officeDocument/2006/relationships/hyperlink" Target="http://probaseballexperience.jcink.net/index.php?showuser=558" TargetMode="External"/><Relationship Id="rId5" Type="http://schemas.openxmlformats.org/officeDocument/2006/relationships/hyperlink" Target="http://probaseballexperience.jcink.net/index.php?showuser=562" TargetMode="External"/><Relationship Id="rId4" Type="http://schemas.openxmlformats.org/officeDocument/2006/relationships/hyperlink" Target="http://probaseballexperience.jcink.net/index.php?showuser=92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probaseballexperience.jcink.net/index.php?showtopic=2614" TargetMode="External"/><Relationship Id="rId671" Type="http://schemas.openxmlformats.org/officeDocument/2006/relationships/hyperlink" Target="http://probaseballexperience.jcink.net/index.php?showtopic=4611" TargetMode="External"/><Relationship Id="rId769" Type="http://schemas.openxmlformats.org/officeDocument/2006/relationships/hyperlink" Target="http://probaseballexperience.jcink.net/index.php?showtopic=5136" TargetMode="External"/><Relationship Id="rId21" Type="http://schemas.openxmlformats.org/officeDocument/2006/relationships/hyperlink" Target="http://probaseballexperience.jcink.net/index.php?showtopic=405" TargetMode="External"/><Relationship Id="rId324" Type="http://schemas.openxmlformats.org/officeDocument/2006/relationships/hyperlink" Target="http://probaseballexperience.jcink.net/index.php?showtopic=4460" TargetMode="External"/><Relationship Id="rId531" Type="http://schemas.openxmlformats.org/officeDocument/2006/relationships/hyperlink" Target="http://probaseballexperience.jcink.net/index.php?showtopic=219" TargetMode="External"/><Relationship Id="rId629" Type="http://schemas.openxmlformats.org/officeDocument/2006/relationships/hyperlink" Target="http://probaseballexperience.jcink.net/index.php?showuser=337" TargetMode="External"/><Relationship Id="rId170" Type="http://schemas.openxmlformats.org/officeDocument/2006/relationships/hyperlink" Target="http://probaseballexperience.jcink.net/index.php?showtopic=3108" TargetMode="External"/><Relationship Id="rId836" Type="http://schemas.openxmlformats.org/officeDocument/2006/relationships/hyperlink" Target="http://probaseballexperience.jcink.net/index.php?showtopic=1093" TargetMode="External"/><Relationship Id="rId268" Type="http://schemas.openxmlformats.org/officeDocument/2006/relationships/hyperlink" Target="http://probaseballexperience.jcink.net/index.php?showuser=306" TargetMode="External"/><Relationship Id="rId475" Type="http://schemas.openxmlformats.org/officeDocument/2006/relationships/hyperlink" Target="http://probaseballexperience.jcink.net/index.php?showtopic=4561" TargetMode="External"/><Relationship Id="rId682" Type="http://schemas.openxmlformats.org/officeDocument/2006/relationships/hyperlink" Target="http://probaseballexperience.jcink.net/index.php?showuser=335" TargetMode="External"/><Relationship Id="rId32" Type="http://schemas.openxmlformats.org/officeDocument/2006/relationships/hyperlink" Target="http://probaseballexperience.jcink.net/index.php?showtopic=1560" TargetMode="External"/><Relationship Id="rId128" Type="http://schemas.openxmlformats.org/officeDocument/2006/relationships/hyperlink" Target="http://probaseballexperience.jcink.net/index.php?showtopic=258" TargetMode="External"/><Relationship Id="rId335" Type="http://schemas.openxmlformats.org/officeDocument/2006/relationships/hyperlink" Target="http://probaseballexperience.jcink.net/index.php?showuser=165" TargetMode="External"/><Relationship Id="rId542" Type="http://schemas.openxmlformats.org/officeDocument/2006/relationships/hyperlink" Target="http://probaseballexperience.jcink.net/index.php?showtopic=4593" TargetMode="External"/><Relationship Id="rId181" Type="http://schemas.openxmlformats.org/officeDocument/2006/relationships/hyperlink" Target="http://probaseballexperience.jcink.net/index.php?showuser=262" TargetMode="External"/><Relationship Id="rId402" Type="http://schemas.openxmlformats.org/officeDocument/2006/relationships/hyperlink" Target="http://probaseballexperience.jcink.net/index.php?showtopic=5307" TargetMode="External"/><Relationship Id="rId847" Type="http://schemas.openxmlformats.org/officeDocument/2006/relationships/hyperlink" Target="http://probaseballexperience.jcink.net/index.php?showtopic=1048" TargetMode="External"/><Relationship Id="rId279" Type="http://schemas.openxmlformats.org/officeDocument/2006/relationships/hyperlink" Target="http://probaseballexperience.jcink.net/index.php?showtopic=3153" TargetMode="External"/><Relationship Id="rId486" Type="http://schemas.openxmlformats.org/officeDocument/2006/relationships/hyperlink" Target="http://probaseballexperience.jcink.net/index.php?showtopic=5068" TargetMode="External"/><Relationship Id="rId693" Type="http://schemas.openxmlformats.org/officeDocument/2006/relationships/hyperlink" Target="http://probaseballexperience.jcink.net/index.php?showuser=417" TargetMode="External"/><Relationship Id="rId707" Type="http://schemas.openxmlformats.org/officeDocument/2006/relationships/hyperlink" Target="http://probaseballexperience.jcink.net/index.php?showtopic=5099" TargetMode="External"/><Relationship Id="rId43" Type="http://schemas.openxmlformats.org/officeDocument/2006/relationships/hyperlink" Target="http://probaseballexperience.jcink.net/index.php?showuser=158" TargetMode="External"/><Relationship Id="rId139" Type="http://schemas.openxmlformats.org/officeDocument/2006/relationships/hyperlink" Target="http://probaseballexperience.jcink.net/index.php?showtopic=256" TargetMode="External"/><Relationship Id="rId346" Type="http://schemas.openxmlformats.org/officeDocument/2006/relationships/hyperlink" Target="http://probaseballexperience.jcink.net/index.php?showtopic=918" TargetMode="External"/><Relationship Id="rId553" Type="http://schemas.openxmlformats.org/officeDocument/2006/relationships/hyperlink" Target="http://probaseballexperience.jcink.net/index.php?showtopic=220" TargetMode="External"/><Relationship Id="rId760" Type="http://schemas.openxmlformats.org/officeDocument/2006/relationships/hyperlink" Target="http://probaseballexperience.jcink.net/index.php?showuser=436" TargetMode="External"/><Relationship Id="rId192" Type="http://schemas.openxmlformats.org/officeDocument/2006/relationships/hyperlink" Target="http://probaseballexperience.jcink.net/index.php?showtopic=3909" TargetMode="External"/><Relationship Id="rId206" Type="http://schemas.openxmlformats.org/officeDocument/2006/relationships/hyperlink" Target="http://probaseballexperience.jcink.net/index.php?showtopic=3018" TargetMode="External"/><Relationship Id="rId413" Type="http://schemas.openxmlformats.org/officeDocument/2006/relationships/hyperlink" Target="http://probaseballexperience.jcink.net/index.php?showtopic=4610" TargetMode="External"/><Relationship Id="rId858" Type="http://schemas.openxmlformats.org/officeDocument/2006/relationships/hyperlink" Target="http://probaseballexperience.jcink.net/index.php?showuser=198" TargetMode="External"/><Relationship Id="rId497" Type="http://schemas.openxmlformats.org/officeDocument/2006/relationships/hyperlink" Target="http://probaseballexperience.jcink.net/index.php?showuser=425" TargetMode="External"/><Relationship Id="rId620" Type="http://schemas.openxmlformats.org/officeDocument/2006/relationships/hyperlink" Target="http://probaseballexperience.jcink.net/index.php?showuser=102" TargetMode="External"/><Relationship Id="rId718" Type="http://schemas.openxmlformats.org/officeDocument/2006/relationships/hyperlink" Target="http://probaseballexperience.jcink.net/index.php?showtopic=3196" TargetMode="External"/><Relationship Id="rId357" Type="http://schemas.openxmlformats.org/officeDocument/2006/relationships/hyperlink" Target="http://probaseballexperience.jcink.net/index.php?showuser=408" TargetMode="External"/><Relationship Id="rId54" Type="http://schemas.openxmlformats.org/officeDocument/2006/relationships/hyperlink" Target="http://probaseballexperience.jcink.net/index.php?showtopic=101" TargetMode="External"/><Relationship Id="rId217" Type="http://schemas.openxmlformats.org/officeDocument/2006/relationships/hyperlink" Target="http://probaseballexperience.jcink.net/index.php?showtopic=3634" TargetMode="External"/><Relationship Id="rId564" Type="http://schemas.openxmlformats.org/officeDocument/2006/relationships/hyperlink" Target="http://probaseballexperience.jcink.net/index.php?showtopic=5312" TargetMode="External"/><Relationship Id="rId771" Type="http://schemas.openxmlformats.org/officeDocument/2006/relationships/hyperlink" Target="http://probaseballexperience.jcink.net/index.php?showuser=476" TargetMode="External"/><Relationship Id="rId869" Type="http://schemas.openxmlformats.org/officeDocument/2006/relationships/hyperlink" Target="http://probaseballexperience.jcink.net/index.php?showtopic=1085" TargetMode="External"/><Relationship Id="rId424" Type="http://schemas.openxmlformats.org/officeDocument/2006/relationships/hyperlink" Target="http://probaseballexperience.jcink.net/index.php?showtopic=4437" TargetMode="External"/><Relationship Id="rId631" Type="http://schemas.openxmlformats.org/officeDocument/2006/relationships/hyperlink" Target="http://probaseballexperience.jcink.net/index.php?showtopic=4070" TargetMode="External"/><Relationship Id="rId729" Type="http://schemas.openxmlformats.org/officeDocument/2006/relationships/hyperlink" Target="http://probaseballexperience.jcink.net/index.php?showuser=328" TargetMode="External"/><Relationship Id="rId270" Type="http://schemas.openxmlformats.org/officeDocument/2006/relationships/hyperlink" Target="http://probaseballexperience.jcink.net/index.php?showtopic=2337" TargetMode="External"/><Relationship Id="rId65" Type="http://schemas.openxmlformats.org/officeDocument/2006/relationships/hyperlink" Target="http://probaseballexperience.jcink.net/index.php?showtopic=66" TargetMode="External"/><Relationship Id="rId130" Type="http://schemas.openxmlformats.org/officeDocument/2006/relationships/hyperlink" Target="http://probaseballexperience.jcink.net/index.php?showuser=73" TargetMode="External"/><Relationship Id="rId368" Type="http://schemas.openxmlformats.org/officeDocument/2006/relationships/hyperlink" Target="http://probaseballexperience.jcink.net/index.php?showuser=390" TargetMode="External"/><Relationship Id="rId575" Type="http://schemas.openxmlformats.org/officeDocument/2006/relationships/hyperlink" Target="http://probaseballexperience.jcink.net/index.php?showtopic=5085" TargetMode="External"/><Relationship Id="rId782" Type="http://schemas.openxmlformats.org/officeDocument/2006/relationships/hyperlink" Target="http://probaseballexperience.jcink.net/index.php?showuser=395" TargetMode="External"/><Relationship Id="rId228" Type="http://schemas.openxmlformats.org/officeDocument/2006/relationships/hyperlink" Target="http://probaseballexperience.jcink.net/index.php?showuser=210" TargetMode="External"/><Relationship Id="rId435" Type="http://schemas.openxmlformats.org/officeDocument/2006/relationships/hyperlink" Target="http://probaseballexperience.jcink.net/index.php?showuser=163" TargetMode="External"/><Relationship Id="rId642" Type="http://schemas.openxmlformats.org/officeDocument/2006/relationships/hyperlink" Target="http://probaseballexperience.jcink.net/index.php?showuser=441" TargetMode="External"/><Relationship Id="rId281" Type="http://schemas.openxmlformats.org/officeDocument/2006/relationships/hyperlink" Target="http://probaseballexperience.jcink.net/index.php?showtopic=3153" TargetMode="External"/><Relationship Id="rId502" Type="http://schemas.openxmlformats.org/officeDocument/2006/relationships/hyperlink" Target="http://probaseballexperience.jcink.net/index.php?showuser=127" TargetMode="External"/><Relationship Id="rId76" Type="http://schemas.openxmlformats.org/officeDocument/2006/relationships/hyperlink" Target="http://probaseballexperience.jcink.net/index.php?showuser=234" TargetMode="External"/><Relationship Id="rId141" Type="http://schemas.openxmlformats.org/officeDocument/2006/relationships/hyperlink" Target="http://probaseballexperience.jcink.net/index.php?showtopic=256" TargetMode="External"/><Relationship Id="rId379" Type="http://schemas.openxmlformats.org/officeDocument/2006/relationships/hyperlink" Target="http://probaseballexperience.jcink.net/index.php?showuser=29" TargetMode="External"/><Relationship Id="rId586" Type="http://schemas.openxmlformats.org/officeDocument/2006/relationships/hyperlink" Target="http://probaseballexperience.jcink.net/index.php?showuser=280" TargetMode="External"/><Relationship Id="rId793" Type="http://schemas.openxmlformats.org/officeDocument/2006/relationships/hyperlink" Target="http://probaseballexperience.jcink.net/index.php?showtopic=3606" TargetMode="External"/><Relationship Id="rId807" Type="http://schemas.openxmlformats.org/officeDocument/2006/relationships/hyperlink" Target="http://probaseballexperience.jcink.net/index.php?showuser=312" TargetMode="External"/><Relationship Id="rId7" Type="http://schemas.openxmlformats.org/officeDocument/2006/relationships/hyperlink" Target="http://probaseballexperience.jcink.net/index.php?showtopic=1114" TargetMode="External"/><Relationship Id="rId239" Type="http://schemas.openxmlformats.org/officeDocument/2006/relationships/hyperlink" Target="http://probaseballexperience.jcink.net/index.php?showtopic=115" TargetMode="External"/><Relationship Id="rId446" Type="http://schemas.openxmlformats.org/officeDocument/2006/relationships/hyperlink" Target="http://probaseballexperience.jcink.net/index.php?showuser=282" TargetMode="External"/><Relationship Id="rId653" Type="http://schemas.openxmlformats.org/officeDocument/2006/relationships/hyperlink" Target="http://probaseballexperience.jcink.net/index.php?showtopic=4076" TargetMode="External"/><Relationship Id="rId292" Type="http://schemas.openxmlformats.org/officeDocument/2006/relationships/hyperlink" Target="http://probaseballexperience.jcink.net/index.php?showtopic=2605" TargetMode="External"/><Relationship Id="rId306" Type="http://schemas.openxmlformats.org/officeDocument/2006/relationships/hyperlink" Target="http://probaseballexperience.jcink.net/index.php?showuser=416" TargetMode="External"/><Relationship Id="rId860" Type="http://schemas.openxmlformats.org/officeDocument/2006/relationships/hyperlink" Target="http://probaseballexperience.jcink.net/index.php?showtopic=1082" TargetMode="External"/><Relationship Id="rId87" Type="http://schemas.openxmlformats.org/officeDocument/2006/relationships/hyperlink" Target="http://probaseballexperience.jcink.net/index.php?showtopic=2455" TargetMode="External"/><Relationship Id="rId513" Type="http://schemas.openxmlformats.org/officeDocument/2006/relationships/hyperlink" Target="http://probaseballexperience.jcink.net/index.php?showuser=448" TargetMode="External"/><Relationship Id="rId597" Type="http://schemas.openxmlformats.org/officeDocument/2006/relationships/hyperlink" Target="http://probaseballexperience.jcink.net/index.php?showuser=255" TargetMode="External"/><Relationship Id="rId720" Type="http://schemas.openxmlformats.org/officeDocument/2006/relationships/hyperlink" Target="http://probaseballexperience.jcink.net/index.php?showtopic=3196" TargetMode="External"/><Relationship Id="rId818" Type="http://schemas.openxmlformats.org/officeDocument/2006/relationships/hyperlink" Target="http://probaseballexperience.jcink.net/index.php?showtopic=3008" TargetMode="External"/><Relationship Id="rId152" Type="http://schemas.openxmlformats.org/officeDocument/2006/relationships/hyperlink" Target="http://probaseballexperience.jcink.net/index.php?showuser=12" TargetMode="External"/><Relationship Id="rId457" Type="http://schemas.openxmlformats.org/officeDocument/2006/relationships/hyperlink" Target="http://probaseballexperience.jcink.net/index.php?showtopic=5001" TargetMode="External"/><Relationship Id="rId664" Type="http://schemas.openxmlformats.org/officeDocument/2006/relationships/hyperlink" Target="http://probaseballexperience.jcink.net/index.php?showtopic=3097" TargetMode="External"/><Relationship Id="rId871" Type="http://schemas.openxmlformats.org/officeDocument/2006/relationships/hyperlink" Target="http://probaseballexperience.jcink.net/index.php?showtopic=1085" TargetMode="External"/><Relationship Id="rId14" Type="http://schemas.openxmlformats.org/officeDocument/2006/relationships/hyperlink" Target="http://probaseballexperience.jcink.net/index.php?showtopic=1154" TargetMode="External"/><Relationship Id="rId317" Type="http://schemas.openxmlformats.org/officeDocument/2006/relationships/hyperlink" Target="http://probaseballexperience.jcink.net/index.php?showuser=429" TargetMode="External"/><Relationship Id="rId524" Type="http://schemas.openxmlformats.org/officeDocument/2006/relationships/hyperlink" Target="http://probaseballexperience.jcink.net/index.php?showuser=256" TargetMode="External"/><Relationship Id="rId731" Type="http://schemas.openxmlformats.org/officeDocument/2006/relationships/hyperlink" Target="http://probaseballexperience.jcink.net/index.php?showtopic=3585" TargetMode="External"/><Relationship Id="rId98" Type="http://schemas.openxmlformats.org/officeDocument/2006/relationships/hyperlink" Target="http://probaseballexperience.jcink.net/index.php?showtopic=195" TargetMode="External"/><Relationship Id="rId163" Type="http://schemas.openxmlformats.org/officeDocument/2006/relationships/hyperlink" Target="http://probaseballexperience.jcink.net/index.php?showtopic=3586" TargetMode="External"/><Relationship Id="rId370" Type="http://schemas.openxmlformats.org/officeDocument/2006/relationships/hyperlink" Target="http://probaseballexperience.jcink.net/index.php?showuser=438" TargetMode="External"/><Relationship Id="rId829" Type="http://schemas.openxmlformats.org/officeDocument/2006/relationships/hyperlink" Target="http://probaseballexperience.jcink.net/index.php?showtopic=1673" TargetMode="External"/><Relationship Id="rId230" Type="http://schemas.openxmlformats.org/officeDocument/2006/relationships/hyperlink" Target="http://probaseballexperience.jcink.net/index.php?showtopic=4939" TargetMode="External"/><Relationship Id="rId468" Type="http://schemas.openxmlformats.org/officeDocument/2006/relationships/hyperlink" Target="http://probaseballexperience.jcink.net/index.php?showtopic=2227" TargetMode="External"/><Relationship Id="rId675" Type="http://schemas.openxmlformats.org/officeDocument/2006/relationships/hyperlink" Target="http://probaseballexperience.jcink.net/index.php?showtopic=2571" TargetMode="External"/><Relationship Id="rId882" Type="http://schemas.openxmlformats.org/officeDocument/2006/relationships/hyperlink" Target="http://probaseballexperience.jcink.net/index.php?showuser=465" TargetMode="External"/><Relationship Id="rId25" Type="http://schemas.openxmlformats.org/officeDocument/2006/relationships/hyperlink" Target="http://probaseballexperience.jcink.net/index.php?showuser=14" TargetMode="External"/><Relationship Id="rId328" Type="http://schemas.openxmlformats.org/officeDocument/2006/relationships/hyperlink" Target="http://probaseballexperience.jcink.net/index.php?showtopic=192" TargetMode="External"/><Relationship Id="rId535" Type="http://schemas.openxmlformats.org/officeDocument/2006/relationships/hyperlink" Target="http://probaseballexperience.jcink.net/index.php?showtopic=98" TargetMode="External"/><Relationship Id="rId742" Type="http://schemas.openxmlformats.org/officeDocument/2006/relationships/hyperlink" Target="http://probaseballexperience.jcink.net/index.php?showuser=402" TargetMode="External"/><Relationship Id="rId174" Type="http://schemas.openxmlformats.org/officeDocument/2006/relationships/hyperlink" Target="http://probaseballexperience.jcink.net/index.php?showuser=131" TargetMode="External"/><Relationship Id="rId381" Type="http://schemas.openxmlformats.org/officeDocument/2006/relationships/hyperlink" Target="http://probaseballexperience.jcink.net/index.php?showuser=388" TargetMode="External"/><Relationship Id="rId602" Type="http://schemas.openxmlformats.org/officeDocument/2006/relationships/hyperlink" Target="http://probaseballexperience.jcink.net/index.php?showtopic=3942" TargetMode="External"/><Relationship Id="rId241" Type="http://schemas.openxmlformats.org/officeDocument/2006/relationships/hyperlink" Target="http://probaseballexperience.jcink.net/index.php?showuser=9" TargetMode="External"/><Relationship Id="rId479" Type="http://schemas.openxmlformats.org/officeDocument/2006/relationships/hyperlink" Target="http://probaseballexperience.jcink.net/index.php?showuser=450" TargetMode="External"/><Relationship Id="rId686" Type="http://schemas.openxmlformats.org/officeDocument/2006/relationships/hyperlink" Target="http://probaseballexperience.jcink.net/index.php?showtopic=1799" TargetMode="External"/><Relationship Id="rId36" Type="http://schemas.openxmlformats.org/officeDocument/2006/relationships/hyperlink" Target="http://probaseballexperience.jcink.net/index.php?showtopic=122" TargetMode="External"/><Relationship Id="rId339" Type="http://schemas.openxmlformats.org/officeDocument/2006/relationships/hyperlink" Target="http://probaseballexperience.jcink.net/index.php?showuser=403" TargetMode="External"/><Relationship Id="rId546" Type="http://schemas.openxmlformats.org/officeDocument/2006/relationships/hyperlink" Target="http://probaseballexperience.jcink.net/index.php?showtopic=5106" TargetMode="External"/><Relationship Id="rId753" Type="http://schemas.openxmlformats.org/officeDocument/2006/relationships/hyperlink" Target="http://probaseballexperience.jcink.net/index.php?showtopic=1032" TargetMode="External"/><Relationship Id="rId101" Type="http://schemas.openxmlformats.org/officeDocument/2006/relationships/hyperlink" Target="http://probaseballexperience.jcink.net/index.php?showtopic=2604" TargetMode="External"/><Relationship Id="rId185" Type="http://schemas.openxmlformats.org/officeDocument/2006/relationships/hyperlink" Target="http://probaseballexperience.jcink.net/index.php?showtopic=354" TargetMode="External"/><Relationship Id="rId406" Type="http://schemas.openxmlformats.org/officeDocument/2006/relationships/hyperlink" Target="http://probaseballexperience.jcink.net/index.php?showtopic=176" TargetMode="External"/><Relationship Id="rId392" Type="http://schemas.openxmlformats.org/officeDocument/2006/relationships/hyperlink" Target="http://probaseballexperience.jcink.net/index.php?showuser=10" TargetMode="External"/><Relationship Id="rId613" Type="http://schemas.openxmlformats.org/officeDocument/2006/relationships/hyperlink" Target="http://probaseballexperience.jcink.net/index.php?showtopic=5277&amp;st=0&amp;" TargetMode="External"/><Relationship Id="rId697" Type="http://schemas.openxmlformats.org/officeDocument/2006/relationships/hyperlink" Target="http://probaseballexperience.jcink.net/index.php?showtopic=239" TargetMode="External"/><Relationship Id="rId820" Type="http://schemas.openxmlformats.org/officeDocument/2006/relationships/hyperlink" Target="http://probaseballexperience.jcink.net/index.php?showtopic=3008" TargetMode="External"/><Relationship Id="rId252" Type="http://schemas.openxmlformats.org/officeDocument/2006/relationships/hyperlink" Target="http://probaseballexperience.jcink.net/index.php?showtopic=2575" TargetMode="External"/><Relationship Id="rId47" Type="http://schemas.openxmlformats.org/officeDocument/2006/relationships/hyperlink" Target="http://probaseballexperience.jcink.net/index.php?showtopic=191" TargetMode="External"/><Relationship Id="rId112" Type="http://schemas.openxmlformats.org/officeDocument/2006/relationships/hyperlink" Target="http://probaseballexperience.jcink.net/index.php?showuser=194" TargetMode="External"/><Relationship Id="rId557" Type="http://schemas.openxmlformats.org/officeDocument/2006/relationships/hyperlink" Target="http://probaseballexperience.jcink.net/index.php?showuser=31" TargetMode="External"/><Relationship Id="rId764" Type="http://schemas.openxmlformats.org/officeDocument/2006/relationships/hyperlink" Target="http://probaseballexperience.jcink.net/index.php?showtopic=5319" TargetMode="External"/><Relationship Id="rId196" Type="http://schemas.openxmlformats.org/officeDocument/2006/relationships/hyperlink" Target="http://probaseballexperience.jcink.net/index.php?showuser=51" TargetMode="External"/><Relationship Id="rId417" Type="http://schemas.openxmlformats.org/officeDocument/2006/relationships/hyperlink" Target="http://probaseballexperience.jcink.net/index.php?showtopic=247" TargetMode="External"/><Relationship Id="rId624" Type="http://schemas.openxmlformats.org/officeDocument/2006/relationships/hyperlink" Target="http://probaseballexperience.jcink.net/index.php?showtopic=1734" TargetMode="External"/><Relationship Id="rId831" Type="http://schemas.openxmlformats.org/officeDocument/2006/relationships/hyperlink" Target="http://probaseballexperience.jcink.net/index.php?showuser=221" TargetMode="External"/><Relationship Id="rId263" Type="http://schemas.openxmlformats.org/officeDocument/2006/relationships/hyperlink" Target="http://probaseballexperience.jcink.net/index.php?showtopic=2989" TargetMode="External"/><Relationship Id="rId470" Type="http://schemas.openxmlformats.org/officeDocument/2006/relationships/hyperlink" Target="http://probaseballexperience.jcink.net/index.php?showtopic=4564" TargetMode="External"/><Relationship Id="rId58" Type="http://schemas.openxmlformats.org/officeDocument/2006/relationships/hyperlink" Target="http://probaseballexperience.jcink.net/index.php?showuser=69" TargetMode="External"/><Relationship Id="rId123" Type="http://schemas.openxmlformats.org/officeDocument/2006/relationships/hyperlink" Target="http://probaseballexperience.jcink.net/index.php?showtopic=1664" TargetMode="External"/><Relationship Id="rId330" Type="http://schemas.openxmlformats.org/officeDocument/2006/relationships/hyperlink" Target="http://probaseballexperience.jcink.net/index.php?showtopic=192" TargetMode="External"/><Relationship Id="rId568" Type="http://schemas.openxmlformats.org/officeDocument/2006/relationships/hyperlink" Target="http://probaseballexperience.jcink.net/index.php?showtopic=309" TargetMode="External"/><Relationship Id="rId775" Type="http://schemas.openxmlformats.org/officeDocument/2006/relationships/hyperlink" Target="http://probaseballexperience.jcink.net/index.php?showtopic=5141" TargetMode="External"/><Relationship Id="rId428" Type="http://schemas.openxmlformats.org/officeDocument/2006/relationships/hyperlink" Target="http://probaseballexperience.jcink.net/index.php?showtopic=3910" TargetMode="External"/><Relationship Id="rId635" Type="http://schemas.openxmlformats.org/officeDocument/2006/relationships/hyperlink" Target="http://probaseballexperience.jcink.net/index.php?showtopic=4614" TargetMode="External"/><Relationship Id="rId842" Type="http://schemas.openxmlformats.org/officeDocument/2006/relationships/hyperlink" Target="http://probaseballexperience.jcink.net/index.php?showtopic=1148" TargetMode="External"/><Relationship Id="rId274" Type="http://schemas.openxmlformats.org/officeDocument/2006/relationships/hyperlink" Target="http://probaseballexperience.jcink.net/index.php?showuser=20" TargetMode="External"/><Relationship Id="rId481" Type="http://schemas.openxmlformats.org/officeDocument/2006/relationships/hyperlink" Target="http://probaseballexperience.jcink.net/index.php?showtopic=5313" TargetMode="External"/><Relationship Id="rId702" Type="http://schemas.openxmlformats.org/officeDocument/2006/relationships/hyperlink" Target="http://probaseballexperience.jcink.net/index.php?showuser=166" TargetMode="External"/><Relationship Id="rId69" Type="http://schemas.openxmlformats.org/officeDocument/2006/relationships/hyperlink" Target="http://probaseballexperience.jcink.net/index.php?showtopic=2155" TargetMode="External"/><Relationship Id="rId134" Type="http://schemas.openxmlformats.org/officeDocument/2006/relationships/hyperlink" Target="http://probaseballexperience.jcink.net/index.php?showtopic=3087" TargetMode="External"/><Relationship Id="rId579" Type="http://schemas.openxmlformats.org/officeDocument/2006/relationships/hyperlink" Target="http://probaseballexperience.jcink.net/index.php?showtopic=1836" TargetMode="External"/><Relationship Id="rId786" Type="http://schemas.openxmlformats.org/officeDocument/2006/relationships/hyperlink" Target="http://probaseballexperience.jcink.net/index.php?showtopic=4745&amp;hl=kramer" TargetMode="External"/><Relationship Id="rId341" Type="http://schemas.openxmlformats.org/officeDocument/2006/relationships/hyperlink" Target="http://probaseballexperience.jcink.net/index.php?showtopic=3286" TargetMode="External"/><Relationship Id="rId439" Type="http://schemas.openxmlformats.org/officeDocument/2006/relationships/hyperlink" Target="http://probaseballexperience.jcink.net/index.php?showtopic=3582" TargetMode="External"/><Relationship Id="rId646" Type="http://schemas.openxmlformats.org/officeDocument/2006/relationships/hyperlink" Target="http://probaseballexperience.jcink.net/index.php?showuser=347" TargetMode="External"/><Relationship Id="rId201" Type="http://schemas.openxmlformats.org/officeDocument/2006/relationships/hyperlink" Target="http://probaseballexperience.jcink.net/index.php?showtopic=1934" TargetMode="External"/><Relationship Id="rId285" Type="http://schemas.openxmlformats.org/officeDocument/2006/relationships/hyperlink" Target="http://probaseballexperience.jcink.net/index.php?showuser=126" TargetMode="External"/><Relationship Id="rId506" Type="http://schemas.openxmlformats.org/officeDocument/2006/relationships/hyperlink" Target="http://probaseballexperience.jcink.net/index.php?showtopic=5303" TargetMode="External"/><Relationship Id="rId853" Type="http://schemas.openxmlformats.org/officeDocument/2006/relationships/hyperlink" Target="http://probaseballexperience.jcink.net/index.php?showtopic=1076" TargetMode="External"/><Relationship Id="rId492" Type="http://schemas.openxmlformats.org/officeDocument/2006/relationships/hyperlink" Target="http://probaseballexperience.jcink.net/index.php?showuser=59" TargetMode="External"/><Relationship Id="rId713" Type="http://schemas.openxmlformats.org/officeDocument/2006/relationships/hyperlink" Target="http://probaseballexperience.jcink.net/index.php?showtopic=4591" TargetMode="External"/><Relationship Id="rId797" Type="http://schemas.openxmlformats.org/officeDocument/2006/relationships/hyperlink" Target="http://probaseballexperience.jcink.net/index.php?showtopic=4375" TargetMode="External"/><Relationship Id="rId145" Type="http://schemas.openxmlformats.org/officeDocument/2006/relationships/hyperlink" Target="http://probaseballexperience.jcink.net/index.php?showtopic=453" TargetMode="External"/><Relationship Id="rId352" Type="http://schemas.openxmlformats.org/officeDocument/2006/relationships/hyperlink" Target="http://probaseballexperience.jcink.net/index.php?showtopic=1532" TargetMode="External"/><Relationship Id="rId212" Type="http://schemas.openxmlformats.org/officeDocument/2006/relationships/hyperlink" Target="http://probaseballexperience.jcink.net/index.php?showtopic=114" TargetMode="External"/><Relationship Id="rId657" Type="http://schemas.openxmlformats.org/officeDocument/2006/relationships/hyperlink" Target="http://probaseballexperience.jcink.net/index.php?showuser=483" TargetMode="External"/><Relationship Id="rId864" Type="http://schemas.openxmlformats.org/officeDocument/2006/relationships/hyperlink" Target="http://probaseballexperience.jcink.net/index.php?showuser=139" TargetMode="External"/><Relationship Id="rId296" Type="http://schemas.openxmlformats.org/officeDocument/2006/relationships/hyperlink" Target="http://probaseballexperience.jcink.net/index.php?showtopic=4599" TargetMode="External"/><Relationship Id="rId517" Type="http://schemas.openxmlformats.org/officeDocument/2006/relationships/hyperlink" Target="http://probaseballexperience.jcink.net/index.php?showuser=446" TargetMode="External"/><Relationship Id="rId724" Type="http://schemas.openxmlformats.org/officeDocument/2006/relationships/hyperlink" Target="http://probaseballexperience.jcink.net/index.php?showtopic=4566" TargetMode="External"/><Relationship Id="rId60" Type="http://schemas.openxmlformats.org/officeDocument/2006/relationships/hyperlink" Target="http://probaseballexperience.jcink.net/index.php?showtopic=88" TargetMode="External"/><Relationship Id="rId156" Type="http://schemas.openxmlformats.org/officeDocument/2006/relationships/hyperlink" Target="http://probaseballexperience.jcink.net/index.php?showtopic=2599" TargetMode="External"/><Relationship Id="rId363" Type="http://schemas.openxmlformats.org/officeDocument/2006/relationships/hyperlink" Target="http://probaseballexperience.jcink.net/index.php?showtopic=4893" TargetMode="External"/><Relationship Id="rId570" Type="http://schemas.openxmlformats.org/officeDocument/2006/relationships/hyperlink" Target="http://probaseballexperience.jcink.net/index.php?showtopic=309" TargetMode="External"/><Relationship Id="rId223" Type="http://schemas.openxmlformats.org/officeDocument/2006/relationships/hyperlink" Target="http://probaseballexperience.jcink.net/index.php?showtopic=4032" TargetMode="External"/><Relationship Id="rId430" Type="http://schemas.openxmlformats.org/officeDocument/2006/relationships/hyperlink" Target="http://probaseballexperience.jcink.net/index.php?showtopic=3910" TargetMode="External"/><Relationship Id="rId668" Type="http://schemas.openxmlformats.org/officeDocument/2006/relationships/hyperlink" Target="http://probaseballexperience.jcink.net/index.php?showuser=46" TargetMode="External"/><Relationship Id="rId875" Type="http://schemas.openxmlformats.org/officeDocument/2006/relationships/hyperlink" Target="http://probaseballexperience.jcink.net/index.php?showtopic=1034" TargetMode="External"/><Relationship Id="rId18" Type="http://schemas.openxmlformats.org/officeDocument/2006/relationships/hyperlink" Target="http://probaseballexperience.jcink.net/index.php?showtopic=180" TargetMode="External"/><Relationship Id="rId528" Type="http://schemas.openxmlformats.org/officeDocument/2006/relationships/hyperlink" Target="http://probaseballexperience.jcink.net/index.php?showtopic=1075" TargetMode="External"/><Relationship Id="rId735" Type="http://schemas.openxmlformats.org/officeDocument/2006/relationships/hyperlink" Target="http://probaseballexperience.jcink.net/index.php?showtopic=2596" TargetMode="External"/><Relationship Id="rId167" Type="http://schemas.openxmlformats.org/officeDocument/2006/relationships/hyperlink" Target="http://probaseballexperience.jcink.net/index.php?showtopic=3561" TargetMode="External"/><Relationship Id="rId374" Type="http://schemas.openxmlformats.org/officeDocument/2006/relationships/hyperlink" Target="http://probaseballexperience.jcink.net/index.php?showuser=343" TargetMode="External"/><Relationship Id="rId581" Type="http://schemas.openxmlformats.org/officeDocument/2006/relationships/hyperlink" Target="http://probaseballexperience.jcink.net/index.php?showtopic=1836" TargetMode="External"/><Relationship Id="rId71" Type="http://schemas.openxmlformats.org/officeDocument/2006/relationships/hyperlink" Target="http://probaseballexperience.jcink.net/index.php?showtopic=2155" TargetMode="External"/><Relationship Id="rId234" Type="http://schemas.openxmlformats.org/officeDocument/2006/relationships/hyperlink" Target="http://probaseballexperience.jcink.net/index.php?showtopic=3980" TargetMode="External"/><Relationship Id="rId679" Type="http://schemas.openxmlformats.org/officeDocument/2006/relationships/hyperlink" Target="http://probaseballexperience.jcink.net/index.php?showuser=157" TargetMode="External"/><Relationship Id="rId802" Type="http://schemas.openxmlformats.org/officeDocument/2006/relationships/hyperlink" Target="http://probaseballexperience.jcink.net/index.php?showtopic=3174" TargetMode="External"/><Relationship Id="rId2" Type="http://schemas.openxmlformats.org/officeDocument/2006/relationships/hyperlink" Target="http://probaseballexperience.jcink.net/index.php?showuser=8" TargetMode="External"/><Relationship Id="rId29" Type="http://schemas.openxmlformats.org/officeDocument/2006/relationships/hyperlink" Target="http://probaseballexperience.jcink.net/index.php?showtopic=1161" TargetMode="External"/><Relationship Id="rId441" Type="http://schemas.openxmlformats.org/officeDocument/2006/relationships/hyperlink" Target="http://probaseballexperience.jcink.net/index.php?showtopic=3582" TargetMode="External"/><Relationship Id="rId539" Type="http://schemas.openxmlformats.org/officeDocument/2006/relationships/hyperlink" Target="http://probaseballexperience.jcink.net/index.php?showuser=224" TargetMode="External"/><Relationship Id="rId746" Type="http://schemas.openxmlformats.org/officeDocument/2006/relationships/hyperlink" Target="http://probaseballexperience.jcink.net/index.php?showtopic=2190" TargetMode="External"/><Relationship Id="rId178" Type="http://schemas.openxmlformats.org/officeDocument/2006/relationships/hyperlink" Target="http://probaseballexperience.jcink.net/index.php?showuser=2" TargetMode="External"/><Relationship Id="rId301" Type="http://schemas.openxmlformats.org/officeDocument/2006/relationships/hyperlink" Target="http://probaseballexperience.jcink.net/index.php?showuser=134" TargetMode="External"/><Relationship Id="rId82" Type="http://schemas.openxmlformats.org/officeDocument/2006/relationships/hyperlink" Target="http://probaseballexperience.jcink.net/index.php?showuser=133" TargetMode="External"/><Relationship Id="rId385" Type="http://schemas.openxmlformats.org/officeDocument/2006/relationships/hyperlink" Target="http://probaseballexperience.jcink.net/index.php?showtopic=3145" TargetMode="External"/><Relationship Id="rId592" Type="http://schemas.openxmlformats.org/officeDocument/2006/relationships/hyperlink" Target="http://probaseballexperience.jcink.net/index.php?showtopic=5267" TargetMode="External"/><Relationship Id="rId606" Type="http://schemas.openxmlformats.org/officeDocument/2006/relationships/hyperlink" Target="http://probaseballexperience.jcink.net/index.php?showuser=200" TargetMode="External"/><Relationship Id="rId813" Type="http://schemas.openxmlformats.org/officeDocument/2006/relationships/hyperlink" Target="http://probaseballexperience.jcink.net/index.php?showuser=286" TargetMode="External"/><Relationship Id="rId245" Type="http://schemas.openxmlformats.org/officeDocument/2006/relationships/hyperlink" Target="http://probaseballexperience.jcink.net/index.php?showtopic=188" TargetMode="External"/><Relationship Id="rId452" Type="http://schemas.openxmlformats.org/officeDocument/2006/relationships/hyperlink" Target="http://probaseballexperience.jcink.net/index.php?showuser=179" TargetMode="External"/><Relationship Id="rId105" Type="http://schemas.openxmlformats.org/officeDocument/2006/relationships/hyperlink" Target="http://probaseballexperience.jcink.net/index.php?showtopic=2142" TargetMode="External"/><Relationship Id="rId312" Type="http://schemas.openxmlformats.org/officeDocument/2006/relationships/hyperlink" Target="http://probaseballexperience.jcink.net/index.php?showtopic=4445" TargetMode="External"/><Relationship Id="rId757" Type="http://schemas.openxmlformats.org/officeDocument/2006/relationships/hyperlink" Target="http://probaseballexperience.jcink.net/index.php?showtopic=5483" TargetMode="External"/><Relationship Id="rId93" Type="http://schemas.openxmlformats.org/officeDocument/2006/relationships/hyperlink" Target="http://probaseballexperience.jcink.net/index.php?showtopic=2569" TargetMode="External"/><Relationship Id="rId189" Type="http://schemas.openxmlformats.org/officeDocument/2006/relationships/hyperlink" Target="http://probaseballexperience.jcink.net/index.php?showtopic=618" TargetMode="External"/><Relationship Id="rId396" Type="http://schemas.openxmlformats.org/officeDocument/2006/relationships/hyperlink" Target="http://probaseballexperience.jcink.net/index.php?showtopic=3781" TargetMode="External"/><Relationship Id="rId617" Type="http://schemas.openxmlformats.org/officeDocument/2006/relationships/hyperlink" Target="http://probaseballexperience.jcink.net/index.php?showtopic=5264" TargetMode="External"/><Relationship Id="rId824" Type="http://schemas.openxmlformats.org/officeDocument/2006/relationships/hyperlink" Target="http://probaseballexperience.jcink.net/index.php?showtopic=2622" TargetMode="External"/><Relationship Id="rId256" Type="http://schemas.openxmlformats.org/officeDocument/2006/relationships/hyperlink" Target="http://probaseballexperience.jcink.net/index.php?showuser=270" TargetMode="External"/><Relationship Id="rId463" Type="http://schemas.openxmlformats.org/officeDocument/2006/relationships/hyperlink" Target="http://probaseballexperience.jcink.net/index.php?showtopic=106" TargetMode="External"/><Relationship Id="rId670" Type="http://schemas.openxmlformats.org/officeDocument/2006/relationships/hyperlink" Target="http://probaseballexperience.jcink.net/index.php?showuser=396" TargetMode="External"/><Relationship Id="rId116" Type="http://schemas.openxmlformats.org/officeDocument/2006/relationships/hyperlink" Target="http://probaseballexperience.jcink.net/index.php?showtopic=2590" TargetMode="External"/><Relationship Id="rId323" Type="http://schemas.openxmlformats.org/officeDocument/2006/relationships/hyperlink" Target="http://probaseballexperience.jcink.net/index.php?showuser=186" TargetMode="External"/><Relationship Id="rId530" Type="http://schemas.openxmlformats.org/officeDocument/2006/relationships/hyperlink" Target="http://probaseballexperience.jcink.net/index.php?showuser=80" TargetMode="External"/><Relationship Id="rId768" Type="http://schemas.openxmlformats.org/officeDocument/2006/relationships/hyperlink" Target="http://probaseballexperience.jcink.net/index.php?showuser=22" TargetMode="External"/><Relationship Id="rId20" Type="http://schemas.openxmlformats.org/officeDocument/2006/relationships/hyperlink" Target="http://probaseballexperience.jcink.net/index.php?showtopic=180" TargetMode="External"/><Relationship Id="rId628" Type="http://schemas.openxmlformats.org/officeDocument/2006/relationships/hyperlink" Target="http://probaseballexperience.jcink.net/index.php?showtopic=3621" TargetMode="External"/><Relationship Id="rId835" Type="http://schemas.openxmlformats.org/officeDocument/2006/relationships/hyperlink" Target="http://probaseballexperience.jcink.net/index.php?showtopic=1070" TargetMode="External"/><Relationship Id="rId267" Type="http://schemas.openxmlformats.org/officeDocument/2006/relationships/hyperlink" Target="http://probaseballexperience.jcink.net/index.php?showtopic=4884" TargetMode="External"/><Relationship Id="rId474" Type="http://schemas.openxmlformats.org/officeDocument/2006/relationships/hyperlink" Target="http://probaseballexperience.jcink.net/index.php?showuser=400" TargetMode="External"/><Relationship Id="rId127" Type="http://schemas.openxmlformats.org/officeDocument/2006/relationships/hyperlink" Target="http://probaseballexperience.jcink.net/index.php?showuser=48" TargetMode="External"/><Relationship Id="rId681" Type="http://schemas.openxmlformats.org/officeDocument/2006/relationships/hyperlink" Target="http://probaseballexperience.jcink.net/index.php?showtopic=3594" TargetMode="External"/><Relationship Id="rId779" Type="http://schemas.openxmlformats.org/officeDocument/2006/relationships/hyperlink" Target="http://probaseballexperience.jcink.net/index.php?showtopic=5301" TargetMode="External"/><Relationship Id="rId31" Type="http://schemas.openxmlformats.org/officeDocument/2006/relationships/hyperlink" Target="http://probaseballexperience.jcink.net/index.php?showuser=208" TargetMode="External"/><Relationship Id="rId334" Type="http://schemas.openxmlformats.org/officeDocument/2006/relationships/hyperlink" Target="http://probaseballexperience.jcink.net/index.php?showtopic=1058" TargetMode="External"/><Relationship Id="rId541" Type="http://schemas.openxmlformats.org/officeDocument/2006/relationships/hyperlink" Target="http://probaseballexperience.jcink.net/index.php?showuser=413" TargetMode="External"/><Relationship Id="rId639" Type="http://schemas.openxmlformats.org/officeDocument/2006/relationships/hyperlink" Target="http://probaseballexperience.jcink.net/index.php?showtopic=1377" TargetMode="External"/><Relationship Id="rId180" Type="http://schemas.openxmlformats.org/officeDocument/2006/relationships/hyperlink" Target="http://probaseballexperience.jcink.net/index.php?showtopic=2591" TargetMode="External"/><Relationship Id="rId278" Type="http://schemas.openxmlformats.org/officeDocument/2006/relationships/hyperlink" Target="http://probaseballexperience.jcink.net/index.php?showtopic=3430" TargetMode="External"/><Relationship Id="rId401" Type="http://schemas.openxmlformats.org/officeDocument/2006/relationships/hyperlink" Target="http://probaseballexperience.jcink.net/index.php?showtopic=4750" TargetMode="External"/><Relationship Id="rId846" Type="http://schemas.openxmlformats.org/officeDocument/2006/relationships/hyperlink" Target="http://probaseballexperience.jcink.net/index.php?showuser=161" TargetMode="External"/><Relationship Id="rId485" Type="http://schemas.openxmlformats.org/officeDocument/2006/relationships/hyperlink" Target="http://probaseballexperience.jcink.net/index.php?showuser=455" TargetMode="External"/><Relationship Id="rId692" Type="http://schemas.openxmlformats.org/officeDocument/2006/relationships/hyperlink" Target="http://probaseballexperience.jcink.net/index.php?showtopic=1147" TargetMode="External"/><Relationship Id="rId706" Type="http://schemas.openxmlformats.org/officeDocument/2006/relationships/hyperlink" Target="http://probaseballexperience.jcink.net/index.php?showuser=464" TargetMode="External"/><Relationship Id="rId42" Type="http://schemas.openxmlformats.org/officeDocument/2006/relationships/hyperlink" Target="http://probaseballexperience.jcink.net/index.php?showtopic=1045" TargetMode="External"/><Relationship Id="rId138" Type="http://schemas.openxmlformats.org/officeDocument/2006/relationships/hyperlink" Target="http://probaseballexperience.jcink.net/index.php?showtopic=5123&amp;view=findpost&amp;p=61652" TargetMode="External"/><Relationship Id="rId345" Type="http://schemas.openxmlformats.org/officeDocument/2006/relationships/hyperlink" Target="http://probaseballexperience.jcink.net/index.php?showtopic=2450" TargetMode="External"/><Relationship Id="rId552" Type="http://schemas.openxmlformats.org/officeDocument/2006/relationships/hyperlink" Target="http://probaseballexperience.jcink.net/index.php?showtopic=3027" TargetMode="External"/><Relationship Id="rId191" Type="http://schemas.openxmlformats.org/officeDocument/2006/relationships/hyperlink" Target="http://probaseballexperience.jcink.net/index.php?showtopic=618" TargetMode="External"/><Relationship Id="rId205" Type="http://schemas.openxmlformats.org/officeDocument/2006/relationships/hyperlink" Target="http://probaseballexperience.jcink.net/index.php?showuser=293" TargetMode="External"/><Relationship Id="rId412" Type="http://schemas.openxmlformats.org/officeDocument/2006/relationships/hyperlink" Target="http://probaseballexperience.jcink.net/index.php?showuser=421" TargetMode="External"/><Relationship Id="rId857" Type="http://schemas.openxmlformats.org/officeDocument/2006/relationships/hyperlink" Target="http://probaseballexperience.jcink.net/index.php?showtopic=1426" TargetMode="External"/><Relationship Id="rId289" Type="http://schemas.openxmlformats.org/officeDocument/2006/relationships/hyperlink" Target="http://probaseballexperience.jcink.net/index.php?showtopic=1441" TargetMode="External"/><Relationship Id="rId496" Type="http://schemas.openxmlformats.org/officeDocument/2006/relationships/hyperlink" Target="http://probaseballexperience.jcink.net/index.php?showtopic=3043&amp;view=findpost&amp;p=32473" TargetMode="External"/><Relationship Id="rId717" Type="http://schemas.openxmlformats.org/officeDocument/2006/relationships/hyperlink" Target="http://probaseballexperience.jcink.net/index.php?showtopic=4592" TargetMode="External"/><Relationship Id="rId53" Type="http://schemas.openxmlformats.org/officeDocument/2006/relationships/hyperlink" Target="http://probaseballexperience.jcink.net/index.php?showtopic=120" TargetMode="External"/><Relationship Id="rId149" Type="http://schemas.openxmlformats.org/officeDocument/2006/relationships/hyperlink" Target="http://probaseballexperience.jcink.net/index.php?showuser=44" TargetMode="External"/><Relationship Id="rId356" Type="http://schemas.openxmlformats.org/officeDocument/2006/relationships/hyperlink" Target="http://probaseballexperience.jcink.net/index.php?showtopic=4697" TargetMode="External"/><Relationship Id="rId563" Type="http://schemas.openxmlformats.org/officeDocument/2006/relationships/hyperlink" Target="http://probaseballexperience.jcink.net/index.php?showtopic=5059" TargetMode="External"/><Relationship Id="rId770" Type="http://schemas.openxmlformats.org/officeDocument/2006/relationships/hyperlink" Target="http://probaseballexperience.jcink.net/index.php?showtopic=5313" TargetMode="External"/><Relationship Id="rId216" Type="http://schemas.openxmlformats.org/officeDocument/2006/relationships/hyperlink" Target="http://probaseballexperience.jcink.net/index.php?showuser=129" TargetMode="External"/><Relationship Id="rId423" Type="http://schemas.openxmlformats.org/officeDocument/2006/relationships/hyperlink" Target="http://probaseballexperience.jcink.net/index.php?showuser=379" TargetMode="External"/><Relationship Id="rId868" Type="http://schemas.openxmlformats.org/officeDocument/2006/relationships/hyperlink" Target="http://probaseballexperience.jcink.net/index.php?showtopic=1083" TargetMode="External"/><Relationship Id="rId630" Type="http://schemas.openxmlformats.org/officeDocument/2006/relationships/hyperlink" Target="http://probaseballexperience.jcink.net/index.php?showtopic=3621" TargetMode="External"/><Relationship Id="rId728" Type="http://schemas.openxmlformats.org/officeDocument/2006/relationships/hyperlink" Target="http://probaseballexperience.jcink.net/index.php?showtopic=3573" TargetMode="External"/><Relationship Id="rId64" Type="http://schemas.openxmlformats.org/officeDocument/2006/relationships/hyperlink" Target="http://probaseballexperience.jcink.net/index.php?showuser=19" TargetMode="External"/><Relationship Id="rId367" Type="http://schemas.openxmlformats.org/officeDocument/2006/relationships/hyperlink" Target="http://probaseballexperience.jcink.net/index.php?showtopic=287" TargetMode="External"/><Relationship Id="rId574" Type="http://schemas.openxmlformats.org/officeDocument/2006/relationships/hyperlink" Target="http://probaseballexperience.jcink.net/index.php?showuser=458" TargetMode="External"/><Relationship Id="rId227" Type="http://schemas.openxmlformats.org/officeDocument/2006/relationships/hyperlink" Target="http://probaseballexperience.jcink.net/index.php?showtopic=2307" TargetMode="External"/><Relationship Id="rId781" Type="http://schemas.openxmlformats.org/officeDocument/2006/relationships/hyperlink" Target="http://probaseballexperience.jcink.net/index.php?showtopic=5257" TargetMode="External"/><Relationship Id="rId879" Type="http://schemas.openxmlformats.org/officeDocument/2006/relationships/hyperlink" Target="http://probaseballexperience.jcink.net/index.php?showtopic=5166" TargetMode="External"/><Relationship Id="rId434" Type="http://schemas.openxmlformats.org/officeDocument/2006/relationships/hyperlink" Target="http://probaseballexperience.jcink.net/index.php?showtopic=3881" TargetMode="External"/><Relationship Id="rId641" Type="http://schemas.openxmlformats.org/officeDocument/2006/relationships/hyperlink" Target="http://probaseballexperience.jcink.net/index.php?showtopic=1377" TargetMode="External"/><Relationship Id="rId739" Type="http://schemas.openxmlformats.org/officeDocument/2006/relationships/hyperlink" Target="http://probaseballexperience.jcink.net/index.php?showuser=361" TargetMode="External"/><Relationship Id="rId280" Type="http://schemas.openxmlformats.org/officeDocument/2006/relationships/hyperlink" Target="http://probaseballexperience.jcink.net/index.php?showuser=310" TargetMode="External"/><Relationship Id="rId501" Type="http://schemas.openxmlformats.org/officeDocument/2006/relationships/hyperlink" Target="http://probaseballexperience.jcink.net/index.php?showtopic=1741" TargetMode="External"/><Relationship Id="rId75" Type="http://schemas.openxmlformats.org/officeDocument/2006/relationships/hyperlink" Target="http://probaseballexperience.jcink.net/index.php?showtopic=2154" TargetMode="External"/><Relationship Id="rId140" Type="http://schemas.openxmlformats.org/officeDocument/2006/relationships/hyperlink" Target="http://probaseballexperience.jcink.net/index.php?showuser=98" TargetMode="External"/><Relationship Id="rId378" Type="http://schemas.openxmlformats.org/officeDocument/2006/relationships/hyperlink" Target="http://probaseballexperience.jcink.net/index.php?showtopic=138" TargetMode="External"/><Relationship Id="rId585" Type="http://schemas.openxmlformats.org/officeDocument/2006/relationships/hyperlink" Target="http://probaseballexperience.jcink.net/index.php?showtopic=3360" TargetMode="External"/><Relationship Id="rId792" Type="http://schemas.openxmlformats.org/officeDocument/2006/relationships/hyperlink" Target="http://probaseballexperience.jcink.net/index.php?showtopic=4927" TargetMode="External"/><Relationship Id="rId806" Type="http://schemas.openxmlformats.org/officeDocument/2006/relationships/hyperlink" Target="http://probaseballexperience.jcink.net/index.php?showtopic=3097" TargetMode="External"/><Relationship Id="rId6" Type="http://schemas.openxmlformats.org/officeDocument/2006/relationships/hyperlink" Target="http://probaseballexperience.jcink.net/index.php?showuser=81" TargetMode="External"/><Relationship Id="rId238" Type="http://schemas.openxmlformats.org/officeDocument/2006/relationships/hyperlink" Target="http://probaseballexperience.jcink.net/index.php?showuser=38" TargetMode="External"/><Relationship Id="rId445" Type="http://schemas.openxmlformats.org/officeDocument/2006/relationships/hyperlink" Target="http://probaseballexperience.jcink.net/index.php?showtopic=2921" TargetMode="External"/><Relationship Id="rId652" Type="http://schemas.openxmlformats.org/officeDocument/2006/relationships/hyperlink" Target="http://probaseballexperience.jcink.net/index.php?showuser=376" TargetMode="External"/><Relationship Id="rId291" Type="http://schemas.openxmlformats.org/officeDocument/2006/relationships/hyperlink" Target="http://probaseballexperience.jcink.net/index.php?showtopic=1441" TargetMode="External"/><Relationship Id="rId305" Type="http://schemas.openxmlformats.org/officeDocument/2006/relationships/hyperlink" Target="http://probaseballexperience.jcink.net/index.php?showtopic=4745&amp;hl=kramer" TargetMode="External"/><Relationship Id="rId512" Type="http://schemas.openxmlformats.org/officeDocument/2006/relationships/hyperlink" Target="http://probaseballexperience.jcink.net/index.php?showtopic=248" TargetMode="External"/><Relationship Id="rId86" Type="http://schemas.openxmlformats.org/officeDocument/2006/relationships/hyperlink" Target="http://probaseballexperience.jcink.net/index.php?showtopic=2598" TargetMode="External"/><Relationship Id="rId151" Type="http://schemas.openxmlformats.org/officeDocument/2006/relationships/hyperlink" Target="http://probaseballexperience.jcink.net/index.php?showtopic=72" TargetMode="External"/><Relationship Id="rId389" Type="http://schemas.openxmlformats.org/officeDocument/2006/relationships/hyperlink" Target="http://probaseballexperience.jcink.net/index.php?showuser=419" TargetMode="External"/><Relationship Id="rId596" Type="http://schemas.openxmlformats.org/officeDocument/2006/relationships/hyperlink" Target="http://probaseballexperience.jcink.net/index.php?showtopic=2502" TargetMode="External"/><Relationship Id="rId817" Type="http://schemas.openxmlformats.org/officeDocument/2006/relationships/hyperlink" Target="http://probaseballexperience.jcink.net/index.php?showtopic=2905" TargetMode="External"/><Relationship Id="rId249" Type="http://schemas.openxmlformats.org/officeDocument/2006/relationships/hyperlink" Target="http://probaseballexperience.jcink.net/index.php?showuser=382" TargetMode="External"/><Relationship Id="rId456" Type="http://schemas.openxmlformats.org/officeDocument/2006/relationships/hyperlink" Target="http://probaseballexperience.jcink.net/index.php?showuser=451" TargetMode="External"/><Relationship Id="rId663" Type="http://schemas.openxmlformats.org/officeDocument/2006/relationships/hyperlink" Target="http://probaseballexperience.jcink.net/index.php?showtopic=4177" TargetMode="External"/><Relationship Id="rId870" Type="http://schemas.openxmlformats.org/officeDocument/2006/relationships/hyperlink" Target="http://probaseballexperience.jcink.net/index.php?showuser=178" TargetMode="External"/><Relationship Id="rId13" Type="http://schemas.openxmlformats.org/officeDocument/2006/relationships/hyperlink" Target="http://probaseballexperience.jcink.net/index.php?showuser=187" TargetMode="External"/><Relationship Id="rId109" Type="http://schemas.openxmlformats.org/officeDocument/2006/relationships/hyperlink" Target="http://probaseballexperience.jcink.net/index.php?showuser=281" TargetMode="External"/><Relationship Id="rId316" Type="http://schemas.openxmlformats.org/officeDocument/2006/relationships/hyperlink" Target="http://probaseballexperience.jcink.net/index.php?showtopic=2930" TargetMode="External"/><Relationship Id="rId523" Type="http://schemas.openxmlformats.org/officeDocument/2006/relationships/hyperlink" Target="http://probaseballexperience.jcink.net/index.php?showtopic=2506" TargetMode="External"/><Relationship Id="rId97" Type="http://schemas.openxmlformats.org/officeDocument/2006/relationships/hyperlink" Target="http://probaseballexperience.jcink.net/index.php?showuser=6" TargetMode="External"/><Relationship Id="rId730" Type="http://schemas.openxmlformats.org/officeDocument/2006/relationships/hyperlink" Target="http://probaseballexperience.jcink.net/index.php?showtopic=3573" TargetMode="External"/><Relationship Id="rId828" Type="http://schemas.openxmlformats.org/officeDocument/2006/relationships/hyperlink" Target="http://probaseballexperience.jcink.net/index.php?showuser=212" TargetMode="External"/><Relationship Id="rId162" Type="http://schemas.openxmlformats.org/officeDocument/2006/relationships/hyperlink" Target="http://probaseballexperience.jcink.net/index.php?showuser=334" TargetMode="External"/><Relationship Id="rId467" Type="http://schemas.openxmlformats.org/officeDocument/2006/relationships/hyperlink" Target="http://probaseballexperience.jcink.net/index.php?showuser=248" TargetMode="External"/><Relationship Id="rId674" Type="http://schemas.openxmlformats.org/officeDocument/2006/relationships/hyperlink" Target="http://probaseballexperience.jcink.net/index.php?showtopic=1041" TargetMode="External"/><Relationship Id="rId881" Type="http://schemas.openxmlformats.org/officeDocument/2006/relationships/hyperlink" Target="http://probaseballexperience.jcink.net/index.php?showtopic=5148" TargetMode="External"/><Relationship Id="rId24" Type="http://schemas.openxmlformats.org/officeDocument/2006/relationships/hyperlink" Target="http://probaseballexperience.jcink.net/index.php?showtopic=156" TargetMode="External"/><Relationship Id="rId327" Type="http://schemas.openxmlformats.org/officeDocument/2006/relationships/hyperlink" Target="http://probaseballexperience.jcink.net/index.php?showtopic=3581" TargetMode="External"/><Relationship Id="rId534" Type="http://schemas.openxmlformats.org/officeDocument/2006/relationships/hyperlink" Target="http://probaseballexperience.jcink.net/index.php?showtopic=607" TargetMode="External"/><Relationship Id="rId741" Type="http://schemas.openxmlformats.org/officeDocument/2006/relationships/hyperlink" Target="http://probaseballexperience.jcink.net/index.php?showtopic=5362" TargetMode="External"/><Relationship Id="rId839" Type="http://schemas.openxmlformats.org/officeDocument/2006/relationships/hyperlink" Target="http://probaseballexperience.jcink.net/index.php?showtopic=1097" TargetMode="External"/><Relationship Id="rId173" Type="http://schemas.openxmlformats.org/officeDocument/2006/relationships/hyperlink" Target="http://probaseballexperience.jcink.net/index.php?showtopic=3019" TargetMode="External"/><Relationship Id="rId380" Type="http://schemas.openxmlformats.org/officeDocument/2006/relationships/hyperlink" Target="http://probaseballexperience.jcink.net/index.php?showtopic=138" TargetMode="External"/><Relationship Id="rId601" Type="http://schemas.openxmlformats.org/officeDocument/2006/relationships/hyperlink" Target="http://probaseballexperience.jcink.net/index.php?showtopic=1735" TargetMode="External"/><Relationship Id="rId240" Type="http://schemas.openxmlformats.org/officeDocument/2006/relationships/hyperlink" Target="http://probaseballexperience.jcink.net/index.php?showtopic=3967" TargetMode="External"/><Relationship Id="rId478" Type="http://schemas.openxmlformats.org/officeDocument/2006/relationships/hyperlink" Target="http://probaseballexperience.jcink.net/index.php?showtopic=1218" TargetMode="External"/><Relationship Id="rId685" Type="http://schemas.openxmlformats.org/officeDocument/2006/relationships/hyperlink" Target="http://probaseballexperience.jcink.net/index.php?showuser=223" TargetMode="External"/><Relationship Id="rId35" Type="http://schemas.openxmlformats.org/officeDocument/2006/relationships/hyperlink" Target="http://probaseballexperience.jcink.net/index.php?showtopic=1732" TargetMode="External"/><Relationship Id="rId100" Type="http://schemas.openxmlformats.org/officeDocument/2006/relationships/hyperlink" Target="http://probaseballexperience.jcink.net/index.php?showuser=273" TargetMode="External"/><Relationship Id="rId338" Type="http://schemas.openxmlformats.org/officeDocument/2006/relationships/hyperlink" Target="http://probaseballexperience.jcink.net/index.php?showtopic=4607" TargetMode="External"/><Relationship Id="rId545" Type="http://schemas.openxmlformats.org/officeDocument/2006/relationships/hyperlink" Target="http://probaseballexperience.jcink.net/index.php?showuser=469" TargetMode="External"/><Relationship Id="rId752" Type="http://schemas.openxmlformats.org/officeDocument/2006/relationships/hyperlink" Target="http://probaseballexperience.jcink.net/index.php?showuser=149" TargetMode="External"/><Relationship Id="rId184" Type="http://schemas.openxmlformats.org/officeDocument/2006/relationships/hyperlink" Target="http://probaseballexperience.jcink.net/index.php?showuser=114" TargetMode="External"/><Relationship Id="rId391" Type="http://schemas.openxmlformats.org/officeDocument/2006/relationships/hyperlink" Target="http://probaseballexperience.jcink.net/index.php?showtopic=2781" TargetMode="External"/><Relationship Id="rId405" Type="http://schemas.openxmlformats.org/officeDocument/2006/relationships/hyperlink" Target="http://probaseballexperience.jcink.net/index.php?showtopic=1358" TargetMode="External"/><Relationship Id="rId612" Type="http://schemas.openxmlformats.org/officeDocument/2006/relationships/hyperlink" Target="http://probaseballexperience.jcink.net/index.php?showtopic=5179" TargetMode="External"/><Relationship Id="rId251" Type="http://schemas.openxmlformats.org/officeDocument/2006/relationships/hyperlink" Target="http://probaseballexperience.jcink.net/index.php?showtopic=4745&amp;hl=kramer" TargetMode="External"/><Relationship Id="rId489" Type="http://schemas.openxmlformats.org/officeDocument/2006/relationships/hyperlink" Target="http://probaseballexperience.jcink.net/index.php?showtopic=5097" TargetMode="External"/><Relationship Id="rId696" Type="http://schemas.openxmlformats.org/officeDocument/2006/relationships/hyperlink" Target="http://probaseballexperience.jcink.net/index.php?showuser=90" TargetMode="External"/><Relationship Id="rId46" Type="http://schemas.openxmlformats.org/officeDocument/2006/relationships/hyperlink" Target="http://probaseballexperience.jcink.net/index.php?showuser=60" TargetMode="External"/><Relationship Id="rId349" Type="http://schemas.openxmlformats.org/officeDocument/2006/relationships/hyperlink" Target="http://probaseballexperience.jcink.net/index.php?showtopic=3567" TargetMode="External"/><Relationship Id="rId556" Type="http://schemas.openxmlformats.org/officeDocument/2006/relationships/hyperlink" Target="http://probaseballexperience.jcink.net/index.php?showtopic=3909" TargetMode="External"/><Relationship Id="rId763" Type="http://schemas.openxmlformats.org/officeDocument/2006/relationships/hyperlink" Target="http://probaseballexperience.jcink.net/index.php?showtopic=5037" TargetMode="External"/><Relationship Id="rId111" Type="http://schemas.openxmlformats.org/officeDocument/2006/relationships/hyperlink" Target="http://probaseballexperience.jcink.net/index.php?showtopic=1232" TargetMode="External"/><Relationship Id="rId195" Type="http://schemas.openxmlformats.org/officeDocument/2006/relationships/hyperlink" Target="http://probaseballexperience.jcink.net/index.php?showtopic=3764" TargetMode="External"/><Relationship Id="rId209" Type="http://schemas.openxmlformats.org/officeDocument/2006/relationships/hyperlink" Target="http://probaseballexperience.jcink.net/index.php?showtopic=4057" TargetMode="External"/><Relationship Id="rId416" Type="http://schemas.openxmlformats.org/officeDocument/2006/relationships/hyperlink" Target="http://probaseballexperience.jcink.net/index.php?showtopic=3438" TargetMode="External"/><Relationship Id="rId623" Type="http://schemas.openxmlformats.org/officeDocument/2006/relationships/hyperlink" Target="http://probaseballexperience.jcink.net/index.php?showuser=219" TargetMode="External"/><Relationship Id="rId830" Type="http://schemas.openxmlformats.org/officeDocument/2006/relationships/hyperlink" Target="http://probaseballexperience.jcink.net/index.php?showtopic=1738" TargetMode="External"/><Relationship Id="rId57" Type="http://schemas.openxmlformats.org/officeDocument/2006/relationships/hyperlink" Target="http://probaseballexperience.jcink.net/index.php?showtopic=627" TargetMode="External"/><Relationship Id="rId262" Type="http://schemas.openxmlformats.org/officeDocument/2006/relationships/hyperlink" Target="http://probaseballexperience.jcink.net/index.php?showuser=290" TargetMode="External"/><Relationship Id="rId567" Type="http://schemas.openxmlformats.org/officeDocument/2006/relationships/hyperlink" Target="http://probaseballexperience.jcink.net/index.php?showtopic=5319" TargetMode="External"/><Relationship Id="rId99" Type="http://schemas.openxmlformats.org/officeDocument/2006/relationships/hyperlink" Target="http://probaseballexperience.jcink.net/index.php?showtopic=2604" TargetMode="External"/><Relationship Id="rId122" Type="http://schemas.openxmlformats.org/officeDocument/2006/relationships/hyperlink" Target="http://probaseballexperience.jcink.net/index.php?showtopic=288" TargetMode="External"/><Relationship Id="rId164" Type="http://schemas.openxmlformats.org/officeDocument/2006/relationships/hyperlink" Target="http://probaseballexperience.jcink.net/index.php?showtopic=3123" TargetMode="External"/><Relationship Id="rId371" Type="http://schemas.openxmlformats.org/officeDocument/2006/relationships/hyperlink" Target="http://probaseballexperience.jcink.net/index.php?showtopic=4854" TargetMode="External"/><Relationship Id="rId774" Type="http://schemas.openxmlformats.org/officeDocument/2006/relationships/hyperlink" Target="http://probaseballexperience.jcink.net/index.php?showuser=473" TargetMode="External"/><Relationship Id="rId427" Type="http://schemas.openxmlformats.org/officeDocument/2006/relationships/hyperlink" Target="http://probaseballexperience.jcink.net/index.php?showtopic=1757" TargetMode="External"/><Relationship Id="rId469" Type="http://schemas.openxmlformats.org/officeDocument/2006/relationships/hyperlink" Target="http://probaseballexperience.jcink.net/index.php?showuser=398" TargetMode="External"/><Relationship Id="rId634" Type="http://schemas.openxmlformats.org/officeDocument/2006/relationships/hyperlink" Target="http://probaseballexperience.jcink.net/index.php?showuser=423" TargetMode="External"/><Relationship Id="rId676" Type="http://schemas.openxmlformats.org/officeDocument/2006/relationships/hyperlink" Target="http://probaseballexperience.jcink.net/index.php?showuser=259" TargetMode="External"/><Relationship Id="rId841" Type="http://schemas.openxmlformats.org/officeDocument/2006/relationships/hyperlink" Target="http://probaseballexperience.jcink.net/index.php?showtopic=1097" TargetMode="External"/><Relationship Id="rId883" Type="http://schemas.openxmlformats.org/officeDocument/2006/relationships/hyperlink" Target="http://probaseballexperience.jcink.net/index.php?showtopic=5102" TargetMode="External"/><Relationship Id="rId26" Type="http://schemas.openxmlformats.org/officeDocument/2006/relationships/hyperlink" Target="http://probaseballexperience.jcink.net/index.php?showtopic=156" TargetMode="External"/><Relationship Id="rId231" Type="http://schemas.openxmlformats.org/officeDocument/2006/relationships/hyperlink" Target="http://probaseballexperience.jcink.net/index.php?showtopic=3539" TargetMode="External"/><Relationship Id="rId273" Type="http://schemas.openxmlformats.org/officeDocument/2006/relationships/hyperlink" Target="http://probaseballexperience.jcink.net/index.php?showtopic=141" TargetMode="External"/><Relationship Id="rId329" Type="http://schemas.openxmlformats.org/officeDocument/2006/relationships/hyperlink" Target="http://probaseballexperience.jcink.net/index.php?showuser=68" TargetMode="External"/><Relationship Id="rId480" Type="http://schemas.openxmlformats.org/officeDocument/2006/relationships/hyperlink" Target="http://probaseballexperience.jcink.net/index.php?showtopic=4980" TargetMode="External"/><Relationship Id="rId536" Type="http://schemas.openxmlformats.org/officeDocument/2006/relationships/hyperlink" Target="http://probaseballexperience.jcink.net/index.php?showuser=28" TargetMode="External"/><Relationship Id="rId701" Type="http://schemas.openxmlformats.org/officeDocument/2006/relationships/hyperlink" Target="http://probaseballexperience.jcink.net/index.php?showtopic=1062" TargetMode="External"/><Relationship Id="rId68" Type="http://schemas.openxmlformats.org/officeDocument/2006/relationships/hyperlink" Target="http://probaseballexperience.jcink.net/index.php?showtopic=1042" TargetMode="External"/><Relationship Id="rId133" Type="http://schemas.openxmlformats.org/officeDocument/2006/relationships/hyperlink" Target="http://probaseballexperience.jcink.net/index.php?showuser=302" TargetMode="External"/><Relationship Id="rId175" Type="http://schemas.openxmlformats.org/officeDocument/2006/relationships/hyperlink" Target="http://probaseballexperience.jcink.net/index.php?showtopic=3019" TargetMode="External"/><Relationship Id="rId340" Type="http://schemas.openxmlformats.org/officeDocument/2006/relationships/hyperlink" Target="http://probaseballexperience.jcink.net/index.php?showtopic=4562" TargetMode="External"/><Relationship Id="rId578" Type="http://schemas.openxmlformats.org/officeDocument/2006/relationships/hyperlink" Target="http://probaseballexperience.jcink.net/index.php?showtopic=5303" TargetMode="External"/><Relationship Id="rId743" Type="http://schemas.openxmlformats.org/officeDocument/2006/relationships/hyperlink" Target="http://probaseballexperience.jcink.net/index.php?showtopic=4563" TargetMode="External"/><Relationship Id="rId785" Type="http://schemas.openxmlformats.org/officeDocument/2006/relationships/hyperlink" Target="http://probaseballexperience.jcink.net/index.php?showtopic=4632" TargetMode="External"/><Relationship Id="rId200" Type="http://schemas.openxmlformats.org/officeDocument/2006/relationships/hyperlink" Target="http://probaseballexperience.jcink.net/index.php?showtopic=2525" TargetMode="External"/><Relationship Id="rId382" Type="http://schemas.openxmlformats.org/officeDocument/2006/relationships/hyperlink" Target="http://probaseballexperience.jcink.net/index.php?showtopic=4454" TargetMode="External"/><Relationship Id="rId438" Type="http://schemas.openxmlformats.org/officeDocument/2006/relationships/hyperlink" Target="http://probaseballexperience.jcink.net/index.php?showtopic=4903" TargetMode="External"/><Relationship Id="rId603" Type="http://schemas.openxmlformats.org/officeDocument/2006/relationships/hyperlink" Target="http://probaseballexperience.jcink.net/index.php?showuser=352" TargetMode="External"/><Relationship Id="rId645" Type="http://schemas.openxmlformats.org/officeDocument/2006/relationships/hyperlink" Target="http://probaseballexperience.jcink.net/index.php?showtopic=3889" TargetMode="External"/><Relationship Id="rId687" Type="http://schemas.openxmlformats.org/officeDocument/2006/relationships/hyperlink" Target="http://probaseballexperience.jcink.net/index.php?showtopic=3080" TargetMode="External"/><Relationship Id="rId810" Type="http://schemas.openxmlformats.org/officeDocument/2006/relationships/hyperlink" Target="http://probaseballexperience.jcink.net/index.php?showuser=309" TargetMode="External"/><Relationship Id="rId852" Type="http://schemas.openxmlformats.org/officeDocument/2006/relationships/hyperlink" Target="http://probaseballexperience.jcink.net/index.php?showuser=172" TargetMode="External"/><Relationship Id="rId242" Type="http://schemas.openxmlformats.org/officeDocument/2006/relationships/hyperlink" Target="http://probaseballexperience.jcink.net/index.php?showtopic=3967" TargetMode="External"/><Relationship Id="rId284" Type="http://schemas.openxmlformats.org/officeDocument/2006/relationships/hyperlink" Target="http://probaseballexperience.jcink.net/index.php?showtopic=3979" TargetMode="External"/><Relationship Id="rId491" Type="http://schemas.openxmlformats.org/officeDocument/2006/relationships/hyperlink" Target="http://probaseballexperience.jcink.net/index.php?showtopic=168" TargetMode="External"/><Relationship Id="rId505" Type="http://schemas.openxmlformats.org/officeDocument/2006/relationships/hyperlink" Target="http://probaseballexperience.jcink.net/index.php?showtopic=5154" TargetMode="External"/><Relationship Id="rId712" Type="http://schemas.openxmlformats.org/officeDocument/2006/relationships/hyperlink" Target="http://probaseballexperience.jcink.net/index.php?showuser=412" TargetMode="External"/><Relationship Id="rId37" Type="http://schemas.openxmlformats.org/officeDocument/2006/relationships/hyperlink" Target="http://probaseballexperience.jcink.net/index.php?showuser=18" TargetMode="External"/><Relationship Id="rId79" Type="http://schemas.openxmlformats.org/officeDocument/2006/relationships/hyperlink" Target="http://probaseballexperience.jcink.net/index.php?showuser=13" TargetMode="External"/><Relationship Id="rId102" Type="http://schemas.openxmlformats.org/officeDocument/2006/relationships/hyperlink" Target="http://probaseballexperience.jcink.net/index.php?showtopic=2606" TargetMode="External"/><Relationship Id="rId144" Type="http://schemas.openxmlformats.org/officeDocument/2006/relationships/hyperlink" Target="http://probaseballexperience.jcink.net/index.php?showtopic=3046&amp;view=findpost&amp;p=32489" TargetMode="External"/><Relationship Id="rId547" Type="http://schemas.openxmlformats.org/officeDocument/2006/relationships/hyperlink" Target="http://probaseballexperience.jcink.net/index.php?showtopic=3791" TargetMode="External"/><Relationship Id="rId589" Type="http://schemas.openxmlformats.org/officeDocument/2006/relationships/hyperlink" Target="http://probaseballexperience.jcink.net/index.php?showtopic=5092" TargetMode="External"/><Relationship Id="rId754" Type="http://schemas.openxmlformats.org/officeDocument/2006/relationships/hyperlink" Target="http://probaseballexperience.jcink.net/index.php?showuser=485" TargetMode="External"/><Relationship Id="rId796" Type="http://schemas.openxmlformats.org/officeDocument/2006/relationships/hyperlink" Target="http://probaseballexperience.jcink.net/index.php?showuser=250" TargetMode="External"/><Relationship Id="rId90" Type="http://schemas.openxmlformats.org/officeDocument/2006/relationships/hyperlink" Target="http://probaseballexperience.jcink.net/index.php?showtopic=1209" TargetMode="External"/><Relationship Id="rId186" Type="http://schemas.openxmlformats.org/officeDocument/2006/relationships/hyperlink" Target="http://probaseballexperience.jcink.net/index.php?showtopic=3117" TargetMode="External"/><Relationship Id="rId351" Type="http://schemas.openxmlformats.org/officeDocument/2006/relationships/hyperlink" Target="http://probaseballexperience.jcink.net/index.php?showtopic=3567" TargetMode="External"/><Relationship Id="rId393" Type="http://schemas.openxmlformats.org/officeDocument/2006/relationships/hyperlink" Target="http://probaseballexperience.jcink.net/index.php?showtopic=2781" TargetMode="External"/><Relationship Id="rId407" Type="http://schemas.openxmlformats.org/officeDocument/2006/relationships/hyperlink" Target="http://probaseballexperience.jcink.net/index.php?showuser=61" TargetMode="External"/><Relationship Id="rId449" Type="http://schemas.openxmlformats.org/officeDocument/2006/relationships/hyperlink" Target="http://probaseballexperience.jcink.net/index.php?showuser=206" TargetMode="External"/><Relationship Id="rId614" Type="http://schemas.openxmlformats.org/officeDocument/2006/relationships/hyperlink" Target="http://probaseballexperience.jcink.net/index.php?showuser=36" TargetMode="External"/><Relationship Id="rId656" Type="http://schemas.openxmlformats.org/officeDocument/2006/relationships/hyperlink" Target="http://probaseballexperience.jcink.net/index.php?showtopic=3272" TargetMode="External"/><Relationship Id="rId821" Type="http://schemas.openxmlformats.org/officeDocument/2006/relationships/hyperlink" Target="http://probaseballexperience.jcink.net/index.php?showtopic=2966" TargetMode="External"/><Relationship Id="rId863" Type="http://schemas.openxmlformats.org/officeDocument/2006/relationships/hyperlink" Target="http://probaseballexperience.jcink.net/index.php?showtopic=1541" TargetMode="External"/><Relationship Id="rId211" Type="http://schemas.openxmlformats.org/officeDocument/2006/relationships/hyperlink" Target="http://probaseballexperience.jcink.net/index.php?showuser=205" TargetMode="External"/><Relationship Id="rId253" Type="http://schemas.openxmlformats.org/officeDocument/2006/relationships/hyperlink" Target="http://probaseballexperience.jcink.net/index.php?showuser=235" TargetMode="External"/><Relationship Id="rId295" Type="http://schemas.openxmlformats.org/officeDocument/2006/relationships/hyperlink" Target="http://probaseballexperience.jcink.net/index.php?showuser=418" TargetMode="External"/><Relationship Id="rId309" Type="http://schemas.openxmlformats.org/officeDocument/2006/relationships/hyperlink" Target="http://probaseballexperience.jcink.net/index.php?showuser=288" TargetMode="External"/><Relationship Id="rId460" Type="http://schemas.openxmlformats.org/officeDocument/2006/relationships/hyperlink" Target="http://probaseballexperience.jcink.net/index.php?showtopic=1246" TargetMode="External"/><Relationship Id="rId516" Type="http://schemas.openxmlformats.org/officeDocument/2006/relationships/hyperlink" Target="http://probaseballexperience.jcink.net/index.php?showtopic=5295" TargetMode="External"/><Relationship Id="rId698" Type="http://schemas.openxmlformats.org/officeDocument/2006/relationships/hyperlink" Target="http://probaseballexperience.jcink.net/index.php?showtopic=2229" TargetMode="External"/><Relationship Id="rId48" Type="http://schemas.openxmlformats.org/officeDocument/2006/relationships/hyperlink" Target="http://probaseballexperience.jcink.net/index.php?showtopic=153" TargetMode="External"/><Relationship Id="rId113" Type="http://schemas.openxmlformats.org/officeDocument/2006/relationships/hyperlink" Target="http://probaseballexperience.jcink.net/index.php?showtopic=1232" TargetMode="External"/><Relationship Id="rId320" Type="http://schemas.openxmlformats.org/officeDocument/2006/relationships/hyperlink" Target="http://probaseballexperience.jcink.net/index.php?showtopic=4552" TargetMode="External"/><Relationship Id="rId558" Type="http://schemas.openxmlformats.org/officeDocument/2006/relationships/hyperlink" Target="http://probaseballexperience.jcink.net/index.php?showtopic=4002" TargetMode="External"/><Relationship Id="rId723" Type="http://schemas.openxmlformats.org/officeDocument/2006/relationships/hyperlink" Target="http://probaseballexperience.jcink.net/index.php?showuser=405" TargetMode="External"/><Relationship Id="rId765" Type="http://schemas.openxmlformats.org/officeDocument/2006/relationships/hyperlink" Target="http://probaseballexperience.jcink.net/index.php?showuser=475" TargetMode="External"/><Relationship Id="rId155" Type="http://schemas.openxmlformats.org/officeDocument/2006/relationships/hyperlink" Target="http://probaseballexperience.jcink.net/index.php?showuser=269" TargetMode="External"/><Relationship Id="rId197" Type="http://schemas.openxmlformats.org/officeDocument/2006/relationships/hyperlink" Target="http://probaseballexperience.jcink.net/index.php?showtopic=3764" TargetMode="External"/><Relationship Id="rId362" Type="http://schemas.openxmlformats.org/officeDocument/2006/relationships/hyperlink" Target="http://probaseballexperience.jcink.net/index.php?showuser=437" TargetMode="External"/><Relationship Id="rId418" Type="http://schemas.openxmlformats.org/officeDocument/2006/relationships/hyperlink" Target="http://probaseballexperience.jcink.net/index.php?showuser=95" TargetMode="External"/><Relationship Id="rId625" Type="http://schemas.openxmlformats.org/officeDocument/2006/relationships/hyperlink" Target="http://probaseballexperience.jcink.net/index.php?showuser=48" TargetMode="External"/><Relationship Id="rId832" Type="http://schemas.openxmlformats.org/officeDocument/2006/relationships/hyperlink" Target="http://probaseballexperience.jcink.net/index.php?showtopic=1738" TargetMode="External"/><Relationship Id="rId222" Type="http://schemas.openxmlformats.org/officeDocument/2006/relationships/hyperlink" Target="http://probaseballexperience.jcink.net/index.php?showuser=358" TargetMode="External"/><Relationship Id="rId264" Type="http://schemas.openxmlformats.org/officeDocument/2006/relationships/hyperlink" Target="http://probaseballexperience.jcink.net/index.php?showtopic=2674" TargetMode="External"/><Relationship Id="rId471" Type="http://schemas.openxmlformats.org/officeDocument/2006/relationships/hyperlink" Target="http://probaseballexperience.jcink.net/index.php?showtopic=2551" TargetMode="External"/><Relationship Id="rId667" Type="http://schemas.openxmlformats.org/officeDocument/2006/relationships/hyperlink" Target="http://probaseballexperience.jcink.net/index.php?showtopic=127" TargetMode="External"/><Relationship Id="rId874" Type="http://schemas.openxmlformats.org/officeDocument/2006/relationships/hyperlink" Target="http://probaseballexperience.jcink.net/index.php?showtopic=1174" TargetMode="External"/><Relationship Id="rId17" Type="http://schemas.openxmlformats.org/officeDocument/2006/relationships/hyperlink" Target="http://probaseballexperience.jcink.net/index.php?showtopic=345" TargetMode="External"/><Relationship Id="rId59" Type="http://schemas.openxmlformats.org/officeDocument/2006/relationships/hyperlink" Target="http://probaseballexperience.jcink.net/index.php?showtopic=627" TargetMode="External"/><Relationship Id="rId124" Type="http://schemas.openxmlformats.org/officeDocument/2006/relationships/hyperlink" Target="http://probaseballexperience.jcink.net/index.php?showuser=211" TargetMode="External"/><Relationship Id="rId527" Type="http://schemas.openxmlformats.org/officeDocument/2006/relationships/hyperlink" Target="http://probaseballexperience.jcink.net/index.php?showuser=162" TargetMode="External"/><Relationship Id="rId569" Type="http://schemas.openxmlformats.org/officeDocument/2006/relationships/hyperlink" Target="http://probaseballexperience.jcink.net/index.php?showuser=5" TargetMode="External"/><Relationship Id="rId734" Type="http://schemas.openxmlformats.org/officeDocument/2006/relationships/hyperlink" Target="http://probaseballexperience.jcink.net/index.php?showuser=264" TargetMode="External"/><Relationship Id="rId776" Type="http://schemas.openxmlformats.org/officeDocument/2006/relationships/hyperlink" Target="http://probaseballexperience.jcink.net/index.php?showtopic=5473" TargetMode="External"/><Relationship Id="rId70" Type="http://schemas.openxmlformats.org/officeDocument/2006/relationships/hyperlink" Target="http://probaseballexperience.jcink.net/index.php?showuser=233" TargetMode="External"/><Relationship Id="rId166" Type="http://schemas.openxmlformats.org/officeDocument/2006/relationships/hyperlink" Target="http://probaseballexperience.jcink.net/index.php?showtopic=3123" TargetMode="External"/><Relationship Id="rId331" Type="http://schemas.openxmlformats.org/officeDocument/2006/relationships/hyperlink" Target="http://probaseballexperience.jcink.net/index.php?showtopic=1740" TargetMode="External"/><Relationship Id="rId373" Type="http://schemas.openxmlformats.org/officeDocument/2006/relationships/hyperlink" Target="http://probaseballexperience.jcink.net/index.php?showtopic=3773" TargetMode="External"/><Relationship Id="rId429" Type="http://schemas.openxmlformats.org/officeDocument/2006/relationships/hyperlink" Target="http://probaseballexperience.jcink.net/index.php?showuser=349" TargetMode="External"/><Relationship Id="rId580" Type="http://schemas.openxmlformats.org/officeDocument/2006/relationships/hyperlink" Target="http://probaseballexperience.jcink.net/index.php?showuser=214" TargetMode="External"/><Relationship Id="rId636" Type="http://schemas.openxmlformats.org/officeDocument/2006/relationships/hyperlink" Target="http://probaseballexperience.jcink.net/index.php?showtopic=2615" TargetMode="External"/><Relationship Id="rId801" Type="http://schemas.openxmlformats.org/officeDocument/2006/relationships/hyperlink" Target="http://probaseballexperience.jcink.net/index.php?showuser=313" TargetMode="External"/><Relationship Id="rId1" Type="http://schemas.openxmlformats.org/officeDocument/2006/relationships/hyperlink" Target="http://probaseballexperience.jcink.net/index.php?showtopic=79" TargetMode="External"/><Relationship Id="rId233" Type="http://schemas.openxmlformats.org/officeDocument/2006/relationships/hyperlink" Target="http://probaseballexperience.jcink.net/index.php?showtopic=3539" TargetMode="External"/><Relationship Id="rId440" Type="http://schemas.openxmlformats.org/officeDocument/2006/relationships/hyperlink" Target="http://probaseballexperience.jcink.net/index.php?showuser=332" TargetMode="External"/><Relationship Id="rId678" Type="http://schemas.openxmlformats.org/officeDocument/2006/relationships/hyperlink" Target="http://probaseballexperience.jcink.net/index.php?showtopic=1041" TargetMode="External"/><Relationship Id="rId843" Type="http://schemas.openxmlformats.org/officeDocument/2006/relationships/hyperlink" Target="http://probaseballexperience.jcink.net/index.php?showuser=185" TargetMode="External"/><Relationship Id="rId885" Type="http://schemas.openxmlformats.org/officeDocument/2006/relationships/hyperlink" Target="http://probaseballexperience.jcink.net/index.php?showtopic=5149" TargetMode="External"/><Relationship Id="rId28" Type="http://schemas.openxmlformats.org/officeDocument/2006/relationships/hyperlink" Target="http://probaseballexperience.jcink.net/index.php?showuser=189" TargetMode="External"/><Relationship Id="rId275" Type="http://schemas.openxmlformats.org/officeDocument/2006/relationships/hyperlink" Target="http://probaseballexperience.jcink.net/index.php?showtopic=141" TargetMode="External"/><Relationship Id="rId300" Type="http://schemas.openxmlformats.org/officeDocument/2006/relationships/hyperlink" Target="http://probaseballexperience.jcink.net/index.php?showtopic=3736" TargetMode="External"/><Relationship Id="rId482" Type="http://schemas.openxmlformats.org/officeDocument/2006/relationships/hyperlink" Target="http://probaseballexperience.jcink.net/index.php?showtopic=2183" TargetMode="External"/><Relationship Id="rId538" Type="http://schemas.openxmlformats.org/officeDocument/2006/relationships/hyperlink" Target="http://probaseballexperience.jcink.net/index.php?showtopic=1810" TargetMode="External"/><Relationship Id="rId703" Type="http://schemas.openxmlformats.org/officeDocument/2006/relationships/hyperlink" Target="http://probaseballexperience.jcink.net/index.php?showtopic=1062" TargetMode="External"/><Relationship Id="rId745" Type="http://schemas.openxmlformats.org/officeDocument/2006/relationships/hyperlink" Target="http://probaseballexperience.jcink.net/index.php?showtopic=5285" TargetMode="External"/><Relationship Id="rId81" Type="http://schemas.openxmlformats.org/officeDocument/2006/relationships/hyperlink" Target="http://probaseballexperience.jcink.net/index.php?showtopic=792" TargetMode="External"/><Relationship Id="rId135" Type="http://schemas.openxmlformats.org/officeDocument/2006/relationships/hyperlink" Target="http://probaseballexperience.jcink.net/index.php?showtopic=100" TargetMode="External"/><Relationship Id="rId177" Type="http://schemas.openxmlformats.org/officeDocument/2006/relationships/hyperlink" Target="http://probaseballexperience.jcink.net/index.php?showtopic=2518" TargetMode="External"/><Relationship Id="rId342" Type="http://schemas.openxmlformats.org/officeDocument/2006/relationships/hyperlink" Target="http://probaseballexperience.jcink.net/index.php?showuser=318" TargetMode="External"/><Relationship Id="rId384" Type="http://schemas.openxmlformats.org/officeDocument/2006/relationships/hyperlink" Target="http://probaseballexperience.jcink.net/index.php?showuser=308" TargetMode="External"/><Relationship Id="rId591" Type="http://schemas.openxmlformats.org/officeDocument/2006/relationships/hyperlink" Target="http://probaseballexperience.jcink.net/index.php?showuser=481" TargetMode="External"/><Relationship Id="rId605" Type="http://schemas.openxmlformats.org/officeDocument/2006/relationships/hyperlink" Target="http://probaseballexperience.jcink.net/index.php?showtopic=1477" TargetMode="External"/><Relationship Id="rId787" Type="http://schemas.openxmlformats.org/officeDocument/2006/relationships/hyperlink" Target="http://probaseballexperience.jcink.net/index.php?showuser=439" TargetMode="External"/><Relationship Id="rId812" Type="http://schemas.openxmlformats.org/officeDocument/2006/relationships/hyperlink" Target="http://probaseballexperience.jcink.net/index.php?showtopic=2967" TargetMode="External"/><Relationship Id="rId202" Type="http://schemas.openxmlformats.org/officeDocument/2006/relationships/hyperlink" Target="http://probaseballexperience.jcink.net/index.php?showuser=225" TargetMode="External"/><Relationship Id="rId244" Type="http://schemas.openxmlformats.org/officeDocument/2006/relationships/hyperlink" Target="http://probaseballexperience.jcink.net/index.php?showuser=67" TargetMode="External"/><Relationship Id="rId647" Type="http://schemas.openxmlformats.org/officeDocument/2006/relationships/hyperlink" Target="http://probaseballexperience.jcink.net/index.php?showtopic=3889" TargetMode="External"/><Relationship Id="rId689" Type="http://schemas.openxmlformats.org/officeDocument/2006/relationships/hyperlink" Target="http://probaseballexperience.jcink.net/index.php?showtopic=3080" TargetMode="External"/><Relationship Id="rId854" Type="http://schemas.openxmlformats.org/officeDocument/2006/relationships/hyperlink" Target="http://probaseballexperience.jcink.net/index.php?showtopic=1064" TargetMode="External"/><Relationship Id="rId39" Type="http://schemas.openxmlformats.org/officeDocument/2006/relationships/hyperlink" Target="http://probaseballexperience.jcink.net/index.php?showtopic=211" TargetMode="External"/><Relationship Id="rId286" Type="http://schemas.openxmlformats.org/officeDocument/2006/relationships/hyperlink" Target="http://probaseballexperience.jcink.net/index.php?showtopic=4392" TargetMode="External"/><Relationship Id="rId451" Type="http://schemas.openxmlformats.org/officeDocument/2006/relationships/hyperlink" Target="http://probaseballexperience.jcink.net/index.php?showtopic=1092" TargetMode="External"/><Relationship Id="rId493" Type="http://schemas.openxmlformats.org/officeDocument/2006/relationships/hyperlink" Target="http://probaseballexperience.jcink.net/index.php?showtopic=168" TargetMode="External"/><Relationship Id="rId507" Type="http://schemas.openxmlformats.org/officeDocument/2006/relationships/hyperlink" Target="http://probaseballexperience.jcink.net/index.php?showtopic=164" TargetMode="External"/><Relationship Id="rId549" Type="http://schemas.openxmlformats.org/officeDocument/2006/relationships/hyperlink" Target="http://probaseballexperience.jcink.net/index.php?showtopic=3791" TargetMode="External"/><Relationship Id="rId714" Type="http://schemas.openxmlformats.org/officeDocument/2006/relationships/hyperlink" Target="http://probaseballexperience.jcink.net/index.php?showuser=393" TargetMode="External"/><Relationship Id="rId756" Type="http://schemas.openxmlformats.org/officeDocument/2006/relationships/hyperlink" Target="http://probaseballexperience.jcink.net/index.php?showuser=487" TargetMode="External"/><Relationship Id="rId50" Type="http://schemas.openxmlformats.org/officeDocument/2006/relationships/hyperlink" Target="http://probaseballexperience.jcink.net/index.php?showtopic=153" TargetMode="External"/><Relationship Id="rId104" Type="http://schemas.openxmlformats.org/officeDocument/2006/relationships/hyperlink" Target="http://probaseballexperience.jcink.net/index.php?showtopic=2606" TargetMode="External"/><Relationship Id="rId146" Type="http://schemas.openxmlformats.org/officeDocument/2006/relationships/hyperlink" Target="http://probaseballexperience.jcink.net/index.php?showuser=92" TargetMode="External"/><Relationship Id="rId188" Type="http://schemas.openxmlformats.org/officeDocument/2006/relationships/hyperlink" Target="http://probaseballexperience.jcink.net/index.php?showtopic=3117" TargetMode="External"/><Relationship Id="rId311" Type="http://schemas.openxmlformats.org/officeDocument/2006/relationships/hyperlink" Target="http://probaseballexperience.jcink.net/index.php?showuser=387" TargetMode="External"/><Relationship Id="rId353" Type="http://schemas.openxmlformats.org/officeDocument/2006/relationships/hyperlink" Target="http://probaseballexperience.jcink.net/index.php?showuser=97" TargetMode="External"/><Relationship Id="rId395" Type="http://schemas.openxmlformats.org/officeDocument/2006/relationships/hyperlink" Target="http://probaseballexperience.jcink.net/index.php?showuser=344" TargetMode="External"/><Relationship Id="rId409" Type="http://schemas.openxmlformats.org/officeDocument/2006/relationships/hyperlink" Target="http://probaseballexperience.jcink.net/index.php?showtopic=3211" TargetMode="External"/><Relationship Id="rId560" Type="http://schemas.openxmlformats.org/officeDocument/2006/relationships/hyperlink" Target="http://probaseballexperience.jcink.net/index.php?showtopic=5096" TargetMode="External"/><Relationship Id="rId798" Type="http://schemas.openxmlformats.org/officeDocument/2006/relationships/hyperlink" Target="http://probaseballexperience.jcink.net/index.php?showuser=424" TargetMode="External"/><Relationship Id="rId92" Type="http://schemas.openxmlformats.org/officeDocument/2006/relationships/hyperlink" Target="http://probaseballexperience.jcink.net/index.php?showtopic=1209" TargetMode="External"/><Relationship Id="rId213" Type="http://schemas.openxmlformats.org/officeDocument/2006/relationships/hyperlink" Target="http://probaseballexperience.jcink.net/index.php?showuser=35" TargetMode="External"/><Relationship Id="rId420" Type="http://schemas.openxmlformats.org/officeDocument/2006/relationships/hyperlink" Target="http://probaseballexperience.jcink.net/index.php?showtopic=1035" TargetMode="External"/><Relationship Id="rId616" Type="http://schemas.openxmlformats.org/officeDocument/2006/relationships/hyperlink" Target="http://probaseballexperience.jcink.net/index.php?showuser=480" TargetMode="External"/><Relationship Id="rId658" Type="http://schemas.openxmlformats.org/officeDocument/2006/relationships/hyperlink" Target="http://probaseballexperience.jcink.net/index.php?showtopic=5360" TargetMode="External"/><Relationship Id="rId823" Type="http://schemas.openxmlformats.org/officeDocument/2006/relationships/hyperlink" Target="http://probaseballexperience.jcink.net/index.php?showtopic=2966" TargetMode="External"/><Relationship Id="rId865" Type="http://schemas.openxmlformats.org/officeDocument/2006/relationships/hyperlink" Target="http://probaseballexperience.jcink.net/index.php?showtopic=1541" TargetMode="External"/><Relationship Id="rId255" Type="http://schemas.openxmlformats.org/officeDocument/2006/relationships/hyperlink" Target="http://probaseballexperience.jcink.net/index.php?showtopic=2601" TargetMode="External"/><Relationship Id="rId297" Type="http://schemas.openxmlformats.org/officeDocument/2006/relationships/hyperlink" Target="http://probaseballexperience.jcink.net/index.php?showuser=432" TargetMode="External"/><Relationship Id="rId462" Type="http://schemas.openxmlformats.org/officeDocument/2006/relationships/hyperlink" Target="http://probaseballexperience.jcink.net/index.php?showtopic=1246" TargetMode="External"/><Relationship Id="rId518" Type="http://schemas.openxmlformats.org/officeDocument/2006/relationships/hyperlink" Target="http://probaseballexperience.jcink.net/index.php?showtopic=4912" TargetMode="External"/><Relationship Id="rId725" Type="http://schemas.openxmlformats.org/officeDocument/2006/relationships/hyperlink" Target="http://probaseballexperience.jcink.net/index.php?showtopic=3610" TargetMode="External"/><Relationship Id="rId115" Type="http://schemas.openxmlformats.org/officeDocument/2006/relationships/hyperlink" Target="http://probaseballexperience.jcink.net/index.php?showuser=263" TargetMode="External"/><Relationship Id="rId157" Type="http://schemas.openxmlformats.org/officeDocument/2006/relationships/hyperlink" Target="http://probaseballexperience.jcink.net/index.php?showtopic=4884" TargetMode="External"/><Relationship Id="rId322" Type="http://schemas.openxmlformats.org/officeDocument/2006/relationships/hyperlink" Target="http://probaseballexperience.jcink.net/index.php?showtopic=4673" TargetMode="External"/><Relationship Id="rId364" Type="http://schemas.openxmlformats.org/officeDocument/2006/relationships/hyperlink" Target="http://probaseballexperience.jcink.net/index.php?showtopic=5307" TargetMode="External"/><Relationship Id="rId767" Type="http://schemas.openxmlformats.org/officeDocument/2006/relationships/hyperlink" Target="http://probaseballexperience.jcink.net/index.php?showtopic=5312" TargetMode="External"/><Relationship Id="rId61" Type="http://schemas.openxmlformats.org/officeDocument/2006/relationships/hyperlink" Target="http://probaseballexperience.jcink.net/index.php?showuser=15" TargetMode="External"/><Relationship Id="rId199" Type="http://schemas.openxmlformats.org/officeDocument/2006/relationships/hyperlink" Target="http://probaseballexperience.jcink.net/index.php?showuser=1" TargetMode="External"/><Relationship Id="rId571" Type="http://schemas.openxmlformats.org/officeDocument/2006/relationships/hyperlink" Target="http://probaseballexperience.jcink.net/index.php?showtopic=3934" TargetMode="External"/><Relationship Id="rId627" Type="http://schemas.openxmlformats.org/officeDocument/2006/relationships/hyperlink" Target="http://probaseballexperience.jcink.net/index.php?showtopic=5313" TargetMode="External"/><Relationship Id="rId669" Type="http://schemas.openxmlformats.org/officeDocument/2006/relationships/hyperlink" Target="http://probaseballexperience.jcink.net/index.php?showtopic=127" TargetMode="External"/><Relationship Id="rId834" Type="http://schemas.openxmlformats.org/officeDocument/2006/relationships/hyperlink" Target="http://probaseballexperience.jcink.net/index.php?showuser=169" TargetMode="External"/><Relationship Id="rId876" Type="http://schemas.openxmlformats.org/officeDocument/2006/relationships/hyperlink" Target="http://probaseballexperience.jcink.net/index.php?showuser=151" TargetMode="External"/><Relationship Id="rId19" Type="http://schemas.openxmlformats.org/officeDocument/2006/relationships/hyperlink" Target="http://probaseballexperience.jcink.net/index.php?showuser=65" TargetMode="External"/><Relationship Id="rId224" Type="http://schemas.openxmlformats.org/officeDocument/2006/relationships/hyperlink" Target="http://probaseballexperience.jcink.net/index.php?showtopic=3104" TargetMode="External"/><Relationship Id="rId266" Type="http://schemas.openxmlformats.org/officeDocument/2006/relationships/hyperlink" Target="http://probaseballexperience.jcink.net/index.php?showtopic=2674" TargetMode="External"/><Relationship Id="rId431" Type="http://schemas.openxmlformats.org/officeDocument/2006/relationships/hyperlink" Target="http://probaseballexperience.jcink.net/index.php?showtopic=3601" TargetMode="External"/><Relationship Id="rId473" Type="http://schemas.openxmlformats.org/officeDocument/2006/relationships/hyperlink" Target="http://probaseballexperience.jcink.net/index.php?showtopic=2551" TargetMode="External"/><Relationship Id="rId529" Type="http://schemas.openxmlformats.org/officeDocument/2006/relationships/hyperlink" Target="http://probaseballexperience.jcink.net/index.php?showtopic=219" TargetMode="External"/><Relationship Id="rId680" Type="http://schemas.openxmlformats.org/officeDocument/2006/relationships/hyperlink" Target="http://probaseballexperience.jcink.net/index.php?showtopic=1041" TargetMode="External"/><Relationship Id="rId736" Type="http://schemas.openxmlformats.org/officeDocument/2006/relationships/hyperlink" Target="http://probaseballexperience.jcink.net/index.php?showtopic=2194" TargetMode="External"/><Relationship Id="rId30" Type="http://schemas.openxmlformats.org/officeDocument/2006/relationships/hyperlink" Target="http://probaseballexperience.jcink.net/index.php?showtopic=1560" TargetMode="External"/><Relationship Id="rId126" Type="http://schemas.openxmlformats.org/officeDocument/2006/relationships/hyperlink" Target="http://probaseballexperience.jcink.net/index.php?showtopic=258" TargetMode="External"/><Relationship Id="rId168" Type="http://schemas.openxmlformats.org/officeDocument/2006/relationships/hyperlink" Target="http://probaseballexperience.jcink.net/index.php?showuser=326" TargetMode="External"/><Relationship Id="rId333" Type="http://schemas.openxmlformats.org/officeDocument/2006/relationships/hyperlink" Target="http://probaseballexperience.jcink.net/index.php?showtopic=1740" TargetMode="External"/><Relationship Id="rId540" Type="http://schemas.openxmlformats.org/officeDocument/2006/relationships/hyperlink" Target="http://probaseballexperience.jcink.net/index.php?showtopic=1810" TargetMode="External"/><Relationship Id="rId778" Type="http://schemas.openxmlformats.org/officeDocument/2006/relationships/hyperlink" Target="http://probaseballexperience.jcink.net/index.php?showtopic=5057" TargetMode="External"/><Relationship Id="rId72" Type="http://schemas.openxmlformats.org/officeDocument/2006/relationships/hyperlink" Target="http://probaseballexperience.jcink.net/index.php?showtopic=2467" TargetMode="External"/><Relationship Id="rId375" Type="http://schemas.openxmlformats.org/officeDocument/2006/relationships/hyperlink" Target="http://probaseballexperience.jcink.net/index.php?showtopic=3773" TargetMode="External"/><Relationship Id="rId582" Type="http://schemas.openxmlformats.org/officeDocument/2006/relationships/hyperlink" Target="http://probaseballexperience.jcink.net/index.php?showtopic=2999" TargetMode="External"/><Relationship Id="rId638" Type="http://schemas.openxmlformats.org/officeDocument/2006/relationships/hyperlink" Target="http://probaseballexperience.jcink.net/index.php?showtopic=2615" TargetMode="External"/><Relationship Id="rId803" Type="http://schemas.openxmlformats.org/officeDocument/2006/relationships/hyperlink" Target="http://probaseballexperience.jcink.net/index.php?showtopic=3170" TargetMode="External"/><Relationship Id="rId845" Type="http://schemas.openxmlformats.org/officeDocument/2006/relationships/hyperlink" Target="http://probaseballexperience.jcink.net/index.php?showtopic=1048" TargetMode="External"/><Relationship Id="rId3" Type="http://schemas.openxmlformats.org/officeDocument/2006/relationships/hyperlink" Target="http://probaseballexperience.jcink.net/index.php?showtopic=79" TargetMode="External"/><Relationship Id="rId235" Type="http://schemas.openxmlformats.org/officeDocument/2006/relationships/hyperlink" Target="http://probaseballexperience.jcink.net/index.php?showuser=355" TargetMode="External"/><Relationship Id="rId277" Type="http://schemas.openxmlformats.org/officeDocument/2006/relationships/hyperlink" Target="http://probaseballexperience.jcink.net/index.php?showuser=321" TargetMode="External"/><Relationship Id="rId400" Type="http://schemas.openxmlformats.org/officeDocument/2006/relationships/hyperlink" Target="http://probaseballexperience.jcink.net/index.php?showuser=435" TargetMode="External"/><Relationship Id="rId442" Type="http://schemas.openxmlformats.org/officeDocument/2006/relationships/hyperlink" Target="http://probaseballexperience.jcink.net/index.php?showtopic=3048" TargetMode="External"/><Relationship Id="rId484" Type="http://schemas.openxmlformats.org/officeDocument/2006/relationships/hyperlink" Target="http://probaseballexperience.jcink.net/index.php?showtopic=2183" TargetMode="External"/><Relationship Id="rId705" Type="http://schemas.openxmlformats.org/officeDocument/2006/relationships/hyperlink" Target="http://probaseballexperience.jcink.net/index.php?showtopic=5327" TargetMode="External"/><Relationship Id="rId137" Type="http://schemas.openxmlformats.org/officeDocument/2006/relationships/hyperlink" Target="http://probaseballexperience.jcink.net/index.php?showtopic=100" TargetMode="External"/><Relationship Id="rId302" Type="http://schemas.openxmlformats.org/officeDocument/2006/relationships/hyperlink" Target="http://probaseballexperience.jcink.net/index.php?showtopic=3736" TargetMode="External"/><Relationship Id="rId344" Type="http://schemas.openxmlformats.org/officeDocument/2006/relationships/hyperlink" Target="http://probaseballexperience.jcink.net/index.php?showuser=253" TargetMode="External"/><Relationship Id="rId691" Type="http://schemas.openxmlformats.org/officeDocument/2006/relationships/hyperlink" Target="http://probaseballexperience.jcink.net/index.php?showuser=184" TargetMode="External"/><Relationship Id="rId747" Type="http://schemas.openxmlformats.org/officeDocument/2006/relationships/hyperlink" Target="http://probaseballexperience.jcink.net/index.php?showuser=237" TargetMode="External"/><Relationship Id="rId789" Type="http://schemas.openxmlformats.org/officeDocument/2006/relationships/hyperlink" Target="http://probaseballexperience.jcink.net/index.php?showuser=445" TargetMode="External"/><Relationship Id="rId41" Type="http://schemas.openxmlformats.org/officeDocument/2006/relationships/hyperlink" Target="http://probaseballexperience.jcink.net/index.php?showtopic=211" TargetMode="External"/><Relationship Id="rId83" Type="http://schemas.openxmlformats.org/officeDocument/2006/relationships/hyperlink" Target="http://probaseballexperience.jcink.net/index.php?showtopic=792" TargetMode="External"/><Relationship Id="rId179" Type="http://schemas.openxmlformats.org/officeDocument/2006/relationships/hyperlink" Target="http://probaseballexperience.jcink.net/index.php?showtopic=2518" TargetMode="External"/><Relationship Id="rId386" Type="http://schemas.openxmlformats.org/officeDocument/2006/relationships/hyperlink" Target="http://probaseballexperience.jcink.net/index.php?showtopic=268" TargetMode="External"/><Relationship Id="rId551" Type="http://schemas.openxmlformats.org/officeDocument/2006/relationships/hyperlink" Target="http://probaseballexperience.jcink.net/index.php?showuser=4" TargetMode="External"/><Relationship Id="rId593" Type="http://schemas.openxmlformats.org/officeDocument/2006/relationships/hyperlink" Target="http://probaseballexperience.jcink.net/index.php?showtopic=5312" TargetMode="External"/><Relationship Id="rId607" Type="http://schemas.openxmlformats.org/officeDocument/2006/relationships/hyperlink" Target="http://probaseballexperience.jcink.net/index.php?showtopic=1477" TargetMode="External"/><Relationship Id="rId649" Type="http://schemas.openxmlformats.org/officeDocument/2006/relationships/hyperlink" Target="http://probaseballexperience.jcink.net/index.php?showuser=317" TargetMode="External"/><Relationship Id="rId814" Type="http://schemas.openxmlformats.org/officeDocument/2006/relationships/hyperlink" Target="http://probaseballexperience.jcink.net/index.php?showtopic=2967" TargetMode="External"/><Relationship Id="rId856" Type="http://schemas.openxmlformats.org/officeDocument/2006/relationships/hyperlink" Target="http://probaseballexperience.jcink.net/index.php?showtopic=1064" TargetMode="External"/><Relationship Id="rId190" Type="http://schemas.openxmlformats.org/officeDocument/2006/relationships/hyperlink" Target="http://probaseballexperience.jcink.net/index.php?showuser=128" TargetMode="External"/><Relationship Id="rId204" Type="http://schemas.openxmlformats.org/officeDocument/2006/relationships/hyperlink" Target="http://probaseballexperience.jcink.net/index.php?showtopic=3018" TargetMode="External"/><Relationship Id="rId246" Type="http://schemas.openxmlformats.org/officeDocument/2006/relationships/hyperlink" Target="http://probaseballexperience.jcink.net/index.php?showtopic=3576" TargetMode="External"/><Relationship Id="rId288" Type="http://schemas.openxmlformats.org/officeDocument/2006/relationships/hyperlink" Target="http://probaseballexperience.jcink.net/index.php?showtopic=4574" TargetMode="External"/><Relationship Id="rId411" Type="http://schemas.openxmlformats.org/officeDocument/2006/relationships/hyperlink" Target="http://probaseballexperience.jcink.net/index.php?showtopic=3211" TargetMode="External"/><Relationship Id="rId453" Type="http://schemas.openxmlformats.org/officeDocument/2006/relationships/hyperlink" Target="http://probaseballexperience.jcink.net/index.php?showtopic=1092" TargetMode="External"/><Relationship Id="rId509" Type="http://schemas.openxmlformats.org/officeDocument/2006/relationships/hyperlink" Target="http://probaseballexperience.jcink.net/index.php?showtopic=164" TargetMode="External"/><Relationship Id="rId660" Type="http://schemas.openxmlformats.org/officeDocument/2006/relationships/hyperlink" Target="http://probaseballexperience.jcink.net/index.php?showtopic=5051" TargetMode="External"/><Relationship Id="rId106" Type="http://schemas.openxmlformats.org/officeDocument/2006/relationships/hyperlink" Target="http://probaseballexperience.jcink.net/index.php?showuser=27" TargetMode="External"/><Relationship Id="rId313" Type="http://schemas.openxmlformats.org/officeDocument/2006/relationships/hyperlink" Target="http://probaseballexperience.jcink.net/index.php?showtopic=4745&amp;hl=kramer" TargetMode="External"/><Relationship Id="rId495" Type="http://schemas.openxmlformats.org/officeDocument/2006/relationships/hyperlink" Target="http://probaseballexperience.jcink.net/index.php?showuser=296" TargetMode="External"/><Relationship Id="rId716" Type="http://schemas.openxmlformats.org/officeDocument/2006/relationships/hyperlink" Target="http://probaseballexperience.jcink.net/index.php?showuser=415" TargetMode="External"/><Relationship Id="rId758" Type="http://schemas.openxmlformats.org/officeDocument/2006/relationships/hyperlink" Target="http://probaseballexperience.jcink.net/index.php?showuser=486" TargetMode="External"/><Relationship Id="rId10" Type="http://schemas.openxmlformats.org/officeDocument/2006/relationships/hyperlink" Target="http://probaseballexperience.jcink.net/index.php?showuser=39" TargetMode="External"/><Relationship Id="rId52" Type="http://schemas.openxmlformats.org/officeDocument/2006/relationships/hyperlink" Target="http://probaseballexperience.jcink.net/index.php?showuser=30" TargetMode="External"/><Relationship Id="rId94" Type="http://schemas.openxmlformats.org/officeDocument/2006/relationships/hyperlink" Target="http://probaseballexperience.jcink.net/index.php?showuser=21" TargetMode="External"/><Relationship Id="rId148" Type="http://schemas.openxmlformats.org/officeDocument/2006/relationships/hyperlink" Target="http://probaseballexperience.jcink.net/index.php?showtopic=123" TargetMode="External"/><Relationship Id="rId355" Type="http://schemas.openxmlformats.org/officeDocument/2006/relationships/hyperlink" Target="http://probaseballexperience.jcink.net/index.php?showuser=433" TargetMode="External"/><Relationship Id="rId397" Type="http://schemas.openxmlformats.org/officeDocument/2006/relationships/hyperlink" Target="http://probaseballexperience.jcink.net/index.php?showtopic=4043" TargetMode="External"/><Relationship Id="rId520" Type="http://schemas.openxmlformats.org/officeDocument/2006/relationships/hyperlink" Target="http://probaseballexperience.jcink.net/index.php?showuser=401" TargetMode="External"/><Relationship Id="rId562" Type="http://schemas.openxmlformats.org/officeDocument/2006/relationships/hyperlink" Target="http://probaseballexperience.jcink.net/index.php?showuser=339" TargetMode="External"/><Relationship Id="rId618" Type="http://schemas.openxmlformats.org/officeDocument/2006/relationships/hyperlink" Target="http://probaseballexperience.jcink.net/index.php?showtopic=5301" TargetMode="External"/><Relationship Id="rId825" Type="http://schemas.openxmlformats.org/officeDocument/2006/relationships/hyperlink" Target="http://probaseballexperience.jcink.net/index.php?showuser=277" TargetMode="External"/><Relationship Id="rId215" Type="http://schemas.openxmlformats.org/officeDocument/2006/relationships/hyperlink" Target="http://probaseballexperience.jcink.net/index.php?showtopic=3634" TargetMode="External"/><Relationship Id="rId257" Type="http://schemas.openxmlformats.org/officeDocument/2006/relationships/hyperlink" Target="http://probaseballexperience.jcink.net/index.php?showtopic=2601" TargetMode="External"/><Relationship Id="rId422" Type="http://schemas.openxmlformats.org/officeDocument/2006/relationships/hyperlink" Target="http://probaseballexperience.jcink.net/index.php?showtopic=1035" TargetMode="External"/><Relationship Id="rId464" Type="http://schemas.openxmlformats.org/officeDocument/2006/relationships/hyperlink" Target="http://probaseballexperience.jcink.net/index.php?showuser=33" TargetMode="External"/><Relationship Id="rId867" Type="http://schemas.openxmlformats.org/officeDocument/2006/relationships/hyperlink" Target="http://probaseballexperience.jcink.net/index.php?showuser=175" TargetMode="External"/><Relationship Id="rId299" Type="http://schemas.openxmlformats.org/officeDocument/2006/relationships/hyperlink" Target="http://probaseballexperience.jcink.net/index.php?showtopic=4745&amp;hl=kramer" TargetMode="External"/><Relationship Id="rId727" Type="http://schemas.openxmlformats.org/officeDocument/2006/relationships/hyperlink" Target="http://probaseballexperience.jcink.net/index.php?showtopic=3610" TargetMode="External"/><Relationship Id="rId63" Type="http://schemas.openxmlformats.org/officeDocument/2006/relationships/hyperlink" Target="http://probaseballexperience.jcink.net/index.php?showtopic=66" TargetMode="External"/><Relationship Id="rId159" Type="http://schemas.openxmlformats.org/officeDocument/2006/relationships/hyperlink" Target="http://probaseballexperience.jcink.net/index.php?showuser=11" TargetMode="External"/><Relationship Id="rId366" Type="http://schemas.openxmlformats.org/officeDocument/2006/relationships/hyperlink" Target="http://probaseballexperience.jcink.net/index.php?showuser=105" TargetMode="External"/><Relationship Id="rId573" Type="http://schemas.openxmlformats.org/officeDocument/2006/relationships/hyperlink" Target="http://probaseballexperience.jcink.net/index.php?showtopic=3934" TargetMode="External"/><Relationship Id="rId780" Type="http://schemas.openxmlformats.org/officeDocument/2006/relationships/hyperlink" Target="http://probaseballexperience.jcink.net/index.php?showuser=299" TargetMode="External"/><Relationship Id="rId226" Type="http://schemas.openxmlformats.org/officeDocument/2006/relationships/hyperlink" Target="http://probaseballexperience.jcink.net/index.php?showtopic=3104" TargetMode="External"/><Relationship Id="rId433" Type="http://schemas.openxmlformats.org/officeDocument/2006/relationships/hyperlink" Target="http://probaseballexperience.jcink.net/index.php?showtopic=3601" TargetMode="External"/><Relationship Id="rId878" Type="http://schemas.openxmlformats.org/officeDocument/2006/relationships/hyperlink" Target="http://probaseballexperience.jcink.net/index.php?showuser=477" TargetMode="External"/><Relationship Id="rId640" Type="http://schemas.openxmlformats.org/officeDocument/2006/relationships/hyperlink" Target="http://probaseballexperience.jcink.net/index.php?showuser=197" TargetMode="External"/><Relationship Id="rId738" Type="http://schemas.openxmlformats.org/officeDocument/2006/relationships/hyperlink" Target="http://probaseballexperience.jcink.net/index.php?showtopic=2194" TargetMode="External"/><Relationship Id="rId74" Type="http://schemas.openxmlformats.org/officeDocument/2006/relationships/hyperlink" Target="http://probaseballexperience.jcink.net/index.php?showtopic=2467" TargetMode="External"/><Relationship Id="rId377" Type="http://schemas.openxmlformats.org/officeDocument/2006/relationships/hyperlink" Target="http://probaseballexperience.jcink.net/index.php?showtopic=4870" TargetMode="External"/><Relationship Id="rId500" Type="http://schemas.openxmlformats.org/officeDocument/2006/relationships/hyperlink" Target="http://probaseballexperience.jcink.net/index.php?showtopic=4439" TargetMode="External"/><Relationship Id="rId584" Type="http://schemas.openxmlformats.org/officeDocument/2006/relationships/hyperlink" Target="http://probaseballexperience.jcink.net/index.php?showtopic=2999" TargetMode="External"/><Relationship Id="rId805" Type="http://schemas.openxmlformats.org/officeDocument/2006/relationships/hyperlink" Target="http://probaseballexperience.jcink.net/index.php?showtopic=3170" TargetMode="External"/><Relationship Id="rId5" Type="http://schemas.openxmlformats.org/officeDocument/2006/relationships/hyperlink" Target="http://probaseballexperience.jcink.net/index.php?showtopic=1114" TargetMode="External"/><Relationship Id="rId237" Type="http://schemas.openxmlformats.org/officeDocument/2006/relationships/hyperlink" Target="http://probaseballexperience.jcink.net/index.php?showtopic=115" TargetMode="External"/><Relationship Id="rId791" Type="http://schemas.openxmlformats.org/officeDocument/2006/relationships/hyperlink" Target="http://probaseballexperience.jcink.net/index.php?showuser=447" TargetMode="External"/><Relationship Id="rId444" Type="http://schemas.openxmlformats.org/officeDocument/2006/relationships/hyperlink" Target="http://probaseballexperience.jcink.net/index.php?showtopic=3048" TargetMode="External"/><Relationship Id="rId651" Type="http://schemas.openxmlformats.org/officeDocument/2006/relationships/hyperlink" Target="http://probaseballexperience.jcink.net/index.php?showtopic=4076" TargetMode="External"/><Relationship Id="rId749" Type="http://schemas.openxmlformats.org/officeDocument/2006/relationships/hyperlink" Target="http://probaseballexperience.jcink.net/index.php?showuser=457" TargetMode="External"/><Relationship Id="rId290" Type="http://schemas.openxmlformats.org/officeDocument/2006/relationships/hyperlink" Target="http://probaseballexperience.jcink.net/index.php?showuser=199" TargetMode="External"/><Relationship Id="rId304" Type="http://schemas.openxmlformats.org/officeDocument/2006/relationships/hyperlink" Target="http://probaseballexperience.jcink.net/index.php?showtopic=4590" TargetMode="External"/><Relationship Id="rId388" Type="http://schemas.openxmlformats.org/officeDocument/2006/relationships/hyperlink" Target="http://probaseballexperience.jcink.net/index.php?showtopic=268" TargetMode="External"/><Relationship Id="rId511" Type="http://schemas.openxmlformats.org/officeDocument/2006/relationships/hyperlink" Target="http://probaseballexperience.jcink.net/index.php?showuser=96" TargetMode="External"/><Relationship Id="rId609" Type="http://schemas.openxmlformats.org/officeDocument/2006/relationships/hyperlink" Target="http://probaseballexperience.jcink.net/index.php?showuser=322" TargetMode="External"/><Relationship Id="rId85" Type="http://schemas.openxmlformats.org/officeDocument/2006/relationships/hyperlink" Target="http://probaseballexperience.jcink.net/index.php?showuser=267" TargetMode="External"/><Relationship Id="rId150" Type="http://schemas.openxmlformats.org/officeDocument/2006/relationships/hyperlink" Target="http://probaseballexperience.jcink.net/index.php?showtopic=123" TargetMode="External"/><Relationship Id="rId595" Type="http://schemas.openxmlformats.org/officeDocument/2006/relationships/hyperlink" Target="http://probaseballexperience.jcink.net/index.php?showtopic=4596" TargetMode="External"/><Relationship Id="rId816" Type="http://schemas.openxmlformats.org/officeDocument/2006/relationships/hyperlink" Target="http://probaseballexperience.jcink.net/index.php?showuser=55" TargetMode="External"/><Relationship Id="rId248" Type="http://schemas.openxmlformats.org/officeDocument/2006/relationships/hyperlink" Target="http://probaseballexperience.jcink.net/index.php?showtopic=3576" TargetMode="External"/><Relationship Id="rId455" Type="http://schemas.openxmlformats.org/officeDocument/2006/relationships/hyperlink" Target="http://probaseballexperience.jcink.net/index.php?showtopic=4491" TargetMode="External"/><Relationship Id="rId662" Type="http://schemas.openxmlformats.org/officeDocument/2006/relationships/hyperlink" Target="http://probaseballexperience.jcink.net/index.php?showuser=381" TargetMode="External"/><Relationship Id="rId12" Type="http://schemas.openxmlformats.org/officeDocument/2006/relationships/hyperlink" Target="http://probaseballexperience.jcink.net/index.php?showtopic=1154" TargetMode="External"/><Relationship Id="rId108" Type="http://schemas.openxmlformats.org/officeDocument/2006/relationships/hyperlink" Target="http://probaseballexperience.jcink.net/index.php?showtopic=2906" TargetMode="External"/><Relationship Id="rId315" Type="http://schemas.openxmlformats.org/officeDocument/2006/relationships/hyperlink" Target="http://probaseballexperience.jcink.net/index.php?showuser=283" TargetMode="External"/><Relationship Id="rId522" Type="http://schemas.openxmlformats.org/officeDocument/2006/relationships/hyperlink" Target="http://probaseballexperience.jcink.net/index.php?showtopic=4745&amp;hl=kramer" TargetMode="External"/><Relationship Id="rId96" Type="http://schemas.openxmlformats.org/officeDocument/2006/relationships/hyperlink" Target="http://probaseballexperience.jcink.net/index.php?showtopic=195" TargetMode="External"/><Relationship Id="rId161" Type="http://schemas.openxmlformats.org/officeDocument/2006/relationships/hyperlink" Target="http://probaseballexperience.jcink.net/index.php?showtopic=3586" TargetMode="External"/><Relationship Id="rId399" Type="http://schemas.openxmlformats.org/officeDocument/2006/relationships/hyperlink" Target="http://probaseballexperience.jcink.net/index.php?showtopic=4043" TargetMode="External"/><Relationship Id="rId827" Type="http://schemas.openxmlformats.org/officeDocument/2006/relationships/hyperlink" Target="http://probaseballexperience.jcink.net/index.php?showtopic=1673" TargetMode="External"/><Relationship Id="rId259" Type="http://schemas.openxmlformats.org/officeDocument/2006/relationships/hyperlink" Target="http://probaseballexperience.jcink.net/index.php?showuser=338" TargetMode="External"/><Relationship Id="rId466" Type="http://schemas.openxmlformats.org/officeDocument/2006/relationships/hyperlink" Target="http://probaseballexperience.jcink.net/index.php?showtopic=2227" TargetMode="External"/><Relationship Id="rId673" Type="http://schemas.openxmlformats.org/officeDocument/2006/relationships/hyperlink" Target="http://probaseballexperience.jcink.net/index.php?showuser=157" TargetMode="External"/><Relationship Id="rId880" Type="http://schemas.openxmlformats.org/officeDocument/2006/relationships/hyperlink" Target="http://probaseballexperience.jcink.net/index.php?showuser=474" TargetMode="External"/><Relationship Id="rId23" Type="http://schemas.openxmlformats.org/officeDocument/2006/relationships/hyperlink" Target="http://probaseballexperience.jcink.net/index.php?showtopic=405" TargetMode="External"/><Relationship Id="rId119" Type="http://schemas.openxmlformats.org/officeDocument/2006/relationships/hyperlink" Target="http://probaseballexperience.jcink.net/index.php?showtopic=2614" TargetMode="External"/><Relationship Id="rId326" Type="http://schemas.openxmlformats.org/officeDocument/2006/relationships/hyperlink" Target="http://probaseballexperience.jcink.net/index.php?showuser=331" TargetMode="External"/><Relationship Id="rId533" Type="http://schemas.openxmlformats.org/officeDocument/2006/relationships/hyperlink" Target="http://probaseballexperience.jcink.net/index.php?showuser=125" TargetMode="External"/><Relationship Id="rId740" Type="http://schemas.openxmlformats.org/officeDocument/2006/relationships/hyperlink" Target="http://probaseballexperience.jcink.net/index.php?showtopic=5066" TargetMode="External"/><Relationship Id="rId838" Type="http://schemas.openxmlformats.org/officeDocument/2006/relationships/hyperlink" Target="http://probaseballexperience.jcink.net/index.php?showtopic=1093" TargetMode="External"/><Relationship Id="rId172" Type="http://schemas.openxmlformats.org/officeDocument/2006/relationships/hyperlink" Target="http://probaseballexperience.jcink.net/index.php?showtopic=3108" TargetMode="External"/><Relationship Id="rId477" Type="http://schemas.openxmlformats.org/officeDocument/2006/relationships/hyperlink" Target="http://probaseballexperience.jcink.net/index.php?showuser=193" TargetMode="External"/><Relationship Id="rId600" Type="http://schemas.openxmlformats.org/officeDocument/2006/relationships/hyperlink" Target="http://probaseballexperience.jcink.net/index.php?showuser=220" TargetMode="External"/><Relationship Id="rId684" Type="http://schemas.openxmlformats.org/officeDocument/2006/relationships/hyperlink" Target="http://probaseballexperience.jcink.net/index.php?showtopic=1799" TargetMode="External"/><Relationship Id="rId337" Type="http://schemas.openxmlformats.org/officeDocument/2006/relationships/hyperlink" Target="http://probaseballexperience.jcink.net/index.php?showuser=422" TargetMode="External"/><Relationship Id="rId34" Type="http://schemas.openxmlformats.org/officeDocument/2006/relationships/hyperlink" Target="http://probaseballexperience.jcink.net/index.php?showuser=217" TargetMode="External"/><Relationship Id="rId544" Type="http://schemas.openxmlformats.org/officeDocument/2006/relationships/hyperlink" Target="http://probaseballexperience.jcink.net/index.php?showtopic=4484" TargetMode="External"/><Relationship Id="rId751" Type="http://schemas.openxmlformats.org/officeDocument/2006/relationships/hyperlink" Target="http://probaseballexperience.jcink.net/index.php?showtopic=1032" TargetMode="External"/><Relationship Id="rId849" Type="http://schemas.openxmlformats.org/officeDocument/2006/relationships/hyperlink" Target="http://probaseballexperience.jcink.net/index.php?showuser=182" TargetMode="External"/><Relationship Id="rId183" Type="http://schemas.openxmlformats.org/officeDocument/2006/relationships/hyperlink" Target="http://probaseballexperience.jcink.net/index.php?showtopic=354" TargetMode="External"/><Relationship Id="rId390" Type="http://schemas.openxmlformats.org/officeDocument/2006/relationships/hyperlink" Target="http://probaseballexperience.jcink.net/index.php?showtopic=4600" TargetMode="External"/><Relationship Id="rId404" Type="http://schemas.openxmlformats.org/officeDocument/2006/relationships/hyperlink" Target="http://probaseballexperience.jcink.net/index.php?showuser=191" TargetMode="External"/><Relationship Id="rId611" Type="http://schemas.openxmlformats.org/officeDocument/2006/relationships/hyperlink" Target="http://probaseballexperience.jcink.net/index.php?showuser=478" TargetMode="External"/><Relationship Id="rId250" Type="http://schemas.openxmlformats.org/officeDocument/2006/relationships/hyperlink" Target="http://probaseballexperience.jcink.net/index.php?showtopic=4201" TargetMode="External"/><Relationship Id="rId488" Type="http://schemas.openxmlformats.org/officeDocument/2006/relationships/hyperlink" Target="http://probaseballexperience.jcink.net/index.php?showuser=463" TargetMode="External"/><Relationship Id="rId695" Type="http://schemas.openxmlformats.org/officeDocument/2006/relationships/hyperlink" Target="http://probaseballexperience.jcink.net/index.php?showtopic=239" TargetMode="External"/><Relationship Id="rId709" Type="http://schemas.openxmlformats.org/officeDocument/2006/relationships/hyperlink" Target="http://probaseballexperience.jcink.net/index.php?showuser=389" TargetMode="External"/><Relationship Id="rId45" Type="http://schemas.openxmlformats.org/officeDocument/2006/relationships/hyperlink" Target="http://probaseballexperience.jcink.net/index.php?showtopic=191" TargetMode="External"/><Relationship Id="rId110" Type="http://schemas.openxmlformats.org/officeDocument/2006/relationships/hyperlink" Target="http://probaseballexperience.jcink.net/index.php?showtopic=2906" TargetMode="External"/><Relationship Id="rId348" Type="http://schemas.openxmlformats.org/officeDocument/2006/relationships/hyperlink" Target="http://probaseballexperience.jcink.net/index.php?showtopic=918" TargetMode="External"/><Relationship Id="rId555" Type="http://schemas.openxmlformats.org/officeDocument/2006/relationships/hyperlink" Target="http://probaseballexperience.jcink.net/index.php?showtopic=220" TargetMode="External"/><Relationship Id="rId762" Type="http://schemas.openxmlformats.org/officeDocument/2006/relationships/hyperlink" Target="http://probaseballexperience.jcink.net/index.php?showuser=452" TargetMode="External"/><Relationship Id="rId194" Type="http://schemas.openxmlformats.org/officeDocument/2006/relationships/hyperlink" Target="http://probaseballexperience.jcink.net/index.php?showtopic=3909" TargetMode="External"/><Relationship Id="rId208" Type="http://schemas.openxmlformats.org/officeDocument/2006/relationships/hyperlink" Target="http://probaseballexperience.jcink.net/index.php?showuser=359" TargetMode="External"/><Relationship Id="rId415" Type="http://schemas.openxmlformats.org/officeDocument/2006/relationships/hyperlink" Target="http://probaseballexperience.jcink.net/index.php?showuser=323" TargetMode="External"/><Relationship Id="rId622" Type="http://schemas.openxmlformats.org/officeDocument/2006/relationships/hyperlink" Target="http://probaseballexperience.jcink.net/index.php?showtopic=1734" TargetMode="External"/><Relationship Id="rId261" Type="http://schemas.openxmlformats.org/officeDocument/2006/relationships/hyperlink" Target="http://probaseballexperience.jcink.net/index.php?showtopic=2989" TargetMode="External"/><Relationship Id="rId499" Type="http://schemas.openxmlformats.org/officeDocument/2006/relationships/hyperlink" Target="http://probaseballexperience.jcink.net/index.php?showuser=386" TargetMode="External"/><Relationship Id="rId56" Type="http://schemas.openxmlformats.org/officeDocument/2006/relationships/hyperlink" Target="http://probaseballexperience.jcink.net/index.php?showtopic=101" TargetMode="External"/><Relationship Id="rId359" Type="http://schemas.openxmlformats.org/officeDocument/2006/relationships/hyperlink" Target="http://probaseballexperience.jcink.net/index.php?showtopic=3627" TargetMode="External"/><Relationship Id="rId566" Type="http://schemas.openxmlformats.org/officeDocument/2006/relationships/hyperlink" Target="http://probaseballexperience.jcink.net/index.php?showtopic=5018" TargetMode="External"/><Relationship Id="rId773" Type="http://schemas.openxmlformats.org/officeDocument/2006/relationships/hyperlink" Target="http://probaseballexperience.jcink.net/index.php?showtopic=5313" TargetMode="External"/><Relationship Id="rId121" Type="http://schemas.openxmlformats.org/officeDocument/2006/relationships/hyperlink" Target="http://probaseballexperience.jcink.net/index.php?showuser=104" TargetMode="External"/><Relationship Id="rId219" Type="http://schemas.openxmlformats.org/officeDocument/2006/relationships/hyperlink" Target="http://probaseballexperience.jcink.net/index.php?showuser=324" TargetMode="External"/><Relationship Id="rId426" Type="http://schemas.openxmlformats.org/officeDocument/2006/relationships/hyperlink" Target="http://probaseballexperience.jcink.net/index.php?showuser=147" TargetMode="External"/><Relationship Id="rId633" Type="http://schemas.openxmlformats.org/officeDocument/2006/relationships/hyperlink" Target="http://probaseballexperience.jcink.net/index.php?showtopic=4070" TargetMode="External"/><Relationship Id="rId840" Type="http://schemas.openxmlformats.org/officeDocument/2006/relationships/hyperlink" Target="http://probaseballexperience.jcink.net/index.php?showuser=181" TargetMode="External"/><Relationship Id="rId67" Type="http://schemas.openxmlformats.org/officeDocument/2006/relationships/hyperlink" Target="http://probaseballexperience.jcink.net/index.php?showuser=159" TargetMode="External"/><Relationship Id="rId272" Type="http://schemas.openxmlformats.org/officeDocument/2006/relationships/hyperlink" Target="http://probaseballexperience.jcink.net/index.php?showtopic=2337" TargetMode="External"/><Relationship Id="rId577" Type="http://schemas.openxmlformats.org/officeDocument/2006/relationships/hyperlink" Target="http://probaseballexperience.jcink.net/index.php?showtopic=5114" TargetMode="External"/><Relationship Id="rId700" Type="http://schemas.openxmlformats.org/officeDocument/2006/relationships/hyperlink" Target="http://probaseballexperience.jcink.net/index.php?showtopic=2229" TargetMode="External"/><Relationship Id="rId132" Type="http://schemas.openxmlformats.org/officeDocument/2006/relationships/hyperlink" Target="http://probaseballexperience.jcink.net/index.php?showtopic=3087" TargetMode="External"/><Relationship Id="rId784" Type="http://schemas.openxmlformats.org/officeDocument/2006/relationships/hyperlink" Target="http://probaseballexperience.jcink.net/index.php?showuser=428" TargetMode="External"/><Relationship Id="rId437" Type="http://schemas.openxmlformats.org/officeDocument/2006/relationships/hyperlink" Target="http://probaseballexperience.jcink.net/index.php?showuser=444" TargetMode="External"/><Relationship Id="rId644" Type="http://schemas.openxmlformats.org/officeDocument/2006/relationships/hyperlink" Target="http://probaseballexperience.jcink.net/index.php?showtopic=5315" TargetMode="External"/><Relationship Id="rId851" Type="http://schemas.openxmlformats.org/officeDocument/2006/relationships/hyperlink" Target="http://probaseballexperience.jcink.net/index.php?showtopic=1076" TargetMode="External"/><Relationship Id="rId283" Type="http://schemas.openxmlformats.org/officeDocument/2006/relationships/hyperlink" Target="http://probaseballexperience.jcink.net/index.php?showuser=353" TargetMode="External"/><Relationship Id="rId490" Type="http://schemas.openxmlformats.org/officeDocument/2006/relationships/hyperlink" Target="http://probaseballexperience.jcink.net/index.php?showtopic=5313" TargetMode="External"/><Relationship Id="rId504" Type="http://schemas.openxmlformats.org/officeDocument/2006/relationships/hyperlink" Target="http://probaseballexperience.jcink.net/index.php?showuser=114" TargetMode="External"/><Relationship Id="rId711" Type="http://schemas.openxmlformats.org/officeDocument/2006/relationships/hyperlink" Target="http://probaseballexperience.jcink.net/index.php?showtopic=5313" TargetMode="External"/><Relationship Id="rId78" Type="http://schemas.openxmlformats.org/officeDocument/2006/relationships/hyperlink" Target="http://probaseballexperience.jcink.net/index.php?showtopic=84" TargetMode="External"/><Relationship Id="rId143" Type="http://schemas.openxmlformats.org/officeDocument/2006/relationships/hyperlink" Target="http://probaseballexperience.jcink.net/index.php?showuser=298" TargetMode="External"/><Relationship Id="rId350" Type="http://schemas.openxmlformats.org/officeDocument/2006/relationships/hyperlink" Target="http://probaseballexperience.jcink.net/index.php?showuser=327" TargetMode="External"/><Relationship Id="rId588" Type="http://schemas.openxmlformats.org/officeDocument/2006/relationships/hyperlink" Target="http://probaseballexperience.jcink.net/index.php?showuser=460" TargetMode="External"/><Relationship Id="rId795" Type="http://schemas.openxmlformats.org/officeDocument/2006/relationships/hyperlink" Target="http://probaseballexperience.jcink.net/index.php?showtopic=3606" TargetMode="External"/><Relationship Id="rId809" Type="http://schemas.openxmlformats.org/officeDocument/2006/relationships/hyperlink" Target="http://probaseballexperience.jcink.net/index.php?showtopic=3186" TargetMode="External"/><Relationship Id="rId9" Type="http://schemas.openxmlformats.org/officeDocument/2006/relationships/hyperlink" Target="http://probaseballexperience.jcink.net/index.php?showtopic=104" TargetMode="External"/><Relationship Id="rId210" Type="http://schemas.openxmlformats.org/officeDocument/2006/relationships/hyperlink" Target="http://probaseballexperience.jcink.net/index.php?showtopic=4072" TargetMode="External"/><Relationship Id="rId448" Type="http://schemas.openxmlformats.org/officeDocument/2006/relationships/hyperlink" Target="http://probaseballexperience.jcink.net/index.php?showtopic=1564" TargetMode="External"/><Relationship Id="rId655" Type="http://schemas.openxmlformats.org/officeDocument/2006/relationships/hyperlink" Target="http://probaseballexperience.jcink.net/index.php?showuser=317" TargetMode="External"/><Relationship Id="rId862" Type="http://schemas.openxmlformats.org/officeDocument/2006/relationships/hyperlink" Target="http://probaseballexperience.jcink.net/index.php?showtopic=1082" TargetMode="External"/><Relationship Id="rId294" Type="http://schemas.openxmlformats.org/officeDocument/2006/relationships/hyperlink" Target="http://probaseballexperience.jcink.net/index.php?showtopic=2605" TargetMode="External"/><Relationship Id="rId308" Type="http://schemas.openxmlformats.org/officeDocument/2006/relationships/hyperlink" Target="http://probaseballexperience.jcink.net/index.php?showtopic=2984" TargetMode="External"/><Relationship Id="rId515" Type="http://schemas.openxmlformats.org/officeDocument/2006/relationships/hyperlink" Target="http://probaseballexperience.jcink.net/index.php?showuser=271" TargetMode="External"/><Relationship Id="rId722" Type="http://schemas.openxmlformats.org/officeDocument/2006/relationships/hyperlink" Target="http://probaseballexperience.jcink.net/index.php?showtopic=4591" TargetMode="External"/><Relationship Id="rId89" Type="http://schemas.openxmlformats.org/officeDocument/2006/relationships/hyperlink" Target="http://probaseballexperience.jcink.net/index.php?showtopic=2455" TargetMode="External"/><Relationship Id="rId154" Type="http://schemas.openxmlformats.org/officeDocument/2006/relationships/hyperlink" Target="http://probaseballexperience.jcink.net/index.php?showtopic=2599" TargetMode="External"/><Relationship Id="rId361" Type="http://schemas.openxmlformats.org/officeDocument/2006/relationships/hyperlink" Target="http://probaseballexperience.jcink.net/index.php?showtopic=3627" TargetMode="External"/><Relationship Id="rId599" Type="http://schemas.openxmlformats.org/officeDocument/2006/relationships/hyperlink" Target="http://probaseballexperience.jcink.net/index.php?showtopic=1735" TargetMode="External"/><Relationship Id="rId459" Type="http://schemas.openxmlformats.org/officeDocument/2006/relationships/hyperlink" Target="http://probaseballexperience.jcink.net/index.php?showtopic=4305" TargetMode="External"/><Relationship Id="rId666" Type="http://schemas.openxmlformats.org/officeDocument/2006/relationships/hyperlink" Target="http://probaseballexperience.jcink.net/index.php?showtopic=3097" TargetMode="External"/><Relationship Id="rId873" Type="http://schemas.openxmlformats.org/officeDocument/2006/relationships/hyperlink" Target="http://probaseballexperience.jcink.net/index.php?showuser=192" TargetMode="External"/><Relationship Id="rId16" Type="http://schemas.openxmlformats.org/officeDocument/2006/relationships/hyperlink" Target="http://probaseballexperience.jcink.net/index.php?showuser=113" TargetMode="External"/><Relationship Id="rId221" Type="http://schemas.openxmlformats.org/officeDocument/2006/relationships/hyperlink" Target="http://probaseballexperience.jcink.net/index.php?showtopic=4032" TargetMode="External"/><Relationship Id="rId319" Type="http://schemas.openxmlformats.org/officeDocument/2006/relationships/hyperlink" Target="http://probaseballexperience.jcink.net/index.php?showuser=45" TargetMode="External"/><Relationship Id="rId526" Type="http://schemas.openxmlformats.org/officeDocument/2006/relationships/hyperlink" Target="http://probaseballexperience.jcink.net/index.php?showtopic=1075" TargetMode="External"/><Relationship Id="rId733" Type="http://schemas.openxmlformats.org/officeDocument/2006/relationships/hyperlink" Target="http://probaseballexperience.jcink.net/index.php?showtopic=2596" TargetMode="External"/><Relationship Id="rId165" Type="http://schemas.openxmlformats.org/officeDocument/2006/relationships/hyperlink" Target="http://probaseballexperience.jcink.net/index.php?showuser=292" TargetMode="External"/><Relationship Id="rId372" Type="http://schemas.openxmlformats.org/officeDocument/2006/relationships/hyperlink" Target="http://probaseballexperience.jcink.net/index.php?showtopic=5303" TargetMode="External"/><Relationship Id="rId677" Type="http://schemas.openxmlformats.org/officeDocument/2006/relationships/hyperlink" Target="http://probaseballexperience.jcink.net/index.php?showtopic=2571" TargetMode="External"/><Relationship Id="rId800" Type="http://schemas.openxmlformats.org/officeDocument/2006/relationships/hyperlink" Target="http://probaseballexperience.jcink.net/index.php?showtopic=3174" TargetMode="External"/><Relationship Id="rId232" Type="http://schemas.openxmlformats.org/officeDocument/2006/relationships/hyperlink" Target="http://probaseballexperience.jcink.net/index.php?showuser=325" TargetMode="External"/><Relationship Id="rId884" Type="http://schemas.openxmlformats.org/officeDocument/2006/relationships/hyperlink" Target="http://probaseballexperience.jcink.net/index.php?showuser=468" TargetMode="External"/><Relationship Id="rId27" Type="http://schemas.openxmlformats.org/officeDocument/2006/relationships/hyperlink" Target="http://probaseballexperience.jcink.net/index.php?showtopic=1161" TargetMode="External"/><Relationship Id="rId537" Type="http://schemas.openxmlformats.org/officeDocument/2006/relationships/hyperlink" Target="http://probaseballexperience.jcink.net/index.php?showtopic=98" TargetMode="External"/><Relationship Id="rId744" Type="http://schemas.openxmlformats.org/officeDocument/2006/relationships/hyperlink" Target="http://probaseballexperience.jcink.net/index.php?showuser=459" TargetMode="External"/><Relationship Id="rId80" Type="http://schemas.openxmlformats.org/officeDocument/2006/relationships/hyperlink" Target="http://probaseballexperience.jcink.net/index.php?showtopic=84" TargetMode="External"/><Relationship Id="rId176" Type="http://schemas.openxmlformats.org/officeDocument/2006/relationships/hyperlink" Target="http://probaseballexperience.jcink.net/index.php?showtopic=5382" TargetMode="External"/><Relationship Id="rId383" Type="http://schemas.openxmlformats.org/officeDocument/2006/relationships/hyperlink" Target="http://probaseballexperience.jcink.net/index.php?showtopic=3145" TargetMode="External"/><Relationship Id="rId590" Type="http://schemas.openxmlformats.org/officeDocument/2006/relationships/hyperlink" Target="http://probaseballexperience.jcink.net/index.php?showtopic=5312" TargetMode="External"/><Relationship Id="rId604" Type="http://schemas.openxmlformats.org/officeDocument/2006/relationships/hyperlink" Target="http://probaseballexperience.jcink.net/index.php?showtopic=3942" TargetMode="External"/><Relationship Id="rId811" Type="http://schemas.openxmlformats.org/officeDocument/2006/relationships/hyperlink" Target="http://probaseballexperience.jcink.net/index.php?showtopic=3186" TargetMode="External"/><Relationship Id="rId243" Type="http://schemas.openxmlformats.org/officeDocument/2006/relationships/hyperlink" Target="http://probaseballexperience.jcink.net/index.php?showtopic=188" TargetMode="External"/><Relationship Id="rId450" Type="http://schemas.openxmlformats.org/officeDocument/2006/relationships/hyperlink" Target="http://probaseballexperience.jcink.net/index.php?showtopic=1564" TargetMode="External"/><Relationship Id="rId688" Type="http://schemas.openxmlformats.org/officeDocument/2006/relationships/hyperlink" Target="http://probaseballexperience.jcink.net/index.php?showuser=297" TargetMode="External"/><Relationship Id="rId38" Type="http://schemas.openxmlformats.org/officeDocument/2006/relationships/hyperlink" Target="http://probaseballexperience.jcink.net/index.php?showtopic=122" TargetMode="External"/><Relationship Id="rId103" Type="http://schemas.openxmlformats.org/officeDocument/2006/relationships/hyperlink" Target="http://probaseballexperience.jcink.net/index.php?showuser=271" TargetMode="External"/><Relationship Id="rId310" Type="http://schemas.openxmlformats.org/officeDocument/2006/relationships/hyperlink" Target="http://probaseballexperience.jcink.net/index.php?showtopic=2984" TargetMode="External"/><Relationship Id="rId548" Type="http://schemas.openxmlformats.org/officeDocument/2006/relationships/hyperlink" Target="http://probaseballexperience.jcink.net/index.php?showuser=345" TargetMode="External"/><Relationship Id="rId755" Type="http://schemas.openxmlformats.org/officeDocument/2006/relationships/hyperlink" Target="http://probaseballexperience.jcink.net/index.php?showtopic=5467" TargetMode="External"/><Relationship Id="rId91" Type="http://schemas.openxmlformats.org/officeDocument/2006/relationships/hyperlink" Target="http://probaseballexperience.jcink.net/index.php?showuser=190" TargetMode="External"/><Relationship Id="rId187" Type="http://schemas.openxmlformats.org/officeDocument/2006/relationships/hyperlink" Target="http://probaseballexperience.jcink.net/index.php?showuser=3" TargetMode="External"/><Relationship Id="rId394" Type="http://schemas.openxmlformats.org/officeDocument/2006/relationships/hyperlink" Target="http://probaseballexperience.jcink.net/index.php?showtopic=3781" TargetMode="External"/><Relationship Id="rId408" Type="http://schemas.openxmlformats.org/officeDocument/2006/relationships/hyperlink" Target="http://probaseballexperience.jcink.net/index.php?showtopic=176" TargetMode="External"/><Relationship Id="rId615" Type="http://schemas.openxmlformats.org/officeDocument/2006/relationships/hyperlink" Target="http://probaseballexperience.jcink.net/index.php?showtopic=5259" TargetMode="External"/><Relationship Id="rId822" Type="http://schemas.openxmlformats.org/officeDocument/2006/relationships/hyperlink" Target="http://probaseballexperience.jcink.net/index.php?showuser=285" TargetMode="External"/><Relationship Id="rId254" Type="http://schemas.openxmlformats.org/officeDocument/2006/relationships/hyperlink" Target="http://probaseballexperience.jcink.net/index.php?showtopic=2575" TargetMode="External"/><Relationship Id="rId699" Type="http://schemas.openxmlformats.org/officeDocument/2006/relationships/hyperlink" Target="http://probaseballexperience.jcink.net/index.php?showuser=249" TargetMode="External"/><Relationship Id="rId49" Type="http://schemas.openxmlformats.org/officeDocument/2006/relationships/hyperlink" Target="http://probaseballexperience.jcink.net/index.php?showuser=52" TargetMode="External"/><Relationship Id="rId114" Type="http://schemas.openxmlformats.org/officeDocument/2006/relationships/hyperlink" Target="http://probaseballexperience.jcink.net/index.php?showtopic=2590" TargetMode="External"/><Relationship Id="rId461" Type="http://schemas.openxmlformats.org/officeDocument/2006/relationships/hyperlink" Target="http://probaseballexperience.jcink.net/index.php?showuser=195" TargetMode="External"/><Relationship Id="rId559" Type="http://schemas.openxmlformats.org/officeDocument/2006/relationships/hyperlink" Target="http://probaseballexperience.jcink.net/index.php?showuser=461" TargetMode="External"/><Relationship Id="rId766" Type="http://schemas.openxmlformats.org/officeDocument/2006/relationships/hyperlink" Target="http://probaseballexperience.jcink.net/index.php?showtopic=5152" TargetMode="External"/><Relationship Id="rId198" Type="http://schemas.openxmlformats.org/officeDocument/2006/relationships/hyperlink" Target="http://probaseballexperience.jcink.net/index.php?showtopic=2525" TargetMode="External"/><Relationship Id="rId321" Type="http://schemas.openxmlformats.org/officeDocument/2006/relationships/hyperlink" Target="http://probaseballexperience.jcink.net/index.php?showuser=431" TargetMode="External"/><Relationship Id="rId419" Type="http://schemas.openxmlformats.org/officeDocument/2006/relationships/hyperlink" Target="http://probaseballexperience.jcink.net/index.php?showtopic=247" TargetMode="External"/><Relationship Id="rId626" Type="http://schemas.openxmlformats.org/officeDocument/2006/relationships/hyperlink" Target="http://probaseballexperience.jcink.net/index.php?showtopic=5079" TargetMode="External"/><Relationship Id="rId833" Type="http://schemas.openxmlformats.org/officeDocument/2006/relationships/hyperlink" Target="http://probaseballexperience.jcink.net/index.php?showtopic=1070" TargetMode="External"/><Relationship Id="rId265" Type="http://schemas.openxmlformats.org/officeDocument/2006/relationships/hyperlink" Target="http://probaseballexperience.jcink.net/index.php?showuser=279" TargetMode="External"/><Relationship Id="rId472" Type="http://schemas.openxmlformats.org/officeDocument/2006/relationships/hyperlink" Target="http://probaseballexperience.jcink.net/index.php?showuser=258" TargetMode="External"/><Relationship Id="rId125" Type="http://schemas.openxmlformats.org/officeDocument/2006/relationships/hyperlink" Target="http://probaseballexperience.jcink.net/index.php?showtopic=1664" TargetMode="External"/><Relationship Id="rId332" Type="http://schemas.openxmlformats.org/officeDocument/2006/relationships/hyperlink" Target="http://probaseballexperience.jcink.net/index.php?showuser=222" TargetMode="External"/><Relationship Id="rId777" Type="http://schemas.openxmlformats.org/officeDocument/2006/relationships/hyperlink" Target="http://probaseballexperience.jcink.net/index.php?showuser=350" TargetMode="External"/><Relationship Id="rId637" Type="http://schemas.openxmlformats.org/officeDocument/2006/relationships/hyperlink" Target="http://probaseballexperience.jcink.net/index.php?showuser=276" TargetMode="External"/><Relationship Id="rId844" Type="http://schemas.openxmlformats.org/officeDocument/2006/relationships/hyperlink" Target="http://probaseballexperience.jcink.net/index.php?showtopic=1148" TargetMode="External"/><Relationship Id="rId276" Type="http://schemas.openxmlformats.org/officeDocument/2006/relationships/hyperlink" Target="http://probaseballexperience.jcink.net/index.php?showtopic=3430&amp;view=findpost&amp;p=37310" TargetMode="External"/><Relationship Id="rId483" Type="http://schemas.openxmlformats.org/officeDocument/2006/relationships/hyperlink" Target="http://probaseballexperience.jcink.net/index.php?showuser=238" TargetMode="External"/><Relationship Id="rId690" Type="http://schemas.openxmlformats.org/officeDocument/2006/relationships/hyperlink" Target="http://probaseballexperience.jcink.net/index.php?showtopic=1147" TargetMode="External"/><Relationship Id="rId704" Type="http://schemas.openxmlformats.org/officeDocument/2006/relationships/hyperlink" Target="http://probaseballexperience.jcink.net/index.php?showuser=482" TargetMode="External"/><Relationship Id="rId40" Type="http://schemas.openxmlformats.org/officeDocument/2006/relationships/hyperlink" Target="http://probaseballexperience.jcink.net/index.php?showuser=72" TargetMode="External"/><Relationship Id="rId136" Type="http://schemas.openxmlformats.org/officeDocument/2006/relationships/hyperlink" Target="http://probaseballexperience.jcink.net/index.php?showuser=34" TargetMode="External"/><Relationship Id="rId343" Type="http://schemas.openxmlformats.org/officeDocument/2006/relationships/hyperlink" Target="http://probaseballexperience.jcink.net/index.php?showtopic=2450" TargetMode="External"/><Relationship Id="rId550" Type="http://schemas.openxmlformats.org/officeDocument/2006/relationships/hyperlink" Target="http://probaseballexperience.jcink.net/index.php?showtopic=3027" TargetMode="External"/><Relationship Id="rId788" Type="http://schemas.openxmlformats.org/officeDocument/2006/relationships/hyperlink" Target="http://probaseballexperience.jcink.net/index.php?showtopic=4856" TargetMode="External"/><Relationship Id="rId203" Type="http://schemas.openxmlformats.org/officeDocument/2006/relationships/hyperlink" Target="http://probaseballexperience.jcink.net/index.php?showtopic=1934" TargetMode="External"/><Relationship Id="rId648" Type="http://schemas.openxmlformats.org/officeDocument/2006/relationships/hyperlink" Target="http://probaseballexperience.jcink.net/index.php?showtopic=3272" TargetMode="External"/><Relationship Id="rId855" Type="http://schemas.openxmlformats.org/officeDocument/2006/relationships/hyperlink" Target="http://probaseballexperience.jcink.net/index.php?showuser=167" TargetMode="External"/><Relationship Id="rId287" Type="http://schemas.openxmlformats.org/officeDocument/2006/relationships/hyperlink" Target="http://probaseballexperience.jcink.net/index.php?showuser=407" TargetMode="External"/><Relationship Id="rId410" Type="http://schemas.openxmlformats.org/officeDocument/2006/relationships/hyperlink" Target="http://probaseballexperience.jcink.net/index.php?showuser=316" TargetMode="External"/><Relationship Id="rId494" Type="http://schemas.openxmlformats.org/officeDocument/2006/relationships/hyperlink" Target="http://probaseballexperience.jcink.net/index.php?showtopic=3043&amp;st=0&amp;" TargetMode="External"/><Relationship Id="rId508" Type="http://schemas.openxmlformats.org/officeDocument/2006/relationships/hyperlink" Target="http://probaseballexperience.jcink.net/index.php?showuser=58" TargetMode="External"/><Relationship Id="rId715" Type="http://schemas.openxmlformats.org/officeDocument/2006/relationships/hyperlink" Target="http://probaseballexperience.jcink.net/index.php?showtopic=4595" TargetMode="External"/><Relationship Id="rId147" Type="http://schemas.openxmlformats.org/officeDocument/2006/relationships/hyperlink" Target="http://probaseballexperience.jcink.net/index.php?showtopic=453" TargetMode="External"/><Relationship Id="rId354" Type="http://schemas.openxmlformats.org/officeDocument/2006/relationships/hyperlink" Target="http://probaseballexperience.jcink.net/index.php?showtopic=1532" TargetMode="External"/><Relationship Id="rId799" Type="http://schemas.openxmlformats.org/officeDocument/2006/relationships/hyperlink" Target="http://probaseballexperience.jcink.net/index.php?showtopic=4613" TargetMode="External"/><Relationship Id="rId51" Type="http://schemas.openxmlformats.org/officeDocument/2006/relationships/hyperlink" Target="http://probaseballexperience.jcink.net/index.php?showtopic=120" TargetMode="External"/><Relationship Id="rId561" Type="http://schemas.openxmlformats.org/officeDocument/2006/relationships/hyperlink" Target="http://probaseballexperience.jcink.net/index.php?showtopic=5319" TargetMode="External"/><Relationship Id="rId659" Type="http://schemas.openxmlformats.org/officeDocument/2006/relationships/hyperlink" Target="http://probaseballexperience.jcink.net/index.php?showuser=454" TargetMode="External"/><Relationship Id="rId866" Type="http://schemas.openxmlformats.org/officeDocument/2006/relationships/hyperlink" Target="http://probaseballexperience.jcink.net/index.php?showtopic=1083" TargetMode="External"/><Relationship Id="rId214" Type="http://schemas.openxmlformats.org/officeDocument/2006/relationships/hyperlink" Target="http://probaseballexperience.jcink.net/index.php?showtopic=114" TargetMode="External"/><Relationship Id="rId298" Type="http://schemas.openxmlformats.org/officeDocument/2006/relationships/hyperlink" Target="http://probaseballexperience.jcink.net/index.php?showtopic=4698" TargetMode="External"/><Relationship Id="rId421" Type="http://schemas.openxmlformats.org/officeDocument/2006/relationships/hyperlink" Target="http://probaseballexperience.jcink.net/index.php?showuser=150" TargetMode="External"/><Relationship Id="rId519" Type="http://schemas.openxmlformats.org/officeDocument/2006/relationships/hyperlink" Target="http://probaseballexperience.jcink.net/index.php?showtopic=5312" TargetMode="External"/><Relationship Id="rId158" Type="http://schemas.openxmlformats.org/officeDocument/2006/relationships/hyperlink" Target="http://probaseballexperience.jcink.net/index.php?showtopic=2165" TargetMode="External"/><Relationship Id="rId726" Type="http://schemas.openxmlformats.org/officeDocument/2006/relationships/hyperlink" Target="http://probaseballexperience.jcink.net/index.php?showuser=42" TargetMode="External"/><Relationship Id="rId62" Type="http://schemas.openxmlformats.org/officeDocument/2006/relationships/hyperlink" Target="http://probaseballexperience.jcink.net/index.php?showtopic=88" TargetMode="External"/><Relationship Id="rId365" Type="http://schemas.openxmlformats.org/officeDocument/2006/relationships/hyperlink" Target="http://probaseballexperience.jcink.net/index.php?showtopic=287" TargetMode="External"/><Relationship Id="rId572" Type="http://schemas.openxmlformats.org/officeDocument/2006/relationships/hyperlink" Target="http://probaseballexperience.jcink.net/index.php?showuser=351" TargetMode="External"/><Relationship Id="rId225" Type="http://schemas.openxmlformats.org/officeDocument/2006/relationships/hyperlink" Target="http://probaseballexperience.jcink.net/index.php?showuser=57" TargetMode="External"/><Relationship Id="rId432" Type="http://schemas.openxmlformats.org/officeDocument/2006/relationships/hyperlink" Target="http://probaseballexperience.jcink.net/index.php?showuser=336" TargetMode="External"/><Relationship Id="rId877" Type="http://schemas.openxmlformats.org/officeDocument/2006/relationships/hyperlink" Target="http://probaseballexperience.jcink.net/index.php?showtopic=1034" TargetMode="External"/><Relationship Id="rId737" Type="http://schemas.openxmlformats.org/officeDocument/2006/relationships/hyperlink" Target="http://probaseballexperience.jcink.net/index.php?showuser=243" TargetMode="External"/><Relationship Id="rId73" Type="http://schemas.openxmlformats.org/officeDocument/2006/relationships/hyperlink" Target="http://probaseballexperience.jcink.net/index.php?showuser=17" TargetMode="External"/><Relationship Id="rId169" Type="http://schemas.openxmlformats.org/officeDocument/2006/relationships/hyperlink" Target="http://probaseballexperience.jcink.net/index.php?showtopic=3561" TargetMode="External"/><Relationship Id="rId376" Type="http://schemas.openxmlformats.org/officeDocument/2006/relationships/hyperlink" Target="http://probaseballexperience.jcink.net/index.php?showuser=440" TargetMode="External"/><Relationship Id="rId583" Type="http://schemas.openxmlformats.org/officeDocument/2006/relationships/hyperlink" Target="http://probaseballexperience.jcink.net/index.php?showuser=40" TargetMode="External"/><Relationship Id="rId790" Type="http://schemas.openxmlformats.org/officeDocument/2006/relationships/hyperlink" Target="http://probaseballexperience.jcink.net/index.php?showtopic=4908" TargetMode="External"/><Relationship Id="rId804" Type="http://schemas.openxmlformats.org/officeDocument/2006/relationships/hyperlink" Target="http://probaseballexperience.jcink.net/index.php?showuser=311" TargetMode="External"/><Relationship Id="rId4" Type="http://schemas.openxmlformats.org/officeDocument/2006/relationships/hyperlink" Target="http://probaseballexperience.jcink.net/index.php?showtopic=4994" TargetMode="External"/><Relationship Id="rId236" Type="http://schemas.openxmlformats.org/officeDocument/2006/relationships/hyperlink" Target="http://probaseballexperience.jcink.net/index.php?showtopic=3980" TargetMode="External"/><Relationship Id="rId443" Type="http://schemas.openxmlformats.org/officeDocument/2006/relationships/hyperlink" Target="http://probaseballexperience.jcink.net/index.php?showuser=299" TargetMode="External"/><Relationship Id="rId650" Type="http://schemas.openxmlformats.org/officeDocument/2006/relationships/hyperlink" Target="http://probaseballexperience.jcink.net/index.php?showtopic=3272" TargetMode="External"/><Relationship Id="rId303" Type="http://schemas.openxmlformats.org/officeDocument/2006/relationships/hyperlink" Target="http://probaseballexperience.jcink.net/index.php?showuser=410" TargetMode="External"/><Relationship Id="rId748" Type="http://schemas.openxmlformats.org/officeDocument/2006/relationships/hyperlink" Target="http://probaseballexperience.jcink.net/index.php?showtopic=2190" TargetMode="External"/><Relationship Id="rId84" Type="http://schemas.openxmlformats.org/officeDocument/2006/relationships/hyperlink" Target="http://probaseballexperience.jcink.net/index.php?showtopic=2598" TargetMode="External"/><Relationship Id="rId387" Type="http://schemas.openxmlformats.org/officeDocument/2006/relationships/hyperlink" Target="http://probaseballexperience.jcink.net/index.php?showuser=91" TargetMode="External"/><Relationship Id="rId510" Type="http://schemas.openxmlformats.org/officeDocument/2006/relationships/hyperlink" Target="http://probaseballexperience.jcink.net/index.php?showtopic=248" TargetMode="External"/><Relationship Id="rId594" Type="http://schemas.openxmlformats.org/officeDocument/2006/relationships/hyperlink" Target="http://probaseballexperience.jcink.net/index.php?showuser=414" TargetMode="External"/><Relationship Id="rId608" Type="http://schemas.openxmlformats.org/officeDocument/2006/relationships/hyperlink" Target="http://probaseballexperience.jcink.net/index.php?showtopic=3435" TargetMode="External"/><Relationship Id="rId815" Type="http://schemas.openxmlformats.org/officeDocument/2006/relationships/hyperlink" Target="http://probaseballexperience.jcink.net/index.php?showtopic=2905" TargetMode="External"/><Relationship Id="rId247" Type="http://schemas.openxmlformats.org/officeDocument/2006/relationships/hyperlink" Target="http://probaseballexperience.jcink.net/index.php?showuser=329" TargetMode="External"/><Relationship Id="rId107" Type="http://schemas.openxmlformats.org/officeDocument/2006/relationships/hyperlink" Target="http://probaseballexperience.jcink.net/index.php?showtopic=2142" TargetMode="External"/><Relationship Id="rId454" Type="http://schemas.openxmlformats.org/officeDocument/2006/relationships/hyperlink" Target="http://probaseballexperience.jcink.net/index.php?showuser=391" TargetMode="External"/><Relationship Id="rId661" Type="http://schemas.openxmlformats.org/officeDocument/2006/relationships/hyperlink" Target="http://probaseballexperience.jcink.net/index.php?showtopic=5393" TargetMode="External"/><Relationship Id="rId759" Type="http://schemas.openxmlformats.org/officeDocument/2006/relationships/hyperlink" Target="http://probaseballexperience.jcink.net/index.php?showtopic=5484" TargetMode="External"/><Relationship Id="rId11" Type="http://schemas.openxmlformats.org/officeDocument/2006/relationships/hyperlink" Target="http://probaseballexperience.jcink.net/index.php?showtopic=104" TargetMode="External"/><Relationship Id="rId314" Type="http://schemas.openxmlformats.org/officeDocument/2006/relationships/hyperlink" Target="http://probaseballexperience.jcink.net/index.php?showtopic=2930" TargetMode="External"/><Relationship Id="rId398" Type="http://schemas.openxmlformats.org/officeDocument/2006/relationships/hyperlink" Target="http://probaseballexperience.jcink.net/index.php?showuser=363" TargetMode="External"/><Relationship Id="rId521" Type="http://schemas.openxmlformats.org/officeDocument/2006/relationships/hyperlink" Target="http://probaseballexperience.jcink.net/index.php?showtopic=4559" TargetMode="External"/><Relationship Id="rId619" Type="http://schemas.openxmlformats.org/officeDocument/2006/relationships/hyperlink" Target="http://probaseballexperience.jcink.net/index.php?act=ST&amp;f=2&amp;t=2524" TargetMode="External"/><Relationship Id="rId95" Type="http://schemas.openxmlformats.org/officeDocument/2006/relationships/hyperlink" Target="http://probaseballexperience.jcink.net/index.php?showtopic=2569" TargetMode="External"/><Relationship Id="rId160" Type="http://schemas.openxmlformats.org/officeDocument/2006/relationships/hyperlink" Target="http://probaseballexperience.jcink.net/index.php?showtopic=2165" TargetMode="External"/><Relationship Id="rId826" Type="http://schemas.openxmlformats.org/officeDocument/2006/relationships/hyperlink" Target="http://probaseballexperience.jcink.net/index.php?showtopic=2622" TargetMode="External"/><Relationship Id="rId258" Type="http://schemas.openxmlformats.org/officeDocument/2006/relationships/hyperlink" Target="http://probaseballexperience.jcink.net/index.php?showtopic=3619" TargetMode="External"/><Relationship Id="rId465" Type="http://schemas.openxmlformats.org/officeDocument/2006/relationships/hyperlink" Target="http://probaseballexperience.jcink.net/index.php?showtopic=106" TargetMode="External"/><Relationship Id="rId672" Type="http://schemas.openxmlformats.org/officeDocument/2006/relationships/hyperlink" Target="http://probaseballexperience.jcink.net/index.php?showtopic=1041" TargetMode="External"/><Relationship Id="rId22" Type="http://schemas.openxmlformats.org/officeDocument/2006/relationships/hyperlink" Target="http://probaseballexperience.jcink.net/index.php?showuser=108" TargetMode="External"/><Relationship Id="rId118" Type="http://schemas.openxmlformats.org/officeDocument/2006/relationships/hyperlink" Target="http://probaseballexperience.jcink.net/index.php?showuser=275" TargetMode="External"/><Relationship Id="rId325" Type="http://schemas.openxmlformats.org/officeDocument/2006/relationships/hyperlink" Target="http://probaseballexperience.jcink.net/index.php?showtopic=3581" TargetMode="External"/><Relationship Id="rId532" Type="http://schemas.openxmlformats.org/officeDocument/2006/relationships/hyperlink" Target="http://probaseballexperience.jcink.net/index.php?showtopic=607" TargetMode="External"/><Relationship Id="rId171" Type="http://schemas.openxmlformats.org/officeDocument/2006/relationships/hyperlink" Target="http://probaseballexperience.jcink.net/index.php?showuser=305" TargetMode="External"/><Relationship Id="rId837" Type="http://schemas.openxmlformats.org/officeDocument/2006/relationships/hyperlink" Target="http://probaseballexperience.jcink.net/index.php?showuser=180" TargetMode="External"/><Relationship Id="rId269" Type="http://schemas.openxmlformats.org/officeDocument/2006/relationships/hyperlink" Target="http://probaseballexperience.jcink.net/index.php?showtopic=3110" TargetMode="External"/><Relationship Id="rId476" Type="http://schemas.openxmlformats.org/officeDocument/2006/relationships/hyperlink" Target="http://probaseballexperience.jcink.net/index.php?showtopic=1218" TargetMode="External"/><Relationship Id="rId683" Type="http://schemas.openxmlformats.org/officeDocument/2006/relationships/hyperlink" Target="http://probaseballexperience.jcink.net/index.php?showtopic=3594" TargetMode="External"/><Relationship Id="rId33" Type="http://schemas.openxmlformats.org/officeDocument/2006/relationships/hyperlink" Target="http://probaseballexperience.jcink.net/index.php?showtopic=1732" TargetMode="External"/><Relationship Id="rId129" Type="http://schemas.openxmlformats.org/officeDocument/2006/relationships/hyperlink" Target="http://probaseballexperience.jcink.net/index.php?showtopic=213" TargetMode="External"/><Relationship Id="rId336" Type="http://schemas.openxmlformats.org/officeDocument/2006/relationships/hyperlink" Target="http://probaseballexperience.jcink.net/index.php?showtopic=1058" TargetMode="External"/><Relationship Id="rId543" Type="http://schemas.openxmlformats.org/officeDocument/2006/relationships/hyperlink" Target="http://probaseballexperience.jcink.net/index.php?showuser=49" TargetMode="External"/><Relationship Id="rId182" Type="http://schemas.openxmlformats.org/officeDocument/2006/relationships/hyperlink" Target="http://probaseballexperience.jcink.net/index.php?showtopic=2591" TargetMode="External"/><Relationship Id="rId403" Type="http://schemas.openxmlformats.org/officeDocument/2006/relationships/hyperlink" Target="http://probaseballexperience.jcink.net/index.php?showtopic=1358" TargetMode="External"/><Relationship Id="rId750" Type="http://schemas.openxmlformats.org/officeDocument/2006/relationships/hyperlink" Target="http://probaseballexperience.jcink.net/index.php?showtopic=5083" TargetMode="External"/><Relationship Id="rId848" Type="http://schemas.openxmlformats.org/officeDocument/2006/relationships/hyperlink" Target="http://probaseballexperience.jcink.net/index.php?showtopic=1104" TargetMode="External"/><Relationship Id="rId487" Type="http://schemas.openxmlformats.org/officeDocument/2006/relationships/hyperlink" Target="http://probaseballexperience.jcink.net/index.php?showtopic=5301" TargetMode="External"/><Relationship Id="rId610" Type="http://schemas.openxmlformats.org/officeDocument/2006/relationships/hyperlink" Target="http://probaseballexperience.jcink.net/index.php?showtopic=3435" TargetMode="External"/><Relationship Id="rId694" Type="http://schemas.openxmlformats.org/officeDocument/2006/relationships/hyperlink" Target="http://probaseballexperience.jcink.net/index.php?showtopic=4598" TargetMode="External"/><Relationship Id="rId708" Type="http://schemas.openxmlformats.org/officeDocument/2006/relationships/hyperlink" Target="http://probaseballexperience.jcink.net/index.php?showtopic=5319" TargetMode="External"/><Relationship Id="rId347" Type="http://schemas.openxmlformats.org/officeDocument/2006/relationships/hyperlink" Target="http://probaseballexperience.jcink.net/index.php?showuser=142" TargetMode="External"/><Relationship Id="rId44" Type="http://schemas.openxmlformats.org/officeDocument/2006/relationships/hyperlink" Target="http://probaseballexperience.jcink.net/index.php?showtopic=1045" TargetMode="External"/><Relationship Id="rId554" Type="http://schemas.openxmlformats.org/officeDocument/2006/relationships/hyperlink" Target="http://probaseballexperience.jcink.net/index.php?showuser=78" TargetMode="External"/><Relationship Id="rId761" Type="http://schemas.openxmlformats.org/officeDocument/2006/relationships/hyperlink" Target="http://probaseballexperience.jcink.net/index.php?showtopic=4797" TargetMode="External"/><Relationship Id="rId859" Type="http://schemas.openxmlformats.org/officeDocument/2006/relationships/hyperlink" Target="http://probaseballexperience.jcink.net/index.php?showtopic=1426" TargetMode="External"/><Relationship Id="rId193" Type="http://schemas.openxmlformats.org/officeDocument/2006/relationships/hyperlink" Target="http://probaseballexperience.jcink.net/index.php?showuser=348" TargetMode="External"/><Relationship Id="rId207" Type="http://schemas.openxmlformats.org/officeDocument/2006/relationships/hyperlink" Target="http://probaseballexperience.jcink.net/index.php?showtopic=4057" TargetMode="External"/><Relationship Id="rId414" Type="http://schemas.openxmlformats.org/officeDocument/2006/relationships/hyperlink" Target="http://probaseballexperience.jcink.net/index.php?showtopic=3438" TargetMode="External"/><Relationship Id="rId498" Type="http://schemas.openxmlformats.org/officeDocument/2006/relationships/hyperlink" Target="http://probaseballexperience.jcink.net/index.php?showtopic=4617" TargetMode="External"/><Relationship Id="rId621" Type="http://schemas.openxmlformats.org/officeDocument/2006/relationships/hyperlink" Target="http://probaseballexperience.jcink.net/index.php?act=ST&amp;f=2&amp;t=2524" TargetMode="External"/><Relationship Id="rId260" Type="http://schemas.openxmlformats.org/officeDocument/2006/relationships/hyperlink" Target="http://probaseballexperience.jcink.net/index.php?showtopic=3619" TargetMode="External"/><Relationship Id="rId719" Type="http://schemas.openxmlformats.org/officeDocument/2006/relationships/hyperlink" Target="http://probaseballexperience.jcink.net/index.php?showuser=315" TargetMode="External"/><Relationship Id="rId55" Type="http://schemas.openxmlformats.org/officeDocument/2006/relationships/hyperlink" Target="http://probaseballexperience.jcink.net/index.php?showuser=23" TargetMode="External"/><Relationship Id="rId120" Type="http://schemas.openxmlformats.org/officeDocument/2006/relationships/hyperlink" Target="http://probaseballexperience.jcink.net/index.php?showtopic=288" TargetMode="External"/><Relationship Id="rId358" Type="http://schemas.openxmlformats.org/officeDocument/2006/relationships/hyperlink" Target="http://probaseballexperience.jcink.net/index.php?showtopic=4609" TargetMode="External"/><Relationship Id="rId565" Type="http://schemas.openxmlformats.org/officeDocument/2006/relationships/hyperlink" Target="http://probaseballexperience.jcink.net/index.php?showuser=252" TargetMode="External"/><Relationship Id="rId772" Type="http://schemas.openxmlformats.org/officeDocument/2006/relationships/hyperlink" Target="http://probaseballexperience.jcink.net/index.php?showtopic=5162" TargetMode="External"/><Relationship Id="rId218" Type="http://schemas.openxmlformats.org/officeDocument/2006/relationships/hyperlink" Target="http://probaseballexperience.jcink.net/index.php?showtopic=3476" TargetMode="External"/><Relationship Id="rId425" Type="http://schemas.openxmlformats.org/officeDocument/2006/relationships/hyperlink" Target="http://probaseballexperience.jcink.net/index.php?showtopic=1757" TargetMode="External"/><Relationship Id="rId632" Type="http://schemas.openxmlformats.org/officeDocument/2006/relationships/hyperlink" Target="http://probaseballexperience.jcink.net/index.php?showuser=371" TargetMode="External"/><Relationship Id="rId271" Type="http://schemas.openxmlformats.org/officeDocument/2006/relationships/hyperlink" Target="http://probaseballexperience.jcink.net/index.php?showuser=251" TargetMode="External"/><Relationship Id="rId66" Type="http://schemas.openxmlformats.org/officeDocument/2006/relationships/hyperlink" Target="http://probaseballexperience.jcink.net/index.php?showtopic=1042" TargetMode="External"/><Relationship Id="rId131" Type="http://schemas.openxmlformats.org/officeDocument/2006/relationships/hyperlink" Target="http://probaseballexperience.jcink.net/index.php?showtopic=213" TargetMode="External"/><Relationship Id="rId369" Type="http://schemas.openxmlformats.org/officeDocument/2006/relationships/hyperlink" Target="http://probaseballexperience.jcink.net/index.php?showtopic=4482" TargetMode="External"/><Relationship Id="rId576" Type="http://schemas.openxmlformats.org/officeDocument/2006/relationships/hyperlink" Target="http://probaseballexperience.jcink.net/index.php?showuser=472" TargetMode="External"/><Relationship Id="rId783" Type="http://schemas.openxmlformats.org/officeDocument/2006/relationships/hyperlink" Target="http://probaseballexperience.jcink.net/index.php?showtopic=4565" TargetMode="External"/><Relationship Id="rId229" Type="http://schemas.openxmlformats.org/officeDocument/2006/relationships/hyperlink" Target="http://probaseballexperience.jcink.net/index.php?showtopic=2307" TargetMode="External"/><Relationship Id="rId436" Type="http://schemas.openxmlformats.org/officeDocument/2006/relationships/hyperlink" Target="http://probaseballexperience.jcink.net/index.php?showtopic=3881" TargetMode="External"/><Relationship Id="rId643" Type="http://schemas.openxmlformats.org/officeDocument/2006/relationships/hyperlink" Target="http://probaseballexperience.jcink.net/index.php?showtopic=4889" TargetMode="External"/><Relationship Id="rId850" Type="http://schemas.openxmlformats.org/officeDocument/2006/relationships/hyperlink" Target="http://probaseballexperience.jcink.net/index.php?showtopic=1104" TargetMode="External"/><Relationship Id="rId77" Type="http://schemas.openxmlformats.org/officeDocument/2006/relationships/hyperlink" Target="http://probaseballexperience.jcink.net/index.php?showtopic=2154" TargetMode="External"/><Relationship Id="rId282" Type="http://schemas.openxmlformats.org/officeDocument/2006/relationships/hyperlink" Target="http://probaseballexperience.jcink.net/index.php?showtopic=3979" TargetMode="External"/><Relationship Id="rId503" Type="http://schemas.openxmlformats.org/officeDocument/2006/relationships/hyperlink" Target="http://probaseballexperience.jcink.net/index.php?showtopic=1741" TargetMode="External"/><Relationship Id="rId587" Type="http://schemas.openxmlformats.org/officeDocument/2006/relationships/hyperlink" Target="http://probaseballexperience.jcink.net/index.php?showtopic=3360" TargetMode="External"/><Relationship Id="rId710" Type="http://schemas.openxmlformats.org/officeDocument/2006/relationships/hyperlink" Target="http://probaseballexperience.jcink.net/index.php?showtopic=5268" TargetMode="External"/><Relationship Id="rId808" Type="http://schemas.openxmlformats.org/officeDocument/2006/relationships/hyperlink" Target="http://probaseballexperience.jcink.net/index.php?showtopic=3162" TargetMode="External"/><Relationship Id="rId8" Type="http://schemas.openxmlformats.org/officeDocument/2006/relationships/hyperlink" Target="http://probaseballexperience.jcink.net/index.php?showtopic=4883" TargetMode="External"/><Relationship Id="rId142" Type="http://schemas.openxmlformats.org/officeDocument/2006/relationships/hyperlink" Target="http://probaseballexperience.jcink.net/index.php?showtopic=3046&amp;st=0&amp;" TargetMode="External"/><Relationship Id="rId447" Type="http://schemas.openxmlformats.org/officeDocument/2006/relationships/hyperlink" Target="http://probaseballexperience.jcink.net/index.php?showtopic=2921" TargetMode="External"/><Relationship Id="rId794" Type="http://schemas.openxmlformats.org/officeDocument/2006/relationships/hyperlink" Target="http://probaseballexperience.jcink.net/index.php?showuser=109" TargetMode="External"/><Relationship Id="rId654" Type="http://schemas.openxmlformats.org/officeDocument/2006/relationships/hyperlink" Target="http://probaseballexperience.jcink.net/index.php?showtopic=3272" TargetMode="External"/><Relationship Id="rId861" Type="http://schemas.openxmlformats.org/officeDocument/2006/relationships/hyperlink" Target="http://probaseballexperience.jcink.net/index.php?showuser=176" TargetMode="External"/><Relationship Id="rId293" Type="http://schemas.openxmlformats.org/officeDocument/2006/relationships/hyperlink" Target="http://probaseballexperience.jcink.net/index.php?showuser=272" TargetMode="External"/><Relationship Id="rId307" Type="http://schemas.openxmlformats.org/officeDocument/2006/relationships/hyperlink" Target="http://probaseballexperience.jcink.net/index.php?showtopic=4682" TargetMode="External"/><Relationship Id="rId514" Type="http://schemas.openxmlformats.org/officeDocument/2006/relationships/hyperlink" Target="http://probaseballexperience.jcink.net/index.php?showtopic=4918" TargetMode="External"/><Relationship Id="rId721" Type="http://schemas.openxmlformats.org/officeDocument/2006/relationships/hyperlink" Target="http://probaseballexperience.jcink.net/index.php?showuser=412" TargetMode="External"/><Relationship Id="rId88" Type="http://schemas.openxmlformats.org/officeDocument/2006/relationships/hyperlink" Target="http://probaseballexperience.jcink.net/index.php?showuser=254" TargetMode="External"/><Relationship Id="rId153" Type="http://schemas.openxmlformats.org/officeDocument/2006/relationships/hyperlink" Target="http://probaseballexperience.jcink.net/index.php?showtopic=72" TargetMode="External"/><Relationship Id="rId360" Type="http://schemas.openxmlformats.org/officeDocument/2006/relationships/hyperlink" Target="http://probaseballexperience.jcink.net/index.php?showuser=339" TargetMode="External"/><Relationship Id="rId598" Type="http://schemas.openxmlformats.org/officeDocument/2006/relationships/hyperlink" Target="http://probaseballexperience.jcink.net/index.php?showtopic=2502" TargetMode="External"/><Relationship Id="rId819" Type="http://schemas.openxmlformats.org/officeDocument/2006/relationships/hyperlink" Target="http://probaseballexperience.jcink.net/index.php?showuser=291" TargetMode="External"/><Relationship Id="rId220" Type="http://schemas.openxmlformats.org/officeDocument/2006/relationships/hyperlink" Target="http://probaseballexperience.jcink.net/index.php?showtopic=3476" TargetMode="External"/><Relationship Id="rId458" Type="http://schemas.openxmlformats.org/officeDocument/2006/relationships/hyperlink" Target="http://probaseballexperience.jcink.net/index.php?showuser=383" TargetMode="External"/><Relationship Id="rId665" Type="http://schemas.openxmlformats.org/officeDocument/2006/relationships/hyperlink" Target="http://probaseballexperience.jcink.net/index.php?showuser=303" TargetMode="External"/><Relationship Id="rId872" Type="http://schemas.openxmlformats.org/officeDocument/2006/relationships/hyperlink" Target="http://probaseballexperience.jcink.net/index.php?showtopic=1174" TargetMode="External"/><Relationship Id="rId15" Type="http://schemas.openxmlformats.org/officeDocument/2006/relationships/hyperlink" Target="http://probaseballexperience.jcink.net/index.php?showtopic=345" TargetMode="External"/><Relationship Id="rId318" Type="http://schemas.openxmlformats.org/officeDocument/2006/relationships/hyperlink" Target="http://probaseballexperience.jcink.net/index.php?showtopic=4637" TargetMode="External"/><Relationship Id="rId525" Type="http://schemas.openxmlformats.org/officeDocument/2006/relationships/hyperlink" Target="http://probaseballexperience.jcink.net/index.php?showtopic=2506" TargetMode="External"/><Relationship Id="rId732" Type="http://schemas.openxmlformats.org/officeDocument/2006/relationships/hyperlink" Target="http://probaseballexperience.jcink.net/index.php?showuser=333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user=262" TargetMode="External"/><Relationship Id="rId21" Type="http://schemas.openxmlformats.org/officeDocument/2006/relationships/hyperlink" Target="http://probaseballexperience.jcink.net/index.php?showtopic=2604" TargetMode="External"/><Relationship Id="rId42" Type="http://schemas.openxmlformats.org/officeDocument/2006/relationships/hyperlink" Target="http://probaseballexperience.jcink.net/index.php?showuser=127" TargetMode="External"/><Relationship Id="rId47" Type="http://schemas.openxmlformats.org/officeDocument/2006/relationships/hyperlink" Target="http://probaseballexperience.jcink.net/index.php?showuser=454" TargetMode="External"/><Relationship Id="rId63" Type="http://schemas.openxmlformats.org/officeDocument/2006/relationships/hyperlink" Target="http://probaseballexperience.jcink.net/index.php?showtopic=5791" TargetMode="External"/><Relationship Id="rId68" Type="http://schemas.openxmlformats.org/officeDocument/2006/relationships/hyperlink" Target="http://probaseballexperience.jcink.net/index.php?showuser=542" TargetMode="External"/><Relationship Id="rId16" Type="http://schemas.openxmlformats.org/officeDocument/2006/relationships/hyperlink" Target="http://probaseballexperience.jcink.net/index.php?showtopic=2598" TargetMode="External"/><Relationship Id="rId11" Type="http://schemas.openxmlformats.org/officeDocument/2006/relationships/hyperlink" Target="http://probaseballexperience.jcink.net/index.php?showuser=23" TargetMode="External"/><Relationship Id="rId24" Type="http://schemas.openxmlformats.org/officeDocument/2006/relationships/hyperlink" Target="http://probaseballexperience.jcink.net/index.php?showtopic=2906" TargetMode="External"/><Relationship Id="rId32" Type="http://schemas.openxmlformats.org/officeDocument/2006/relationships/hyperlink" Target="http://probaseballexperience.jcink.net/index.php?showtopic=4032" TargetMode="External"/><Relationship Id="rId37" Type="http://schemas.openxmlformats.org/officeDocument/2006/relationships/hyperlink" Target="http://probaseballexperience.jcink.net/index.php?showuser=57" TargetMode="External"/><Relationship Id="rId40" Type="http://schemas.openxmlformats.org/officeDocument/2006/relationships/hyperlink" Target="http://probaseballexperience.jcink.net/index.php?showtopic=4574" TargetMode="External"/><Relationship Id="rId45" Type="http://schemas.openxmlformats.org/officeDocument/2006/relationships/hyperlink" Target="http://probaseballexperience.jcink.net/index.php?showtopic=5018" TargetMode="External"/><Relationship Id="rId53" Type="http://schemas.openxmlformats.org/officeDocument/2006/relationships/hyperlink" Target="http://probaseballexperience.jcink.net/index.php?showuser=452" TargetMode="External"/><Relationship Id="rId58" Type="http://schemas.openxmlformats.org/officeDocument/2006/relationships/hyperlink" Target="http://probaseballexperience.jcink.net/index.php?showtopic=88" TargetMode="External"/><Relationship Id="rId66" Type="http://schemas.openxmlformats.org/officeDocument/2006/relationships/hyperlink" Target="http://probaseballexperience.jcink.net/index.php?showtopic=5846" TargetMode="External"/><Relationship Id="rId74" Type="http://schemas.openxmlformats.org/officeDocument/2006/relationships/hyperlink" Target="http://probaseballexperience.jcink.net/index.php?showtopic=4070" TargetMode="External"/><Relationship Id="rId79" Type="http://schemas.openxmlformats.org/officeDocument/2006/relationships/comments" Target="../comments1.xml"/><Relationship Id="rId5" Type="http://schemas.openxmlformats.org/officeDocument/2006/relationships/hyperlink" Target="http://probaseballexperience.jcink.net/index.php?showuser=14" TargetMode="External"/><Relationship Id="rId61" Type="http://schemas.openxmlformats.org/officeDocument/2006/relationships/hyperlink" Target="http://probaseballexperience.jcink.net/index.php?showtopic=2984" TargetMode="External"/><Relationship Id="rId19" Type="http://schemas.openxmlformats.org/officeDocument/2006/relationships/hyperlink" Target="http://probaseballexperience.jcink.net/index.php?showtopic=2604" TargetMode="External"/><Relationship Id="rId14" Type="http://schemas.openxmlformats.org/officeDocument/2006/relationships/hyperlink" Target="http://probaseballexperience.jcink.net/index.php?showuser=133" TargetMode="External"/><Relationship Id="rId22" Type="http://schemas.openxmlformats.org/officeDocument/2006/relationships/hyperlink" Target="http://probaseballexperience.jcink.net/index.php?showtopic=2906" TargetMode="External"/><Relationship Id="rId27" Type="http://schemas.openxmlformats.org/officeDocument/2006/relationships/hyperlink" Target="http://probaseballexperience.jcink.net/index.php?showtopic=2591" TargetMode="External"/><Relationship Id="rId30" Type="http://schemas.openxmlformats.org/officeDocument/2006/relationships/hyperlink" Target="http://probaseballexperience.jcink.net/index.php?showtopic=3476" TargetMode="External"/><Relationship Id="rId35" Type="http://schemas.openxmlformats.org/officeDocument/2006/relationships/hyperlink" Target="http://probaseballexperience.jcink.net/index.php?showtopic=5553" TargetMode="External"/><Relationship Id="rId43" Type="http://schemas.openxmlformats.org/officeDocument/2006/relationships/hyperlink" Target="http://probaseballexperience.jcink.net/index.php?showtopic=1741" TargetMode="External"/><Relationship Id="rId48" Type="http://schemas.openxmlformats.org/officeDocument/2006/relationships/hyperlink" Target="http://probaseballexperience.jcink.net/index.php?showtopic=5051" TargetMode="External"/><Relationship Id="rId56" Type="http://schemas.openxmlformats.org/officeDocument/2006/relationships/hyperlink" Target="http://probaseballexperience.jcink.net/index.php?showtopic=88" TargetMode="External"/><Relationship Id="rId64" Type="http://schemas.openxmlformats.org/officeDocument/2006/relationships/hyperlink" Target="http://probaseballexperience.jcink.net/index.php?showtopic=6042" TargetMode="External"/><Relationship Id="rId69" Type="http://schemas.openxmlformats.org/officeDocument/2006/relationships/hyperlink" Target="http://probaseballexperience.jcink.net/index.php?showtopic=5828" TargetMode="External"/><Relationship Id="rId77" Type="http://schemas.openxmlformats.org/officeDocument/2006/relationships/vmlDrawing" Target="../drawings/vmlDrawing1.vml"/><Relationship Id="rId8" Type="http://schemas.openxmlformats.org/officeDocument/2006/relationships/hyperlink" Target="http://probaseballexperience.jcink.net/index.php?showuser=217" TargetMode="External"/><Relationship Id="rId51" Type="http://schemas.openxmlformats.org/officeDocument/2006/relationships/hyperlink" Target="http://probaseballexperience.jcink.net/index.php?showtopic=5099" TargetMode="External"/><Relationship Id="rId72" Type="http://schemas.openxmlformats.org/officeDocument/2006/relationships/hyperlink" Target="http://probaseballexperience.jcink.net/index.php?showtopic=5824" TargetMode="External"/><Relationship Id="rId3" Type="http://schemas.openxmlformats.org/officeDocument/2006/relationships/hyperlink" Target="http://probaseballexperience.jcink.net/index.php?showtopic=345" TargetMode="External"/><Relationship Id="rId12" Type="http://schemas.openxmlformats.org/officeDocument/2006/relationships/hyperlink" Target="http://probaseballexperience.jcink.net/index.php?showtopic=101" TargetMode="External"/><Relationship Id="rId17" Type="http://schemas.openxmlformats.org/officeDocument/2006/relationships/hyperlink" Target="http://probaseballexperience.jcink.net/index.php?showuser=267" TargetMode="External"/><Relationship Id="rId25" Type="http://schemas.openxmlformats.org/officeDocument/2006/relationships/hyperlink" Target="http://probaseballexperience.jcink.net/index.php?showtopic=2591" TargetMode="External"/><Relationship Id="rId33" Type="http://schemas.openxmlformats.org/officeDocument/2006/relationships/hyperlink" Target="http://probaseballexperience.jcink.net/index.php?showuser=358" TargetMode="External"/><Relationship Id="rId38" Type="http://schemas.openxmlformats.org/officeDocument/2006/relationships/hyperlink" Target="http://probaseballexperience.jcink.net/index.php?showtopic=3104" TargetMode="External"/><Relationship Id="rId46" Type="http://schemas.openxmlformats.org/officeDocument/2006/relationships/hyperlink" Target="http://probaseballexperience.jcink.net/index.php?showtopic=5319" TargetMode="External"/><Relationship Id="rId59" Type="http://schemas.openxmlformats.org/officeDocument/2006/relationships/hyperlink" Target="http://probaseballexperience.jcink.net/index.php?showtopic=2984" TargetMode="External"/><Relationship Id="rId67" Type="http://schemas.openxmlformats.org/officeDocument/2006/relationships/hyperlink" Target="http://probaseballexperience.jcink.net/index.php?showtopic=6042" TargetMode="External"/><Relationship Id="rId20" Type="http://schemas.openxmlformats.org/officeDocument/2006/relationships/hyperlink" Target="http://probaseballexperience.jcink.net/index.php?showuser=273" TargetMode="External"/><Relationship Id="rId41" Type="http://schemas.openxmlformats.org/officeDocument/2006/relationships/hyperlink" Target="http://probaseballexperience.jcink.net/index.php?showtopic=1741" TargetMode="External"/><Relationship Id="rId54" Type="http://schemas.openxmlformats.org/officeDocument/2006/relationships/hyperlink" Target="http://probaseballexperience.jcink.net/index.php?showtopic=5037" TargetMode="External"/><Relationship Id="rId62" Type="http://schemas.openxmlformats.org/officeDocument/2006/relationships/hyperlink" Target="http://probaseballexperience.jcink.net/index.php?showuser=516" TargetMode="External"/><Relationship Id="rId70" Type="http://schemas.openxmlformats.org/officeDocument/2006/relationships/hyperlink" Target="http://probaseballexperience.jcink.net/index.php?showtopic=6042" TargetMode="External"/><Relationship Id="rId75" Type="http://schemas.openxmlformats.org/officeDocument/2006/relationships/hyperlink" Target="http://probaseballexperience.jcink.net/index.php?showuser=371" TargetMode="External"/><Relationship Id="rId1" Type="http://schemas.openxmlformats.org/officeDocument/2006/relationships/hyperlink" Target="http://probaseballexperience.jcink.net/index.php?showtopic=345" TargetMode="External"/><Relationship Id="rId6" Type="http://schemas.openxmlformats.org/officeDocument/2006/relationships/hyperlink" Target="http://probaseballexperience.jcink.net/index.php?showtopic=156" TargetMode="External"/><Relationship Id="rId15" Type="http://schemas.openxmlformats.org/officeDocument/2006/relationships/hyperlink" Target="http://probaseballexperience.jcink.net/index.php?showtopic=792" TargetMode="External"/><Relationship Id="rId23" Type="http://schemas.openxmlformats.org/officeDocument/2006/relationships/hyperlink" Target="http://probaseballexperience.jcink.net/index.php?showuser=281" TargetMode="External"/><Relationship Id="rId28" Type="http://schemas.openxmlformats.org/officeDocument/2006/relationships/hyperlink" Target="http://probaseballexperience.jcink.net/index.php?showtopic=3476" TargetMode="External"/><Relationship Id="rId36" Type="http://schemas.openxmlformats.org/officeDocument/2006/relationships/hyperlink" Target="http://probaseballexperience.jcink.net/index.php?showtopic=3104" TargetMode="External"/><Relationship Id="rId49" Type="http://schemas.openxmlformats.org/officeDocument/2006/relationships/hyperlink" Target="http://probaseballexperience.jcink.net/index.php?showtopic=5393" TargetMode="External"/><Relationship Id="rId57" Type="http://schemas.openxmlformats.org/officeDocument/2006/relationships/hyperlink" Target="http://probaseballexperience.jcink.net/index.php?showuser=15" TargetMode="External"/><Relationship Id="rId10" Type="http://schemas.openxmlformats.org/officeDocument/2006/relationships/hyperlink" Target="http://probaseballexperience.jcink.net/index.php?showtopic=101" TargetMode="External"/><Relationship Id="rId31" Type="http://schemas.openxmlformats.org/officeDocument/2006/relationships/hyperlink" Target="http://probaseballexperience.jcink.net/index.php?showtopic=5553" TargetMode="External"/><Relationship Id="rId44" Type="http://schemas.openxmlformats.org/officeDocument/2006/relationships/hyperlink" Target="http://probaseballexperience.jcink.net/index.php?showuser=252" TargetMode="External"/><Relationship Id="rId52" Type="http://schemas.openxmlformats.org/officeDocument/2006/relationships/hyperlink" Target="http://probaseballexperience.jcink.net/index.php?showtopic=5319" TargetMode="External"/><Relationship Id="rId60" Type="http://schemas.openxmlformats.org/officeDocument/2006/relationships/hyperlink" Target="http://probaseballexperience.jcink.net/index.php?showuser=288" TargetMode="External"/><Relationship Id="rId65" Type="http://schemas.openxmlformats.org/officeDocument/2006/relationships/hyperlink" Target="http://probaseballexperience.jcink.net/index.php?showuser=544" TargetMode="External"/><Relationship Id="rId73" Type="http://schemas.openxmlformats.org/officeDocument/2006/relationships/hyperlink" Target="http://probaseballexperience.jcink.net/index.php?showtopic=6042" TargetMode="External"/><Relationship Id="rId78" Type="http://schemas.openxmlformats.org/officeDocument/2006/relationships/table" Target="../tables/table2.xml"/><Relationship Id="rId4" Type="http://schemas.openxmlformats.org/officeDocument/2006/relationships/hyperlink" Target="http://probaseballexperience.jcink.net/index.php?showtopic=156" TargetMode="External"/><Relationship Id="rId9" Type="http://schemas.openxmlformats.org/officeDocument/2006/relationships/hyperlink" Target="http://probaseballexperience.jcink.net/index.php?showtopic=1732" TargetMode="External"/><Relationship Id="rId13" Type="http://schemas.openxmlformats.org/officeDocument/2006/relationships/hyperlink" Target="http://probaseballexperience.jcink.net/index.php?showtopic=792" TargetMode="External"/><Relationship Id="rId18" Type="http://schemas.openxmlformats.org/officeDocument/2006/relationships/hyperlink" Target="http://probaseballexperience.jcink.net/index.php?showtopic=2598" TargetMode="External"/><Relationship Id="rId39" Type="http://schemas.openxmlformats.org/officeDocument/2006/relationships/hyperlink" Target="http://probaseballexperience.jcink.net/index.php?showuser=407" TargetMode="External"/><Relationship Id="rId34" Type="http://schemas.openxmlformats.org/officeDocument/2006/relationships/hyperlink" Target="http://probaseballexperience.jcink.net/index.php?showtopic=4032" TargetMode="External"/><Relationship Id="rId50" Type="http://schemas.openxmlformats.org/officeDocument/2006/relationships/hyperlink" Target="http://probaseballexperience.jcink.net/index.php?showuser=464" TargetMode="External"/><Relationship Id="rId55" Type="http://schemas.openxmlformats.org/officeDocument/2006/relationships/hyperlink" Target="http://probaseballexperience.jcink.net/index.php?showtopic=5319" TargetMode="External"/><Relationship Id="rId76" Type="http://schemas.openxmlformats.org/officeDocument/2006/relationships/hyperlink" Target="http://probaseballexperience.jcink.net/index.php?showtopic=4070" TargetMode="External"/><Relationship Id="rId7" Type="http://schemas.openxmlformats.org/officeDocument/2006/relationships/hyperlink" Target="http://probaseballexperience.jcink.net/index.php?showtopic=1732" TargetMode="External"/><Relationship Id="rId71" Type="http://schemas.openxmlformats.org/officeDocument/2006/relationships/hyperlink" Target="http://probaseballexperience.jcink.net/index.php?showuser=540" TargetMode="External"/><Relationship Id="rId2" Type="http://schemas.openxmlformats.org/officeDocument/2006/relationships/hyperlink" Target="http://probaseballexperience.jcink.net/index.php?showuser=113" TargetMode="External"/><Relationship Id="rId29" Type="http://schemas.openxmlformats.org/officeDocument/2006/relationships/hyperlink" Target="http://probaseballexperience.jcink.net/index.php?showuser=324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user=73" TargetMode="External"/><Relationship Id="rId21" Type="http://schemas.openxmlformats.org/officeDocument/2006/relationships/hyperlink" Target="http://probaseballexperience.jcink.net/index.php?showtopic=1209" TargetMode="External"/><Relationship Id="rId42" Type="http://schemas.openxmlformats.org/officeDocument/2006/relationships/hyperlink" Target="http://probaseballexperience.jcink.net/index.php?showtopic=3979" TargetMode="External"/><Relationship Id="rId47" Type="http://schemas.openxmlformats.org/officeDocument/2006/relationships/hyperlink" Target="http://probaseballexperience.jcink.net/index.php?showuser=351" TargetMode="External"/><Relationship Id="rId63" Type="http://schemas.openxmlformats.org/officeDocument/2006/relationships/hyperlink" Target="http://probaseballexperience.jcink.net/index.php?showuser=501" TargetMode="External"/><Relationship Id="rId68" Type="http://schemas.openxmlformats.org/officeDocument/2006/relationships/table" Target="../tables/table3.xml"/><Relationship Id="rId7" Type="http://schemas.openxmlformats.org/officeDocument/2006/relationships/hyperlink" Target="http://probaseballexperience.jcink.net/index.php?showtopic=153" TargetMode="External"/><Relationship Id="rId2" Type="http://schemas.openxmlformats.org/officeDocument/2006/relationships/hyperlink" Target="http://probaseballexperience.jcink.net/index.php?showuser=65" TargetMode="External"/><Relationship Id="rId16" Type="http://schemas.openxmlformats.org/officeDocument/2006/relationships/hyperlink" Target="http://probaseballexperience.jcink.net/index.php?showtopic=2155" TargetMode="External"/><Relationship Id="rId29" Type="http://schemas.openxmlformats.org/officeDocument/2006/relationships/hyperlink" Target="http://probaseballexperience.jcink.net/index.php?showuser=298" TargetMode="External"/><Relationship Id="rId11" Type="http://schemas.openxmlformats.org/officeDocument/2006/relationships/hyperlink" Target="http://probaseballexperience.jcink.net/index.php?showuser=30" TargetMode="External"/><Relationship Id="rId24" Type="http://schemas.openxmlformats.org/officeDocument/2006/relationships/hyperlink" Target="http://probaseballexperience.jcink.net/index.php?showtopic=1232" TargetMode="External"/><Relationship Id="rId32" Type="http://schemas.openxmlformats.org/officeDocument/2006/relationships/hyperlink" Target="http://probaseballexperience.jcink.net/index.php?showuser=128" TargetMode="External"/><Relationship Id="rId37" Type="http://schemas.openxmlformats.org/officeDocument/2006/relationships/hyperlink" Target="http://probaseballexperience.jcink.net/index.php?showtopic=4057" TargetMode="External"/><Relationship Id="rId40" Type="http://schemas.openxmlformats.org/officeDocument/2006/relationships/hyperlink" Target="http://probaseballexperience.jcink.net/index.php?showtopic=3979" TargetMode="External"/><Relationship Id="rId45" Type="http://schemas.openxmlformats.org/officeDocument/2006/relationships/hyperlink" Target="http://probaseballexperience.jcink.net/index.php?showtopic=138" TargetMode="External"/><Relationship Id="rId53" Type="http://schemas.openxmlformats.org/officeDocument/2006/relationships/hyperlink" Target="http://probaseballexperience.jcink.net/index.php?showtopic=5179" TargetMode="External"/><Relationship Id="rId58" Type="http://schemas.openxmlformats.org/officeDocument/2006/relationships/hyperlink" Target="http://probaseballexperience.jcink.net/index.php?showtopic=3791" TargetMode="External"/><Relationship Id="rId66" Type="http://schemas.openxmlformats.org/officeDocument/2006/relationships/hyperlink" Target="http://probaseballexperience.jcink.net/index.php?showtopic=5809" TargetMode="External"/><Relationship Id="rId5" Type="http://schemas.openxmlformats.org/officeDocument/2006/relationships/hyperlink" Target="http://probaseballexperience.jcink.net/index.php?showuser=60" TargetMode="External"/><Relationship Id="rId61" Type="http://schemas.openxmlformats.org/officeDocument/2006/relationships/hyperlink" Target="http://probaseballexperience.jcink.net/index.php?showuser=507" TargetMode="External"/><Relationship Id="rId19" Type="http://schemas.openxmlformats.org/officeDocument/2006/relationships/hyperlink" Target="http://probaseballexperience.jcink.net/index.php?showtopic=1209" TargetMode="External"/><Relationship Id="rId14" Type="http://schemas.openxmlformats.org/officeDocument/2006/relationships/hyperlink" Target="http://probaseballexperience.jcink.net/index.php?showuser=159" TargetMode="External"/><Relationship Id="rId22" Type="http://schemas.openxmlformats.org/officeDocument/2006/relationships/hyperlink" Target="http://probaseballexperience.jcink.net/index.php?showtopic=1232" TargetMode="External"/><Relationship Id="rId27" Type="http://schemas.openxmlformats.org/officeDocument/2006/relationships/hyperlink" Target="http://probaseballexperience.jcink.net/index.php?showtopic=213" TargetMode="External"/><Relationship Id="rId30" Type="http://schemas.openxmlformats.org/officeDocument/2006/relationships/hyperlink" Target="http://probaseballexperience.jcink.net/index.php?showtopic=3046&amp;view=findpost&amp;p=32489" TargetMode="External"/><Relationship Id="rId35" Type="http://schemas.openxmlformats.org/officeDocument/2006/relationships/hyperlink" Target="http://probaseballexperience.jcink.net/index.php?showuser=225" TargetMode="External"/><Relationship Id="rId43" Type="http://schemas.openxmlformats.org/officeDocument/2006/relationships/hyperlink" Target="http://probaseballexperience.jcink.net/index.php?showtopic=138" TargetMode="External"/><Relationship Id="rId48" Type="http://schemas.openxmlformats.org/officeDocument/2006/relationships/hyperlink" Target="http://probaseballexperience.jcink.net/index.php?showtopic=3934" TargetMode="External"/><Relationship Id="rId56" Type="http://schemas.openxmlformats.org/officeDocument/2006/relationships/hyperlink" Target="http://probaseballexperience.jcink.net/index.php?showuser=193" TargetMode="External"/><Relationship Id="rId64" Type="http://schemas.openxmlformats.org/officeDocument/2006/relationships/hyperlink" Target="http://probaseballexperience.jcink.net/index.php?showtopic=5736" TargetMode="External"/><Relationship Id="rId69" Type="http://schemas.openxmlformats.org/officeDocument/2006/relationships/comments" Target="../comments2.xml"/><Relationship Id="rId8" Type="http://schemas.openxmlformats.org/officeDocument/2006/relationships/hyperlink" Target="http://probaseballexperience.jcink.net/index.php?showuser=52" TargetMode="External"/><Relationship Id="rId51" Type="http://schemas.openxmlformats.org/officeDocument/2006/relationships/hyperlink" Target="http://probaseballexperience.jcink.net/index.php?showtopic=3360" TargetMode="External"/><Relationship Id="rId3" Type="http://schemas.openxmlformats.org/officeDocument/2006/relationships/hyperlink" Target="http://probaseballexperience.jcink.net/index.php?showtopic=180" TargetMode="External"/><Relationship Id="rId12" Type="http://schemas.openxmlformats.org/officeDocument/2006/relationships/hyperlink" Target="http://probaseballexperience.jcink.net/index.php?showtopic=120" TargetMode="External"/><Relationship Id="rId17" Type="http://schemas.openxmlformats.org/officeDocument/2006/relationships/hyperlink" Target="http://probaseballexperience.jcink.net/index.php?showuser=233" TargetMode="External"/><Relationship Id="rId25" Type="http://schemas.openxmlformats.org/officeDocument/2006/relationships/hyperlink" Target="http://probaseballexperience.jcink.net/index.php?showtopic=213" TargetMode="External"/><Relationship Id="rId33" Type="http://schemas.openxmlformats.org/officeDocument/2006/relationships/hyperlink" Target="http://probaseballexperience.jcink.net/index.php?showtopic=618" TargetMode="External"/><Relationship Id="rId38" Type="http://schemas.openxmlformats.org/officeDocument/2006/relationships/hyperlink" Target="http://probaseballexperience.jcink.net/index.php?showuser=359" TargetMode="External"/><Relationship Id="rId46" Type="http://schemas.openxmlformats.org/officeDocument/2006/relationships/hyperlink" Target="http://probaseballexperience.jcink.net/index.php?showtopic=3934" TargetMode="External"/><Relationship Id="rId59" Type="http://schemas.openxmlformats.org/officeDocument/2006/relationships/hyperlink" Target="http://probaseballexperience.jcink.net/index.php?showuser=345" TargetMode="External"/><Relationship Id="rId67" Type="http://schemas.openxmlformats.org/officeDocument/2006/relationships/vmlDrawing" Target="../drawings/vmlDrawing2.vml"/><Relationship Id="rId20" Type="http://schemas.openxmlformats.org/officeDocument/2006/relationships/hyperlink" Target="http://probaseballexperience.jcink.net/index.php?showuser=190" TargetMode="External"/><Relationship Id="rId41" Type="http://schemas.openxmlformats.org/officeDocument/2006/relationships/hyperlink" Target="http://probaseballexperience.jcink.net/index.php?showuser=353" TargetMode="External"/><Relationship Id="rId54" Type="http://schemas.openxmlformats.org/officeDocument/2006/relationships/hyperlink" Target="http://probaseballexperience.jcink.net/index.php?showtopic=5277&amp;st=0&amp;" TargetMode="External"/><Relationship Id="rId62" Type="http://schemas.openxmlformats.org/officeDocument/2006/relationships/hyperlink" Target="http://probaseballexperience.jcink.net/index.php?showtopic=5768" TargetMode="External"/><Relationship Id="rId1" Type="http://schemas.openxmlformats.org/officeDocument/2006/relationships/hyperlink" Target="http://probaseballexperience.jcink.net/index.php?showtopic=180" TargetMode="External"/><Relationship Id="rId6" Type="http://schemas.openxmlformats.org/officeDocument/2006/relationships/hyperlink" Target="http://probaseballexperience.jcink.net/index.php?showtopic=191" TargetMode="External"/><Relationship Id="rId15" Type="http://schemas.openxmlformats.org/officeDocument/2006/relationships/hyperlink" Target="http://probaseballexperience.jcink.net/index.php?showtopic=1042" TargetMode="External"/><Relationship Id="rId23" Type="http://schemas.openxmlformats.org/officeDocument/2006/relationships/hyperlink" Target="http://probaseballexperience.jcink.net/index.php?showuser=194" TargetMode="External"/><Relationship Id="rId28" Type="http://schemas.openxmlformats.org/officeDocument/2006/relationships/hyperlink" Target="http://probaseballexperience.jcink.net/index.php?showtopic=3046&amp;st=0&amp;" TargetMode="External"/><Relationship Id="rId36" Type="http://schemas.openxmlformats.org/officeDocument/2006/relationships/hyperlink" Target="http://probaseballexperience.jcink.net/index.php?showtopic=1934" TargetMode="External"/><Relationship Id="rId49" Type="http://schemas.openxmlformats.org/officeDocument/2006/relationships/hyperlink" Target="http://probaseballexperience.jcink.net/index.php?showtopic=3360" TargetMode="External"/><Relationship Id="rId57" Type="http://schemas.openxmlformats.org/officeDocument/2006/relationships/hyperlink" Target="http://probaseballexperience.jcink.net/index.php?showtopic=1218" TargetMode="External"/><Relationship Id="rId10" Type="http://schemas.openxmlformats.org/officeDocument/2006/relationships/hyperlink" Target="http://probaseballexperience.jcink.net/index.php?showtopic=120" TargetMode="External"/><Relationship Id="rId31" Type="http://schemas.openxmlformats.org/officeDocument/2006/relationships/hyperlink" Target="http://probaseballexperience.jcink.net/index.php?showtopic=618" TargetMode="External"/><Relationship Id="rId44" Type="http://schemas.openxmlformats.org/officeDocument/2006/relationships/hyperlink" Target="http://probaseballexperience.jcink.net/index.php?showuser=29" TargetMode="External"/><Relationship Id="rId52" Type="http://schemas.openxmlformats.org/officeDocument/2006/relationships/hyperlink" Target="http://probaseballexperience.jcink.net/index.php?showuser=478" TargetMode="External"/><Relationship Id="rId60" Type="http://schemas.openxmlformats.org/officeDocument/2006/relationships/hyperlink" Target="http://probaseballexperience.jcink.net/index.php?showtopic=3791" TargetMode="External"/><Relationship Id="rId65" Type="http://schemas.openxmlformats.org/officeDocument/2006/relationships/hyperlink" Target="http://probaseballexperience.jcink.net/index.php?showuser=528" TargetMode="External"/><Relationship Id="rId4" Type="http://schemas.openxmlformats.org/officeDocument/2006/relationships/hyperlink" Target="http://probaseballexperience.jcink.net/index.php?showtopic=191" TargetMode="External"/><Relationship Id="rId9" Type="http://schemas.openxmlformats.org/officeDocument/2006/relationships/hyperlink" Target="http://probaseballexperience.jcink.net/index.php?showtopic=153" TargetMode="External"/><Relationship Id="rId13" Type="http://schemas.openxmlformats.org/officeDocument/2006/relationships/hyperlink" Target="http://probaseballexperience.jcink.net/index.php?showtopic=1042" TargetMode="External"/><Relationship Id="rId18" Type="http://schemas.openxmlformats.org/officeDocument/2006/relationships/hyperlink" Target="http://probaseballexperience.jcink.net/index.php?showtopic=2155" TargetMode="External"/><Relationship Id="rId39" Type="http://schemas.openxmlformats.org/officeDocument/2006/relationships/hyperlink" Target="http://probaseballexperience.jcink.net/index.php?showtopic=4057" TargetMode="External"/><Relationship Id="rId34" Type="http://schemas.openxmlformats.org/officeDocument/2006/relationships/hyperlink" Target="http://probaseballexperience.jcink.net/index.php?showtopic=1934" TargetMode="External"/><Relationship Id="rId50" Type="http://schemas.openxmlformats.org/officeDocument/2006/relationships/hyperlink" Target="http://probaseballexperience.jcink.net/index.php?showuser=280" TargetMode="External"/><Relationship Id="rId55" Type="http://schemas.openxmlformats.org/officeDocument/2006/relationships/hyperlink" Target="http://probaseballexperience.jcink.net/index.php?showtopic=1218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user=355" TargetMode="External"/><Relationship Id="rId21" Type="http://schemas.openxmlformats.org/officeDocument/2006/relationships/hyperlink" Target="http://probaseballexperience.jcink.net/index.php?showtopic=3539" TargetMode="External"/><Relationship Id="rId42" Type="http://schemas.openxmlformats.org/officeDocument/2006/relationships/hyperlink" Target="http://probaseballexperience.jcink.net/index.php?showtopic=4903" TargetMode="External"/><Relationship Id="rId47" Type="http://schemas.openxmlformats.org/officeDocument/2006/relationships/hyperlink" Target="http://probaseballexperience.jcink.net/index.php?showuser=36" TargetMode="External"/><Relationship Id="rId63" Type="http://schemas.openxmlformats.org/officeDocument/2006/relationships/hyperlink" Target="http://probaseballexperience.jcink.net/index.php?showuser=512" TargetMode="External"/><Relationship Id="rId68" Type="http://schemas.openxmlformats.org/officeDocument/2006/relationships/table" Target="../tables/table4.xml"/><Relationship Id="rId7" Type="http://schemas.openxmlformats.org/officeDocument/2006/relationships/hyperlink" Target="http://probaseballexperience.jcink.net/index.php?showtopic=2614" TargetMode="External"/><Relationship Id="rId2" Type="http://schemas.openxmlformats.org/officeDocument/2006/relationships/hyperlink" Target="http://probaseballexperience.jcink.net/index.php?showuser=187" TargetMode="External"/><Relationship Id="rId16" Type="http://schemas.openxmlformats.org/officeDocument/2006/relationships/hyperlink" Target="http://probaseballexperience.jcink.net/index.php?showtopic=3764" TargetMode="External"/><Relationship Id="rId29" Type="http://schemas.openxmlformats.org/officeDocument/2006/relationships/hyperlink" Target="http://probaseballexperience.jcink.net/index.php?showtopic=4460" TargetMode="External"/><Relationship Id="rId11" Type="http://schemas.openxmlformats.org/officeDocument/2006/relationships/hyperlink" Target="http://probaseballexperience.jcink.net/index.php?showuser=305" TargetMode="External"/><Relationship Id="rId24" Type="http://schemas.openxmlformats.org/officeDocument/2006/relationships/hyperlink" Target="http://probaseballexperience.jcink.net/index.php?showtopic=5540&amp;st=0&amp;" TargetMode="External"/><Relationship Id="rId32" Type="http://schemas.openxmlformats.org/officeDocument/2006/relationships/hyperlink" Target="http://probaseballexperience.jcink.net/index.php?showuser=403" TargetMode="External"/><Relationship Id="rId37" Type="http://schemas.openxmlformats.org/officeDocument/2006/relationships/hyperlink" Target="http://probaseballexperience.jcink.net/index.php?showtopic=4600" TargetMode="External"/><Relationship Id="rId40" Type="http://schemas.openxmlformats.org/officeDocument/2006/relationships/hyperlink" Target="http://probaseballexperience.jcink.net/index.php?showtopic=3601" TargetMode="External"/><Relationship Id="rId45" Type="http://schemas.openxmlformats.org/officeDocument/2006/relationships/hyperlink" Target="http://probaseballexperience.jcink.net/index.php?showuser=469" TargetMode="External"/><Relationship Id="rId53" Type="http://schemas.openxmlformats.org/officeDocument/2006/relationships/hyperlink" Target="http://probaseballexperience.jcink.net/index.php?showtopic=4745&amp;hl=kramer" TargetMode="External"/><Relationship Id="rId58" Type="http://schemas.openxmlformats.org/officeDocument/2006/relationships/hyperlink" Target="http://probaseballexperience.jcink.net/index.php?showuser=251" TargetMode="External"/><Relationship Id="rId66" Type="http://schemas.openxmlformats.org/officeDocument/2006/relationships/hyperlink" Target="http://probaseballexperience.jcink.net/index.php?showtopic=5285" TargetMode="External"/><Relationship Id="rId5" Type="http://schemas.openxmlformats.org/officeDocument/2006/relationships/hyperlink" Target="http://probaseballexperience.jcink.net/index.php?showuser=39" TargetMode="External"/><Relationship Id="rId61" Type="http://schemas.openxmlformats.org/officeDocument/2006/relationships/hyperlink" Target="http://probaseballexperience.jcink.net/index.php?showtopic=5796" TargetMode="External"/><Relationship Id="rId19" Type="http://schemas.openxmlformats.org/officeDocument/2006/relationships/hyperlink" Target="http://probaseballexperience.jcink.net/index.php?showtopic=4072" TargetMode="External"/><Relationship Id="rId14" Type="http://schemas.openxmlformats.org/officeDocument/2006/relationships/hyperlink" Target="http://probaseballexperience.jcink.net/index.php?showuser=222" TargetMode="External"/><Relationship Id="rId22" Type="http://schemas.openxmlformats.org/officeDocument/2006/relationships/hyperlink" Target="http://probaseballexperience.jcink.net/index.php?showuser=325" TargetMode="External"/><Relationship Id="rId27" Type="http://schemas.openxmlformats.org/officeDocument/2006/relationships/hyperlink" Target="http://probaseballexperience.jcink.net/index.php?showtopic=3980" TargetMode="External"/><Relationship Id="rId30" Type="http://schemas.openxmlformats.org/officeDocument/2006/relationships/hyperlink" Target="http://probaseballexperience.jcink.net/index.php?showuser=422" TargetMode="External"/><Relationship Id="rId35" Type="http://schemas.openxmlformats.org/officeDocument/2006/relationships/hyperlink" Target="http://probaseballexperience.jcink.net/index.php?showtopic=4482" TargetMode="External"/><Relationship Id="rId43" Type="http://schemas.openxmlformats.org/officeDocument/2006/relationships/hyperlink" Target="http://probaseballexperience.jcink.net/index.php?showuser=451" TargetMode="External"/><Relationship Id="rId48" Type="http://schemas.openxmlformats.org/officeDocument/2006/relationships/hyperlink" Target="http://probaseballexperience.jcink.net/index.php?showtopic=5259" TargetMode="External"/><Relationship Id="rId56" Type="http://schemas.openxmlformats.org/officeDocument/2006/relationships/hyperlink" Target="http://probaseballexperience.jcink.net/index.php?showtopic=247" TargetMode="External"/><Relationship Id="rId64" Type="http://schemas.openxmlformats.org/officeDocument/2006/relationships/hyperlink" Target="http://probaseballexperience.jcink.net/index.php?showtopic=5793" TargetMode="External"/><Relationship Id="rId69" Type="http://schemas.openxmlformats.org/officeDocument/2006/relationships/comments" Target="../comments3.xml"/><Relationship Id="rId8" Type="http://schemas.openxmlformats.org/officeDocument/2006/relationships/hyperlink" Target="http://probaseballexperience.jcink.net/index.php?showuser=275" TargetMode="External"/><Relationship Id="rId51" Type="http://schemas.openxmlformats.org/officeDocument/2006/relationships/hyperlink" Target="http://probaseballexperience.jcink.net/index.php?showuser=432" TargetMode="External"/><Relationship Id="rId3" Type="http://schemas.openxmlformats.org/officeDocument/2006/relationships/hyperlink" Target="http://probaseballexperience.jcink.net/index.php?showtopic=1154" TargetMode="External"/><Relationship Id="rId12" Type="http://schemas.openxmlformats.org/officeDocument/2006/relationships/hyperlink" Target="http://probaseballexperience.jcink.net/index.php?showtopic=3108" TargetMode="External"/><Relationship Id="rId17" Type="http://schemas.openxmlformats.org/officeDocument/2006/relationships/hyperlink" Target="http://probaseballexperience.jcink.net/index.php?showuser=51" TargetMode="External"/><Relationship Id="rId25" Type="http://schemas.openxmlformats.org/officeDocument/2006/relationships/hyperlink" Target="http://probaseballexperience.jcink.net/index.php?showtopic=3980" TargetMode="External"/><Relationship Id="rId33" Type="http://schemas.openxmlformats.org/officeDocument/2006/relationships/hyperlink" Target="http://probaseballexperience.jcink.net/index.php?showtopic=4562" TargetMode="External"/><Relationship Id="rId38" Type="http://schemas.openxmlformats.org/officeDocument/2006/relationships/hyperlink" Target="http://probaseballexperience.jcink.net/index.php?showtopic=3601" TargetMode="External"/><Relationship Id="rId46" Type="http://schemas.openxmlformats.org/officeDocument/2006/relationships/hyperlink" Target="http://probaseballexperience.jcink.net/index.php?showtopic=5106" TargetMode="External"/><Relationship Id="rId59" Type="http://schemas.openxmlformats.org/officeDocument/2006/relationships/hyperlink" Target="http://probaseballexperience.jcink.net/index.php?showtopic=2337" TargetMode="External"/><Relationship Id="rId67" Type="http://schemas.openxmlformats.org/officeDocument/2006/relationships/vmlDrawing" Target="../drawings/vmlDrawing3.vml"/><Relationship Id="rId20" Type="http://schemas.openxmlformats.org/officeDocument/2006/relationships/hyperlink" Target="http://probaseballexperience.jcink.net/index.php?showuser=205" TargetMode="External"/><Relationship Id="rId41" Type="http://schemas.openxmlformats.org/officeDocument/2006/relationships/hyperlink" Target="http://probaseballexperience.jcink.net/index.php?showuser=444" TargetMode="External"/><Relationship Id="rId54" Type="http://schemas.openxmlformats.org/officeDocument/2006/relationships/hyperlink" Target="http://probaseballexperience.jcink.net/index.php?showtopic=247" TargetMode="External"/><Relationship Id="rId62" Type="http://schemas.openxmlformats.org/officeDocument/2006/relationships/hyperlink" Target="http://probaseballexperience.jcink.net/index.php?showuser=511" TargetMode="External"/><Relationship Id="rId1" Type="http://schemas.openxmlformats.org/officeDocument/2006/relationships/hyperlink" Target="http://probaseballexperience.jcink.net/index.php?showtopic=1154" TargetMode="External"/><Relationship Id="rId6" Type="http://schemas.openxmlformats.org/officeDocument/2006/relationships/hyperlink" Target="http://probaseballexperience.jcink.net/index.php?showtopic=104" TargetMode="External"/><Relationship Id="rId15" Type="http://schemas.openxmlformats.org/officeDocument/2006/relationships/hyperlink" Target="http://probaseballexperience.jcink.net/index.php?showtopic=1740" TargetMode="External"/><Relationship Id="rId23" Type="http://schemas.openxmlformats.org/officeDocument/2006/relationships/hyperlink" Target="http://probaseballexperience.jcink.net/index.php?showtopic=3539" TargetMode="External"/><Relationship Id="rId28" Type="http://schemas.openxmlformats.org/officeDocument/2006/relationships/hyperlink" Target="http://probaseballexperience.jcink.net/index.php?showuser=186" TargetMode="External"/><Relationship Id="rId36" Type="http://schemas.openxmlformats.org/officeDocument/2006/relationships/hyperlink" Target="http://probaseballexperience.jcink.net/index.php?showuser=419" TargetMode="External"/><Relationship Id="rId49" Type="http://schemas.openxmlformats.org/officeDocument/2006/relationships/hyperlink" Target="http://probaseballexperience.jcink.net/index.php?showuser=299" TargetMode="External"/><Relationship Id="rId57" Type="http://schemas.openxmlformats.org/officeDocument/2006/relationships/hyperlink" Target="http://probaseballexperience.jcink.net/index.php?showtopic=2337" TargetMode="External"/><Relationship Id="rId10" Type="http://schemas.openxmlformats.org/officeDocument/2006/relationships/hyperlink" Target="http://probaseballexperience.jcink.net/index.php?showtopic=3108" TargetMode="External"/><Relationship Id="rId31" Type="http://schemas.openxmlformats.org/officeDocument/2006/relationships/hyperlink" Target="http://probaseballexperience.jcink.net/index.php?showtopic=4607" TargetMode="External"/><Relationship Id="rId44" Type="http://schemas.openxmlformats.org/officeDocument/2006/relationships/hyperlink" Target="http://probaseballexperience.jcink.net/index.php?showtopic=5001" TargetMode="External"/><Relationship Id="rId52" Type="http://schemas.openxmlformats.org/officeDocument/2006/relationships/hyperlink" Target="http://probaseballexperience.jcink.net/index.php?showtopic=4698" TargetMode="External"/><Relationship Id="rId60" Type="http://schemas.openxmlformats.org/officeDocument/2006/relationships/hyperlink" Target="http://probaseballexperience.jcink.net/index.php?showuser=515" TargetMode="External"/><Relationship Id="rId65" Type="http://schemas.openxmlformats.org/officeDocument/2006/relationships/hyperlink" Target="http://probaseballexperience.jcink.net/index.php?showuser=459" TargetMode="External"/><Relationship Id="rId4" Type="http://schemas.openxmlformats.org/officeDocument/2006/relationships/hyperlink" Target="http://probaseballexperience.jcink.net/index.php?showtopic=104" TargetMode="External"/><Relationship Id="rId9" Type="http://schemas.openxmlformats.org/officeDocument/2006/relationships/hyperlink" Target="http://probaseballexperience.jcink.net/index.php?showtopic=2614" TargetMode="External"/><Relationship Id="rId13" Type="http://schemas.openxmlformats.org/officeDocument/2006/relationships/hyperlink" Target="http://probaseballexperience.jcink.net/index.php?showtopic=1740" TargetMode="External"/><Relationship Id="rId18" Type="http://schemas.openxmlformats.org/officeDocument/2006/relationships/hyperlink" Target="http://probaseballexperience.jcink.net/index.php?showtopic=3764" TargetMode="External"/><Relationship Id="rId39" Type="http://schemas.openxmlformats.org/officeDocument/2006/relationships/hyperlink" Target="http://probaseballexperience.jcink.net/index.php?showuser=336" TargetMode="External"/><Relationship Id="rId34" Type="http://schemas.openxmlformats.org/officeDocument/2006/relationships/hyperlink" Target="http://probaseballexperience.jcink.net/index.php?showuser=390" TargetMode="External"/><Relationship Id="rId50" Type="http://schemas.openxmlformats.org/officeDocument/2006/relationships/hyperlink" Target="http://probaseballexperience.jcink.net/index.php?showtopic=5257" TargetMode="External"/><Relationship Id="rId55" Type="http://schemas.openxmlformats.org/officeDocument/2006/relationships/hyperlink" Target="http://probaseballexperience.jcink.net/index.php?showuser=95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user=438" TargetMode="External"/><Relationship Id="rId21" Type="http://schemas.openxmlformats.org/officeDocument/2006/relationships/hyperlink" Target="http://probaseballexperience.jcink.net/index.php?showtopic=4599" TargetMode="External"/><Relationship Id="rId42" Type="http://schemas.openxmlformats.org/officeDocument/2006/relationships/hyperlink" Target="http://probaseballexperience.jcink.net/index.php?showtopic=5114" TargetMode="External"/><Relationship Id="rId47" Type="http://schemas.openxmlformats.org/officeDocument/2006/relationships/hyperlink" Target="http://probaseballexperience.jcink.net/index.php?showtopic=115" TargetMode="External"/><Relationship Id="rId63" Type="http://schemas.openxmlformats.org/officeDocument/2006/relationships/hyperlink" Target="http://probaseballexperience.jcink.net/index.php?showuser=221" TargetMode="External"/><Relationship Id="rId68" Type="http://schemas.openxmlformats.org/officeDocument/2006/relationships/hyperlink" Target="http://probaseballexperience.jcink.net/index.php?showtopic=5295" TargetMode="External"/><Relationship Id="rId84" Type="http://schemas.openxmlformats.org/officeDocument/2006/relationships/hyperlink" Target="http://probaseballexperience.jcink.net/index.php?showtopic=5635" TargetMode="External"/><Relationship Id="rId89" Type="http://schemas.openxmlformats.org/officeDocument/2006/relationships/hyperlink" Target="http://probaseballexperience.jcink.net/index.php?showuser=401" TargetMode="External"/><Relationship Id="rId16" Type="http://schemas.openxmlformats.org/officeDocument/2006/relationships/hyperlink" Target="http://probaseballexperience.jcink.net/index.php?showuser=310" TargetMode="External"/><Relationship Id="rId11" Type="http://schemas.openxmlformats.org/officeDocument/2006/relationships/hyperlink" Target="http://probaseballexperience.jcink.net/index.php?showuser=69" TargetMode="External"/><Relationship Id="rId32" Type="http://schemas.openxmlformats.org/officeDocument/2006/relationships/hyperlink" Target="http://probaseballexperience.jcink.net/index.php?showtopic=4750" TargetMode="External"/><Relationship Id="rId37" Type="http://schemas.openxmlformats.org/officeDocument/2006/relationships/hyperlink" Target="http://probaseballexperience.jcink.net/index.php?showtopic=4439" TargetMode="External"/><Relationship Id="rId53" Type="http://schemas.openxmlformats.org/officeDocument/2006/relationships/hyperlink" Target="http://probaseballexperience.jcink.net/index.php?showuser=247" TargetMode="External"/><Relationship Id="rId58" Type="http://schemas.openxmlformats.org/officeDocument/2006/relationships/hyperlink" Target="http://probaseballexperience.jcink.net/index.php?showtopic=5904&amp;st=0&amp;" TargetMode="External"/><Relationship Id="rId74" Type="http://schemas.openxmlformats.org/officeDocument/2006/relationships/hyperlink" Target="http://probaseballexperience.jcink.net/index.php?showtopic=6014" TargetMode="External"/><Relationship Id="rId79" Type="http://schemas.openxmlformats.org/officeDocument/2006/relationships/hyperlink" Target="http://probaseballexperience.jcink.net/index.php?showtopic=5829" TargetMode="External"/><Relationship Id="rId5" Type="http://schemas.openxmlformats.org/officeDocument/2006/relationships/hyperlink" Target="http://probaseballexperience.jcink.net/index.php?showuser=235" TargetMode="External"/><Relationship Id="rId90" Type="http://schemas.openxmlformats.org/officeDocument/2006/relationships/hyperlink" Target="http://probaseballexperience.jcink.net/index.php?showtopic=4559" TargetMode="External"/><Relationship Id="rId22" Type="http://schemas.openxmlformats.org/officeDocument/2006/relationships/hyperlink" Target="http://probaseballexperience.jcink.net/index.php?showuser=416" TargetMode="External"/><Relationship Id="rId27" Type="http://schemas.openxmlformats.org/officeDocument/2006/relationships/hyperlink" Target="http://probaseballexperience.jcink.net/index.php?showtopic=4854" TargetMode="External"/><Relationship Id="rId43" Type="http://schemas.openxmlformats.org/officeDocument/2006/relationships/hyperlink" Target="http://probaseballexperience.jcink.net/index.php?showtopic=5303" TargetMode="External"/><Relationship Id="rId48" Type="http://schemas.openxmlformats.org/officeDocument/2006/relationships/hyperlink" Target="http://probaseballexperience.jcink.net/index.php?showuser=38" TargetMode="External"/><Relationship Id="rId64" Type="http://schemas.openxmlformats.org/officeDocument/2006/relationships/hyperlink" Target="http://probaseballexperience.jcink.net/index.php?showtopic=1738" TargetMode="External"/><Relationship Id="rId69" Type="http://schemas.openxmlformats.org/officeDocument/2006/relationships/hyperlink" Target="http://probaseballexperience.jcink.net/index.php?showuser=521" TargetMode="External"/><Relationship Id="rId8" Type="http://schemas.openxmlformats.org/officeDocument/2006/relationships/hyperlink" Target="http://probaseballexperience.jcink.net/index.php?showuser=338" TargetMode="External"/><Relationship Id="rId51" Type="http://schemas.openxmlformats.org/officeDocument/2006/relationships/hyperlink" Target="http://probaseballexperience.jcink.net/index.php?showuser=248" TargetMode="External"/><Relationship Id="rId72" Type="http://schemas.openxmlformats.org/officeDocument/2006/relationships/hyperlink" Target="http://probaseballexperience.jcink.net/index.php?showuser=554" TargetMode="External"/><Relationship Id="rId80" Type="http://schemas.openxmlformats.org/officeDocument/2006/relationships/hyperlink" Target="http://probaseballexperience.jcink.net/index.php?showtopic=6048" TargetMode="External"/><Relationship Id="rId85" Type="http://schemas.openxmlformats.org/officeDocument/2006/relationships/hyperlink" Target="http://probaseballexperience.jcink.net/index.php?showuser=494" TargetMode="External"/><Relationship Id="rId93" Type="http://schemas.openxmlformats.org/officeDocument/2006/relationships/table" Target="../tables/table5.xml"/><Relationship Id="rId3" Type="http://schemas.openxmlformats.org/officeDocument/2006/relationships/hyperlink" Target="http://probaseballexperience.jcink.net/index.php?showtopic=2518" TargetMode="External"/><Relationship Id="rId12" Type="http://schemas.openxmlformats.org/officeDocument/2006/relationships/hyperlink" Target="http://probaseballexperience.jcink.net/index.php?showtopic=627" TargetMode="External"/><Relationship Id="rId17" Type="http://schemas.openxmlformats.org/officeDocument/2006/relationships/hyperlink" Target="http://probaseballexperience.jcink.net/index.php?showtopic=3153" TargetMode="External"/><Relationship Id="rId25" Type="http://schemas.openxmlformats.org/officeDocument/2006/relationships/hyperlink" Target="http://probaseballexperience.jcink.net/index.php?showtopic=4637" TargetMode="External"/><Relationship Id="rId33" Type="http://schemas.openxmlformats.org/officeDocument/2006/relationships/hyperlink" Target="http://probaseballexperience.jcink.net/index.php?showtopic=5307" TargetMode="External"/><Relationship Id="rId38" Type="http://schemas.openxmlformats.org/officeDocument/2006/relationships/hyperlink" Target="http://probaseballexperience.jcink.net/index.php?showuser=114" TargetMode="External"/><Relationship Id="rId46" Type="http://schemas.openxmlformats.org/officeDocument/2006/relationships/hyperlink" Target="http://probaseballexperience.jcink.net/index.php?showtopic=5315" TargetMode="External"/><Relationship Id="rId59" Type="http://schemas.openxmlformats.org/officeDocument/2006/relationships/hyperlink" Target="http://probaseballexperience.jcink.net/index.php?showtopic=114" TargetMode="External"/><Relationship Id="rId67" Type="http://schemas.openxmlformats.org/officeDocument/2006/relationships/hyperlink" Target="http://probaseballexperience.jcink.net/index.php?showuser=271" TargetMode="External"/><Relationship Id="rId20" Type="http://schemas.openxmlformats.org/officeDocument/2006/relationships/hyperlink" Target="http://probaseballexperience.jcink.net/index.php?showuser=418" TargetMode="External"/><Relationship Id="rId41" Type="http://schemas.openxmlformats.org/officeDocument/2006/relationships/hyperlink" Target="http://probaseballexperience.jcink.net/index.php?showuser=472" TargetMode="External"/><Relationship Id="rId54" Type="http://schemas.openxmlformats.org/officeDocument/2006/relationships/hyperlink" Target="http://probaseballexperience.jcink.net/index.php?showtopic=2212" TargetMode="External"/><Relationship Id="rId62" Type="http://schemas.openxmlformats.org/officeDocument/2006/relationships/hyperlink" Target="http://probaseballexperience.jcink.net/index.php?showtopic=1738" TargetMode="External"/><Relationship Id="rId70" Type="http://schemas.openxmlformats.org/officeDocument/2006/relationships/hyperlink" Target="http://probaseballexperience.jcink.net/index.php?showtopic=5804" TargetMode="External"/><Relationship Id="rId75" Type="http://schemas.openxmlformats.org/officeDocument/2006/relationships/hyperlink" Target="http://probaseballexperience.jcink.net/index.php?showuser=519" TargetMode="External"/><Relationship Id="rId83" Type="http://schemas.openxmlformats.org/officeDocument/2006/relationships/hyperlink" Target="http://probaseballexperience.jcink.net/index.php?showuser=496" TargetMode="External"/><Relationship Id="rId88" Type="http://schemas.openxmlformats.org/officeDocument/2006/relationships/hyperlink" Target="http://probaseballexperience.jcink.net/index.php?showtopic=4305" TargetMode="External"/><Relationship Id="rId91" Type="http://schemas.openxmlformats.org/officeDocument/2006/relationships/hyperlink" Target="http://probaseballexperience.jcink.net/index.php?showtopic=4745&amp;hl=kramer" TargetMode="External"/><Relationship Id="rId1" Type="http://schemas.openxmlformats.org/officeDocument/2006/relationships/hyperlink" Target="http://probaseballexperience.jcink.net/index.php?showtopic=2518" TargetMode="External"/><Relationship Id="rId6" Type="http://schemas.openxmlformats.org/officeDocument/2006/relationships/hyperlink" Target="http://probaseballexperience.jcink.net/index.php?showtopic=2575" TargetMode="External"/><Relationship Id="rId15" Type="http://schemas.openxmlformats.org/officeDocument/2006/relationships/hyperlink" Target="http://probaseballexperience.jcink.net/index.php?showtopic=3153" TargetMode="External"/><Relationship Id="rId23" Type="http://schemas.openxmlformats.org/officeDocument/2006/relationships/hyperlink" Target="http://probaseballexperience.jcink.net/index.php?showtopic=4682" TargetMode="External"/><Relationship Id="rId28" Type="http://schemas.openxmlformats.org/officeDocument/2006/relationships/hyperlink" Target="http://probaseballexperience.jcink.net/index.php?showtopic=5303" TargetMode="External"/><Relationship Id="rId36" Type="http://schemas.openxmlformats.org/officeDocument/2006/relationships/hyperlink" Target="http://probaseballexperience.jcink.net/index.php?showuser=386" TargetMode="External"/><Relationship Id="rId49" Type="http://schemas.openxmlformats.org/officeDocument/2006/relationships/hyperlink" Target="http://probaseballexperience.jcink.net/index.php?showtopic=115" TargetMode="External"/><Relationship Id="rId57" Type="http://schemas.openxmlformats.org/officeDocument/2006/relationships/hyperlink" Target="http://probaseballexperience.jcink.net/index.php?showtopic=3634" TargetMode="External"/><Relationship Id="rId10" Type="http://schemas.openxmlformats.org/officeDocument/2006/relationships/hyperlink" Target="http://probaseballexperience.jcink.net/index.php?showtopic=627" TargetMode="External"/><Relationship Id="rId31" Type="http://schemas.openxmlformats.org/officeDocument/2006/relationships/hyperlink" Target="http://probaseballexperience.jcink.net/index.php?showuser=435" TargetMode="External"/><Relationship Id="rId44" Type="http://schemas.openxmlformats.org/officeDocument/2006/relationships/hyperlink" Target="http://probaseballexperience.jcink.net/index.php?showuser=441" TargetMode="External"/><Relationship Id="rId52" Type="http://schemas.openxmlformats.org/officeDocument/2006/relationships/hyperlink" Target="http://probaseballexperience.jcink.net/index.php?showtopic=2227" TargetMode="External"/><Relationship Id="rId60" Type="http://schemas.openxmlformats.org/officeDocument/2006/relationships/hyperlink" Target="http://probaseballexperience.jcink.net/index.php?showuser=35" TargetMode="External"/><Relationship Id="rId65" Type="http://schemas.openxmlformats.org/officeDocument/2006/relationships/hyperlink" Target="http://probaseballexperience.jcink.net/index.php?showuser=483" TargetMode="External"/><Relationship Id="rId73" Type="http://schemas.openxmlformats.org/officeDocument/2006/relationships/hyperlink" Target="http://probaseballexperience.jcink.net/index.php?showtopic=5922" TargetMode="External"/><Relationship Id="rId78" Type="http://schemas.openxmlformats.org/officeDocument/2006/relationships/hyperlink" Target="http://probaseballexperience.jcink.net/index.php?showuser=531" TargetMode="External"/><Relationship Id="rId81" Type="http://schemas.openxmlformats.org/officeDocument/2006/relationships/hyperlink" Target="http://probaseballexperience.jcink.net/index.php?showuser=518" TargetMode="External"/><Relationship Id="rId86" Type="http://schemas.openxmlformats.org/officeDocument/2006/relationships/hyperlink" Target="http://probaseballexperience.jcink.net/index.php?showtopic=5628" TargetMode="External"/><Relationship Id="rId94" Type="http://schemas.openxmlformats.org/officeDocument/2006/relationships/comments" Target="../comments4.xml"/><Relationship Id="rId4" Type="http://schemas.openxmlformats.org/officeDocument/2006/relationships/hyperlink" Target="http://probaseballexperience.jcink.net/index.php?showtopic=2575" TargetMode="External"/><Relationship Id="rId9" Type="http://schemas.openxmlformats.org/officeDocument/2006/relationships/hyperlink" Target="http://probaseballexperience.jcink.net/index.php?showtopic=3619" TargetMode="External"/><Relationship Id="rId13" Type="http://schemas.openxmlformats.org/officeDocument/2006/relationships/hyperlink" Target="http://probaseballexperience.jcink.net/index.php?showuser=306" TargetMode="External"/><Relationship Id="rId18" Type="http://schemas.openxmlformats.org/officeDocument/2006/relationships/hyperlink" Target="http://probaseballexperience.jcink.net/index.php?showuser=126" TargetMode="External"/><Relationship Id="rId39" Type="http://schemas.openxmlformats.org/officeDocument/2006/relationships/hyperlink" Target="http://probaseballexperience.jcink.net/index.php?showtopic=5154" TargetMode="External"/><Relationship Id="rId34" Type="http://schemas.openxmlformats.org/officeDocument/2006/relationships/hyperlink" Target="http://probaseballexperience.jcink.net/index.php?showuser=421" TargetMode="External"/><Relationship Id="rId50" Type="http://schemas.openxmlformats.org/officeDocument/2006/relationships/hyperlink" Target="http://probaseballexperience.jcink.net/index.php?showtopic=2227" TargetMode="External"/><Relationship Id="rId55" Type="http://schemas.openxmlformats.org/officeDocument/2006/relationships/hyperlink" Target="http://probaseballexperience.jcink.net/index.php?showtopic=3634" TargetMode="External"/><Relationship Id="rId76" Type="http://schemas.openxmlformats.org/officeDocument/2006/relationships/hyperlink" Target="http://probaseballexperience.jcink.net/index.php?showtopic=5797" TargetMode="External"/><Relationship Id="rId7" Type="http://schemas.openxmlformats.org/officeDocument/2006/relationships/hyperlink" Target="http://probaseballexperience.jcink.net/index.php?showtopic=3619" TargetMode="External"/><Relationship Id="rId71" Type="http://schemas.openxmlformats.org/officeDocument/2006/relationships/hyperlink" Target="http://probaseballexperience.jcink.net/index.php?showtopic=6027" TargetMode="External"/><Relationship Id="rId92" Type="http://schemas.openxmlformats.org/officeDocument/2006/relationships/vmlDrawing" Target="../drawings/vmlDrawing4.vml"/><Relationship Id="rId2" Type="http://schemas.openxmlformats.org/officeDocument/2006/relationships/hyperlink" Target="http://probaseballexperience.jcink.net/index.php?showuser=2" TargetMode="External"/><Relationship Id="rId29" Type="http://schemas.openxmlformats.org/officeDocument/2006/relationships/hyperlink" Target="http://probaseballexperience.jcink.net/index.php?showuser=388" TargetMode="External"/><Relationship Id="rId24" Type="http://schemas.openxmlformats.org/officeDocument/2006/relationships/hyperlink" Target="http://probaseballexperience.jcink.net/index.php?showuser=429" TargetMode="External"/><Relationship Id="rId40" Type="http://schemas.openxmlformats.org/officeDocument/2006/relationships/hyperlink" Target="http://probaseballexperience.jcink.net/index.php?showtopic=5303" TargetMode="External"/><Relationship Id="rId45" Type="http://schemas.openxmlformats.org/officeDocument/2006/relationships/hyperlink" Target="http://probaseballexperience.jcink.net/index.php?showtopic=4889" TargetMode="External"/><Relationship Id="rId66" Type="http://schemas.openxmlformats.org/officeDocument/2006/relationships/hyperlink" Target="http://probaseballexperience.jcink.net/index.php?showtopic=5360" TargetMode="External"/><Relationship Id="rId87" Type="http://schemas.openxmlformats.org/officeDocument/2006/relationships/hyperlink" Target="http://probaseballexperience.jcink.net/index.php?showuser=383" TargetMode="External"/><Relationship Id="rId61" Type="http://schemas.openxmlformats.org/officeDocument/2006/relationships/hyperlink" Target="http://probaseballexperience.jcink.net/index.php?showtopic=114" TargetMode="External"/><Relationship Id="rId82" Type="http://schemas.openxmlformats.org/officeDocument/2006/relationships/hyperlink" Target="http://probaseballexperience.jcink.net/index.php?showtopic=5795" TargetMode="External"/><Relationship Id="rId19" Type="http://schemas.openxmlformats.org/officeDocument/2006/relationships/hyperlink" Target="http://probaseballexperience.jcink.net/index.php?showtopic=4392" TargetMode="External"/><Relationship Id="rId14" Type="http://schemas.openxmlformats.org/officeDocument/2006/relationships/hyperlink" Target="http://probaseballexperience.jcink.net/index.php?showtopic=3110" TargetMode="External"/><Relationship Id="rId30" Type="http://schemas.openxmlformats.org/officeDocument/2006/relationships/hyperlink" Target="http://probaseballexperience.jcink.net/index.php?showtopic=4454" TargetMode="External"/><Relationship Id="rId35" Type="http://schemas.openxmlformats.org/officeDocument/2006/relationships/hyperlink" Target="http://probaseballexperience.jcink.net/index.php?showtopic=4610" TargetMode="External"/><Relationship Id="rId56" Type="http://schemas.openxmlformats.org/officeDocument/2006/relationships/hyperlink" Target="http://probaseballexperience.jcink.net/index.php?showuser=129" TargetMode="External"/><Relationship Id="rId77" Type="http://schemas.openxmlformats.org/officeDocument/2006/relationships/hyperlink" Target="http://probaseballexperience.jcink.net/index.php?showtopic=6014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user=326" TargetMode="External"/><Relationship Id="rId21" Type="http://schemas.openxmlformats.org/officeDocument/2006/relationships/hyperlink" Target="http://probaseballexperience.jcink.net/index.php?showtopic=2142" TargetMode="External"/><Relationship Id="rId42" Type="http://schemas.openxmlformats.org/officeDocument/2006/relationships/hyperlink" Target="http://probaseballexperience.jcink.net/index.php?showuser=458" TargetMode="External"/><Relationship Id="rId47" Type="http://schemas.openxmlformats.org/officeDocument/2006/relationships/hyperlink" Target="http://probaseballexperience.jcink.net/index.php?showuser=457" TargetMode="External"/><Relationship Id="rId63" Type="http://schemas.openxmlformats.org/officeDocument/2006/relationships/hyperlink" Target="http://probaseballexperience.jcink.net/index.php?showtopic=6180" TargetMode="External"/><Relationship Id="rId68" Type="http://schemas.openxmlformats.org/officeDocument/2006/relationships/hyperlink" Target="http://probaseballexperience.jcink.net/index.php?showuser=279" TargetMode="External"/><Relationship Id="rId2" Type="http://schemas.openxmlformats.org/officeDocument/2006/relationships/hyperlink" Target="http://probaseballexperience.jcink.net/index.php?showuser=189" TargetMode="External"/><Relationship Id="rId16" Type="http://schemas.openxmlformats.org/officeDocument/2006/relationships/hyperlink" Target="http://probaseballexperience.jcink.net/index.php?showtopic=2569" TargetMode="External"/><Relationship Id="rId29" Type="http://schemas.openxmlformats.org/officeDocument/2006/relationships/hyperlink" Target="http://probaseballexperience.jcink.net/index.php?showuser=1" TargetMode="External"/><Relationship Id="rId11" Type="http://schemas.openxmlformats.org/officeDocument/2006/relationships/hyperlink" Target="http://probaseballexperience.jcink.net/index.php?showuser=334" TargetMode="External"/><Relationship Id="rId24" Type="http://schemas.openxmlformats.org/officeDocument/2006/relationships/hyperlink" Target="http://probaseballexperience.jcink.net/index.php?showtopic=3123" TargetMode="External"/><Relationship Id="rId32" Type="http://schemas.openxmlformats.org/officeDocument/2006/relationships/hyperlink" Target="http://probaseballexperience.jcink.net/index.php?showuser=211" TargetMode="External"/><Relationship Id="rId37" Type="http://schemas.openxmlformats.org/officeDocument/2006/relationships/hyperlink" Target="http://probaseballexperience.jcink.net/index.php?showuser=344" TargetMode="External"/><Relationship Id="rId40" Type="http://schemas.openxmlformats.org/officeDocument/2006/relationships/hyperlink" Target="http://probaseballexperience.jcink.net/index.php?showuser=349" TargetMode="External"/><Relationship Id="rId45" Type="http://schemas.openxmlformats.org/officeDocument/2006/relationships/hyperlink" Target="http://probaseballexperience.jcink.net/index.php?showuser=348" TargetMode="External"/><Relationship Id="rId53" Type="http://schemas.openxmlformats.org/officeDocument/2006/relationships/hyperlink" Target="http://probaseballexperience.jcink.net/index.php?showtopic=3581" TargetMode="External"/><Relationship Id="rId58" Type="http://schemas.openxmlformats.org/officeDocument/2006/relationships/hyperlink" Target="http://probaseballexperience.jcink.net/index.php?showtopic=188" TargetMode="External"/><Relationship Id="rId66" Type="http://schemas.openxmlformats.org/officeDocument/2006/relationships/hyperlink" Target="http://probaseballexperience.jcink.net/index.php?showtopic=6180" TargetMode="External"/><Relationship Id="rId5" Type="http://schemas.openxmlformats.org/officeDocument/2006/relationships/hyperlink" Target="http://probaseballexperience.jcink.net/index.php?showuser=158" TargetMode="External"/><Relationship Id="rId61" Type="http://schemas.openxmlformats.org/officeDocument/2006/relationships/hyperlink" Target="http://probaseballexperience.jcink.net/index.php?showuser=67" TargetMode="External"/><Relationship Id="rId19" Type="http://schemas.openxmlformats.org/officeDocument/2006/relationships/hyperlink" Target="http://probaseballexperience.jcink.net/index.php?showtopic=2142" TargetMode="External"/><Relationship Id="rId14" Type="http://schemas.openxmlformats.org/officeDocument/2006/relationships/hyperlink" Target="http://probaseballexperience.jcink.net/index.php?showuser=17" TargetMode="External"/><Relationship Id="rId22" Type="http://schemas.openxmlformats.org/officeDocument/2006/relationships/hyperlink" Target="http://probaseballexperience.jcink.net/index.php?showtopic=3123" TargetMode="External"/><Relationship Id="rId27" Type="http://schemas.openxmlformats.org/officeDocument/2006/relationships/hyperlink" Target="http://probaseballexperience.jcink.net/index.php?showtopic=3561" TargetMode="External"/><Relationship Id="rId30" Type="http://schemas.openxmlformats.org/officeDocument/2006/relationships/hyperlink" Target="http://probaseballexperience.jcink.net/index.php?showtopic=2525" TargetMode="External"/><Relationship Id="rId35" Type="http://schemas.openxmlformats.org/officeDocument/2006/relationships/hyperlink" Target="http://probaseballexperience.jcink.net/index.php?showtopic=4870" TargetMode="External"/><Relationship Id="rId43" Type="http://schemas.openxmlformats.org/officeDocument/2006/relationships/hyperlink" Target="http://probaseballexperience.jcink.net/index.php?showtopic=5085" TargetMode="External"/><Relationship Id="rId48" Type="http://schemas.openxmlformats.org/officeDocument/2006/relationships/hyperlink" Target="http://probaseballexperience.jcink.net/index.php?showtopic=5083" TargetMode="External"/><Relationship Id="rId56" Type="http://schemas.openxmlformats.org/officeDocument/2006/relationships/hyperlink" Target="http://probaseballexperience.jcink.net/index.php?showtopic=188" TargetMode="External"/><Relationship Id="rId64" Type="http://schemas.openxmlformats.org/officeDocument/2006/relationships/hyperlink" Target="http://probaseballexperience.jcink.net/index.php?showuser=543" TargetMode="External"/><Relationship Id="rId69" Type="http://schemas.openxmlformats.org/officeDocument/2006/relationships/hyperlink" Target="http://probaseballexperience.jcink.net/index.php?showtopic=2674" TargetMode="External"/><Relationship Id="rId8" Type="http://schemas.openxmlformats.org/officeDocument/2006/relationships/hyperlink" Target="http://probaseballexperience.jcink.net/index.php?showuser=19" TargetMode="External"/><Relationship Id="rId51" Type="http://schemas.openxmlformats.org/officeDocument/2006/relationships/hyperlink" Target="http://probaseballexperience.jcink.net/index.php?showtopic=3019" TargetMode="External"/><Relationship Id="rId72" Type="http://schemas.openxmlformats.org/officeDocument/2006/relationships/table" Target="../tables/table6.xml"/><Relationship Id="rId3" Type="http://schemas.openxmlformats.org/officeDocument/2006/relationships/hyperlink" Target="http://probaseballexperience.jcink.net/index.php?showtopic=1161" TargetMode="External"/><Relationship Id="rId12" Type="http://schemas.openxmlformats.org/officeDocument/2006/relationships/hyperlink" Target="http://probaseballexperience.jcink.net/index.php?showtopic=3586" TargetMode="External"/><Relationship Id="rId17" Type="http://schemas.openxmlformats.org/officeDocument/2006/relationships/hyperlink" Target="http://probaseballexperience.jcink.net/index.php?showuser=21" TargetMode="External"/><Relationship Id="rId25" Type="http://schemas.openxmlformats.org/officeDocument/2006/relationships/hyperlink" Target="http://probaseballexperience.jcink.net/index.php?showtopic=3561" TargetMode="External"/><Relationship Id="rId33" Type="http://schemas.openxmlformats.org/officeDocument/2006/relationships/hyperlink" Target="http://probaseballexperience.jcink.net/index.php?showtopic=1664" TargetMode="External"/><Relationship Id="rId38" Type="http://schemas.openxmlformats.org/officeDocument/2006/relationships/hyperlink" Target="http://probaseballexperience.jcink.net/index.php?showtopic=3781" TargetMode="External"/><Relationship Id="rId46" Type="http://schemas.openxmlformats.org/officeDocument/2006/relationships/hyperlink" Target="http://probaseballexperience.jcink.net/index.php?showtopic=3909" TargetMode="External"/><Relationship Id="rId59" Type="http://schemas.openxmlformats.org/officeDocument/2006/relationships/hyperlink" Target="http://probaseballexperience.jcink.net/index.php?showuser=504" TargetMode="External"/><Relationship Id="rId67" Type="http://schemas.openxmlformats.org/officeDocument/2006/relationships/hyperlink" Target="http://probaseballexperience.jcink.net/index.php?showtopic=2674" TargetMode="External"/><Relationship Id="rId20" Type="http://schemas.openxmlformats.org/officeDocument/2006/relationships/hyperlink" Target="http://probaseballexperience.jcink.net/index.php?showuser=27" TargetMode="External"/><Relationship Id="rId41" Type="http://schemas.openxmlformats.org/officeDocument/2006/relationships/hyperlink" Target="http://probaseballexperience.jcink.net/index.php?showtopic=3910" TargetMode="External"/><Relationship Id="rId54" Type="http://schemas.openxmlformats.org/officeDocument/2006/relationships/hyperlink" Target="http://probaseballexperience.jcink.net/index.php?showuser=331" TargetMode="External"/><Relationship Id="rId62" Type="http://schemas.openxmlformats.org/officeDocument/2006/relationships/hyperlink" Target="http://probaseballexperience.jcink.net/index.php?showtopic=5821" TargetMode="External"/><Relationship Id="rId70" Type="http://schemas.openxmlformats.org/officeDocument/2006/relationships/hyperlink" Target="http://probaseballexperience.jcink.net/index.php?showtopic=4884" TargetMode="External"/><Relationship Id="rId1" Type="http://schemas.openxmlformats.org/officeDocument/2006/relationships/hyperlink" Target="http://probaseballexperience.jcink.net/index.php?showtopic=1161" TargetMode="External"/><Relationship Id="rId6" Type="http://schemas.openxmlformats.org/officeDocument/2006/relationships/hyperlink" Target="http://probaseballexperience.jcink.net/index.php?showtopic=1045" TargetMode="External"/><Relationship Id="rId15" Type="http://schemas.openxmlformats.org/officeDocument/2006/relationships/hyperlink" Target="http://probaseballexperience.jcink.net/index.php?showtopic=2467" TargetMode="External"/><Relationship Id="rId23" Type="http://schemas.openxmlformats.org/officeDocument/2006/relationships/hyperlink" Target="http://probaseballexperience.jcink.net/index.php?showuser=292" TargetMode="External"/><Relationship Id="rId28" Type="http://schemas.openxmlformats.org/officeDocument/2006/relationships/hyperlink" Target="http://probaseballexperience.jcink.net/index.php?showtopic=2525" TargetMode="External"/><Relationship Id="rId36" Type="http://schemas.openxmlformats.org/officeDocument/2006/relationships/hyperlink" Target="http://probaseballexperience.jcink.net/index.php?showtopic=3781" TargetMode="External"/><Relationship Id="rId49" Type="http://schemas.openxmlformats.org/officeDocument/2006/relationships/hyperlink" Target="http://probaseballexperience.jcink.net/index.php?showtopic=3019" TargetMode="External"/><Relationship Id="rId57" Type="http://schemas.openxmlformats.org/officeDocument/2006/relationships/hyperlink" Target="http://probaseballexperience.jcink.net/index.php?showuser=67" TargetMode="External"/><Relationship Id="rId10" Type="http://schemas.openxmlformats.org/officeDocument/2006/relationships/hyperlink" Target="http://probaseballexperience.jcink.net/index.php?showtopic=3586" TargetMode="External"/><Relationship Id="rId31" Type="http://schemas.openxmlformats.org/officeDocument/2006/relationships/hyperlink" Target="http://probaseballexperience.jcink.net/index.php?showtopic=1664" TargetMode="External"/><Relationship Id="rId44" Type="http://schemas.openxmlformats.org/officeDocument/2006/relationships/hyperlink" Target="http://probaseballexperience.jcink.net/index.php?showtopic=3909" TargetMode="External"/><Relationship Id="rId52" Type="http://schemas.openxmlformats.org/officeDocument/2006/relationships/hyperlink" Target="http://probaseballexperience.jcink.net/index.php?showtopic=5914" TargetMode="External"/><Relationship Id="rId60" Type="http://schemas.openxmlformats.org/officeDocument/2006/relationships/hyperlink" Target="http://probaseballexperience.jcink.net/index.php?showtopic=5754" TargetMode="External"/><Relationship Id="rId65" Type="http://schemas.openxmlformats.org/officeDocument/2006/relationships/hyperlink" Target="http://probaseballexperience.jcink.net/index.php?showtopic=5835" TargetMode="External"/><Relationship Id="rId73" Type="http://schemas.openxmlformats.org/officeDocument/2006/relationships/comments" Target="../comments5.xml"/><Relationship Id="rId4" Type="http://schemas.openxmlformats.org/officeDocument/2006/relationships/hyperlink" Target="http://probaseballexperience.jcink.net/index.php?showtopic=1045" TargetMode="External"/><Relationship Id="rId9" Type="http://schemas.openxmlformats.org/officeDocument/2006/relationships/hyperlink" Target="http://probaseballexperience.jcink.net/index.php?showtopic=66" TargetMode="External"/><Relationship Id="rId13" Type="http://schemas.openxmlformats.org/officeDocument/2006/relationships/hyperlink" Target="http://probaseballexperience.jcink.net/index.php?showtopic=2467" TargetMode="External"/><Relationship Id="rId18" Type="http://schemas.openxmlformats.org/officeDocument/2006/relationships/hyperlink" Target="http://probaseballexperience.jcink.net/index.php?showtopic=2569" TargetMode="External"/><Relationship Id="rId39" Type="http://schemas.openxmlformats.org/officeDocument/2006/relationships/hyperlink" Target="http://probaseballexperience.jcink.net/index.php?showtopic=3910" TargetMode="External"/><Relationship Id="rId34" Type="http://schemas.openxmlformats.org/officeDocument/2006/relationships/hyperlink" Target="http://probaseballexperience.jcink.net/index.php?showuser=440" TargetMode="External"/><Relationship Id="rId50" Type="http://schemas.openxmlformats.org/officeDocument/2006/relationships/hyperlink" Target="http://probaseballexperience.jcink.net/index.php?showuser=131" TargetMode="External"/><Relationship Id="rId55" Type="http://schemas.openxmlformats.org/officeDocument/2006/relationships/hyperlink" Target="http://probaseballexperience.jcink.net/index.php?showtopic=3581" TargetMode="External"/><Relationship Id="rId7" Type="http://schemas.openxmlformats.org/officeDocument/2006/relationships/hyperlink" Target="http://probaseballexperience.jcink.net/index.php?showtopic=66" TargetMode="External"/><Relationship Id="rId7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topic=4697" TargetMode="External"/><Relationship Id="rId21" Type="http://schemas.openxmlformats.org/officeDocument/2006/relationships/hyperlink" Target="http://probaseballexperience.jcink.net/index.php?showtopic=3736" TargetMode="External"/><Relationship Id="rId42" Type="http://schemas.openxmlformats.org/officeDocument/2006/relationships/hyperlink" Target="http://probaseballexperience.jcink.net/index.php?showtopic=5059" TargetMode="External"/><Relationship Id="rId47" Type="http://schemas.openxmlformats.org/officeDocument/2006/relationships/hyperlink" Target="http://probaseballexperience.jcink.net/index.php?showtopic=3286" TargetMode="External"/><Relationship Id="rId63" Type="http://schemas.openxmlformats.org/officeDocument/2006/relationships/hyperlink" Target="http://probaseballexperience.jcink.net/index.php?showuser=34" TargetMode="External"/><Relationship Id="rId68" Type="http://schemas.openxmlformats.org/officeDocument/2006/relationships/hyperlink" Target="http://probaseballexperience.jcink.net/index.php?showtopic=1757" TargetMode="External"/><Relationship Id="rId84" Type="http://schemas.openxmlformats.org/officeDocument/2006/relationships/hyperlink" Target="http://probaseballexperience.jcink.net/index.php?showuser=347" TargetMode="External"/><Relationship Id="rId89" Type="http://schemas.openxmlformats.org/officeDocument/2006/relationships/vmlDrawing" Target="../drawings/vmlDrawing6.vml"/><Relationship Id="rId16" Type="http://schemas.openxmlformats.org/officeDocument/2006/relationships/hyperlink" Target="http://probaseballexperience.jcink.net/index.php?showtopic=3967" TargetMode="External"/><Relationship Id="rId11" Type="http://schemas.openxmlformats.org/officeDocument/2006/relationships/hyperlink" Target="http://probaseballexperience.jcink.net/index.php?showuser=302" TargetMode="External"/><Relationship Id="rId32" Type="http://schemas.openxmlformats.org/officeDocument/2006/relationships/hyperlink" Target="http://probaseballexperience.jcink.net/index.php?showuser=425" TargetMode="External"/><Relationship Id="rId37" Type="http://schemas.openxmlformats.org/officeDocument/2006/relationships/hyperlink" Target="http://probaseballexperience.jcink.net/index.php?showuser=49" TargetMode="External"/><Relationship Id="rId53" Type="http://schemas.openxmlformats.org/officeDocument/2006/relationships/hyperlink" Target="http://probaseballexperience.jcink.net/index.php?showuser=481" TargetMode="External"/><Relationship Id="rId58" Type="http://schemas.openxmlformats.org/officeDocument/2006/relationships/hyperlink" Target="http://probaseballexperience.jcink.net/index.php?showtopic=5312" TargetMode="External"/><Relationship Id="rId74" Type="http://schemas.openxmlformats.org/officeDocument/2006/relationships/hyperlink" Target="http://probaseballexperience.jcink.net/index.php?showtopic=6073" TargetMode="External"/><Relationship Id="rId79" Type="http://schemas.openxmlformats.org/officeDocument/2006/relationships/hyperlink" Target="http://probaseballexperience.jcink.net/index.php?showtopic=5780" TargetMode="External"/><Relationship Id="rId5" Type="http://schemas.openxmlformats.org/officeDocument/2006/relationships/hyperlink" Target="http://probaseballexperience.jcink.net/index.php?showuser=254" TargetMode="External"/><Relationship Id="rId90" Type="http://schemas.openxmlformats.org/officeDocument/2006/relationships/table" Target="../tables/table7.xml"/><Relationship Id="rId14" Type="http://schemas.openxmlformats.org/officeDocument/2006/relationships/hyperlink" Target="http://probaseballexperience.jcink.net/index.php?showuser=98" TargetMode="External"/><Relationship Id="rId22" Type="http://schemas.openxmlformats.org/officeDocument/2006/relationships/hyperlink" Target="http://probaseballexperience.jcink.net/index.php?showtopic=2930" TargetMode="External"/><Relationship Id="rId27" Type="http://schemas.openxmlformats.org/officeDocument/2006/relationships/hyperlink" Target="http://probaseballexperience.jcink.net/index.php?showtopic=3881" TargetMode="External"/><Relationship Id="rId30" Type="http://schemas.openxmlformats.org/officeDocument/2006/relationships/hyperlink" Target="http://probaseballexperience.jcink.net/index.php?showuser=391" TargetMode="External"/><Relationship Id="rId35" Type="http://schemas.openxmlformats.org/officeDocument/2006/relationships/hyperlink" Target="http://probaseballexperience.jcink.net/index.php?showtopic=4912" TargetMode="External"/><Relationship Id="rId43" Type="http://schemas.openxmlformats.org/officeDocument/2006/relationships/hyperlink" Target="http://probaseballexperience.jcink.net/index.php?showtopic=5312" TargetMode="External"/><Relationship Id="rId48" Type="http://schemas.openxmlformats.org/officeDocument/2006/relationships/hyperlink" Target="http://probaseballexperience.jcink.net/index.php?showuser=318" TargetMode="External"/><Relationship Id="rId56" Type="http://schemas.openxmlformats.org/officeDocument/2006/relationships/hyperlink" Target="http://probaseballexperience.jcink.net/index.php?showuser=475" TargetMode="External"/><Relationship Id="rId64" Type="http://schemas.openxmlformats.org/officeDocument/2006/relationships/hyperlink" Target="http://probaseballexperience.jcink.net/index.php?showtopic=100" TargetMode="External"/><Relationship Id="rId69" Type="http://schemas.openxmlformats.org/officeDocument/2006/relationships/hyperlink" Target="http://probaseballexperience.jcink.net/index.php?showtopic=3438" TargetMode="External"/><Relationship Id="rId77" Type="http://schemas.openxmlformats.org/officeDocument/2006/relationships/hyperlink" Target="http://probaseballexperience.jcink.net/index.php?showtopic=6073&amp;st=0&amp;" TargetMode="External"/><Relationship Id="rId8" Type="http://schemas.openxmlformats.org/officeDocument/2006/relationships/hyperlink" Target="http://probaseballexperience.jcink.net/index.php?showuser=263" TargetMode="External"/><Relationship Id="rId51" Type="http://schemas.openxmlformats.org/officeDocument/2006/relationships/hyperlink" Target="http://probaseballexperience.jcink.net/index.php?showuser=415" TargetMode="External"/><Relationship Id="rId72" Type="http://schemas.openxmlformats.org/officeDocument/2006/relationships/hyperlink" Target="http://probaseballexperience.jcink.net/index.php?showuser=492" TargetMode="External"/><Relationship Id="rId80" Type="http://schemas.openxmlformats.org/officeDocument/2006/relationships/hyperlink" Target="http://probaseballexperience.jcink.net/index.php?showuser=488" TargetMode="External"/><Relationship Id="rId85" Type="http://schemas.openxmlformats.org/officeDocument/2006/relationships/hyperlink" Target="http://probaseballexperience.jcink.net/index.php?showtopic=3889" TargetMode="External"/><Relationship Id="rId3" Type="http://schemas.openxmlformats.org/officeDocument/2006/relationships/hyperlink" Target="http://probaseballexperience.jcink.net/index.php?showtopic=2154" TargetMode="External"/><Relationship Id="rId12" Type="http://schemas.openxmlformats.org/officeDocument/2006/relationships/hyperlink" Target="http://probaseballexperience.jcink.net/index.php?showtopic=3087" TargetMode="External"/><Relationship Id="rId17" Type="http://schemas.openxmlformats.org/officeDocument/2006/relationships/hyperlink" Target="http://probaseballexperience.jcink.net/index.php?showuser=9" TargetMode="External"/><Relationship Id="rId25" Type="http://schemas.openxmlformats.org/officeDocument/2006/relationships/hyperlink" Target="http://probaseballexperience.jcink.net/index.php?showuser=433" TargetMode="External"/><Relationship Id="rId33" Type="http://schemas.openxmlformats.org/officeDocument/2006/relationships/hyperlink" Target="http://probaseballexperience.jcink.net/index.php?showtopic=4617" TargetMode="External"/><Relationship Id="rId38" Type="http://schemas.openxmlformats.org/officeDocument/2006/relationships/hyperlink" Target="http://probaseballexperience.jcink.net/index.php?showtopic=4484" TargetMode="External"/><Relationship Id="rId46" Type="http://schemas.openxmlformats.org/officeDocument/2006/relationships/hyperlink" Target="http://probaseballexperience.jcink.net/index.php?showtopic=5312" TargetMode="External"/><Relationship Id="rId59" Type="http://schemas.openxmlformats.org/officeDocument/2006/relationships/hyperlink" Target="http://probaseballexperience.jcink.net/index.php?showtopic=3211" TargetMode="External"/><Relationship Id="rId67" Type="http://schemas.openxmlformats.org/officeDocument/2006/relationships/hyperlink" Target="http://probaseballexperience.jcink.net/index.php?showuser=147" TargetMode="External"/><Relationship Id="rId20" Type="http://schemas.openxmlformats.org/officeDocument/2006/relationships/hyperlink" Target="http://probaseballexperience.jcink.net/index.php?showuser=134" TargetMode="External"/><Relationship Id="rId41" Type="http://schemas.openxmlformats.org/officeDocument/2006/relationships/hyperlink" Target="http://probaseballexperience.jcink.net/index.php?showuser=339" TargetMode="External"/><Relationship Id="rId54" Type="http://schemas.openxmlformats.org/officeDocument/2006/relationships/hyperlink" Target="http://probaseballexperience.jcink.net/index.php?showtopic=5267" TargetMode="External"/><Relationship Id="rId62" Type="http://schemas.openxmlformats.org/officeDocument/2006/relationships/hyperlink" Target="http://probaseballexperience.jcink.net/index.php?showtopic=100" TargetMode="External"/><Relationship Id="rId70" Type="http://schemas.openxmlformats.org/officeDocument/2006/relationships/hyperlink" Target="http://probaseballexperience.jcink.net/index.php?showuser=323" TargetMode="External"/><Relationship Id="rId75" Type="http://schemas.openxmlformats.org/officeDocument/2006/relationships/hyperlink" Target="http://probaseballexperience.jcink.net/index.php?showuser=550" TargetMode="External"/><Relationship Id="rId83" Type="http://schemas.openxmlformats.org/officeDocument/2006/relationships/hyperlink" Target="http://probaseballexperience.jcink.net/index.php?showtopic=3889" TargetMode="External"/><Relationship Id="rId88" Type="http://schemas.openxmlformats.org/officeDocument/2006/relationships/hyperlink" Target="http://probaseballexperience.jcink.net/index.php?showtopic=1035" TargetMode="External"/><Relationship Id="rId91" Type="http://schemas.openxmlformats.org/officeDocument/2006/relationships/comments" Target="../comments6.xml"/><Relationship Id="rId1" Type="http://schemas.openxmlformats.org/officeDocument/2006/relationships/hyperlink" Target="http://probaseballexperience.jcink.net/index.php?showtopic=2154" TargetMode="External"/><Relationship Id="rId6" Type="http://schemas.openxmlformats.org/officeDocument/2006/relationships/hyperlink" Target="http://probaseballexperience.jcink.net/index.php?showtopic=2455" TargetMode="External"/><Relationship Id="rId15" Type="http://schemas.openxmlformats.org/officeDocument/2006/relationships/hyperlink" Target="http://probaseballexperience.jcink.net/index.php?showtopic=256" TargetMode="External"/><Relationship Id="rId23" Type="http://schemas.openxmlformats.org/officeDocument/2006/relationships/hyperlink" Target="http://probaseballexperience.jcink.net/index.php?showuser=283" TargetMode="External"/><Relationship Id="rId28" Type="http://schemas.openxmlformats.org/officeDocument/2006/relationships/hyperlink" Target="http://probaseballexperience.jcink.net/index.php?showuser=163" TargetMode="External"/><Relationship Id="rId36" Type="http://schemas.openxmlformats.org/officeDocument/2006/relationships/hyperlink" Target="http://probaseballexperience.jcink.net/index.php?showtopic=5312" TargetMode="External"/><Relationship Id="rId49" Type="http://schemas.openxmlformats.org/officeDocument/2006/relationships/hyperlink" Target="http://probaseballexperience.jcink.net/index.php?showuser=423" TargetMode="External"/><Relationship Id="rId57" Type="http://schemas.openxmlformats.org/officeDocument/2006/relationships/hyperlink" Target="http://probaseballexperience.jcink.net/index.php?showtopic=5152" TargetMode="External"/><Relationship Id="rId10" Type="http://schemas.openxmlformats.org/officeDocument/2006/relationships/hyperlink" Target="http://probaseballexperience.jcink.net/index.php?showtopic=3087" TargetMode="External"/><Relationship Id="rId31" Type="http://schemas.openxmlformats.org/officeDocument/2006/relationships/hyperlink" Target="http://probaseballexperience.jcink.net/index.php?showtopic=4491" TargetMode="External"/><Relationship Id="rId44" Type="http://schemas.openxmlformats.org/officeDocument/2006/relationships/hyperlink" Target="http://probaseballexperience.jcink.net/index.php?showuser=460" TargetMode="External"/><Relationship Id="rId52" Type="http://schemas.openxmlformats.org/officeDocument/2006/relationships/hyperlink" Target="http://probaseballexperience.jcink.net/index.php?showtopic=4592" TargetMode="External"/><Relationship Id="rId60" Type="http://schemas.openxmlformats.org/officeDocument/2006/relationships/hyperlink" Target="http://probaseballexperience.jcink.net/index.php?showuser=316" TargetMode="External"/><Relationship Id="rId65" Type="http://schemas.openxmlformats.org/officeDocument/2006/relationships/hyperlink" Target="http://probaseballexperience.jcink.net/index.php?showtopic=5123&amp;view=findpost&amp;p=61652" TargetMode="External"/><Relationship Id="rId73" Type="http://schemas.openxmlformats.org/officeDocument/2006/relationships/hyperlink" Target="http://probaseballexperience.jcink.net/index.php?showtopic=5613" TargetMode="External"/><Relationship Id="rId78" Type="http://schemas.openxmlformats.org/officeDocument/2006/relationships/hyperlink" Target="http://probaseballexperience.jcink.net/index.php?showuser=98" TargetMode="External"/><Relationship Id="rId81" Type="http://schemas.openxmlformats.org/officeDocument/2006/relationships/hyperlink" Target="http://probaseballexperience.jcink.net/index.php?showtopic=5689" TargetMode="External"/><Relationship Id="rId86" Type="http://schemas.openxmlformats.org/officeDocument/2006/relationships/hyperlink" Target="http://probaseballexperience.jcink.net/index.php?showtopic=1035" TargetMode="External"/><Relationship Id="rId4" Type="http://schemas.openxmlformats.org/officeDocument/2006/relationships/hyperlink" Target="http://probaseballexperience.jcink.net/index.php?showtopic=2455" TargetMode="External"/><Relationship Id="rId9" Type="http://schemas.openxmlformats.org/officeDocument/2006/relationships/hyperlink" Target="http://probaseballexperience.jcink.net/index.php?showtopic=2590" TargetMode="External"/><Relationship Id="rId13" Type="http://schemas.openxmlformats.org/officeDocument/2006/relationships/hyperlink" Target="http://probaseballexperience.jcink.net/index.php?showtopic=256" TargetMode="External"/><Relationship Id="rId18" Type="http://schemas.openxmlformats.org/officeDocument/2006/relationships/hyperlink" Target="http://probaseballexperience.jcink.net/index.php?showtopic=3967" TargetMode="External"/><Relationship Id="rId39" Type="http://schemas.openxmlformats.org/officeDocument/2006/relationships/hyperlink" Target="http://probaseballexperience.jcink.net/index.php?showuser=413" TargetMode="External"/><Relationship Id="rId34" Type="http://schemas.openxmlformats.org/officeDocument/2006/relationships/hyperlink" Target="http://probaseballexperience.jcink.net/index.php?showuser=446" TargetMode="External"/><Relationship Id="rId50" Type="http://schemas.openxmlformats.org/officeDocument/2006/relationships/hyperlink" Target="http://probaseballexperience.jcink.net/index.php?showtopic=4614" TargetMode="External"/><Relationship Id="rId55" Type="http://schemas.openxmlformats.org/officeDocument/2006/relationships/hyperlink" Target="http://probaseballexperience.jcink.net/index.php?showtopic=5312" TargetMode="External"/><Relationship Id="rId76" Type="http://schemas.openxmlformats.org/officeDocument/2006/relationships/hyperlink" Target="http://probaseballexperience.jcink.net/index.php?showtopic=5883" TargetMode="External"/><Relationship Id="rId7" Type="http://schemas.openxmlformats.org/officeDocument/2006/relationships/hyperlink" Target="http://probaseballexperience.jcink.net/index.php?showtopic=2590" TargetMode="External"/><Relationship Id="rId71" Type="http://schemas.openxmlformats.org/officeDocument/2006/relationships/hyperlink" Target="http://probaseballexperience.jcink.net/index.php?showtopic=3438" TargetMode="External"/><Relationship Id="rId2" Type="http://schemas.openxmlformats.org/officeDocument/2006/relationships/hyperlink" Target="http://probaseballexperience.jcink.net/index.php?showuser=234" TargetMode="External"/><Relationship Id="rId29" Type="http://schemas.openxmlformats.org/officeDocument/2006/relationships/hyperlink" Target="http://probaseballexperience.jcink.net/index.php?showtopic=3881" TargetMode="External"/><Relationship Id="rId24" Type="http://schemas.openxmlformats.org/officeDocument/2006/relationships/hyperlink" Target="http://probaseballexperience.jcink.net/index.php?showtopic=2930" TargetMode="External"/><Relationship Id="rId40" Type="http://schemas.openxmlformats.org/officeDocument/2006/relationships/hyperlink" Target="http://probaseballexperience.jcink.net/index.php?showtopic=4593" TargetMode="External"/><Relationship Id="rId45" Type="http://schemas.openxmlformats.org/officeDocument/2006/relationships/hyperlink" Target="http://probaseballexperience.jcink.net/index.php?showtopic=5092" TargetMode="External"/><Relationship Id="rId66" Type="http://schemas.openxmlformats.org/officeDocument/2006/relationships/hyperlink" Target="http://probaseballexperience.jcink.net/index.php?showtopic=1757" TargetMode="External"/><Relationship Id="rId87" Type="http://schemas.openxmlformats.org/officeDocument/2006/relationships/hyperlink" Target="http://probaseballexperience.jcink.net/index.php?showuser=150" TargetMode="External"/><Relationship Id="rId61" Type="http://schemas.openxmlformats.org/officeDocument/2006/relationships/hyperlink" Target="http://probaseballexperience.jcink.net/index.php?showtopic=3211" TargetMode="External"/><Relationship Id="rId82" Type="http://schemas.openxmlformats.org/officeDocument/2006/relationships/hyperlink" Target="http://probaseballexperience.jcink.net/index.php?showtopic=6073&amp;st=0&amp;" TargetMode="External"/><Relationship Id="rId19" Type="http://schemas.openxmlformats.org/officeDocument/2006/relationships/hyperlink" Target="http://probaseballexperience.jcink.net/index.php?showtopic=3736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topic=3567" TargetMode="External"/><Relationship Id="rId21" Type="http://schemas.openxmlformats.org/officeDocument/2006/relationships/hyperlink" Target="http://probaseballexperience.jcink.net/index.php?showtopic=4552" TargetMode="External"/><Relationship Id="rId42" Type="http://schemas.openxmlformats.org/officeDocument/2006/relationships/hyperlink" Target="http://probaseballexperience.jcink.net/index.php?showuser=48" TargetMode="External"/><Relationship Id="rId47" Type="http://schemas.openxmlformats.org/officeDocument/2006/relationships/hyperlink" Target="http://probaseballexperience.jcink.net/index.php?showtopic=5313" TargetMode="External"/><Relationship Id="rId63" Type="http://schemas.openxmlformats.org/officeDocument/2006/relationships/hyperlink" Target="http://probaseballexperience.jcink.net/index.php?showuser=44" TargetMode="External"/><Relationship Id="rId68" Type="http://schemas.openxmlformats.org/officeDocument/2006/relationships/hyperlink" Target="http://probaseballexperience.jcink.net/index.php?showtopic=5789" TargetMode="External"/><Relationship Id="rId84" Type="http://schemas.openxmlformats.org/officeDocument/2006/relationships/comments" Target="../comments7.xml"/><Relationship Id="rId16" Type="http://schemas.openxmlformats.org/officeDocument/2006/relationships/hyperlink" Target="http://probaseballexperience.jcink.net/index.php?showtopic=2989" TargetMode="External"/><Relationship Id="rId11" Type="http://schemas.openxmlformats.org/officeDocument/2006/relationships/hyperlink" Target="http://probaseballexperience.jcink.net/index.php?showtopic=72" TargetMode="External"/><Relationship Id="rId32" Type="http://schemas.openxmlformats.org/officeDocument/2006/relationships/hyperlink" Target="http://probaseballexperience.jcink.net/index.php?showtopic=4564" TargetMode="External"/><Relationship Id="rId37" Type="http://schemas.openxmlformats.org/officeDocument/2006/relationships/hyperlink" Target="http://probaseballexperience.jcink.net/index.php?showtopic=5313" TargetMode="External"/><Relationship Id="rId53" Type="http://schemas.openxmlformats.org/officeDocument/2006/relationships/hyperlink" Target="http://probaseballexperience.jcink.net/index.php?showuser=473" TargetMode="External"/><Relationship Id="rId58" Type="http://schemas.openxmlformats.org/officeDocument/2006/relationships/hyperlink" Target="http://probaseballexperience.jcink.net/index.php?showtopic=1532" TargetMode="External"/><Relationship Id="rId74" Type="http://schemas.openxmlformats.org/officeDocument/2006/relationships/hyperlink" Target="http://probaseballexperience.jcink.net/index.php?showtopic=6010" TargetMode="External"/><Relationship Id="rId79" Type="http://schemas.openxmlformats.org/officeDocument/2006/relationships/hyperlink" Target="http://probaseballexperience.jcink.net/index.php?showtopic=6010" TargetMode="External"/><Relationship Id="rId5" Type="http://schemas.openxmlformats.org/officeDocument/2006/relationships/hyperlink" Target="http://probaseballexperience.jcink.net/index.php?showuser=81" TargetMode="External"/><Relationship Id="rId61" Type="http://schemas.openxmlformats.org/officeDocument/2006/relationships/hyperlink" Target="http://probaseballexperience.jcink.net/index.php?showtopic=5307" TargetMode="External"/><Relationship Id="rId82" Type="http://schemas.openxmlformats.org/officeDocument/2006/relationships/vmlDrawing" Target="../drawings/vmlDrawing7.vml"/><Relationship Id="rId19" Type="http://schemas.openxmlformats.org/officeDocument/2006/relationships/hyperlink" Target="http://probaseballexperience.jcink.net/index.php?showtopic=3430" TargetMode="External"/><Relationship Id="rId14" Type="http://schemas.openxmlformats.org/officeDocument/2006/relationships/hyperlink" Target="http://probaseballexperience.jcink.net/index.php?showtopic=2989" TargetMode="External"/><Relationship Id="rId22" Type="http://schemas.openxmlformats.org/officeDocument/2006/relationships/hyperlink" Target="http://probaseballexperience.jcink.net/index.php?showuser=431" TargetMode="External"/><Relationship Id="rId27" Type="http://schemas.openxmlformats.org/officeDocument/2006/relationships/hyperlink" Target="http://probaseballexperience.jcink.net/index.php?showuser=408" TargetMode="External"/><Relationship Id="rId30" Type="http://schemas.openxmlformats.org/officeDocument/2006/relationships/hyperlink" Target="http://probaseballexperience.jcink.net/index.php?showtopic=4437" TargetMode="External"/><Relationship Id="rId35" Type="http://schemas.openxmlformats.org/officeDocument/2006/relationships/hyperlink" Target="http://probaseballexperience.jcink.net/index.php?showuser=450" TargetMode="External"/><Relationship Id="rId43" Type="http://schemas.openxmlformats.org/officeDocument/2006/relationships/hyperlink" Target="http://probaseballexperience.jcink.net/index.php?showtopic=5079" TargetMode="External"/><Relationship Id="rId48" Type="http://schemas.openxmlformats.org/officeDocument/2006/relationships/hyperlink" Target="http://probaseballexperience.jcink.net/index.php?showuser=402" TargetMode="External"/><Relationship Id="rId56" Type="http://schemas.openxmlformats.org/officeDocument/2006/relationships/hyperlink" Target="http://probaseballexperience.jcink.net/index.php?showtopic=1532" TargetMode="External"/><Relationship Id="rId64" Type="http://schemas.openxmlformats.org/officeDocument/2006/relationships/hyperlink" Target="http://probaseballexperience.jcink.net/index.php?showtopic=123" TargetMode="External"/><Relationship Id="rId69" Type="http://schemas.openxmlformats.org/officeDocument/2006/relationships/hyperlink" Target="http://probaseballexperience.jcink.net/index.php?showtopic=6010" TargetMode="External"/><Relationship Id="rId77" Type="http://schemas.openxmlformats.org/officeDocument/2006/relationships/hyperlink" Target="http://probaseballexperience.jcink.net/index.php?showuser=487" TargetMode="External"/><Relationship Id="rId8" Type="http://schemas.openxmlformats.org/officeDocument/2006/relationships/hyperlink" Target="http://probaseballexperience.jcink.net/index.php?showuser=461" TargetMode="External"/><Relationship Id="rId51" Type="http://schemas.openxmlformats.org/officeDocument/2006/relationships/hyperlink" Target="http://probaseballexperience.jcink.net/index.php?showtopic=5136" TargetMode="External"/><Relationship Id="rId72" Type="http://schemas.openxmlformats.org/officeDocument/2006/relationships/hyperlink" Target="http://probaseballexperience.jcink.net/index.php?showuser=502" TargetMode="External"/><Relationship Id="rId80" Type="http://schemas.openxmlformats.org/officeDocument/2006/relationships/hyperlink" Target="http://probaseballexperience.jcink.net/index.php?showuser=509" TargetMode="External"/><Relationship Id="rId3" Type="http://schemas.openxmlformats.org/officeDocument/2006/relationships/hyperlink" Target="http://probaseballexperience.jcink.net/index.php?showtopic=84" TargetMode="External"/><Relationship Id="rId12" Type="http://schemas.openxmlformats.org/officeDocument/2006/relationships/hyperlink" Target="http://probaseballexperience.jcink.net/index.php?showuser=12" TargetMode="External"/><Relationship Id="rId17" Type="http://schemas.openxmlformats.org/officeDocument/2006/relationships/hyperlink" Target="http://probaseballexperience.jcink.net/index.php?showtopic=3430&amp;view=findpost&amp;p=37310" TargetMode="External"/><Relationship Id="rId25" Type="http://schemas.openxmlformats.org/officeDocument/2006/relationships/hyperlink" Target="http://probaseballexperience.jcink.net/index.php?showuser=327" TargetMode="External"/><Relationship Id="rId33" Type="http://schemas.openxmlformats.org/officeDocument/2006/relationships/hyperlink" Target="http://probaseballexperience.jcink.net/index.php?showuser=400" TargetMode="External"/><Relationship Id="rId38" Type="http://schemas.openxmlformats.org/officeDocument/2006/relationships/hyperlink" Target="http://probaseballexperience.jcink.net/index.php?showuser=463" TargetMode="External"/><Relationship Id="rId46" Type="http://schemas.openxmlformats.org/officeDocument/2006/relationships/hyperlink" Target="http://probaseballexperience.jcink.net/index.php?showtopic=5268" TargetMode="External"/><Relationship Id="rId59" Type="http://schemas.openxmlformats.org/officeDocument/2006/relationships/hyperlink" Target="http://probaseballexperience.jcink.net/index.php?showuser=437" TargetMode="External"/><Relationship Id="rId67" Type="http://schemas.openxmlformats.org/officeDocument/2006/relationships/hyperlink" Target="http://probaseballexperience.jcink.net/index.php?showuser=514" TargetMode="External"/><Relationship Id="rId20" Type="http://schemas.openxmlformats.org/officeDocument/2006/relationships/hyperlink" Target="http://probaseballexperience.jcink.net/index.php?showuser=45" TargetMode="External"/><Relationship Id="rId41" Type="http://schemas.openxmlformats.org/officeDocument/2006/relationships/hyperlink" Target="http://probaseballexperience.jcink.net/index.php?showtopic=4596" TargetMode="External"/><Relationship Id="rId54" Type="http://schemas.openxmlformats.org/officeDocument/2006/relationships/hyperlink" Target="http://probaseballexperience.jcink.net/index.php?showtopic=5141" TargetMode="External"/><Relationship Id="rId62" Type="http://schemas.openxmlformats.org/officeDocument/2006/relationships/hyperlink" Target="http://probaseballexperience.jcink.net/index.php?showtopic=123" TargetMode="External"/><Relationship Id="rId70" Type="http://schemas.openxmlformats.org/officeDocument/2006/relationships/hyperlink" Target="http://probaseballexperience.jcink.net/index.php?showuser=272" TargetMode="External"/><Relationship Id="rId75" Type="http://schemas.openxmlformats.org/officeDocument/2006/relationships/hyperlink" Target="http://probaseballexperience.jcink.net/index.php?showuser=555" TargetMode="External"/><Relationship Id="rId83" Type="http://schemas.openxmlformats.org/officeDocument/2006/relationships/table" Target="../tables/table8.xml"/><Relationship Id="rId1" Type="http://schemas.openxmlformats.org/officeDocument/2006/relationships/hyperlink" Target="http://probaseballexperience.jcink.net/index.php?showtopic=84" TargetMode="External"/><Relationship Id="rId6" Type="http://schemas.openxmlformats.org/officeDocument/2006/relationships/hyperlink" Target="http://probaseballexperience.jcink.net/index.php?showtopic=1114" TargetMode="External"/><Relationship Id="rId15" Type="http://schemas.openxmlformats.org/officeDocument/2006/relationships/hyperlink" Target="http://probaseballexperience.jcink.net/index.php?showuser=290" TargetMode="External"/><Relationship Id="rId23" Type="http://schemas.openxmlformats.org/officeDocument/2006/relationships/hyperlink" Target="http://probaseballexperience.jcink.net/index.php?showtopic=4673" TargetMode="External"/><Relationship Id="rId28" Type="http://schemas.openxmlformats.org/officeDocument/2006/relationships/hyperlink" Target="http://probaseballexperience.jcink.net/index.php?showtopic=4609" TargetMode="External"/><Relationship Id="rId36" Type="http://schemas.openxmlformats.org/officeDocument/2006/relationships/hyperlink" Target="http://probaseballexperience.jcink.net/index.php?showtopic=4980" TargetMode="External"/><Relationship Id="rId49" Type="http://schemas.openxmlformats.org/officeDocument/2006/relationships/hyperlink" Target="http://probaseballexperience.jcink.net/index.php?showtopic=4563" TargetMode="External"/><Relationship Id="rId57" Type="http://schemas.openxmlformats.org/officeDocument/2006/relationships/hyperlink" Target="http://probaseballexperience.jcink.net/index.php?showuser=97" TargetMode="External"/><Relationship Id="rId10" Type="http://schemas.openxmlformats.org/officeDocument/2006/relationships/hyperlink" Target="http://probaseballexperience.jcink.net/index.php?showtopic=5319" TargetMode="External"/><Relationship Id="rId31" Type="http://schemas.openxmlformats.org/officeDocument/2006/relationships/hyperlink" Target="http://probaseballexperience.jcink.net/index.php?showuser=398" TargetMode="External"/><Relationship Id="rId44" Type="http://schemas.openxmlformats.org/officeDocument/2006/relationships/hyperlink" Target="http://probaseballexperience.jcink.net/index.php?showtopic=5313" TargetMode="External"/><Relationship Id="rId52" Type="http://schemas.openxmlformats.org/officeDocument/2006/relationships/hyperlink" Target="http://probaseballexperience.jcink.net/index.php?showtopic=5313" TargetMode="External"/><Relationship Id="rId60" Type="http://schemas.openxmlformats.org/officeDocument/2006/relationships/hyperlink" Target="http://probaseballexperience.jcink.net/index.php?showtopic=4893" TargetMode="External"/><Relationship Id="rId65" Type="http://schemas.openxmlformats.org/officeDocument/2006/relationships/hyperlink" Target="http://probaseballexperience.jcink.net/index.php?showuser=105" TargetMode="External"/><Relationship Id="rId73" Type="http://schemas.openxmlformats.org/officeDocument/2006/relationships/hyperlink" Target="http://probaseballexperience.jcink.net/index.php?showtopic=5738" TargetMode="External"/><Relationship Id="rId78" Type="http://schemas.openxmlformats.org/officeDocument/2006/relationships/hyperlink" Target="http://probaseballexperience.jcink.net/index.php?showtopic=5484" TargetMode="External"/><Relationship Id="rId81" Type="http://schemas.openxmlformats.org/officeDocument/2006/relationships/hyperlink" Target="http://probaseballexperience.jcink.net/index.php?showtopic=5787" TargetMode="External"/><Relationship Id="rId4" Type="http://schemas.openxmlformats.org/officeDocument/2006/relationships/hyperlink" Target="http://probaseballexperience.jcink.net/index.php?showtopic=1114" TargetMode="External"/><Relationship Id="rId9" Type="http://schemas.openxmlformats.org/officeDocument/2006/relationships/hyperlink" Target="http://probaseballexperience.jcink.net/index.php?showtopic=5096" TargetMode="External"/><Relationship Id="rId13" Type="http://schemas.openxmlformats.org/officeDocument/2006/relationships/hyperlink" Target="http://probaseballexperience.jcink.net/index.php?showtopic=72" TargetMode="External"/><Relationship Id="rId18" Type="http://schemas.openxmlformats.org/officeDocument/2006/relationships/hyperlink" Target="http://probaseballexperience.jcink.net/index.php?showuser=321" TargetMode="External"/><Relationship Id="rId39" Type="http://schemas.openxmlformats.org/officeDocument/2006/relationships/hyperlink" Target="http://probaseballexperience.jcink.net/index.php?showtopic=5313" TargetMode="External"/><Relationship Id="rId34" Type="http://schemas.openxmlformats.org/officeDocument/2006/relationships/hyperlink" Target="http://probaseballexperience.jcink.net/index.php?showtopic=4561" TargetMode="External"/><Relationship Id="rId50" Type="http://schemas.openxmlformats.org/officeDocument/2006/relationships/hyperlink" Target="http://probaseballexperience.jcink.net/index.php?showuser=22" TargetMode="External"/><Relationship Id="rId55" Type="http://schemas.openxmlformats.org/officeDocument/2006/relationships/hyperlink" Target="http://probaseballexperience.jcink.net/index.php?showtopic=5473" TargetMode="External"/><Relationship Id="rId76" Type="http://schemas.openxmlformats.org/officeDocument/2006/relationships/hyperlink" Target="http://probaseballexperience.jcink.net/index.php?showtopic=5931" TargetMode="External"/><Relationship Id="rId7" Type="http://schemas.openxmlformats.org/officeDocument/2006/relationships/hyperlink" Target="http://probaseballexperience.jcink.net/index.php?showtopic=4883" TargetMode="External"/><Relationship Id="rId71" Type="http://schemas.openxmlformats.org/officeDocument/2006/relationships/hyperlink" Target="http://probaseballexperience.jcink.net/index.php?showtopic=5653" TargetMode="External"/><Relationship Id="rId2" Type="http://schemas.openxmlformats.org/officeDocument/2006/relationships/hyperlink" Target="http://probaseballexperience.jcink.net/index.php?showuser=13" TargetMode="External"/><Relationship Id="rId29" Type="http://schemas.openxmlformats.org/officeDocument/2006/relationships/hyperlink" Target="http://probaseballexperience.jcink.net/index.php?showuser=379" TargetMode="External"/><Relationship Id="rId24" Type="http://schemas.openxmlformats.org/officeDocument/2006/relationships/hyperlink" Target="http://probaseballexperience.jcink.net/index.php?showtopic=3567" TargetMode="External"/><Relationship Id="rId40" Type="http://schemas.openxmlformats.org/officeDocument/2006/relationships/hyperlink" Target="http://probaseballexperience.jcink.net/index.php?showuser=414" TargetMode="External"/><Relationship Id="rId45" Type="http://schemas.openxmlformats.org/officeDocument/2006/relationships/hyperlink" Target="http://probaseballexperience.jcink.net/index.php?showuser=389" TargetMode="External"/><Relationship Id="rId66" Type="http://schemas.openxmlformats.org/officeDocument/2006/relationships/hyperlink" Target="http://probaseballexperience.jcink.net/index.php?showtopic=287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topic=2165" TargetMode="External"/><Relationship Id="rId21" Type="http://schemas.openxmlformats.org/officeDocument/2006/relationships/hyperlink" Target="http://probaseballexperience.jcink.net/index.php?showuser=269" TargetMode="External"/><Relationship Id="rId42" Type="http://schemas.openxmlformats.org/officeDocument/2006/relationships/hyperlink" Target="http://probaseballexperience.jcink.net/index.php?showtopic=4745&amp;hl=kramer" TargetMode="External"/><Relationship Id="rId47" Type="http://schemas.openxmlformats.org/officeDocument/2006/relationships/hyperlink" Target="http://probaseballexperience.jcink.net/index.php?showtopic=4445" TargetMode="External"/><Relationship Id="rId63" Type="http://schemas.openxmlformats.org/officeDocument/2006/relationships/hyperlink" Target="http://probaseballexperience.jcink.net/index.php?showuser=557" TargetMode="External"/><Relationship Id="rId68" Type="http://schemas.openxmlformats.org/officeDocument/2006/relationships/hyperlink" Target="http://probaseballexperience.jcink.net/index.php?showtopic=6002&amp;st=0&amp;" TargetMode="External"/><Relationship Id="rId2" Type="http://schemas.openxmlformats.org/officeDocument/2006/relationships/hyperlink" Target="http://probaseballexperience.jcink.net/index.php?showuser=8" TargetMode="External"/><Relationship Id="rId16" Type="http://schemas.openxmlformats.org/officeDocument/2006/relationships/hyperlink" Target="http://probaseballexperience.jcink.net/index.php?showtopic=122" TargetMode="External"/><Relationship Id="rId29" Type="http://schemas.openxmlformats.org/officeDocument/2006/relationships/hyperlink" Target="http://probaseballexperience.jcink.net/index.php?showtopic=3117" TargetMode="External"/><Relationship Id="rId11" Type="http://schemas.openxmlformats.org/officeDocument/2006/relationships/hyperlink" Target="http://probaseballexperience.jcink.net/index.php?showtopic=211" TargetMode="External"/><Relationship Id="rId24" Type="http://schemas.openxmlformats.org/officeDocument/2006/relationships/hyperlink" Target="http://probaseballexperience.jcink.net/index.php?showtopic=2165" TargetMode="External"/><Relationship Id="rId32" Type="http://schemas.openxmlformats.org/officeDocument/2006/relationships/hyperlink" Target="http://probaseballexperience.jcink.net/index.php?showtopic=3018" TargetMode="External"/><Relationship Id="rId37" Type="http://schemas.openxmlformats.org/officeDocument/2006/relationships/hyperlink" Target="http://probaseballexperience.jcink.net/index.php?showtopic=3576" TargetMode="External"/><Relationship Id="rId40" Type="http://schemas.openxmlformats.org/officeDocument/2006/relationships/hyperlink" Target="http://probaseballexperience.jcink.net/index.php?showuser=382" TargetMode="External"/><Relationship Id="rId45" Type="http://schemas.openxmlformats.org/officeDocument/2006/relationships/hyperlink" Target="http://probaseballexperience.jcink.net/index.php?showtopic=4745&amp;hl=kramer" TargetMode="External"/><Relationship Id="rId53" Type="http://schemas.openxmlformats.org/officeDocument/2006/relationships/hyperlink" Target="http://probaseballexperience.jcink.net/index.php?showtopic=5264" TargetMode="External"/><Relationship Id="rId58" Type="http://schemas.openxmlformats.org/officeDocument/2006/relationships/hyperlink" Target="http://probaseballexperience.jcink.net/index.php?showtopic=1836" TargetMode="External"/><Relationship Id="rId66" Type="http://schemas.openxmlformats.org/officeDocument/2006/relationships/hyperlink" Target="http://probaseballexperience.jcink.net/index.php?showuser=513" TargetMode="External"/><Relationship Id="rId74" Type="http://schemas.openxmlformats.org/officeDocument/2006/relationships/table" Target="../tables/table9.xml"/><Relationship Id="rId5" Type="http://schemas.openxmlformats.org/officeDocument/2006/relationships/hyperlink" Target="http://probaseballexperience.jcink.net/index.php?showtopic=405" TargetMode="External"/><Relationship Id="rId61" Type="http://schemas.openxmlformats.org/officeDocument/2006/relationships/hyperlink" Target="http://probaseballexperience.jcink.net/index.php?showuser=551" TargetMode="External"/><Relationship Id="rId19" Type="http://schemas.openxmlformats.org/officeDocument/2006/relationships/hyperlink" Target="http://probaseballexperience.jcink.net/index.php?showtopic=288" TargetMode="External"/><Relationship Id="rId14" Type="http://schemas.openxmlformats.org/officeDocument/2006/relationships/hyperlink" Target="http://probaseballexperience.jcink.net/index.php?showtopic=122" TargetMode="External"/><Relationship Id="rId22" Type="http://schemas.openxmlformats.org/officeDocument/2006/relationships/hyperlink" Target="http://probaseballexperience.jcink.net/index.php?showtopic=2599" TargetMode="External"/><Relationship Id="rId27" Type="http://schemas.openxmlformats.org/officeDocument/2006/relationships/hyperlink" Target="http://probaseballexperience.jcink.net/index.php?showtopic=3117" TargetMode="External"/><Relationship Id="rId30" Type="http://schemas.openxmlformats.org/officeDocument/2006/relationships/hyperlink" Target="http://probaseballexperience.jcink.net/index.php?showtopic=3018" TargetMode="External"/><Relationship Id="rId35" Type="http://schemas.openxmlformats.org/officeDocument/2006/relationships/hyperlink" Target="http://probaseballexperience.jcink.net/index.php?showtopic=2307" TargetMode="External"/><Relationship Id="rId43" Type="http://schemas.openxmlformats.org/officeDocument/2006/relationships/hyperlink" Target="http://probaseballexperience.jcink.net/index.php?showuser=410" TargetMode="External"/><Relationship Id="rId48" Type="http://schemas.openxmlformats.org/officeDocument/2006/relationships/hyperlink" Target="http://probaseballexperience.jcink.net/index.php?showtopic=4745&amp;hl=kramer" TargetMode="External"/><Relationship Id="rId56" Type="http://schemas.openxmlformats.org/officeDocument/2006/relationships/hyperlink" Target="http://probaseballexperience.jcink.net/index.php?showuser=6" TargetMode="External"/><Relationship Id="rId64" Type="http://schemas.openxmlformats.org/officeDocument/2006/relationships/hyperlink" Target="http://probaseballexperience.jcink.net/index.php?showtopic=5958" TargetMode="External"/><Relationship Id="rId69" Type="http://schemas.openxmlformats.org/officeDocument/2006/relationships/hyperlink" Target="http://probaseballexperience.jcink.net/index.php?showtopic=2502" TargetMode="External"/><Relationship Id="rId8" Type="http://schemas.openxmlformats.org/officeDocument/2006/relationships/hyperlink" Target="http://probaseballexperience.jcink.net/index.php?showtopic=1560" TargetMode="External"/><Relationship Id="rId51" Type="http://schemas.openxmlformats.org/officeDocument/2006/relationships/hyperlink" Target="http://probaseballexperience.jcink.net/index.php?showtopic=5301" TargetMode="External"/><Relationship Id="rId72" Type="http://schemas.openxmlformats.org/officeDocument/2006/relationships/hyperlink" Target="http://probaseballexperience.jcink.net/index.php?showtopic=5852" TargetMode="External"/><Relationship Id="rId3" Type="http://schemas.openxmlformats.org/officeDocument/2006/relationships/hyperlink" Target="http://probaseballexperience.jcink.net/index.php?showtopic=79" TargetMode="External"/><Relationship Id="rId12" Type="http://schemas.openxmlformats.org/officeDocument/2006/relationships/hyperlink" Target="http://probaseballexperience.jcink.net/index.php?showuser=72" TargetMode="External"/><Relationship Id="rId17" Type="http://schemas.openxmlformats.org/officeDocument/2006/relationships/hyperlink" Target="http://probaseballexperience.jcink.net/index.php?showtopic=288" TargetMode="External"/><Relationship Id="rId25" Type="http://schemas.openxmlformats.org/officeDocument/2006/relationships/hyperlink" Target="http://probaseballexperience.jcink.net/index.php?showuser=11" TargetMode="External"/><Relationship Id="rId33" Type="http://schemas.openxmlformats.org/officeDocument/2006/relationships/hyperlink" Target="http://probaseballexperience.jcink.net/index.php?showtopic=2307" TargetMode="External"/><Relationship Id="rId38" Type="http://schemas.openxmlformats.org/officeDocument/2006/relationships/hyperlink" Target="http://probaseballexperience.jcink.net/index.php?showuser=329" TargetMode="External"/><Relationship Id="rId46" Type="http://schemas.openxmlformats.org/officeDocument/2006/relationships/hyperlink" Target="http://probaseballexperience.jcink.net/index.php?showuser=387" TargetMode="External"/><Relationship Id="rId59" Type="http://schemas.openxmlformats.org/officeDocument/2006/relationships/hyperlink" Target="http://probaseballexperience.jcink.net/index.php?showuser=214" TargetMode="External"/><Relationship Id="rId67" Type="http://schemas.openxmlformats.org/officeDocument/2006/relationships/hyperlink" Target="http://probaseballexperience.jcink.net/index.php?showtopic=5802" TargetMode="External"/><Relationship Id="rId20" Type="http://schemas.openxmlformats.org/officeDocument/2006/relationships/hyperlink" Target="http://probaseballexperience.jcink.net/index.php?showtopic=2599" TargetMode="External"/><Relationship Id="rId41" Type="http://schemas.openxmlformats.org/officeDocument/2006/relationships/hyperlink" Target="http://probaseballexperience.jcink.net/index.php?showtopic=4201" TargetMode="External"/><Relationship Id="rId54" Type="http://schemas.openxmlformats.org/officeDocument/2006/relationships/hyperlink" Target="http://probaseballexperience.jcink.net/index.php?showtopic=5301" TargetMode="External"/><Relationship Id="rId62" Type="http://schemas.openxmlformats.org/officeDocument/2006/relationships/hyperlink" Target="http://probaseballexperience.jcink.net/index.php?showtopic=5878" TargetMode="External"/><Relationship Id="rId70" Type="http://schemas.openxmlformats.org/officeDocument/2006/relationships/hyperlink" Target="http://probaseballexperience.jcink.net/index.php?showuser=255" TargetMode="External"/><Relationship Id="rId75" Type="http://schemas.openxmlformats.org/officeDocument/2006/relationships/comments" Target="../comments8.xml"/><Relationship Id="rId1" Type="http://schemas.openxmlformats.org/officeDocument/2006/relationships/hyperlink" Target="http://probaseballexperience.jcink.net/index.php?showtopic=79" TargetMode="External"/><Relationship Id="rId6" Type="http://schemas.openxmlformats.org/officeDocument/2006/relationships/hyperlink" Target="http://probaseballexperience.jcink.net/index.php?showuser=108" TargetMode="External"/><Relationship Id="rId15" Type="http://schemas.openxmlformats.org/officeDocument/2006/relationships/hyperlink" Target="http://probaseballexperience.jcink.net/index.php?showuser=18" TargetMode="External"/><Relationship Id="rId23" Type="http://schemas.openxmlformats.org/officeDocument/2006/relationships/hyperlink" Target="http://probaseballexperience.jcink.net/index.php?showtopic=4884" TargetMode="External"/><Relationship Id="rId28" Type="http://schemas.openxmlformats.org/officeDocument/2006/relationships/hyperlink" Target="http://probaseballexperience.jcink.net/index.php?showuser=3" TargetMode="External"/><Relationship Id="rId36" Type="http://schemas.openxmlformats.org/officeDocument/2006/relationships/hyperlink" Target="http://probaseballexperience.jcink.net/index.php?showtopic=4939" TargetMode="External"/><Relationship Id="rId49" Type="http://schemas.openxmlformats.org/officeDocument/2006/relationships/hyperlink" Target="http://probaseballexperience.jcink.net/index.php?showuser=455" TargetMode="External"/><Relationship Id="rId57" Type="http://schemas.openxmlformats.org/officeDocument/2006/relationships/hyperlink" Target="http://probaseballexperience.jcink.net/index.php?showtopic=195" TargetMode="External"/><Relationship Id="rId10" Type="http://schemas.openxmlformats.org/officeDocument/2006/relationships/hyperlink" Target="http://probaseballexperience.jcink.net/index.php?showtopic=1560" TargetMode="External"/><Relationship Id="rId31" Type="http://schemas.openxmlformats.org/officeDocument/2006/relationships/hyperlink" Target="http://probaseballexperience.jcink.net/index.php?showuser=293" TargetMode="External"/><Relationship Id="rId44" Type="http://schemas.openxmlformats.org/officeDocument/2006/relationships/hyperlink" Target="http://probaseballexperience.jcink.net/index.php?showtopic=4590" TargetMode="External"/><Relationship Id="rId52" Type="http://schemas.openxmlformats.org/officeDocument/2006/relationships/hyperlink" Target="http://probaseballexperience.jcink.net/index.php?showuser=480" TargetMode="External"/><Relationship Id="rId60" Type="http://schemas.openxmlformats.org/officeDocument/2006/relationships/hyperlink" Target="http://probaseballexperience.jcink.net/index.php?showtopic=1836" TargetMode="External"/><Relationship Id="rId65" Type="http://schemas.openxmlformats.org/officeDocument/2006/relationships/hyperlink" Target="http://probaseballexperience.jcink.net/index.php?showtopic=6002&amp;st=0&amp;" TargetMode="External"/><Relationship Id="rId73" Type="http://schemas.openxmlformats.org/officeDocument/2006/relationships/vmlDrawing" Target="../drawings/vmlDrawing8.vml"/><Relationship Id="rId4" Type="http://schemas.openxmlformats.org/officeDocument/2006/relationships/hyperlink" Target="http://probaseballexperience.jcink.net/index.php?showtopic=4994" TargetMode="External"/><Relationship Id="rId9" Type="http://schemas.openxmlformats.org/officeDocument/2006/relationships/hyperlink" Target="http://probaseballexperience.jcink.net/index.php?showuser=208" TargetMode="External"/><Relationship Id="rId13" Type="http://schemas.openxmlformats.org/officeDocument/2006/relationships/hyperlink" Target="http://probaseballexperience.jcink.net/index.php?showtopic=211" TargetMode="External"/><Relationship Id="rId18" Type="http://schemas.openxmlformats.org/officeDocument/2006/relationships/hyperlink" Target="http://probaseballexperience.jcink.net/index.php?showuser=104" TargetMode="External"/><Relationship Id="rId39" Type="http://schemas.openxmlformats.org/officeDocument/2006/relationships/hyperlink" Target="http://probaseballexperience.jcink.net/index.php?showtopic=3576" TargetMode="External"/><Relationship Id="rId34" Type="http://schemas.openxmlformats.org/officeDocument/2006/relationships/hyperlink" Target="http://probaseballexperience.jcink.net/index.php?showuser=210" TargetMode="External"/><Relationship Id="rId50" Type="http://schemas.openxmlformats.org/officeDocument/2006/relationships/hyperlink" Target="http://probaseballexperience.jcink.net/index.php?showtopic=5068" TargetMode="External"/><Relationship Id="rId55" Type="http://schemas.openxmlformats.org/officeDocument/2006/relationships/hyperlink" Target="http://probaseballexperience.jcink.net/index.php?showtopic=195" TargetMode="External"/><Relationship Id="rId7" Type="http://schemas.openxmlformats.org/officeDocument/2006/relationships/hyperlink" Target="http://probaseballexperience.jcink.net/index.php?showtopic=405" TargetMode="External"/><Relationship Id="rId71" Type="http://schemas.openxmlformats.org/officeDocument/2006/relationships/hyperlink" Target="http://probaseballexperience.jcink.net/index.php?showtopic=2502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probaseballexperience.jcink.net/index.php?showtopic=1735" TargetMode="External"/><Relationship Id="rId299" Type="http://schemas.openxmlformats.org/officeDocument/2006/relationships/hyperlink" Target="http://probaseballexperience.jcink.net/index.php?showuser=436" TargetMode="External"/><Relationship Id="rId21" Type="http://schemas.openxmlformats.org/officeDocument/2006/relationships/hyperlink" Target="http://probaseballexperience.jcink.net/index.php?showtopic=1058" TargetMode="External"/><Relationship Id="rId63" Type="http://schemas.openxmlformats.org/officeDocument/2006/relationships/hyperlink" Target="http://probaseballexperience.jcink.net/index.php?showuser=179" TargetMode="External"/><Relationship Id="rId159" Type="http://schemas.openxmlformats.org/officeDocument/2006/relationships/hyperlink" Target="http://probaseballexperience.jcink.net/index.php?showtopic=1799" TargetMode="External"/><Relationship Id="rId170" Type="http://schemas.openxmlformats.org/officeDocument/2006/relationships/hyperlink" Target="http://probaseballexperience.jcink.net/index.php?showtopic=239" TargetMode="External"/><Relationship Id="rId226" Type="http://schemas.openxmlformats.org/officeDocument/2006/relationships/hyperlink" Target="http://probaseballexperience.jcink.net/index.php?showuser=277" TargetMode="External"/><Relationship Id="rId268" Type="http://schemas.openxmlformats.org/officeDocument/2006/relationships/hyperlink" Target="http://probaseballexperience.jcink.net/index.php?showtopic=5066" TargetMode="External"/><Relationship Id="rId32" Type="http://schemas.openxmlformats.org/officeDocument/2006/relationships/hyperlink" Target="http://probaseballexperience.jcink.net/index.php?showuser=308" TargetMode="External"/><Relationship Id="rId74" Type="http://schemas.openxmlformats.org/officeDocument/2006/relationships/hyperlink" Target="http://probaseballexperience.jcink.net/index.php?showtopic=1218" TargetMode="External"/><Relationship Id="rId128" Type="http://schemas.openxmlformats.org/officeDocument/2006/relationships/hyperlink" Target="http://probaseballexperience.jcink.net/index.php?showuser=102" TargetMode="External"/><Relationship Id="rId5" Type="http://schemas.openxmlformats.org/officeDocument/2006/relationships/hyperlink" Target="http://probaseballexperience.jcink.net/index.php?showtopic=5057" TargetMode="External"/><Relationship Id="rId181" Type="http://schemas.openxmlformats.org/officeDocument/2006/relationships/hyperlink" Target="http://probaseballexperience.jcink.net/index.php?showtopic=2596" TargetMode="External"/><Relationship Id="rId237" Type="http://schemas.openxmlformats.org/officeDocument/2006/relationships/hyperlink" Target="http://probaseballexperience.jcink.net/index.php?showtopic=3186" TargetMode="External"/><Relationship Id="rId279" Type="http://schemas.openxmlformats.org/officeDocument/2006/relationships/hyperlink" Target="http://probaseballexperience.jcink.net/index.php?showuser=525" TargetMode="External"/><Relationship Id="rId43" Type="http://schemas.openxmlformats.org/officeDocument/2006/relationships/hyperlink" Target="http://probaseballexperience.jcink.net/index.php?showtopic=1358" TargetMode="External"/><Relationship Id="rId139" Type="http://schemas.openxmlformats.org/officeDocument/2006/relationships/hyperlink" Target="http://probaseballexperience.jcink.net/index.php?showtopic=5585" TargetMode="External"/><Relationship Id="rId290" Type="http://schemas.openxmlformats.org/officeDocument/2006/relationships/hyperlink" Target="http://probaseballexperience.jcink.net/index.php?showtopic=5533" TargetMode="External"/><Relationship Id="rId304" Type="http://schemas.openxmlformats.org/officeDocument/2006/relationships/comments" Target="../comments9.xml"/><Relationship Id="rId85" Type="http://schemas.openxmlformats.org/officeDocument/2006/relationships/hyperlink" Target="http://probaseballexperience.jcink.net/index.php?showtopic=3043&amp;view=findpost&amp;p=32473" TargetMode="External"/><Relationship Id="rId150" Type="http://schemas.openxmlformats.org/officeDocument/2006/relationships/hyperlink" Target="http://probaseballexperience.jcink.net/index.php?showuser=303" TargetMode="External"/><Relationship Id="rId192" Type="http://schemas.openxmlformats.org/officeDocument/2006/relationships/hyperlink" Target="http://probaseballexperience.jcink.net/index.php?showuser=333" TargetMode="External"/><Relationship Id="rId206" Type="http://schemas.openxmlformats.org/officeDocument/2006/relationships/hyperlink" Target="http://probaseballexperience.jcink.net/index.php?showtopic=1426" TargetMode="External"/><Relationship Id="rId248" Type="http://schemas.openxmlformats.org/officeDocument/2006/relationships/hyperlink" Target="http://probaseballexperience.jcink.net/index.php?showtopic=3008" TargetMode="External"/><Relationship Id="rId12" Type="http://schemas.openxmlformats.org/officeDocument/2006/relationships/hyperlink" Target="http://probaseballexperience.jcink.net/index.php?showtopic=141" TargetMode="External"/><Relationship Id="rId108" Type="http://schemas.openxmlformats.org/officeDocument/2006/relationships/hyperlink" Target="http://probaseballexperience.jcink.net/index.php?showtopic=3027" TargetMode="External"/><Relationship Id="rId54" Type="http://schemas.openxmlformats.org/officeDocument/2006/relationships/hyperlink" Target="http://probaseballexperience.jcink.net/index.php?showuser=332" TargetMode="External"/><Relationship Id="rId96" Type="http://schemas.openxmlformats.org/officeDocument/2006/relationships/hyperlink" Target="http://probaseballexperience.jcink.net/index.php?showtopic=2506" TargetMode="External"/><Relationship Id="rId161" Type="http://schemas.openxmlformats.org/officeDocument/2006/relationships/hyperlink" Target="http://probaseballexperience.jcink.net/index.php?showtopic=1799" TargetMode="External"/><Relationship Id="rId217" Type="http://schemas.openxmlformats.org/officeDocument/2006/relationships/hyperlink" Target="http://probaseballexperience.jcink.net/index.php?showtopic=5102" TargetMode="External"/><Relationship Id="rId6" Type="http://schemas.openxmlformats.org/officeDocument/2006/relationships/hyperlink" Target="http://probaseballexperience.jcink.net/index.php?showtopic=5301" TargetMode="External"/><Relationship Id="rId238" Type="http://schemas.openxmlformats.org/officeDocument/2006/relationships/hyperlink" Target="http://probaseballexperience.jcink.net/index.php?showuser=309" TargetMode="External"/><Relationship Id="rId259" Type="http://schemas.openxmlformats.org/officeDocument/2006/relationships/hyperlink" Target="http://probaseballexperience.jcink.net/index.php?showuser=447" TargetMode="External"/><Relationship Id="rId23" Type="http://schemas.openxmlformats.org/officeDocument/2006/relationships/hyperlink" Target="http://probaseballexperience.jcink.net/index.php?showuser=253" TargetMode="External"/><Relationship Id="rId119" Type="http://schemas.openxmlformats.org/officeDocument/2006/relationships/hyperlink" Target="http://probaseballexperience.jcink.net/index.php?showuser=352" TargetMode="External"/><Relationship Id="rId270" Type="http://schemas.openxmlformats.org/officeDocument/2006/relationships/hyperlink" Target="http://probaseballexperience.jcink.net/index.php?showuser=476" TargetMode="External"/><Relationship Id="rId291" Type="http://schemas.openxmlformats.org/officeDocument/2006/relationships/hyperlink" Target="http://probaseballexperience.jcink.net/index.php?showuser=527" TargetMode="External"/><Relationship Id="rId44" Type="http://schemas.openxmlformats.org/officeDocument/2006/relationships/hyperlink" Target="http://probaseballexperience.jcink.net/index.php?showuser=191" TargetMode="External"/><Relationship Id="rId65" Type="http://schemas.openxmlformats.org/officeDocument/2006/relationships/hyperlink" Target="http://probaseballexperience.jcink.net/index.php?showtopic=1246" TargetMode="External"/><Relationship Id="rId86" Type="http://schemas.openxmlformats.org/officeDocument/2006/relationships/hyperlink" Target="http://probaseballexperience.jcink.net/index.php?showtopic=164" TargetMode="External"/><Relationship Id="rId130" Type="http://schemas.openxmlformats.org/officeDocument/2006/relationships/hyperlink" Target="http://probaseballexperience.jcink.net/index.php?showtopic=3621" TargetMode="External"/><Relationship Id="rId151" Type="http://schemas.openxmlformats.org/officeDocument/2006/relationships/hyperlink" Target="http://probaseballexperience.jcink.net/index.php?showtopic=3097" TargetMode="External"/><Relationship Id="rId172" Type="http://schemas.openxmlformats.org/officeDocument/2006/relationships/hyperlink" Target="http://probaseballexperience.jcink.net/index.php?showuser=249" TargetMode="External"/><Relationship Id="rId193" Type="http://schemas.openxmlformats.org/officeDocument/2006/relationships/hyperlink" Target="http://probaseballexperience.jcink.net/index.php?showuser=393" TargetMode="External"/><Relationship Id="rId207" Type="http://schemas.openxmlformats.org/officeDocument/2006/relationships/hyperlink" Target="http://probaseballexperience.jcink.net/index.php?showtopic=5586" TargetMode="External"/><Relationship Id="rId228" Type="http://schemas.openxmlformats.org/officeDocument/2006/relationships/hyperlink" Target="http://probaseballexperience.jcink.net/index.php?showtopic=3174" TargetMode="External"/><Relationship Id="rId249" Type="http://schemas.openxmlformats.org/officeDocument/2006/relationships/hyperlink" Target="http://probaseballexperience.jcink.net/index.php?showtopic=2966" TargetMode="External"/><Relationship Id="rId13" Type="http://schemas.openxmlformats.org/officeDocument/2006/relationships/hyperlink" Target="http://probaseballexperience.jcink.net/index.php?showtopic=1441" TargetMode="External"/><Relationship Id="rId109" Type="http://schemas.openxmlformats.org/officeDocument/2006/relationships/hyperlink" Target="http://probaseballexperience.jcink.net/index.php?showtopic=3909" TargetMode="External"/><Relationship Id="rId260" Type="http://schemas.openxmlformats.org/officeDocument/2006/relationships/hyperlink" Target="http://probaseballexperience.jcink.net/index.php?showtopic=4927" TargetMode="External"/><Relationship Id="rId281" Type="http://schemas.openxmlformats.org/officeDocument/2006/relationships/hyperlink" Target="http://probaseballexperience.jcink.net/index.php?showuser=520" TargetMode="External"/><Relationship Id="rId34" Type="http://schemas.openxmlformats.org/officeDocument/2006/relationships/hyperlink" Target="http://probaseballexperience.jcink.net/index.php?showtopic=268" TargetMode="External"/><Relationship Id="rId55" Type="http://schemas.openxmlformats.org/officeDocument/2006/relationships/hyperlink" Target="http://probaseballexperience.jcink.net/index.php?showtopic=3582" TargetMode="External"/><Relationship Id="rId76" Type="http://schemas.openxmlformats.org/officeDocument/2006/relationships/hyperlink" Target="http://probaseballexperience.jcink.net/index.php?showtopic=1218" TargetMode="External"/><Relationship Id="rId97" Type="http://schemas.openxmlformats.org/officeDocument/2006/relationships/hyperlink" Target="http://probaseballexperience.jcink.net/index.php?showtopic=1075" TargetMode="External"/><Relationship Id="rId120" Type="http://schemas.openxmlformats.org/officeDocument/2006/relationships/hyperlink" Target="http://probaseballexperience.jcink.net/index.php?showtopic=3942" TargetMode="External"/><Relationship Id="rId141" Type="http://schemas.openxmlformats.org/officeDocument/2006/relationships/hyperlink" Target="http://probaseballexperience.jcink.net/index.php?showuser=317" TargetMode="External"/><Relationship Id="rId7" Type="http://schemas.openxmlformats.org/officeDocument/2006/relationships/hyperlink" Target="http://probaseballexperience.jcink.net/index.php?showtopic=453" TargetMode="External"/><Relationship Id="rId162" Type="http://schemas.openxmlformats.org/officeDocument/2006/relationships/hyperlink" Target="http://probaseballexperience.jcink.net/index.php?showtopic=3594" TargetMode="External"/><Relationship Id="rId183" Type="http://schemas.openxmlformats.org/officeDocument/2006/relationships/hyperlink" Target="http://probaseballexperience.jcink.net/index.php?showuser=315" TargetMode="External"/><Relationship Id="rId218" Type="http://schemas.openxmlformats.org/officeDocument/2006/relationships/hyperlink" Target="http://probaseballexperience.jcink.net/index.php?showuser=468" TargetMode="External"/><Relationship Id="rId239" Type="http://schemas.openxmlformats.org/officeDocument/2006/relationships/hyperlink" Target="http://probaseballexperience.jcink.net/index.php?showtopic=3186" TargetMode="External"/><Relationship Id="rId250" Type="http://schemas.openxmlformats.org/officeDocument/2006/relationships/hyperlink" Target="http://probaseballexperience.jcink.net/index.php?showuser=285" TargetMode="External"/><Relationship Id="rId271" Type="http://schemas.openxmlformats.org/officeDocument/2006/relationships/hyperlink" Target="http://probaseballexperience.jcink.net/index.php?showtopic=5162" TargetMode="External"/><Relationship Id="rId292" Type="http://schemas.openxmlformats.org/officeDocument/2006/relationships/hyperlink" Target="http://probaseballexperience.jcink.net/index.php?showtopic=5822" TargetMode="External"/><Relationship Id="rId24" Type="http://schemas.openxmlformats.org/officeDocument/2006/relationships/hyperlink" Target="http://probaseballexperience.jcink.net/index.php?showtopic=2450" TargetMode="External"/><Relationship Id="rId45" Type="http://schemas.openxmlformats.org/officeDocument/2006/relationships/hyperlink" Target="http://probaseballexperience.jcink.net/index.php?showtopic=1358" TargetMode="External"/><Relationship Id="rId66" Type="http://schemas.openxmlformats.org/officeDocument/2006/relationships/hyperlink" Target="http://probaseballexperience.jcink.net/index.php?showuser=195" TargetMode="External"/><Relationship Id="rId87" Type="http://schemas.openxmlformats.org/officeDocument/2006/relationships/hyperlink" Target="http://probaseballexperience.jcink.net/index.php?showuser=58" TargetMode="External"/><Relationship Id="rId110" Type="http://schemas.openxmlformats.org/officeDocument/2006/relationships/hyperlink" Target="http://probaseballexperience.jcink.net/index.php?showuser=31" TargetMode="External"/><Relationship Id="rId131" Type="http://schemas.openxmlformats.org/officeDocument/2006/relationships/hyperlink" Target="http://probaseballexperience.jcink.net/index.php?showuser=337" TargetMode="External"/><Relationship Id="rId152" Type="http://schemas.openxmlformats.org/officeDocument/2006/relationships/hyperlink" Target="http://probaseballexperience.jcink.net/index.php?showuser=381" TargetMode="External"/><Relationship Id="rId173" Type="http://schemas.openxmlformats.org/officeDocument/2006/relationships/hyperlink" Target="http://probaseballexperience.jcink.net/index.php?showtopic=2229" TargetMode="External"/><Relationship Id="rId194" Type="http://schemas.openxmlformats.org/officeDocument/2006/relationships/hyperlink" Target="http://probaseballexperience.jcink.net/index.php?showtopic=4595" TargetMode="External"/><Relationship Id="rId208" Type="http://schemas.openxmlformats.org/officeDocument/2006/relationships/hyperlink" Target="http://probaseballexperience.jcink.net/index.php?showtopic=1070" TargetMode="External"/><Relationship Id="rId229" Type="http://schemas.openxmlformats.org/officeDocument/2006/relationships/hyperlink" Target="http://probaseballexperience.jcink.net/index.php?showuser=313" TargetMode="External"/><Relationship Id="rId240" Type="http://schemas.openxmlformats.org/officeDocument/2006/relationships/hyperlink" Target="http://probaseballexperience.jcink.net/index.php?showtopic=2967" TargetMode="External"/><Relationship Id="rId261" Type="http://schemas.openxmlformats.org/officeDocument/2006/relationships/hyperlink" Target="http://probaseballexperience.jcink.net/index.php?showuser=395" TargetMode="External"/><Relationship Id="rId14" Type="http://schemas.openxmlformats.org/officeDocument/2006/relationships/hyperlink" Target="http://probaseballexperience.jcink.net/index.php?showuser=199" TargetMode="External"/><Relationship Id="rId35" Type="http://schemas.openxmlformats.org/officeDocument/2006/relationships/hyperlink" Target="http://probaseballexperience.jcink.net/index.php?showuser=91" TargetMode="External"/><Relationship Id="rId56" Type="http://schemas.openxmlformats.org/officeDocument/2006/relationships/hyperlink" Target="http://probaseballexperience.jcink.net/index.php?showtopic=1564" TargetMode="External"/><Relationship Id="rId77" Type="http://schemas.openxmlformats.org/officeDocument/2006/relationships/hyperlink" Target="http://probaseballexperience.jcink.net/index.php?showtopic=2183" TargetMode="External"/><Relationship Id="rId100" Type="http://schemas.openxmlformats.org/officeDocument/2006/relationships/hyperlink" Target="http://probaseballexperience.jcink.net/index.php?showtopic=1810" TargetMode="External"/><Relationship Id="rId282" Type="http://schemas.openxmlformats.org/officeDocument/2006/relationships/hyperlink" Target="http://probaseballexperience.jcink.net/index.php?showtopic=5794" TargetMode="External"/><Relationship Id="rId8" Type="http://schemas.openxmlformats.org/officeDocument/2006/relationships/hyperlink" Target="http://probaseballexperience.jcink.net/index.php?showuser=92" TargetMode="External"/><Relationship Id="rId98" Type="http://schemas.openxmlformats.org/officeDocument/2006/relationships/hyperlink" Target="http://probaseballexperience.jcink.net/index.php?showuser=162" TargetMode="External"/><Relationship Id="rId121" Type="http://schemas.openxmlformats.org/officeDocument/2006/relationships/hyperlink" Target="http://probaseballexperience.jcink.net/index.php?showtopic=3435" TargetMode="External"/><Relationship Id="rId142" Type="http://schemas.openxmlformats.org/officeDocument/2006/relationships/hyperlink" Target="http://probaseballexperience.jcink.net/index.php?showtopic=3272" TargetMode="External"/><Relationship Id="rId163" Type="http://schemas.openxmlformats.org/officeDocument/2006/relationships/hyperlink" Target="http://probaseballexperience.jcink.net/index.php?showuser=335" TargetMode="External"/><Relationship Id="rId184" Type="http://schemas.openxmlformats.org/officeDocument/2006/relationships/hyperlink" Target="http://probaseballexperience.jcink.net/index.php?showtopic=3196" TargetMode="External"/><Relationship Id="rId219" Type="http://schemas.openxmlformats.org/officeDocument/2006/relationships/hyperlink" Target="http://probaseballexperience.jcink.net/index.php?showtopic=5149" TargetMode="External"/><Relationship Id="rId230" Type="http://schemas.openxmlformats.org/officeDocument/2006/relationships/hyperlink" Target="http://probaseballexperience.jcink.net/index.php?showtopic=3174" TargetMode="External"/><Relationship Id="rId251" Type="http://schemas.openxmlformats.org/officeDocument/2006/relationships/hyperlink" Target="http://probaseballexperience.jcink.net/index.php?showtopic=2966" TargetMode="External"/><Relationship Id="rId25" Type="http://schemas.openxmlformats.org/officeDocument/2006/relationships/hyperlink" Target="http://probaseballexperience.jcink.net/index.php?showtopic=918" TargetMode="External"/><Relationship Id="rId46" Type="http://schemas.openxmlformats.org/officeDocument/2006/relationships/hyperlink" Target="http://probaseballexperience.jcink.net/index.php?showtopic=5703" TargetMode="External"/><Relationship Id="rId67" Type="http://schemas.openxmlformats.org/officeDocument/2006/relationships/hyperlink" Target="http://probaseballexperience.jcink.net/index.php?showtopic=1246" TargetMode="External"/><Relationship Id="rId272" Type="http://schemas.openxmlformats.org/officeDocument/2006/relationships/hyperlink" Target="http://probaseballexperience.jcink.net/index.php?showtopic=5313" TargetMode="External"/><Relationship Id="rId293" Type="http://schemas.openxmlformats.org/officeDocument/2006/relationships/hyperlink" Target="http://probaseballexperience.jcink.net/index.php?showuser=486" TargetMode="External"/><Relationship Id="rId88" Type="http://schemas.openxmlformats.org/officeDocument/2006/relationships/hyperlink" Target="http://probaseballexperience.jcink.net/index.php?showtopic=164" TargetMode="External"/><Relationship Id="rId111" Type="http://schemas.openxmlformats.org/officeDocument/2006/relationships/hyperlink" Target="http://probaseballexperience.jcink.net/index.php?showtopic=4002" TargetMode="External"/><Relationship Id="rId132" Type="http://schemas.openxmlformats.org/officeDocument/2006/relationships/hyperlink" Target="http://probaseballexperience.jcink.net/index.php?showtopic=3621" TargetMode="External"/><Relationship Id="rId153" Type="http://schemas.openxmlformats.org/officeDocument/2006/relationships/hyperlink" Target="http://probaseballexperience.jcink.net/index.php?showtopic=4177" TargetMode="External"/><Relationship Id="rId174" Type="http://schemas.openxmlformats.org/officeDocument/2006/relationships/hyperlink" Target="http://probaseballexperience.jcink.net/index.php?showuser=417" TargetMode="External"/><Relationship Id="rId195" Type="http://schemas.openxmlformats.org/officeDocument/2006/relationships/hyperlink" Target="http://probaseballexperience.jcink.net/index.php?showuser=412" TargetMode="External"/><Relationship Id="rId209" Type="http://schemas.openxmlformats.org/officeDocument/2006/relationships/hyperlink" Target="http://probaseballexperience.jcink.net/index.php?showuser=169" TargetMode="External"/><Relationship Id="rId220" Type="http://schemas.openxmlformats.org/officeDocument/2006/relationships/hyperlink" Target="http://probaseballexperience.jcink.net/index.php?showtopic=1673" TargetMode="External"/><Relationship Id="rId241" Type="http://schemas.openxmlformats.org/officeDocument/2006/relationships/hyperlink" Target="http://probaseballexperience.jcink.net/index.php?showuser=286" TargetMode="External"/><Relationship Id="rId15" Type="http://schemas.openxmlformats.org/officeDocument/2006/relationships/hyperlink" Target="http://probaseballexperience.jcink.net/index.php?showtopic=1441" TargetMode="External"/><Relationship Id="rId36" Type="http://schemas.openxmlformats.org/officeDocument/2006/relationships/hyperlink" Target="http://probaseballexperience.jcink.net/index.php?showtopic=268" TargetMode="External"/><Relationship Id="rId57" Type="http://schemas.openxmlformats.org/officeDocument/2006/relationships/hyperlink" Target="http://probaseballexperience.jcink.net/index.php?showuser=206" TargetMode="External"/><Relationship Id="rId262" Type="http://schemas.openxmlformats.org/officeDocument/2006/relationships/hyperlink" Target="http://probaseballexperience.jcink.net/index.php?showtopic=4565" TargetMode="External"/><Relationship Id="rId283" Type="http://schemas.openxmlformats.org/officeDocument/2006/relationships/hyperlink" Target="http://probaseballexperience.jcink.net/index.php?showuser=485" TargetMode="External"/><Relationship Id="rId78" Type="http://schemas.openxmlformats.org/officeDocument/2006/relationships/hyperlink" Target="http://probaseballexperience.jcink.net/index.php?showuser=238" TargetMode="External"/><Relationship Id="rId99" Type="http://schemas.openxmlformats.org/officeDocument/2006/relationships/hyperlink" Target="http://probaseballexperience.jcink.net/index.php?showtopic=1075" TargetMode="External"/><Relationship Id="rId101" Type="http://schemas.openxmlformats.org/officeDocument/2006/relationships/hyperlink" Target="http://probaseballexperience.jcink.net/index.php?showuser=224" TargetMode="External"/><Relationship Id="rId122" Type="http://schemas.openxmlformats.org/officeDocument/2006/relationships/hyperlink" Target="http://probaseballexperience.jcink.net/index.php?showuser=322" TargetMode="External"/><Relationship Id="rId143" Type="http://schemas.openxmlformats.org/officeDocument/2006/relationships/hyperlink" Target="http://probaseballexperience.jcink.net/index.php?showtopic=3272" TargetMode="External"/><Relationship Id="rId164" Type="http://schemas.openxmlformats.org/officeDocument/2006/relationships/hyperlink" Target="http://probaseballexperience.jcink.net/index.php?showtopic=3594" TargetMode="External"/><Relationship Id="rId185" Type="http://schemas.openxmlformats.org/officeDocument/2006/relationships/hyperlink" Target="http://probaseballexperience.jcink.net/index.php?showtopic=3610" TargetMode="External"/><Relationship Id="rId9" Type="http://schemas.openxmlformats.org/officeDocument/2006/relationships/hyperlink" Target="http://probaseballexperience.jcink.net/index.php?showtopic=453" TargetMode="External"/><Relationship Id="rId210" Type="http://schemas.openxmlformats.org/officeDocument/2006/relationships/hyperlink" Target="http://probaseballexperience.jcink.net/index.php?showtopic=1070" TargetMode="External"/><Relationship Id="rId26" Type="http://schemas.openxmlformats.org/officeDocument/2006/relationships/hyperlink" Target="http://probaseballexperience.jcink.net/index.php?showuser=142" TargetMode="External"/><Relationship Id="rId231" Type="http://schemas.openxmlformats.org/officeDocument/2006/relationships/hyperlink" Target="http://probaseballexperience.jcink.net/index.php?showtopic=3170" TargetMode="External"/><Relationship Id="rId252" Type="http://schemas.openxmlformats.org/officeDocument/2006/relationships/hyperlink" Target="http://probaseballexperience.jcink.net/index.php?showtopic=3606" TargetMode="External"/><Relationship Id="rId273" Type="http://schemas.openxmlformats.org/officeDocument/2006/relationships/hyperlink" Target="http://probaseballexperience.jcink.net/index.php?showuser=547" TargetMode="External"/><Relationship Id="rId294" Type="http://schemas.openxmlformats.org/officeDocument/2006/relationships/hyperlink" Target="http://probaseballexperience.jcink.net/index.php?showtopic=5483" TargetMode="External"/><Relationship Id="rId47" Type="http://schemas.openxmlformats.org/officeDocument/2006/relationships/hyperlink" Target="http://probaseballexperience.jcink.net/index.php?showtopic=1358" TargetMode="External"/><Relationship Id="rId68" Type="http://schemas.openxmlformats.org/officeDocument/2006/relationships/hyperlink" Target="http://probaseballexperience.jcink.net/index.php?showtopic=106" TargetMode="External"/><Relationship Id="rId89" Type="http://schemas.openxmlformats.org/officeDocument/2006/relationships/hyperlink" Target="http://probaseballexperience.jcink.net/index.php?showtopic=248" TargetMode="External"/><Relationship Id="rId112" Type="http://schemas.openxmlformats.org/officeDocument/2006/relationships/hyperlink" Target="http://probaseballexperience.jcink.net/index.php?showtopic=2999" TargetMode="External"/><Relationship Id="rId133" Type="http://schemas.openxmlformats.org/officeDocument/2006/relationships/hyperlink" Target="http://probaseballexperience.jcink.net/index.php?showtopic=2615" TargetMode="External"/><Relationship Id="rId154" Type="http://schemas.openxmlformats.org/officeDocument/2006/relationships/hyperlink" Target="http://probaseballexperience.jcink.net/index.php?showuser=396" TargetMode="External"/><Relationship Id="rId175" Type="http://schemas.openxmlformats.org/officeDocument/2006/relationships/hyperlink" Target="http://probaseballexperience.jcink.net/index.php?showtopic=4598" TargetMode="External"/><Relationship Id="rId196" Type="http://schemas.openxmlformats.org/officeDocument/2006/relationships/hyperlink" Target="http://probaseballexperience.jcink.net/index.php?showtopic=4591" TargetMode="External"/><Relationship Id="rId200" Type="http://schemas.openxmlformats.org/officeDocument/2006/relationships/hyperlink" Target="http://probaseballexperience.jcink.net/index.php?showtopic=4566" TargetMode="External"/><Relationship Id="rId16" Type="http://schemas.openxmlformats.org/officeDocument/2006/relationships/hyperlink" Target="http://probaseballexperience.jcink.net/index.php?showtopic=192" TargetMode="External"/><Relationship Id="rId221" Type="http://schemas.openxmlformats.org/officeDocument/2006/relationships/hyperlink" Target="http://probaseballexperience.jcink.net/index.php?showuser=212" TargetMode="External"/><Relationship Id="rId242" Type="http://schemas.openxmlformats.org/officeDocument/2006/relationships/hyperlink" Target="http://probaseballexperience.jcink.net/index.php?showtopic=2967" TargetMode="External"/><Relationship Id="rId263" Type="http://schemas.openxmlformats.org/officeDocument/2006/relationships/hyperlink" Target="http://probaseballexperience.jcink.net/index.php?showuser=250" TargetMode="External"/><Relationship Id="rId284" Type="http://schemas.openxmlformats.org/officeDocument/2006/relationships/hyperlink" Target="http://probaseballexperience.jcink.net/index.php?showtopic=5765" TargetMode="External"/><Relationship Id="rId37" Type="http://schemas.openxmlformats.org/officeDocument/2006/relationships/hyperlink" Target="http://probaseballexperience.jcink.net/index.php?showtopic=2781" TargetMode="External"/><Relationship Id="rId58" Type="http://schemas.openxmlformats.org/officeDocument/2006/relationships/hyperlink" Target="http://probaseballexperience.jcink.net/index.php?showtopic=1564" TargetMode="External"/><Relationship Id="rId79" Type="http://schemas.openxmlformats.org/officeDocument/2006/relationships/hyperlink" Target="http://probaseballexperience.jcink.net/index.php?showtopic=2183" TargetMode="External"/><Relationship Id="rId102" Type="http://schemas.openxmlformats.org/officeDocument/2006/relationships/hyperlink" Target="http://probaseballexperience.jcink.net/index.php?showtopic=1810" TargetMode="External"/><Relationship Id="rId123" Type="http://schemas.openxmlformats.org/officeDocument/2006/relationships/hyperlink" Target="http://probaseballexperience.jcink.net/index.php?showtopic=3435" TargetMode="External"/><Relationship Id="rId144" Type="http://schemas.openxmlformats.org/officeDocument/2006/relationships/hyperlink" Target="http://probaseballexperience.jcink.net/index.php?showuser=317" TargetMode="External"/><Relationship Id="rId90" Type="http://schemas.openxmlformats.org/officeDocument/2006/relationships/hyperlink" Target="http://probaseballexperience.jcink.net/index.php?showuser=96" TargetMode="External"/><Relationship Id="rId165" Type="http://schemas.openxmlformats.org/officeDocument/2006/relationships/hyperlink" Target="http://probaseballexperience.jcink.net/index.php?showtopic=3080" TargetMode="External"/><Relationship Id="rId186" Type="http://schemas.openxmlformats.org/officeDocument/2006/relationships/hyperlink" Target="http://probaseballexperience.jcink.net/index.php?showuser=42" TargetMode="External"/><Relationship Id="rId211" Type="http://schemas.openxmlformats.org/officeDocument/2006/relationships/hyperlink" Target="http://probaseballexperience.jcink.net/index.php?showtopic=5587" TargetMode="External"/><Relationship Id="rId232" Type="http://schemas.openxmlformats.org/officeDocument/2006/relationships/hyperlink" Target="http://probaseballexperience.jcink.net/index.php?showuser=311" TargetMode="External"/><Relationship Id="rId253" Type="http://schemas.openxmlformats.org/officeDocument/2006/relationships/hyperlink" Target="http://probaseballexperience.jcink.net/index.php?showuser=109" TargetMode="External"/><Relationship Id="rId274" Type="http://schemas.openxmlformats.org/officeDocument/2006/relationships/hyperlink" Target="http://probaseballexperience.jcink.net/index.php?showtopic=5866" TargetMode="External"/><Relationship Id="rId295" Type="http://schemas.openxmlformats.org/officeDocument/2006/relationships/hyperlink" Target="http://probaseballexperience.jcink.net/index.php?showuser=490" TargetMode="External"/><Relationship Id="rId27" Type="http://schemas.openxmlformats.org/officeDocument/2006/relationships/hyperlink" Target="http://probaseballexperience.jcink.net/index.php?showtopic=918" TargetMode="External"/><Relationship Id="rId48" Type="http://schemas.openxmlformats.org/officeDocument/2006/relationships/hyperlink" Target="http://probaseballexperience.jcink.net/index.php?showuser=191" TargetMode="External"/><Relationship Id="rId69" Type="http://schemas.openxmlformats.org/officeDocument/2006/relationships/hyperlink" Target="http://probaseballexperience.jcink.net/index.php?showuser=33" TargetMode="External"/><Relationship Id="rId113" Type="http://schemas.openxmlformats.org/officeDocument/2006/relationships/hyperlink" Target="http://probaseballexperience.jcink.net/index.php?showuser=40" TargetMode="External"/><Relationship Id="rId134" Type="http://schemas.openxmlformats.org/officeDocument/2006/relationships/hyperlink" Target="http://probaseballexperience.jcink.net/index.php?showuser=276" TargetMode="External"/><Relationship Id="rId80" Type="http://schemas.openxmlformats.org/officeDocument/2006/relationships/hyperlink" Target="http://probaseballexperience.jcink.net/index.php?showtopic=168" TargetMode="External"/><Relationship Id="rId155" Type="http://schemas.openxmlformats.org/officeDocument/2006/relationships/hyperlink" Target="http://probaseballexperience.jcink.net/index.php?showtopic=4611" TargetMode="External"/><Relationship Id="rId176" Type="http://schemas.openxmlformats.org/officeDocument/2006/relationships/hyperlink" Target="http://probaseballexperience.jcink.net/index.php?showtopic=2194" TargetMode="External"/><Relationship Id="rId197" Type="http://schemas.openxmlformats.org/officeDocument/2006/relationships/hyperlink" Target="http://probaseballexperience.jcink.net/index.php?showuser=412" TargetMode="External"/><Relationship Id="rId201" Type="http://schemas.openxmlformats.org/officeDocument/2006/relationships/hyperlink" Target="http://probaseballexperience.jcink.net/index.php?showtopic=2190" TargetMode="External"/><Relationship Id="rId222" Type="http://schemas.openxmlformats.org/officeDocument/2006/relationships/hyperlink" Target="http://probaseballexperience.jcink.net/index.php?showtopic=1673" TargetMode="External"/><Relationship Id="rId243" Type="http://schemas.openxmlformats.org/officeDocument/2006/relationships/hyperlink" Target="http://probaseballexperience.jcink.net/index.php?showtopic=2905" TargetMode="External"/><Relationship Id="rId264" Type="http://schemas.openxmlformats.org/officeDocument/2006/relationships/hyperlink" Target="http://probaseballexperience.jcink.net/index.php?showtopic=4375" TargetMode="External"/><Relationship Id="rId285" Type="http://schemas.openxmlformats.org/officeDocument/2006/relationships/hyperlink" Target="http://probaseballexperience.jcink.net/index.php?showuser=482" TargetMode="External"/><Relationship Id="rId17" Type="http://schemas.openxmlformats.org/officeDocument/2006/relationships/hyperlink" Target="http://probaseballexperience.jcink.net/index.php?showuser=68" TargetMode="External"/><Relationship Id="rId38" Type="http://schemas.openxmlformats.org/officeDocument/2006/relationships/hyperlink" Target="http://probaseballexperience.jcink.net/index.php?showuser=10" TargetMode="External"/><Relationship Id="rId59" Type="http://schemas.openxmlformats.org/officeDocument/2006/relationships/hyperlink" Target="http://probaseballexperience.jcink.net/index.php?showtopic=2921" TargetMode="External"/><Relationship Id="rId103" Type="http://schemas.openxmlformats.org/officeDocument/2006/relationships/hyperlink" Target="http://probaseballexperience.jcink.net/index.php?showtopic=1810" TargetMode="External"/><Relationship Id="rId124" Type="http://schemas.openxmlformats.org/officeDocument/2006/relationships/hyperlink" Target="http://probaseballexperience.jcink.net/index.php?showtopic=1734" TargetMode="External"/><Relationship Id="rId70" Type="http://schemas.openxmlformats.org/officeDocument/2006/relationships/hyperlink" Target="http://probaseballexperience.jcink.net/index.php?showtopic=106" TargetMode="External"/><Relationship Id="rId91" Type="http://schemas.openxmlformats.org/officeDocument/2006/relationships/hyperlink" Target="http://probaseballexperience.jcink.net/index.php?showtopic=248" TargetMode="External"/><Relationship Id="rId145" Type="http://schemas.openxmlformats.org/officeDocument/2006/relationships/hyperlink" Target="http://probaseballexperience.jcink.net/index.php?showtopic=3272" TargetMode="External"/><Relationship Id="rId166" Type="http://schemas.openxmlformats.org/officeDocument/2006/relationships/hyperlink" Target="http://probaseballexperience.jcink.net/index.php?showuser=297" TargetMode="External"/><Relationship Id="rId187" Type="http://schemas.openxmlformats.org/officeDocument/2006/relationships/hyperlink" Target="http://probaseballexperience.jcink.net/index.php?showtopic=3610" TargetMode="External"/><Relationship Id="rId1" Type="http://schemas.openxmlformats.org/officeDocument/2006/relationships/hyperlink" Target="http://probaseballexperience.jcink.net/index.php?showuser=428" TargetMode="External"/><Relationship Id="rId212" Type="http://schemas.openxmlformats.org/officeDocument/2006/relationships/hyperlink" Target="http://probaseballexperience.jcink.net/index.php?showuser=477" TargetMode="External"/><Relationship Id="rId233" Type="http://schemas.openxmlformats.org/officeDocument/2006/relationships/hyperlink" Target="http://probaseballexperience.jcink.net/index.php?showtopic=3170" TargetMode="External"/><Relationship Id="rId254" Type="http://schemas.openxmlformats.org/officeDocument/2006/relationships/hyperlink" Target="http://probaseballexperience.jcink.net/index.php?showtopic=3606" TargetMode="External"/><Relationship Id="rId28" Type="http://schemas.openxmlformats.org/officeDocument/2006/relationships/hyperlink" Target="http://probaseballexperience.jcink.net/index.php?showtopic=3773" TargetMode="External"/><Relationship Id="rId49" Type="http://schemas.openxmlformats.org/officeDocument/2006/relationships/hyperlink" Target="http://probaseballexperience.jcink.net/index.php?showtopic=1358" TargetMode="External"/><Relationship Id="rId114" Type="http://schemas.openxmlformats.org/officeDocument/2006/relationships/hyperlink" Target="http://probaseballexperience.jcink.net/index.php?showtopic=2999" TargetMode="External"/><Relationship Id="rId275" Type="http://schemas.openxmlformats.org/officeDocument/2006/relationships/hyperlink" Target="http://probaseballexperience.jcink.net/index.php?showuser=484" TargetMode="External"/><Relationship Id="rId296" Type="http://schemas.openxmlformats.org/officeDocument/2006/relationships/hyperlink" Target="http://probaseballexperience.jcink.net/index.php?showtopic=5577" TargetMode="External"/><Relationship Id="rId300" Type="http://schemas.openxmlformats.org/officeDocument/2006/relationships/hyperlink" Target="http://probaseballexperience.jcink.net/index.php?showtopic=4797" TargetMode="External"/><Relationship Id="rId60" Type="http://schemas.openxmlformats.org/officeDocument/2006/relationships/hyperlink" Target="http://probaseballexperience.jcink.net/index.php?showuser=282" TargetMode="External"/><Relationship Id="rId81" Type="http://schemas.openxmlformats.org/officeDocument/2006/relationships/hyperlink" Target="http://probaseballexperience.jcink.net/index.php?showuser=59" TargetMode="External"/><Relationship Id="rId135" Type="http://schemas.openxmlformats.org/officeDocument/2006/relationships/hyperlink" Target="http://probaseballexperience.jcink.net/index.php?showtopic=2615" TargetMode="External"/><Relationship Id="rId156" Type="http://schemas.openxmlformats.org/officeDocument/2006/relationships/hyperlink" Target="http://probaseballexperience.jcink.net/index.php?showtopic=2571" TargetMode="External"/><Relationship Id="rId177" Type="http://schemas.openxmlformats.org/officeDocument/2006/relationships/hyperlink" Target="http://probaseballexperience.jcink.net/index.php?showuser=243" TargetMode="External"/><Relationship Id="rId198" Type="http://schemas.openxmlformats.org/officeDocument/2006/relationships/hyperlink" Target="http://probaseballexperience.jcink.net/index.php?showtopic=4591" TargetMode="External"/><Relationship Id="rId202" Type="http://schemas.openxmlformats.org/officeDocument/2006/relationships/hyperlink" Target="http://probaseballexperience.jcink.net/index.php?showuser=237" TargetMode="External"/><Relationship Id="rId223" Type="http://schemas.openxmlformats.org/officeDocument/2006/relationships/hyperlink" Target="http://probaseballexperience.jcink.net/index.php?showuser=548" TargetMode="External"/><Relationship Id="rId244" Type="http://schemas.openxmlformats.org/officeDocument/2006/relationships/hyperlink" Target="http://probaseballexperience.jcink.net/index.php?showuser=55" TargetMode="External"/><Relationship Id="rId18" Type="http://schemas.openxmlformats.org/officeDocument/2006/relationships/hyperlink" Target="http://probaseballexperience.jcink.net/index.php?showtopic=192" TargetMode="External"/><Relationship Id="rId39" Type="http://schemas.openxmlformats.org/officeDocument/2006/relationships/hyperlink" Target="http://probaseballexperience.jcink.net/index.php?showtopic=2781" TargetMode="External"/><Relationship Id="rId265" Type="http://schemas.openxmlformats.org/officeDocument/2006/relationships/hyperlink" Target="http://probaseballexperience.jcink.net/index.php?showuser=424" TargetMode="External"/><Relationship Id="rId286" Type="http://schemas.openxmlformats.org/officeDocument/2006/relationships/hyperlink" Target="http://probaseballexperience.jcink.net/index.php?showtopic=5327" TargetMode="External"/><Relationship Id="rId50" Type="http://schemas.openxmlformats.org/officeDocument/2006/relationships/hyperlink" Target="http://probaseballexperience.jcink.net/index.php?showtopic=176" TargetMode="External"/><Relationship Id="rId104" Type="http://schemas.openxmlformats.org/officeDocument/2006/relationships/hyperlink" Target="http://probaseballexperience.jcink.net/index.php?showuser=224" TargetMode="External"/><Relationship Id="rId125" Type="http://schemas.openxmlformats.org/officeDocument/2006/relationships/hyperlink" Target="http://probaseballexperience.jcink.net/index.php?showuser=219" TargetMode="External"/><Relationship Id="rId146" Type="http://schemas.openxmlformats.org/officeDocument/2006/relationships/hyperlink" Target="http://probaseballexperience.jcink.net/index.php?showtopic=4076" TargetMode="External"/><Relationship Id="rId167" Type="http://schemas.openxmlformats.org/officeDocument/2006/relationships/hyperlink" Target="http://probaseballexperience.jcink.net/index.php?showtopic=3080" TargetMode="External"/><Relationship Id="rId188" Type="http://schemas.openxmlformats.org/officeDocument/2006/relationships/hyperlink" Target="http://probaseballexperience.jcink.net/index.php?showtopic=3573" TargetMode="External"/><Relationship Id="rId71" Type="http://schemas.openxmlformats.org/officeDocument/2006/relationships/hyperlink" Target="http://probaseballexperience.jcink.net/index.php?showtopic=2551" TargetMode="External"/><Relationship Id="rId92" Type="http://schemas.openxmlformats.org/officeDocument/2006/relationships/hyperlink" Target="http://probaseballexperience.jcink.net/index.php?showuser=448" TargetMode="External"/><Relationship Id="rId213" Type="http://schemas.openxmlformats.org/officeDocument/2006/relationships/hyperlink" Target="http://probaseballexperience.jcink.net/index.php?showtopic=5166" TargetMode="External"/><Relationship Id="rId234" Type="http://schemas.openxmlformats.org/officeDocument/2006/relationships/hyperlink" Target="http://probaseballexperience.jcink.net/index.php?showtopic=3097" TargetMode="External"/><Relationship Id="rId2" Type="http://schemas.openxmlformats.org/officeDocument/2006/relationships/hyperlink" Target="http://probaseballexperience.jcink.net/index.php?showtopic=4632" TargetMode="External"/><Relationship Id="rId29" Type="http://schemas.openxmlformats.org/officeDocument/2006/relationships/hyperlink" Target="http://probaseballexperience.jcink.net/index.php?showuser=343" TargetMode="External"/><Relationship Id="rId255" Type="http://schemas.openxmlformats.org/officeDocument/2006/relationships/hyperlink" Target="http://probaseballexperience.jcink.net/index.php?showuser=439" TargetMode="External"/><Relationship Id="rId276" Type="http://schemas.openxmlformats.org/officeDocument/2006/relationships/hyperlink" Target="http://probaseballexperience.jcink.net/index.php?showtopic=5453" TargetMode="External"/><Relationship Id="rId297" Type="http://schemas.openxmlformats.org/officeDocument/2006/relationships/hyperlink" Target="http://probaseballexperience.jcink.net/index.php?showuser=498" TargetMode="External"/><Relationship Id="rId40" Type="http://schemas.openxmlformats.org/officeDocument/2006/relationships/hyperlink" Target="http://probaseballexperience.jcink.net/index.php?showtopic=4043" TargetMode="External"/><Relationship Id="rId115" Type="http://schemas.openxmlformats.org/officeDocument/2006/relationships/hyperlink" Target="http://probaseballexperience.jcink.net/index.php?showtopic=1735" TargetMode="External"/><Relationship Id="rId136" Type="http://schemas.openxmlformats.org/officeDocument/2006/relationships/hyperlink" Target="http://probaseballexperience.jcink.net/index.php?showtopic=3272" TargetMode="External"/><Relationship Id="rId157" Type="http://schemas.openxmlformats.org/officeDocument/2006/relationships/hyperlink" Target="http://probaseballexperience.jcink.net/index.php?showuser=259" TargetMode="External"/><Relationship Id="rId178" Type="http://schemas.openxmlformats.org/officeDocument/2006/relationships/hyperlink" Target="http://probaseballexperience.jcink.net/index.php?showtopic=2194" TargetMode="External"/><Relationship Id="rId301" Type="http://schemas.openxmlformats.org/officeDocument/2006/relationships/hyperlink" Target="http://probaseballexperience.jcink.net/index.php?showuser=552" TargetMode="External"/><Relationship Id="rId61" Type="http://schemas.openxmlformats.org/officeDocument/2006/relationships/hyperlink" Target="http://probaseballexperience.jcink.net/index.php?showtopic=2921" TargetMode="External"/><Relationship Id="rId82" Type="http://schemas.openxmlformats.org/officeDocument/2006/relationships/hyperlink" Target="http://probaseballexperience.jcink.net/index.php?showtopic=168" TargetMode="External"/><Relationship Id="rId199" Type="http://schemas.openxmlformats.org/officeDocument/2006/relationships/hyperlink" Target="http://probaseballexperience.jcink.net/index.php?showuser=405" TargetMode="External"/><Relationship Id="rId203" Type="http://schemas.openxmlformats.org/officeDocument/2006/relationships/hyperlink" Target="http://probaseballexperience.jcink.net/index.php?showtopic=2190" TargetMode="External"/><Relationship Id="rId19" Type="http://schemas.openxmlformats.org/officeDocument/2006/relationships/hyperlink" Target="http://probaseballexperience.jcink.net/index.php?showtopic=1058" TargetMode="External"/><Relationship Id="rId224" Type="http://schemas.openxmlformats.org/officeDocument/2006/relationships/hyperlink" Target="http://probaseballexperience.jcink.net/index.php?showtopic=5865" TargetMode="External"/><Relationship Id="rId245" Type="http://schemas.openxmlformats.org/officeDocument/2006/relationships/hyperlink" Target="http://probaseballexperience.jcink.net/index.php?showtopic=2905" TargetMode="External"/><Relationship Id="rId266" Type="http://schemas.openxmlformats.org/officeDocument/2006/relationships/hyperlink" Target="http://probaseballexperience.jcink.net/index.php?showtopic=4613" TargetMode="External"/><Relationship Id="rId287" Type="http://schemas.openxmlformats.org/officeDocument/2006/relationships/hyperlink" Target="http://probaseballexperience.jcink.net/index.php?showuser=497" TargetMode="External"/><Relationship Id="rId30" Type="http://schemas.openxmlformats.org/officeDocument/2006/relationships/hyperlink" Target="http://probaseballexperience.jcink.net/index.php?showtopic=3773" TargetMode="External"/><Relationship Id="rId105" Type="http://schemas.openxmlformats.org/officeDocument/2006/relationships/hyperlink" Target="http://probaseballexperience.jcink.net/index.php?showtopic=1810" TargetMode="External"/><Relationship Id="rId126" Type="http://schemas.openxmlformats.org/officeDocument/2006/relationships/hyperlink" Target="http://probaseballexperience.jcink.net/index.php?showtopic=1734" TargetMode="External"/><Relationship Id="rId147" Type="http://schemas.openxmlformats.org/officeDocument/2006/relationships/hyperlink" Target="http://probaseballexperience.jcink.net/index.php?showuser=376" TargetMode="External"/><Relationship Id="rId168" Type="http://schemas.openxmlformats.org/officeDocument/2006/relationships/hyperlink" Target="http://probaseballexperience.jcink.net/index.php?showtopic=239" TargetMode="External"/><Relationship Id="rId51" Type="http://schemas.openxmlformats.org/officeDocument/2006/relationships/hyperlink" Target="http://probaseballexperience.jcink.net/index.php?showuser=61" TargetMode="External"/><Relationship Id="rId72" Type="http://schemas.openxmlformats.org/officeDocument/2006/relationships/hyperlink" Target="http://probaseballexperience.jcink.net/index.php?showuser=258" TargetMode="External"/><Relationship Id="rId93" Type="http://schemas.openxmlformats.org/officeDocument/2006/relationships/hyperlink" Target="http://probaseballexperience.jcink.net/index.php?showtopic=4918" TargetMode="External"/><Relationship Id="rId189" Type="http://schemas.openxmlformats.org/officeDocument/2006/relationships/hyperlink" Target="http://probaseballexperience.jcink.net/index.php?showuser=328" TargetMode="External"/><Relationship Id="rId3" Type="http://schemas.openxmlformats.org/officeDocument/2006/relationships/hyperlink" Target="http://probaseballexperience.jcink.net/index.php?showtopic=4745&amp;hl=kramer" TargetMode="External"/><Relationship Id="rId214" Type="http://schemas.openxmlformats.org/officeDocument/2006/relationships/hyperlink" Target="http://probaseballexperience.jcink.net/index.php?showuser=474" TargetMode="External"/><Relationship Id="rId235" Type="http://schemas.openxmlformats.org/officeDocument/2006/relationships/hyperlink" Target="http://probaseballexperience.jcink.net/index.php?showuser=312" TargetMode="External"/><Relationship Id="rId256" Type="http://schemas.openxmlformats.org/officeDocument/2006/relationships/hyperlink" Target="http://probaseballexperience.jcink.net/index.php?showtopic=4856" TargetMode="External"/><Relationship Id="rId277" Type="http://schemas.openxmlformats.org/officeDocument/2006/relationships/hyperlink" Target="http://probaseballexperience.jcink.net/index.php?showuser=510" TargetMode="External"/><Relationship Id="rId298" Type="http://schemas.openxmlformats.org/officeDocument/2006/relationships/hyperlink" Target="http://probaseballexperience.jcink.net/index.php?showtopic=5713" TargetMode="External"/><Relationship Id="rId116" Type="http://schemas.openxmlformats.org/officeDocument/2006/relationships/hyperlink" Target="http://probaseballexperience.jcink.net/index.php?showuser=220" TargetMode="External"/><Relationship Id="rId137" Type="http://schemas.openxmlformats.org/officeDocument/2006/relationships/hyperlink" Target="http://probaseballexperience.jcink.net/index.php?showuser=317" TargetMode="External"/><Relationship Id="rId158" Type="http://schemas.openxmlformats.org/officeDocument/2006/relationships/hyperlink" Target="http://probaseballexperience.jcink.net/index.php?showtopic=2571" TargetMode="External"/><Relationship Id="rId302" Type="http://schemas.openxmlformats.org/officeDocument/2006/relationships/hyperlink" Target="http://probaseballexperience.jcink.net/index.php?showtopic=5885" TargetMode="External"/><Relationship Id="rId20" Type="http://schemas.openxmlformats.org/officeDocument/2006/relationships/hyperlink" Target="http://probaseballexperience.jcink.net/index.php?showuser=165" TargetMode="External"/><Relationship Id="rId41" Type="http://schemas.openxmlformats.org/officeDocument/2006/relationships/hyperlink" Target="http://probaseballexperience.jcink.net/index.php?showuser=363" TargetMode="External"/><Relationship Id="rId62" Type="http://schemas.openxmlformats.org/officeDocument/2006/relationships/hyperlink" Target="http://probaseballexperience.jcink.net/index.php?showtopic=1092" TargetMode="External"/><Relationship Id="rId83" Type="http://schemas.openxmlformats.org/officeDocument/2006/relationships/hyperlink" Target="http://probaseballexperience.jcink.net/index.php?showtopic=3043&amp;st=0&amp;" TargetMode="External"/><Relationship Id="rId179" Type="http://schemas.openxmlformats.org/officeDocument/2006/relationships/hyperlink" Target="http://probaseballexperience.jcink.net/index.php?showtopic=2596" TargetMode="External"/><Relationship Id="rId190" Type="http://schemas.openxmlformats.org/officeDocument/2006/relationships/hyperlink" Target="http://probaseballexperience.jcink.net/index.php?showtopic=3573" TargetMode="External"/><Relationship Id="rId204" Type="http://schemas.openxmlformats.org/officeDocument/2006/relationships/hyperlink" Target="http://probaseballexperience.jcink.net/index.php?showtopic=1426" TargetMode="External"/><Relationship Id="rId225" Type="http://schemas.openxmlformats.org/officeDocument/2006/relationships/hyperlink" Target="http://probaseballexperience.jcink.net/index.php?showtopic=2622" TargetMode="External"/><Relationship Id="rId246" Type="http://schemas.openxmlformats.org/officeDocument/2006/relationships/hyperlink" Target="http://probaseballexperience.jcink.net/index.php?showtopic=3008" TargetMode="External"/><Relationship Id="rId267" Type="http://schemas.openxmlformats.org/officeDocument/2006/relationships/hyperlink" Target="http://probaseballexperience.jcink.net/index.php?showuser=361" TargetMode="External"/><Relationship Id="rId288" Type="http://schemas.openxmlformats.org/officeDocument/2006/relationships/hyperlink" Target="http://probaseballexperience.jcink.net/index.php?showtopic=5663" TargetMode="External"/><Relationship Id="rId106" Type="http://schemas.openxmlformats.org/officeDocument/2006/relationships/hyperlink" Target="http://probaseballexperience.jcink.net/index.php?showtopic=3027" TargetMode="External"/><Relationship Id="rId127" Type="http://schemas.openxmlformats.org/officeDocument/2006/relationships/hyperlink" Target="http://probaseballexperience.jcink.net/index.php?act=ST&amp;f=2&amp;t=2524" TargetMode="External"/><Relationship Id="rId10" Type="http://schemas.openxmlformats.org/officeDocument/2006/relationships/hyperlink" Target="http://probaseballexperience.jcink.net/index.php?showtopic=141" TargetMode="External"/><Relationship Id="rId31" Type="http://schemas.openxmlformats.org/officeDocument/2006/relationships/hyperlink" Target="http://probaseballexperience.jcink.net/index.php?showtopic=3145" TargetMode="External"/><Relationship Id="rId52" Type="http://schemas.openxmlformats.org/officeDocument/2006/relationships/hyperlink" Target="http://probaseballexperience.jcink.net/index.php?showtopic=176" TargetMode="External"/><Relationship Id="rId73" Type="http://schemas.openxmlformats.org/officeDocument/2006/relationships/hyperlink" Target="http://probaseballexperience.jcink.net/index.php?showtopic=2551" TargetMode="External"/><Relationship Id="rId94" Type="http://schemas.openxmlformats.org/officeDocument/2006/relationships/hyperlink" Target="http://probaseballexperience.jcink.net/index.php?showtopic=2506" TargetMode="External"/><Relationship Id="rId148" Type="http://schemas.openxmlformats.org/officeDocument/2006/relationships/hyperlink" Target="http://probaseballexperience.jcink.net/index.php?showtopic=4076" TargetMode="External"/><Relationship Id="rId169" Type="http://schemas.openxmlformats.org/officeDocument/2006/relationships/hyperlink" Target="http://probaseballexperience.jcink.net/index.php?showuser=90" TargetMode="External"/><Relationship Id="rId4" Type="http://schemas.openxmlformats.org/officeDocument/2006/relationships/hyperlink" Target="http://probaseballexperience.jcink.net/index.php?showuser=350" TargetMode="External"/><Relationship Id="rId180" Type="http://schemas.openxmlformats.org/officeDocument/2006/relationships/hyperlink" Target="http://probaseballexperience.jcink.net/index.php?showuser=264" TargetMode="External"/><Relationship Id="rId215" Type="http://schemas.openxmlformats.org/officeDocument/2006/relationships/hyperlink" Target="http://probaseballexperience.jcink.net/index.php?showtopic=5148" TargetMode="External"/><Relationship Id="rId236" Type="http://schemas.openxmlformats.org/officeDocument/2006/relationships/hyperlink" Target="http://probaseballexperience.jcink.net/index.php?showtopic=3162" TargetMode="External"/><Relationship Id="rId257" Type="http://schemas.openxmlformats.org/officeDocument/2006/relationships/hyperlink" Target="http://probaseballexperience.jcink.net/index.php?showuser=445" TargetMode="External"/><Relationship Id="rId278" Type="http://schemas.openxmlformats.org/officeDocument/2006/relationships/hyperlink" Target="http://probaseballexperience.jcink.net/index.php?showtopic=5788" TargetMode="External"/><Relationship Id="rId303" Type="http://schemas.openxmlformats.org/officeDocument/2006/relationships/vmlDrawing" Target="../drawings/vmlDrawing9.vml"/><Relationship Id="rId42" Type="http://schemas.openxmlformats.org/officeDocument/2006/relationships/hyperlink" Target="http://probaseballexperience.jcink.net/index.php?showtopic=4043" TargetMode="External"/><Relationship Id="rId84" Type="http://schemas.openxmlformats.org/officeDocument/2006/relationships/hyperlink" Target="http://probaseballexperience.jcink.net/index.php?showuser=296" TargetMode="External"/><Relationship Id="rId138" Type="http://schemas.openxmlformats.org/officeDocument/2006/relationships/hyperlink" Target="http://probaseballexperience.jcink.net/index.php?showtopic=3272" TargetMode="External"/><Relationship Id="rId191" Type="http://schemas.openxmlformats.org/officeDocument/2006/relationships/hyperlink" Target="http://probaseballexperience.jcink.net/index.php?showtopic=3585" TargetMode="External"/><Relationship Id="rId205" Type="http://schemas.openxmlformats.org/officeDocument/2006/relationships/hyperlink" Target="http://probaseballexperience.jcink.net/index.php?showuser=198" TargetMode="External"/><Relationship Id="rId247" Type="http://schemas.openxmlformats.org/officeDocument/2006/relationships/hyperlink" Target="http://probaseballexperience.jcink.net/index.php?showuser=291" TargetMode="External"/><Relationship Id="rId107" Type="http://schemas.openxmlformats.org/officeDocument/2006/relationships/hyperlink" Target="http://probaseballexperience.jcink.net/index.php?showuser=4" TargetMode="External"/><Relationship Id="rId289" Type="http://schemas.openxmlformats.org/officeDocument/2006/relationships/hyperlink" Target="http://probaseballexperience.jcink.net/index.php?showuser=489" TargetMode="External"/><Relationship Id="rId11" Type="http://schemas.openxmlformats.org/officeDocument/2006/relationships/hyperlink" Target="http://probaseballexperience.jcink.net/index.php?showuser=20" TargetMode="External"/><Relationship Id="rId53" Type="http://schemas.openxmlformats.org/officeDocument/2006/relationships/hyperlink" Target="http://probaseballexperience.jcink.net/index.php?showtopic=3582" TargetMode="External"/><Relationship Id="rId149" Type="http://schemas.openxmlformats.org/officeDocument/2006/relationships/hyperlink" Target="http://probaseballexperience.jcink.net/index.php?showtopic=3097" TargetMode="External"/><Relationship Id="rId95" Type="http://schemas.openxmlformats.org/officeDocument/2006/relationships/hyperlink" Target="http://probaseballexperience.jcink.net/index.php?showuser=256" TargetMode="External"/><Relationship Id="rId160" Type="http://schemas.openxmlformats.org/officeDocument/2006/relationships/hyperlink" Target="http://probaseballexperience.jcink.net/index.php?showuser=223" TargetMode="External"/><Relationship Id="rId216" Type="http://schemas.openxmlformats.org/officeDocument/2006/relationships/hyperlink" Target="http://probaseballexperience.jcink.net/index.php?showuser=465" TargetMode="External"/><Relationship Id="rId258" Type="http://schemas.openxmlformats.org/officeDocument/2006/relationships/hyperlink" Target="http://probaseballexperience.jcink.net/index.php?showtopic=4908" TargetMode="External"/><Relationship Id="rId22" Type="http://schemas.openxmlformats.org/officeDocument/2006/relationships/hyperlink" Target="http://probaseballexperience.jcink.net/index.php?showtopic=2450" TargetMode="External"/><Relationship Id="rId64" Type="http://schemas.openxmlformats.org/officeDocument/2006/relationships/hyperlink" Target="http://probaseballexperience.jcink.net/index.php?showtopic=1092" TargetMode="External"/><Relationship Id="rId118" Type="http://schemas.openxmlformats.org/officeDocument/2006/relationships/hyperlink" Target="http://probaseballexperience.jcink.net/index.php?showtopic=3942" TargetMode="External"/><Relationship Id="rId171" Type="http://schemas.openxmlformats.org/officeDocument/2006/relationships/hyperlink" Target="http://probaseballexperience.jcink.net/index.php?showtopic=2229" TargetMode="External"/><Relationship Id="rId227" Type="http://schemas.openxmlformats.org/officeDocument/2006/relationships/hyperlink" Target="http://probaseballexperience.jcink.net/index.php?showtopic=2622" TargetMode="External"/><Relationship Id="rId269" Type="http://schemas.openxmlformats.org/officeDocument/2006/relationships/hyperlink" Target="http://probaseballexperience.jcink.net/index.php?showtopic=5362" TargetMode="External"/><Relationship Id="rId33" Type="http://schemas.openxmlformats.org/officeDocument/2006/relationships/hyperlink" Target="http://probaseballexperience.jcink.net/index.php?showtopic=3145" TargetMode="External"/><Relationship Id="rId129" Type="http://schemas.openxmlformats.org/officeDocument/2006/relationships/hyperlink" Target="http://probaseballexperience.jcink.net/index.php?act=ST&amp;f=2&amp;t=2524" TargetMode="External"/><Relationship Id="rId280" Type="http://schemas.openxmlformats.org/officeDocument/2006/relationships/hyperlink" Target="http://probaseballexperience.jcink.net/index.php?showtopic=5808" TargetMode="External"/><Relationship Id="rId75" Type="http://schemas.openxmlformats.org/officeDocument/2006/relationships/hyperlink" Target="http://probaseballexperience.jcink.net/index.php?showuser=193" TargetMode="External"/><Relationship Id="rId140" Type="http://schemas.openxmlformats.org/officeDocument/2006/relationships/hyperlink" Target="http://probaseballexperience.jcink.net/index.php?showtopic=3272" TargetMode="External"/><Relationship Id="rId182" Type="http://schemas.openxmlformats.org/officeDocument/2006/relationships/hyperlink" Target="http://probaseballexperience.jcink.net/index.php?showtopic=3196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probaseballexperience.jcink.net/index.php?showuser=126" TargetMode="External"/><Relationship Id="rId299" Type="http://schemas.openxmlformats.org/officeDocument/2006/relationships/hyperlink" Target="http://probaseballexperience.jcink.net/index.php?showtopic=1070" TargetMode="External"/><Relationship Id="rId21" Type="http://schemas.openxmlformats.org/officeDocument/2006/relationships/hyperlink" Target="http://probaseballexperience.jcink.net/index.php?showuser=155" TargetMode="External"/><Relationship Id="rId63" Type="http://schemas.openxmlformats.org/officeDocument/2006/relationships/hyperlink" Target="http://probaseballexperience.jcink.net/index.php?showuser=51" TargetMode="External"/><Relationship Id="rId159" Type="http://schemas.openxmlformats.org/officeDocument/2006/relationships/hyperlink" Target="http://probaseballexperience.jcink.net/index.php?showtopic=132" TargetMode="External"/><Relationship Id="rId324" Type="http://schemas.openxmlformats.org/officeDocument/2006/relationships/hyperlink" Target="http://probaseballexperience.jcink.net/index.php?showtopic=1082" TargetMode="External"/><Relationship Id="rId170" Type="http://schemas.openxmlformats.org/officeDocument/2006/relationships/hyperlink" Target="http://probaseballexperience.jcink.net/index.php?showuser=50" TargetMode="External"/><Relationship Id="rId226" Type="http://schemas.openxmlformats.org/officeDocument/2006/relationships/hyperlink" Target="http://probaseballexperience.jcink.net/index.php?showtopic=917" TargetMode="External"/><Relationship Id="rId268" Type="http://schemas.openxmlformats.org/officeDocument/2006/relationships/hyperlink" Target="http://probaseballexperience.jcink.net/index.php?showuser=271" TargetMode="External"/><Relationship Id="rId32" Type="http://schemas.openxmlformats.org/officeDocument/2006/relationships/hyperlink" Target="http://probaseballexperience.jcink.net/index.php?showtopic=1785" TargetMode="External"/><Relationship Id="rId74" Type="http://schemas.openxmlformats.org/officeDocument/2006/relationships/hyperlink" Target="http://probaseballexperience.jcink.net/index.php?showtopic=335" TargetMode="External"/><Relationship Id="rId128" Type="http://schemas.openxmlformats.org/officeDocument/2006/relationships/hyperlink" Target="http://probaseballexperience.jcink.net/index.php?showuser=437" TargetMode="External"/><Relationship Id="rId335" Type="http://schemas.openxmlformats.org/officeDocument/2006/relationships/hyperlink" Target="http://probaseballexperience.jcink.net/index.php?showtopic=1085" TargetMode="External"/><Relationship Id="rId5" Type="http://schemas.openxmlformats.org/officeDocument/2006/relationships/hyperlink" Target="http://probaseballexperience.jcink.net/index.php?showuser=36" TargetMode="External"/><Relationship Id="rId181" Type="http://schemas.openxmlformats.org/officeDocument/2006/relationships/hyperlink" Target="http://probaseballexperience.jcink.net/index.php?showtopic=126" TargetMode="External"/><Relationship Id="rId237" Type="http://schemas.openxmlformats.org/officeDocument/2006/relationships/hyperlink" Target="http://probaseballexperience.jcink.net/index.php?showtopic=276" TargetMode="External"/><Relationship Id="rId279" Type="http://schemas.openxmlformats.org/officeDocument/2006/relationships/hyperlink" Target="http://probaseballexperience.jcink.net/index.php?showtopic=1477" TargetMode="External"/><Relationship Id="rId43" Type="http://schemas.openxmlformats.org/officeDocument/2006/relationships/hyperlink" Target="http://probaseballexperience.jcink.net/index.php?showuser=49" TargetMode="External"/><Relationship Id="rId139" Type="http://schemas.openxmlformats.org/officeDocument/2006/relationships/hyperlink" Target="http://probaseballexperience.jcink.net/index.php?showtopic=1152" TargetMode="External"/><Relationship Id="rId290" Type="http://schemas.openxmlformats.org/officeDocument/2006/relationships/hyperlink" Target="http://probaseballexperience.jcink.net/index.php?showtopic=1147" TargetMode="External"/><Relationship Id="rId304" Type="http://schemas.openxmlformats.org/officeDocument/2006/relationships/hyperlink" Target="http://probaseballexperience.jcink.net/index.php?showuser=181" TargetMode="External"/><Relationship Id="rId346" Type="http://schemas.openxmlformats.org/officeDocument/2006/relationships/hyperlink" Target="http://probaseballexperience.jcink.net/index.php?showuser=272" TargetMode="External"/><Relationship Id="rId85" Type="http://schemas.openxmlformats.org/officeDocument/2006/relationships/hyperlink" Target="http://probaseballexperience.jcink.net/index.php?showtopic=89" TargetMode="External"/><Relationship Id="rId150" Type="http://schemas.openxmlformats.org/officeDocument/2006/relationships/hyperlink" Target="http://probaseballexperience.jcink.net/index.php?showtopic=230" TargetMode="External"/><Relationship Id="rId192" Type="http://schemas.openxmlformats.org/officeDocument/2006/relationships/hyperlink" Target="http://probaseballexperience.jcink.net/index.php?showtopic=242" TargetMode="External"/><Relationship Id="rId206" Type="http://schemas.openxmlformats.org/officeDocument/2006/relationships/hyperlink" Target="http://probaseballexperience.jcink.net/index.php?showuser=54" TargetMode="External"/><Relationship Id="rId248" Type="http://schemas.openxmlformats.org/officeDocument/2006/relationships/hyperlink" Target="http://probaseballexperience.jcink.net/index.php?showuser=22" TargetMode="External"/><Relationship Id="rId12" Type="http://schemas.openxmlformats.org/officeDocument/2006/relationships/hyperlink" Target="http://probaseballexperience.jcink.net/index.php?showtopic=614" TargetMode="External"/><Relationship Id="rId108" Type="http://schemas.openxmlformats.org/officeDocument/2006/relationships/hyperlink" Target="http://probaseballexperience.jcink.net/index.php?showuser=250" TargetMode="External"/><Relationship Id="rId315" Type="http://schemas.openxmlformats.org/officeDocument/2006/relationships/hyperlink" Target="http://probaseballexperience.jcink.net/index.php?showtopic=1076" TargetMode="External"/><Relationship Id="rId357" Type="http://schemas.openxmlformats.org/officeDocument/2006/relationships/table" Target="../tables/table11.xml"/><Relationship Id="rId54" Type="http://schemas.openxmlformats.org/officeDocument/2006/relationships/hyperlink" Target="http://probaseballexperience.jcink.net/index.php?showuser=107" TargetMode="External"/><Relationship Id="rId96" Type="http://schemas.openxmlformats.org/officeDocument/2006/relationships/hyperlink" Target="http://probaseballexperience.jcink.net/index.php?showuser=145" TargetMode="External"/><Relationship Id="rId161" Type="http://schemas.openxmlformats.org/officeDocument/2006/relationships/hyperlink" Target="http://probaseballexperience.jcink.net/index.php?showuser=89" TargetMode="External"/><Relationship Id="rId217" Type="http://schemas.openxmlformats.org/officeDocument/2006/relationships/hyperlink" Target="http://probaseballexperience.jcink.net/index.php?showtopic=249" TargetMode="External"/><Relationship Id="rId259" Type="http://schemas.openxmlformats.org/officeDocument/2006/relationships/hyperlink" Target="http://probaseballexperience.jcink.net/index.php?showuser=48" TargetMode="External"/><Relationship Id="rId23" Type="http://schemas.openxmlformats.org/officeDocument/2006/relationships/hyperlink" Target="http://probaseballexperience.jcink.net/index.php?showuser=102" TargetMode="External"/><Relationship Id="rId119" Type="http://schemas.openxmlformats.org/officeDocument/2006/relationships/hyperlink" Target="http://probaseballexperience.jcink.net/index.php?showtopic=797" TargetMode="External"/><Relationship Id="rId270" Type="http://schemas.openxmlformats.org/officeDocument/2006/relationships/hyperlink" Target="http://probaseballexperience.jcink.net/index.php?showtopic=219" TargetMode="External"/><Relationship Id="rId326" Type="http://schemas.openxmlformats.org/officeDocument/2006/relationships/hyperlink" Target="http://probaseballexperience.jcink.net/index.php?showtopic=1082" TargetMode="External"/><Relationship Id="rId65" Type="http://schemas.openxmlformats.org/officeDocument/2006/relationships/hyperlink" Target="http://probaseballexperience.jcink.net/index.php?showtopic=216" TargetMode="External"/><Relationship Id="rId130" Type="http://schemas.openxmlformats.org/officeDocument/2006/relationships/hyperlink" Target="http://probaseballexperience.jcink.net/index.php?showtopic=158" TargetMode="External"/><Relationship Id="rId172" Type="http://schemas.openxmlformats.org/officeDocument/2006/relationships/hyperlink" Target="http://probaseballexperience.jcink.net/index.php?showtopic=477" TargetMode="External"/><Relationship Id="rId228" Type="http://schemas.openxmlformats.org/officeDocument/2006/relationships/hyperlink" Target="http://probaseballexperience.jcink.net/index.php?showtopic=917" TargetMode="External"/><Relationship Id="rId281" Type="http://schemas.openxmlformats.org/officeDocument/2006/relationships/hyperlink" Target="http://probaseballexperience.jcink.net/index.php?showtopic=1477" TargetMode="External"/><Relationship Id="rId337" Type="http://schemas.openxmlformats.org/officeDocument/2006/relationships/hyperlink" Target="http://probaseballexperience.jcink.net/index.php?showuser=192" TargetMode="External"/><Relationship Id="rId34" Type="http://schemas.openxmlformats.org/officeDocument/2006/relationships/hyperlink" Target="http://probaseballexperience.jcink.net/index.php?showtopic=93" TargetMode="External"/><Relationship Id="rId76" Type="http://schemas.openxmlformats.org/officeDocument/2006/relationships/hyperlink" Target="http://probaseballexperience.jcink.net/index.php?showtopic=335" TargetMode="External"/><Relationship Id="rId141" Type="http://schemas.openxmlformats.org/officeDocument/2006/relationships/hyperlink" Target="http://probaseballexperience.jcink.net/index.php?showtopic=1152" TargetMode="External"/><Relationship Id="rId7" Type="http://schemas.openxmlformats.org/officeDocument/2006/relationships/hyperlink" Target="http://probaseballexperience.jcink.net/index.php?showuser=64" TargetMode="External"/><Relationship Id="rId183" Type="http://schemas.openxmlformats.org/officeDocument/2006/relationships/hyperlink" Target="http://probaseballexperience.jcink.net/index.php?showtopic=126" TargetMode="External"/><Relationship Id="rId239" Type="http://schemas.openxmlformats.org/officeDocument/2006/relationships/hyperlink" Target="http://probaseballexperience.jcink.net/index.php?showuser=84" TargetMode="External"/><Relationship Id="rId250" Type="http://schemas.openxmlformats.org/officeDocument/2006/relationships/hyperlink" Target="http://probaseballexperience.jcink.net/index.php?showtopic=3627" TargetMode="External"/><Relationship Id="rId292" Type="http://schemas.openxmlformats.org/officeDocument/2006/relationships/hyperlink" Target="http://probaseballexperience.jcink.net/index.php?showuser=166" TargetMode="External"/><Relationship Id="rId306" Type="http://schemas.openxmlformats.org/officeDocument/2006/relationships/hyperlink" Target="http://probaseballexperience.jcink.net/index.php?showtopic=1148" TargetMode="External"/><Relationship Id="rId45" Type="http://schemas.openxmlformats.org/officeDocument/2006/relationships/hyperlink" Target="http://probaseballexperience.jcink.net/index.php?showuser=21" TargetMode="External"/><Relationship Id="rId87" Type="http://schemas.openxmlformats.org/officeDocument/2006/relationships/hyperlink" Target="http://probaseballexperience.jcink.net/index.php?showuser=31" TargetMode="External"/><Relationship Id="rId110" Type="http://schemas.openxmlformats.org/officeDocument/2006/relationships/hyperlink" Target="http://probaseballexperience.jcink.net/index.php?showtopic=383" TargetMode="External"/><Relationship Id="rId348" Type="http://schemas.openxmlformats.org/officeDocument/2006/relationships/hyperlink" Target="http://probaseballexperience.jcink.net/index.php?showtopic=3048" TargetMode="External"/><Relationship Id="rId152" Type="http://schemas.openxmlformats.org/officeDocument/2006/relationships/hyperlink" Target="http://probaseballexperience.jcink.net/index.php?showuser=135" TargetMode="External"/><Relationship Id="rId194" Type="http://schemas.openxmlformats.org/officeDocument/2006/relationships/hyperlink" Target="http://probaseballexperience.jcink.net/index.php?showuser=82" TargetMode="External"/><Relationship Id="rId208" Type="http://schemas.openxmlformats.org/officeDocument/2006/relationships/hyperlink" Target="http://probaseballexperience.jcink.net/index.php?showtopic=490" TargetMode="External"/><Relationship Id="rId261" Type="http://schemas.openxmlformats.org/officeDocument/2006/relationships/hyperlink" Target="http://probaseballexperience.jcink.net/index.php?showtopic=127" TargetMode="External"/><Relationship Id="rId14" Type="http://schemas.openxmlformats.org/officeDocument/2006/relationships/hyperlink" Target="http://probaseballexperience.jcink.net/index.php?showtopic=611" TargetMode="External"/><Relationship Id="rId56" Type="http://schemas.openxmlformats.org/officeDocument/2006/relationships/hyperlink" Target="http://probaseballexperience.jcink.net/index.php?showtopic=2847" TargetMode="External"/><Relationship Id="rId317" Type="http://schemas.openxmlformats.org/officeDocument/2006/relationships/hyperlink" Target="http://probaseballexperience.jcink.net/index.php?showtopic=1076" TargetMode="External"/><Relationship Id="rId98" Type="http://schemas.openxmlformats.org/officeDocument/2006/relationships/hyperlink" Target="http://probaseballexperience.jcink.net/index.php?showtopic=1053" TargetMode="External"/><Relationship Id="rId121" Type="http://schemas.openxmlformats.org/officeDocument/2006/relationships/hyperlink" Target="http://probaseballexperience.jcink.net/index.php?showtopic=797" TargetMode="External"/><Relationship Id="rId163" Type="http://schemas.openxmlformats.org/officeDocument/2006/relationships/hyperlink" Target="http://probaseballexperience.jcink.net/index.php?showtopic=112" TargetMode="External"/><Relationship Id="rId219" Type="http://schemas.openxmlformats.org/officeDocument/2006/relationships/hyperlink" Target="http://probaseballexperience.jcink.net/index.php?showtopic=249" TargetMode="External"/><Relationship Id="rId230" Type="http://schemas.openxmlformats.org/officeDocument/2006/relationships/hyperlink" Target="http://probaseballexperience.jcink.net/index.php?showuser=106" TargetMode="External"/><Relationship Id="rId25" Type="http://schemas.openxmlformats.org/officeDocument/2006/relationships/hyperlink" Target="http://probaseballexperience.jcink.net/index.php?showuser=129" TargetMode="External"/><Relationship Id="rId46" Type="http://schemas.openxmlformats.org/officeDocument/2006/relationships/hyperlink" Target="http://probaseballexperience.jcink.net/index.php?showtopic=90" TargetMode="External"/><Relationship Id="rId67" Type="http://schemas.openxmlformats.org/officeDocument/2006/relationships/hyperlink" Target="http://probaseballexperience.jcink.net/index.php?showtopic=216" TargetMode="External"/><Relationship Id="rId272" Type="http://schemas.openxmlformats.org/officeDocument/2006/relationships/hyperlink" Target="http://probaseballexperience.jcink.net/index.php?showtopic=219" TargetMode="External"/><Relationship Id="rId293" Type="http://schemas.openxmlformats.org/officeDocument/2006/relationships/hyperlink" Target="http://probaseballexperience.jcink.net/index.php?showtopic=1062" TargetMode="External"/><Relationship Id="rId307" Type="http://schemas.openxmlformats.org/officeDocument/2006/relationships/hyperlink" Target="http://probaseballexperience.jcink.net/index.php?showuser=185" TargetMode="External"/><Relationship Id="rId328" Type="http://schemas.openxmlformats.org/officeDocument/2006/relationships/hyperlink" Target="http://probaseballexperience.jcink.net/index.php?showuser=139" TargetMode="External"/><Relationship Id="rId349" Type="http://schemas.openxmlformats.org/officeDocument/2006/relationships/hyperlink" Target="http://probaseballexperience.jcink.net/index.php?showuser=299" TargetMode="External"/><Relationship Id="rId88" Type="http://schemas.openxmlformats.org/officeDocument/2006/relationships/hyperlink" Target="http://probaseballexperience.jcink.net/index.php?showtopic=105" TargetMode="External"/><Relationship Id="rId111" Type="http://schemas.openxmlformats.org/officeDocument/2006/relationships/hyperlink" Target="http://probaseballexperience.jcink.net/index.php?showuser=117" TargetMode="External"/><Relationship Id="rId132" Type="http://schemas.openxmlformats.org/officeDocument/2006/relationships/hyperlink" Target="http://probaseballexperience.jcink.net/index.php?showtopic=158" TargetMode="External"/><Relationship Id="rId153" Type="http://schemas.openxmlformats.org/officeDocument/2006/relationships/hyperlink" Target="http://probaseballexperience.jcink.net/index.php?showtopic=805" TargetMode="External"/><Relationship Id="rId174" Type="http://schemas.openxmlformats.org/officeDocument/2006/relationships/hyperlink" Target="http://probaseballexperience.jcink.net/index.php?showtopic=477" TargetMode="External"/><Relationship Id="rId195" Type="http://schemas.openxmlformats.org/officeDocument/2006/relationships/hyperlink" Target="http://probaseballexperience.jcink.net/index.php?showtopic=221" TargetMode="External"/><Relationship Id="rId209" Type="http://schemas.openxmlformats.org/officeDocument/2006/relationships/hyperlink" Target="http://probaseballexperience.jcink.net/index.php?showuser=122" TargetMode="External"/><Relationship Id="rId220" Type="http://schemas.openxmlformats.org/officeDocument/2006/relationships/hyperlink" Target="http://probaseballexperience.jcink.net/index.php?showtopic=109" TargetMode="External"/><Relationship Id="rId241" Type="http://schemas.openxmlformats.org/officeDocument/2006/relationships/hyperlink" Target="http://probaseballexperience.jcink.net/index.php?showtopic=384" TargetMode="External"/><Relationship Id="rId15" Type="http://schemas.openxmlformats.org/officeDocument/2006/relationships/hyperlink" Target="http://probaseballexperience.jcink.net/index.php?showuser=174" TargetMode="External"/><Relationship Id="rId36" Type="http://schemas.openxmlformats.org/officeDocument/2006/relationships/hyperlink" Target="http://probaseballexperience.jcink.net/index.php?showtopic=454" TargetMode="External"/><Relationship Id="rId57" Type="http://schemas.openxmlformats.org/officeDocument/2006/relationships/hyperlink" Target="http://probaseballexperience.jcink.net/index.php?showuser=3" TargetMode="External"/><Relationship Id="rId262" Type="http://schemas.openxmlformats.org/officeDocument/2006/relationships/hyperlink" Target="http://probaseballexperience.jcink.net/index.php?showuser=46" TargetMode="External"/><Relationship Id="rId283" Type="http://schemas.openxmlformats.org/officeDocument/2006/relationships/hyperlink" Target="http://probaseballexperience.jcink.net/index.php?showuser=197" TargetMode="External"/><Relationship Id="rId318" Type="http://schemas.openxmlformats.org/officeDocument/2006/relationships/hyperlink" Target="http://probaseballexperience.jcink.net/index.php?showtopic=1064" TargetMode="External"/><Relationship Id="rId339" Type="http://schemas.openxmlformats.org/officeDocument/2006/relationships/hyperlink" Target="http://probaseballexperience.jcink.net/index.php?showtopic=1034" TargetMode="External"/><Relationship Id="rId78" Type="http://schemas.openxmlformats.org/officeDocument/2006/relationships/hyperlink" Target="http://probaseballexperience.jcink.net/index.php?showuser=196" TargetMode="External"/><Relationship Id="rId99" Type="http://schemas.openxmlformats.org/officeDocument/2006/relationships/hyperlink" Target="http://probaseballexperience.jcink.net/index.php?showuser=163" TargetMode="External"/><Relationship Id="rId101" Type="http://schemas.openxmlformats.org/officeDocument/2006/relationships/hyperlink" Target="http://probaseballexperience.jcink.net/index.php?showtopic=496" TargetMode="External"/><Relationship Id="rId122" Type="http://schemas.openxmlformats.org/officeDocument/2006/relationships/hyperlink" Target="http://probaseballexperience.jcink.net/index.php?showtopic=327" TargetMode="External"/><Relationship Id="rId143" Type="http://schemas.openxmlformats.org/officeDocument/2006/relationships/hyperlink" Target="http://probaseballexperience.jcink.net/index.php?showuser=63" TargetMode="External"/><Relationship Id="rId164" Type="http://schemas.openxmlformats.org/officeDocument/2006/relationships/hyperlink" Target="http://probaseballexperience.jcink.net/index.php?showuser=41" TargetMode="External"/><Relationship Id="rId185" Type="http://schemas.openxmlformats.org/officeDocument/2006/relationships/hyperlink" Target="http://probaseballexperience.jcink.net/index.php?showuser=124" TargetMode="External"/><Relationship Id="rId350" Type="http://schemas.openxmlformats.org/officeDocument/2006/relationships/hyperlink" Target="http://probaseballexperience.jcink.net/index.php?showtopic=3048" TargetMode="External"/><Relationship Id="rId9" Type="http://schemas.openxmlformats.org/officeDocument/2006/relationships/hyperlink" Target="http://probaseballexperience.jcink.net/index.php?showuser=97" TargetMode="External"/><Relationship Id="rId210" Type="http://schemas.openxmlformats.org/officeDocument/2006/relationships/hyperlink" Target="http://probaseballexperience.jcink.net/index.php?showtopic=490" TargetMode="External"/><Relationship Id="rId26" Type="http://schemas.openxmlformats.org/officeDocument/2006/relationships/hyperlink" Target="http://probaseballexperience.jcink.net/index.php?showtopic=637" TargetMode="External"/><Relationship Id="rId231" Type="http://schemas.openxmlformats.org/officeDocument/2006/relationships/hyperlink" Target="http://probaseballexperience.jcink.net/index.php?showtopic=303" TargetMode="External"/><Relationship Id="rId252" Type="http://schemas.openxmlformats.org/officeDocument/2006/relationships/hyperlink" Target="http://probaseballexperience.jcink.net/index.php?showtopic=3627" TargetMode="External"/><Relationship Id="rId273" Type="http://schemas.openxmlformats.org/officeDocument/2006/relationships/hyperlink" Target="http://probaseballexperience.jcink.net/index.php?showtopic=98" TargetMode="External"/><Relationship Id="rId294" Type="http://schemas.openxmlformats.org/officeDocument/2006/relationships/hyperlink" Target="http://probaseballexperience.jcink.net/index.php?showtopic=1032" TargetMode="External"/><Relationship Id="rId308" Type="http://schemas.openxmlformats.org/officeDocument/2006/relationships/hyperlink" Target="http://probaseballexperience.jcink.net/index.php?showtopic=1148" TargetMode="External"/><Relationship Id="rId329" Type="http://schemas.openxmlformats.org/officeDocument/2006/relationships/hyperlink" Target="http://probaseballexperience.jcink.net/index.php?showtopic=1541" TargetMode="External"/><Relationship Id="rId47" Type="http://schemas.openxmlformats.org/officeDocument/2006/relationships/hyperlink" Target="http://probaseballexperience.jcink.net/index.php?showtopic=2364" TargetMode="External"/><Relationship Id="rId68" Type="http://schemas.openxmlformats.org/officeDocument/2006/relationships/hyperlink" Target="http://probaseballexperience.jcink.net/index.php?showtopic=155" TargetMode="External"/><Relationship Id="rId89" Type="http://schemas.openxmlformats.org/officeDocument/2006/relationships/hyperlink" Target="http://probaseballexperience.jcink.net/index.php?showtopic=2121" TargetMode="External"/><Relationship Id="rId112" Type="http://schemas.openxmlformats.org/officeDocument/2006/relationships/hyperlink" Target="http://probaseballexperience.jcink.net/index.php?showtopic=383" TargetMode="External"/><Relationship Id="rId133" Type="http://schemas.openxmlformats.org/officeDocument/2006/relationships/hyperlink" Target="http://probaseballexperience.jcink.net/index.php?showtopic=215" TargetMode="External"/><Relationship Id="rId154" Type="http://schemas.openxmlformats.org/officeDocument/2006/relationships/hyperlink" Target="http://probaseballexperience.jcink.net/index.php?showtopic=118" TargetMode="External"/><Relationship Id="rId175" Type="http://schemas.openxmlformats.org/officeDocument/2006/relationships/hyperlink" Target="http://probaseballexperience.jcink.net/index.php?showtopic=762" TargetMode="External"/><Relationship Id="rId340" Type="http://schemas.openxmlformats.org/officeDocument/2006/relationships/hyperlink" Target="http://probaseballexperience.jcink.net/index.php?showuser=151" TargetMode="External"/><Relationship Id="rId196" Type="http://schemas.openxmlformats.org/officeDocument/2006/relationships/hyperlink" Target="http://probaseballexperience.jcink.net/index.php?showtopic=147" TargetMode="External"/><Relationship Id="rId200" Type="http://schemas.openxmlformats.org/officeDocument/2006/relationships/hyperlink" Target="http://probaseballexperience.jcink.net/index.php?showuser=88" TargetMode="External"/><Relationship Id="rId16" Type="http://schemas.openxmlformats.org/officeDocument/2006/relationships/hyperlink" Target="http://probaseballexperience.jcink.net/index.php?showtopic=1078" TargetMode="External"/><Relationship Id="rId221" Type="http://schemas.openxmlformats.org/officeDocument/2006/relationships/hyperlink" Target="http://probaseballexperience.jcink.net/index.php?showuser=37" TargetMode="External"/><Relationship Id="rId242" Type="http://schemas.openxmlformats.org/officeDocument/2006/relationships/hyperlink" Target="http://probaseballexperience.jcink.net/index.php?showuser=118" TargetMode="External"/><Relationship Id="rId263" Type="http://schemas.openxmlformats.org/officeDocument/2006/relationships/hyperlink" Target="http://probaseballexperience.jcink.net/index.php?showtopic=127" TargetMode="External"/><Relationship Id="rId284" Type="http://schemas.openxmlformats.org/officeDocument/2006/relationships/hyperlink" Target="http://probaseballexperience.jcink.net/index.php?showtopic=1377" TargetMode="External"/><Relationship Id="rId319" Type="http://schemas.openxmlformats.org/officeDocument/2006/relationships/hyperlink" Target="http://probaseballexperience.jcink.net/index.php?showuser=167" TargetMode="External"/><Relationship Id="rId37" Type="http://schemas.openxmlformats.org/officeDocument/2006/relationships/hyperlink" Target="http://probaseballexperience.jcink.net/index.php?showuser=2" TargetMode="External"/><Relationship Id="rId58" Type="http://schemas.openxmlformats.org/officeDocument/2006/relationships/hyperlink" Target="http://probaseballexperience.jcink.net/index.php?showtopic=2847" TargetMode="External"/><Relationship Id="rId79" Type="http://schemas.openxmlformats.org/officeDocument/2006/relationships/hyperlink" Target="http://probaseballexperience.jcink.net/index.php?showtopic=1293" TargetMode="External"/><Relationship Id="rId102" Type="http://schemas.openxmlformats.org/officeDocument/2006/relationships/hyperlink" Target="http://probaseballexperience.jcink.net/index.php?showuser=101" TargetMode="External"/><Relationship Id="rId123" Type="http://schemas.openxmlformats.org/officeDocument/2006/relationships/hyperlink" Target="http://probaseballexperience.jcink.net/index.php?showuser=109" TargetMode="External"/><Relationship Id="rId144" Type="http://schemas.openxmlformats.org/officeDocument/2006/relationships/hyperlink" Target="http://probaseballexperience.jcink.net/index.php?showtopic=177" TargetMode="External"/><Relationship Id="rId330" Type="http://schemas.openxmlformats.org/officeDocument/2006/relationships/hyperlink" Target="http://probaseballexperience.jcink.net/index.php?showtopic=1083" TargetMode="External"/><Relationship Id="rId90" Type="http://schemas.openxmlformats.org/officeDocument/2006/relationships/hyperlink" Target="http://probaseballexperience.jcink.net/index.php?showuser=205" TargetMode="External"/><Relationship Id="rId165" Type="http://schemas.openxmlformats.org/officeDocument/2006/relationships/hyperlink" Target="http://probaseballexperience.jcink.net/index.php?showtopic=112" TargetMode="External"/><Relationship Id="rId186" Type="http://schemas.openxmlformats.org/officeDocument/2006/relationships/hyperlink" Target="http://probaseballexperience.jcink.net/index.php?showtopic=498" TargetMode="External"/><Relationship Id="rId351" Type="http://schemas.openxmlformats.org/officeDocument/2006/relationships/hyperlink" Target="http://probaseballexperience.jcink.net/index.php?showtopic=2601" TargetMode="External"/><Relationship Id="rId211" Type="http://schemas.openxmlformats.org/officeDocument/2006/relationships/hyperlink" Target="http://probaseballexperience.jcink.net/index.php?showtopic=217" TargetMode="External"/><Relationship Id="rId232" Type="http://schemas.openxmlformats.org/officeDocument/2006/relationships/hyperlink" Target="http://probaseballexperience.jcink.net/index.php?showtopic=218" TargetMode="External"/><Relationship Id="rId253" Type="http://schemas.openxmlformats.org/officeDocument/2006/relationships/hyperlink" Target="http://probaseballexperience.jcink.net/index.php?showuser=488" TargetMode="External"/><Relationship Id="rId274" Type="http://schemas.openxmlformats.org/officeDocument/2006/relationships/hyperlink" Target="http://probaseballexperience.jcink.net/index.php?showuser=28" TargetMode="External"/><Relationship Id="rId295" Type="http://schemas.openxmlformats.org/officeDocument/2006/relationships/hyperlink" Target="http://probaseballexperience.jcink.net/index.php?showuser=149" TargetMode="External"/><Relationship Id="rId309" Type="http://schemas.openxmlformats.org/officeDocument/2006/relationships/hyperlink" Target="http://probaseballexperience.jcink.net/index.php?showtopic=1048" TargetMode="External"/><Relationship Id="rId27" Type="http://schemas.openxmlformats.org/officeDocument/2006/relationships/hyperlink" Target="http://probaseballexperience.jcink.net/index.php?showuser=27" TargetMode="External"/><Relationship Id="rId48" Type="http://schemas.openxmlformats.org/officeDocument/2006/relationships/hyperlink" Target="http://probaseballexperience.jcink.net/index.php?showuser=3" TargetMode="External"/><Relationship Id="rId69" Type="http://schemas.openxmlformats.org/officeDocument/2006/relationships/hyperlink" Target="http://probaseballexperience.jcink.net/index.php?showuser=57" TargetMode="External"/><Relationship Id="rId113" Type="http://schemas.openxmlformats.org/officeDocument/2006/relationships/hyperlink" Target="http://probaseballexperience.jcink.net/index.php?showtopic=210" TargetMode="External"/><Relationship Id="rId134" Type="http://schemas.openxmlformats.org/officeDocument/2006/relationships/hyperlink" Target="http://probaseballexperience.jcink.net/index.php?showuser=74" TargetMode="External"/><Relationship Id="rId320" Type="http://schemas.openxmlformats.org/officeDocument/2006/relationships/hyperlink" Target="http://probaseballexperience.jcink.net/index.php?showtopic=1064" TargetMode="External"/><Relationship Id="rId80" Type="http://schemas.openxmlformats.org/officeDocument/2006/relationships/hyperlink" Target="http://probaseballexperience.jcink.net/index.php?showtopic=720" TargetMode="External"/><Relationship Id="rId155" Type="http://schemas.openxmlformats.org/officeDocument/2006/relationships/hyperlink" Target="http://probaseballexperience.jcink.net/index.php?showuser=42" TargetMode="External"/><Relationship Id="rId176" Type="http://schemas.openxmlformats.org/officeDocument/2006/relationships/hyperlink" Target="http://probaseballexperience.jcink.net/index.php?showuser=132" TargetMode="External"/><Relationship Id="rId197" Type="http://schemas.openxmlformats.org/officeDocument/2006/relationships/hyperlink" Target="http://probaseballexperience.jcink.net/index.php?showuser=53" TargetMode="External"/><Relationship Id="rId341" Type="http://schemas.openxmlformats.org/officeDocument/2006/relationships/hyperlink" Target="http://probaseballexperience.jcink.net/index.php?showtopic=1034" TargetMode="External"/><Relationship Id="rId201" Type="http://schemas.openxmlformats.org/officeDocument/2006/relationships/hyperlink" Target="http://probaseballexperience.jcink.net/index.php?showtopic=235" TargetMode="External"/><Relationship Id="rId222" Type="http://schemas.openxmlformats.org/officeDocument/2006/relationships/hyperlink" Target="http://probaseballexperience.jcink.net/index.php?showtopic=109" TargetMode="External"/><Relationship Id="rId243" Type="http://schemas.openxmlformats.org/officeDocument/2006/relationships/hyperlink" Target="http://probaseballexperience.jcink.net/index.php?showtopic=384" TargetMode="External"/><Relationship Id="rId264" Type="http://schemas.openxmlformats.org/officeDocument/2006/relationships/hyperlink" Target="http://probaseballexperience.jcink.net/index.php?showtopic=607" TargetMode="External"/><Relationship Id="rId285" Type="http://schemas.openxmlformats.org/officeDocument/2006/relationships/hyperlink" Target="http://probaseballexperience.jcink.net/index.php?showtopic=1041" TargetMode="External"/><Relationship Id="rId17" Type="http://schemas.openxmlformats.org/officeDocument/2006/relationships/hyperlink" Target="http://probaseballexperience.jcink.net/index.php?showuser=191" TargetMode="External"/><Relationship Id="rId38" Type="http://schemas.openxmlformats.org/officeDocument/2006/relationships/hyperlink" Target="http://probaseballexperience.jcink.net/index.php?showtopic=95" TargetMode="External"/><Relationship Id="rId59" Type="http://schemas.openxmlformats.org/officeDocument/2006/relationships/hyperlink" Target="http://probaseballexperience.jcink.net/index.php?showtopic=1731" TargetMode="External"/><Relationship Id="rId103" Type="http://schemas.openxmlformats.org/officeDocument/2006/relationships/hyperlink" Target="http://probaseballexperience.jcink.net/index.php?showtopic=496" TargetMode="External"/><Relationship Id="rId124" Type="http://schemas.openxmlformats.org/officeDocument/2006/relationships/hyperlink" Target="http://probaseballexperience.jcink.net/index.php?showtopic=327" TargetMode="External"/><Relationship Id="rId310" Type="http://schemas.openxmlformats.org/officeDocument/2006/relationships/hyperlink" Target="http://probaseballexperience.jcink.net/index.php?showuser=161" TargetMode="External"/><Relationship Id="rId70" Type="http://schemas.openxmlformats.org/officeDocument/2006/relationships/hyperlink" Target="http://probaseballexperience.jcink.net/index.php?showtopic=155" TargetMode="External"/><Relationship Id="rId91" Type="http://schemas.openxmlformats.org/officeDocument/2006/relationships/hyperlink" Target="http://probaseballexperience.jcink.net/index.php?showtopic=2121" TargetMode="External"/><Relationship Id="rId145" Type="http://schemas.openxmlformats.org/officeDocument/2006/relationships/hyperlink" Target="http://probaseballexperience.jcink.net/index.php?showtopic=75" TargetMode="External"/><Relationship Id="rId166" Type="http://schemas.openxmlformats.org/officeDocument/2006/relationships/hyperlink" Target="http://probaseballexperience.jcink.net/index.php?showtopic=183" TargetMode="External"/><Relationship Id="rId187" Type="http://schemas.openxmlformats.org/officeDocument/2006/relationships/hyperlink" Target="http://probaseballexperience.jcink.net/index.php?showtopic=96" TargetMode="External"/><Relationship Id="rId331" Type="http://schemas.openxmlformats.org/officeDocument/2006/relationships/hyperlink" Target="http://probaseballexperience.jcink.net/index.php?showuser=175" TargetMode="External"/><Relationship Id="rId352" Type="http://schemas.openxmlformats.org/officeDocument/2006/relationships/hyperlink" Target="http://probaseballexperience.jcink.net/index.php?showuser=270" TargetMode="External"/><Relationship Id="rId1" Type="http://schemas.openxmlformats.org/officeDocument/2006/relationships/hyperlink" Target="http://probaseballexperience.jcink.net/index.php?showuser=1" TargetMode="External"/><Relationship Id="rId212" Type="http://schemas.openxmlformats.org/officeDocument/2006/relationships/hyperlink" Target="http://probaseballexperience.jcink.net/index.php?showuser=76" TargetMode="External"/><Relationship Id="rId233" Type="http://schemas.openxmlformats.org/officeDocument/2006/relationships/hyperlink" Target="http://probaseballexperience.jcink.net/index.php?showuser=77" TargetMode="External"/><Relationship Id="rId254" Type="http://schemas.openxmlformats.org/officeDocument/2006/relationships/hyperlink" Target="http://probaseballexperience.jcink.net/index.php?showtopic=5531" TargetMode="External"/><Relationship Id="rId28" Type="http://schemas.openxmlformats.org/officeDocument/2006/relationships/hyperlink" Target="http://probaseballexperience.jcink.net/index.php?showtopic=87" TargetMode="External"/><Relationship Id="rId49" Type="http://schemas.openxmlformats.org/officeDocument/2006/relationships/hyperlink" Target="http://probaseballexperience.jcink.net/index.php?showtopic=2364" TargetMode="External"/><Relationship Id="rId114" Type="http://schemas.openxmlformats.org/officeDocument/2006/relationships/hyperlink" Target="http://probaseballexperience.jcink.net/index.php?showuser=71" TargetMode="External"/><Relationship Id="rId275" Type="http://schemas.openxmlformats.org/officeDocument/2006/relationships/hyperlink" Target="http://probaseballexperience.jcink.net/index.php?showtopic=98" TargetMode="External"/><Relationship Id="rId296" Type="http://schemas.openxmlformats.org/officeDocument/2006/relationships/hyperlink" Target="http://probaseballexperience.jcink.net/index.php?showtopic=1032" TargetMode="External"/><Relationship Id="rId300" Type="http://schemas.openxmlformats.org/officeDocument/2006/relationships/hyperlink" Target="http://probaseballexperience.jcink.net/index.php?showtopic=1093" TargetMode="External"/><Relationship Id="rId60" Type="http://schemas.openxmlformats.org/officeDocument/2006/relationships/hyperlink" Target="http://probaseballexperience.jcink.net/index.php?showuser=218" TargetMode="External"/><Relationship Id="rId81" Type="http://schemas.openxmlformats.org/officeDocument/2006/relationships/hyperlink" Target="http://probaseballexperience.jcink.net/index.php?showuser=131" TargetMode="External"/><Relationship Id="rId135" Type="http://schemas.openxmlformats.org/officeDocument/2006/relationships/hyperlink" Target="http://probaseballexperience.jcink.net/index.php?showtopic=215" TargetMode="External"/><Relationship Id="rId156" Type="http://schemas.openxmlformats.org/officeDocument/2006/relationships/hyperlink" Target="http://probaseballexperience.jcink.net/index.php?showtopic=118" TargetMode="External"/><Relationship Id="rId177" Type="http://schemas.openxmlformats.org/officeDocument/2006/relationships/hyperlink" Target="http://probaseballexperience.jcink.net/index.php?showtopic=762" TargetMode="External"/><Relationship Id="rId198" Type="http://schemas.openxmlformats.org/officeDocument/2006/relationships/hyperlink" Target="http://probaseballexperience.jcink.net/index.php?showtopic=147" TargetMode="External"/><Relationship Id="rId321" Type="http://schemas.openxmlformats.org/officeDocument/2006/relationships/hyperlink" Target="http://probaseballexperience.jcink.net/index.php?showtopic=1426" TargetMode="External"/><Relationship Id="rId342" Type="http://schemas.openxmlformats.org/officeDocument/2006/relationships/hyperlink" Target="http://probaseballexperience.jcink.net/index.php?showtopic=354" TargetMode="External"/><Relationship Id="rId202" Type="http://schemas.openxmlformats.org/officeDocument/2006/relationships/hyperlink" Target="http://probaseballexperience.jcink.net/index.php?showtopic=362" TargetMode="External"/><Relationship Id="rId223" Type="http://schemas.openxmlformats.org/officeDocument/2006/relationships/hyperlink" Target="http://probaseballexperience.jcink.net/index.php?showtopic=342" TargetMode="External"/><Relationship Id="rId244" Type="http://schemas.openxmlformats.org/officeDocument/2006/relationships/hyperlink" Target="http://probaseballexperience.jcink.net/index.php?showtopic=173" TargetMode="External"/><Relationship Id="rId18" Type="http://schemas.openxmlformats.org/officeDocument/2006/relationships/hyperlink" Target="http://probaseballexperience.jcink.net/index.php?showtopic=1171" TargetMode="External"/><Relationship Id="rId39" Type="http://schemas.openxmlformats.org/officeDocument/2006/relationships/hyperlink" Target="http://probaseballexperience.jcink.net/index.php?showuser=1" TargetMode="External"/><Relationship Id="rId265" Type="http://schemas.openxmlformats.org/officeDocument/2006/relationships/hyperlink" Target="http://probaseballexperience.jcink.net/index.php?showuser=125" TargetMode="External"/><Relationship Id="rId286" Type="http://schemas.openxmlformats.org/officeDocument/2006/relationships/hyperlink" Target="http://probaseballexperience.jcink.net/index.php?showuser=157" TargetMode="External"/><Relationship Id="rId50" Type="http://schemas.openxmlformats.org/officeDocument/2006/relationships/hyperlink" Target="http://probaseballexperience.jcink.net/index.php?showtopic=69" TargetMode="External"/><Relationship Id="rId104" Type="http://schemas.openxmlformats.org/officeDocument/2006/relationships/hyperlink" Target="http://probaseballexperience.jcink.net/index.php?showtopic=162" TargetMode="External"/><Relationship Id="rId125" Type="http://schemas.openxmlformats.org/officeDocument/2006/relationships/hyperlink" Target="http://probaseballexperience.jcink.net/index.php?showtopic=840" TargetMode="External"/><Relationship Id="rId146" Type="http://schemas.openxmlformats.org/officeDocument/2006/relationships/hyperlink" Target="http://probaseballexperience.jcink.net/index.php?showuser=7" TargetMode="External"/><Relationship Id="rId167" Type="http://schemas.openxmlformats.org/officeDocument/2006/relationships/hyperlink" Target="http://probaseballexperience.jcink.net/index.php?showuser=66" TargetMode="External"/><Relationship Id="rId188" Type="http://schemas.openxmlformats.org/officeDocument/2006/relationships/hyperlink" Target="http://probaseballexperience.jcink.net/index.php?showuser=26" TargetMode="External"/><Relationship Id="rId311" Type="http://schemas.openxmlformats.org/officeDocument/2006/relationships/hyperlink" Target="http://probaseballexperience.jcink.net/index.php?showtopic=1048" TargetMode="External"/><Relationship Id="rId332" Type="http://schemas.openxmlformats.org/officeDocument/2006/relationships/hyperlink" Target="http://probaseballexperience.jcink.net/index.php?showtopic=1083" TargetMode="External"/><Relationship Id="rId353" Type="http://schemas.openxmlformats.org/officeDocument/2006/relationships/hyperlink" Target="http://probaseballexperience.jcink.net/index.php?showtopic=2601" TargetMode="External"/><Relationship Id="rId71" Type="http://schemas.openxmlformats.org/officeDocument/2006/relationships/hyperlink" Target="http://probaseballexperience.jcink.net/index.php?showtopic=2405" TargetMode="External"/><Relationship Id="rId92" Type="http://schemas.openxmlformats.org/officeDocument/2006/relationships/hyperlink" Target="http://probaseballexperience.jcink.net/index.php?showtopic=64" TargetMode="External"/><Relationship Id="rId213" Type="http://schemas.openxmlformats.org/officeDocument/2006/relationships/hyperlink" Target="http://probaseballexperience.jcink.net/index.php?showtopic=217" TargetMode="External"/><Relationship Id="rId234" Type="http://schemas.openxmlformats.org/officeDocument/2006/relationships/hyperlink" Target="http://probaseballexperience.jcink.net/index.php?showtopic=218" TargetMode="External"/><Relationship Id="rId2" Type="http://schemas.openxmlformats.org/officeDocument/2006/relationships/hyperlink" Target="http://probaseballexperience.jcink.net/index.php?showtopic=62" TargetMode="External"/><Relationship Id="rId29" Type="http://schemas.openxmlformats.org/officeDocument/2006/relationships/hyperlink" Target="http://probaseballexperience.jcink.net/index.php?showuser=177" TargetMode="External"/><Relationship Id="rId255" Type="http://schemas.openxmlformats.org/officeDocument/2006/relationships/hyperlink" Target="http://probaseballexperience.jcink.net/index.php?showtopic=220" TargetMode="External"/><Relationship Id="rId276" Type="http://schemas.openxmlformats.org/officeDocument/2006/relationships/hyperlink" Target="http://probaseballexperience.jcink.net/index.php?showtopic=309" TargetMode="External"/><Relationship Id="rId297" Type="http://schemas.openxmlformats.org/officeDocument/2006/relationships/hyperlink" Target="http://probaseballexperience.jcink.net/index.php?showtopic=1070" TargetMode="External"/><Relationship Id="rId40" Type="http://schemas.openxmlformats.org/officeDocument/2006/relationships/hyperlink" Target="http://probaseballexperience.jcink.net/index.php?showtopic=1200" TargetMode="External"/><Relationship Id="rId115" Type="http://schemas.openxmlformats.org/officeDocument/2006/relationships/hyperlink" Target="http://probaseballexperience.jcink.net/index.php?showtopic=210" TargetMode="External"/><Relationship Id="rId136" Type="http://schemas.openxmlformats.org/officeDocument/2006/relationships/hyperlink" Target="http://probaseballexperience.jcink.net/index.php?showtopic=2444" TargetMode="External"/><Relationship Id="rId157" Type="http://schemas.openxmlformats.org/officeDocument/2006/relationships/hyperlink" Target="http://probaseballexperience.jcink.net/index.php?showtopic=132" TargetMode="External"/><Relationship Id="rId178" Type="http://schemas.openxmlformats.org/officeDocument/2006/relationships/hyperlink" Target="http://probaseballexperience.jcink.net/index.php?showtopic=67" TargetMode="External"/><Relationship Id="rId301" Type="http://schemas.openxmlformats.org/officeDocument/2006/relationships/hyperlink" Target="http://probaseballexperience.jcink.net/index.php?showuser=180" TargetMode="External"/><Relationship Id="rId322" Type="http://schemas.openxmlformats.org/officeDocument/2006/relationships/hyperlink" Target="http://probaseballexperience.jcink.net/index.php?showuser=198" TargetMode="External"/><Relationship Id="rId343" Type="http://schemas.openxmlformats.org/officeDocument/2006/relationships/hyperlink" Target="http://probaseballexperience.jcink.net/index.php?showuser=114" TargetMode="External"/><Relationship Id="rId61" Type="http://schemas.openxmlformats.org/officeDocument/2006/relationships/hyperlink" Target="http://probaseballexperience.jcink.net/index.php?showtopic=1731" TargetMode="External"/><Relationship Id="rId82" Type="http://schemas.openxmlformats.org/officeDocument/2006/relationships/hyperlink" Target="http://probaseballexperience.jcink.net/index.php?showtopic=720" TargetMode="External"/><Relationship Id="rId199" Type="http://schemas.openxmlformats.org/officeDocument/2006/relationships/hyperlink" Target="http://probaseballexperience.jcink.net/index.php?showtopic=235" TargetMode="External"/><Relationship Id="rId203" Type="http://schemas.openxmlformats.org/officeDocument/2006/relationships/hyperlink" Target="http://probaseballexperience.jcink.net/index.php?showuser=115" TargetMode="External"/><Relationship Id="rId19" Type="http://schemas.openxmlformats.org/officeDocument/2006/relationships/hyperlink" Target="http://probaseballexperience.jcink.net/index.php?showuser=203" TargetMode="External"/><Relationship Id="rId224" Type="http://schemas.openxmlformats.org/officeDocument/2006/relationships/hyperlink" Target="http://probaseballexperience.jcink.net/index.php?showuser=112" TargetMode="External"/><Relationship Id="rId245" Type="http://schemas.openxmlformats.org/officeDocument/2006/relationships/hyperlink" Target="http://probaseballexperience.jcink.net/index.php?showuser=62" TargetMode="External"/><Relationship Id="rId266" Type="http://schemas.openxmlformats.org/officeDocument/2006/relationships/hyperlink" Target="http://probaseballexperience.jcink.net/index.php?showtopic=607" TargetMode="External"/><Relationship Id="rId287" Type="http://schemas.openxmlformats.org/officeDocument/2006/relationships/hyperlink" Target="http://probaseballexperience.jcink.net/index.php?showtopic=1041" TargetMode="External"/><Relationship Id="rId30" Type="http://schemas.openxmlformats.org/officeDocument/2006/relationships/hyperlink" Target="http://probaseballexperience.jcink.net/index.php?showtopic=1084" TargetMode="External"/><Relationship Id="rId105" Type="http://schemas.openxmlformats.org/officeDocument/2006/relationships/hyperlink" Target="http://probaseballexperience.jcink.net/index.php?showuser=55" TargetMode="External"/><Relationship Id="rId126" Type="http://schemas.openxmlformats.org/officeDocument/2006/relationships/hyperlink" Target="http://probaseballexperience.jcink.net/index.php?showuser=136" TargetMode="External"/><Relationship Id="rId147" Type="http://schemas.openxmlformats.org/officeDocument/2006/relationships/hyperlink" Target="http://probaseballexperience.jcink.net/index.php?showtopic=75" TargetMode="External"/><Relationship Id="rId168" Type="http://schemas.openxmlformats.org/officeDocument/2006/relationships/hyperlink" Target="http://probaseballexperience.jcink.net/index.php?showtopic=183" TargetMode="External"/><Relationship Id="rId312" Type="http://schemas.openxmlformats.org/officeDocument/2006/relationships/hyperlink" Target="http://probaseballexperience.jcink.net/index.php?showtopic=1104" TargetMode="External"/><Relationship Id="rId333" Type="http://schemas.openxmlformats.org/officeDocument/2006/relationships/hyperlink" Target="http://probaseballexperience.jcink.net/index.php?showtopic=1085" TargetMode="External"/><Relationship Id="rId354" Type="http://schemas.openxmlformats.org/officeDocument/2006/relationships/hyperlink" Target="http://probaseballexperience.jcink.net/index.php?showuser=506" TargetMode="External"/><Relationship Id="rId51" Type="http://schemas.openxmlformats.org/officeDocument/2006/relationships/hyperlink" Target="http://probaseballexperience.jcink.net/index.php?showuser=10" TargetMode="External"/><Relationship Id="rId72" Type="http://schemas.openxmlformats.org/officeDocument/2006/relationships/hyperlink" Target="http://probaseballexperience.jcink.net/index.php?showuser=49" TargetMode="External"/><Relationship Id="rId93" Type="http://schemas.openxmlformats.org/officeDocument/2006/relationships/hyperlink" Target="http://probaseballexperience.jcink.net/index.php?showuser=4" TargetMode="External"/><Relationship Id="rId189" Type="http://schemas.openxmlformats.org/officeDocument/2006/relationships/hyperlink" Target="http://probaseballexperience.jcink.net/index.php?showtopic=96" TargetMode="External"/><Relationship Id="rId3" Type="http://schemas.openxmlformats.org/officeDocument/2006/relationships/hyperlink" Target="http://probaseballexperience.jcink.net/index.php?showuser=40" TargetMode="External"/><Relationship Id="rId214" Type="http://schemas.openxmlformats.org/officeDocument/2006/relationships/hyperlink" Target="http://probaseballexperience.jcink.net/index.php?showtopic=397" TargetMode="External"/><Relationship Id="rId235" Type="http://schemas.openxmlformats.org/officeDocument/2006/relationships/hyperlink" Target="http://probaseballexperience.jcink.net/index.php?showtopic=276" TargetMode="External"/><Relationship Id="rId256" Type="http://schemas.openxmlformats.org/officeDocument/2006/relationships/hyperlink" Target="http://probaseballexperience.jcink.net/index.php?showuser=78" TargetMode="External"/><Relationship Id="rId277" Type="http://schemas.openxmlformats.org/officeDocument/2006/relationships/hyperlink" Target="http://probaseballexperience.jcink.net/index.php?showuser=5" TargetMode="External"/><Relationship Id="rId298" Type="http://schemas.openxmlformats.org/officeDocument/2006/relationships/hyperlink" Target="http://probaseballexperience.jcink.net/index.php?showuser=169" TargetMode="External"/><Relationship Id="rId116" Type="http://schemas.openxmlformats.org/officeDocument/2006/relationships/hyperlink" Target="http://probaseballexperience.jcink.net/index.php?showtopic=1236" TargetMode="External"/><Relationship Id="rId137" Type="http://schemas.openxmlformats.org/officeDocument/2006/relationships/hyperlink" Target="http://probaseballexperience.jcink.net/index.php?showuser=252" TargetMode="External"/><Relationship Id="rId158" Type="http://schemas.openxmlformats.org/officeDocument/2006/relationships/hyperlink" Target="http://probaseballexperience.jcink.net/index.php?showuser=47" TargetMode="External"/><Relationship Id="rId302" Type="http://schemas.openxmlformats.org/officeDocument/2006/relationships/hyperlink" Target="http://probaseballexperience.jcink.net/index.php?showtopic=1093" TargetMode="External"/><Relationship Id="rId323" Type="http://schemas.openxmlformats.org/officeDocument/2006/relationships/hyperlink" Target="http://probaseballexperience.jcink.net/index.php?showtopic=1426" TargetMode="External"/><Relationship Id="rId344" Type="http://schemas.openxmlformats.org/officeDocument/2006/relationships/hyperlink" Target="http://probaseballexperience.jcink.net/index.php?showtopic=354" TargetMode="External"/><Relationship Id="rId20" Type="http://schemas.openxmlformats.org/officeDocument/2006/relationships/hyperlink" Target="http://probaseballexperience.jcink.net/index.php?showtopic=1526" TargetMode="External"/><Relationship Id="rId41" Type="http://schemas.openxmlformats.org/officeDocument/2006/relationships/hyperlink" Target="http://probaseballexperience.jcink.net/index.php?showuser=3" TargetMode="External"/><Relationship Id="rId62" Type="http://schemas.openxmlformats.org/officeDocument/2006/relationships/hyperlink" Target="http://probaseballexperience.jcink.net/index.php?showtopic=142" TargetMode="External"/><Relationship Id="rId83" Type="http://schemas.openxmlformats.org/officeDocument/2006/relationships/hyperlink" Target="http://probaseballexperience.jcink.net/index.php?showtopic=89" TargetMode="External"/><Relationship Id="rId179" Type="http://schemas.openxmlformats.org/officeDocument/2006/relationships/hyperlink" Target="http://probaseballexperience.jcink.net/index.php?showuser=24" TargetMode="External"/><Relationship Id="rId190" Type="http://schemas.openxmlformats.org/officeDocument/2006/relationships/hyperlink" Target="http://probaseballexperience.jcink.net/index.php?showtopic=242" TargetMode="External"/><Relationship Id="rId204" Type="http://schemas.openxmlformats.org/officeDocument/2006/relationships/hyperlink" Target="http://probaseballexperience.jcink.net/index.php?showtopic=362" TargetMode="External"/><Relationship Id="rId225" Type="http://schemas.openxmlformats.org/officeDocument/2006/relationships/hyperlink" Target="http://probaseballexperience.jcink.net/index.php?showtopic=342" TargetMode="External"/><Relationship Id="rId246" Type="http://schemas.openxmlformats.org/officeDocument/2006/relationships/hyperlink" Target="http://probaseballexperience.jcink.net/index.php?showtopic=173" TargetMode="External"/><Relationship Id="rId267" Type="http://schemas.openxmlformats.org/officeDocument/2006/relationships/hyperlink" Target="http://probaseballexperience.jcink.net/index.php?showtopic=2606" TargetMode="External"/><Relationship Id="rId288" Type="http://schemas.openxmlformats.org/officeDocument/2006/relationships/hyperlink" Target="http://probaseballexperience.jcink.net/index.php?showtopic=1147" TargetMode="External"/><Relationship Id="rId106" Type="http://schemas.openxmlformats.org/officeDocument/2006/relationships/hyperlink" Target="http://probaseballexperience.jcink.net/index.php?showtopic=162" TargetMode="External"/><Relationship Id="rId127" Type="http://schemas.openxmlformats.org/officeDocument/2006/relationships/hyperlink" Target="http://probaseballexperience.jcink.net/index.php?showtopic=840" TargetMode="External"/><Relationship Id="rId313" Type="http://schemas.openxmlformats.org/officeDocument/2006/relationships/hyperlink" Target="http://probaseballexperience.jcink.net/index.php?showuser=182" TargetMode="External"/><Relationship Id="rId10" Type="http://schemas.openxmlformats.org/officeDocument/2006/relationships/hyperlink" Target="http://probaseballexperience.jcink.net/index.php?showtopic=254" TargetMode="External"/><Relationship Id="rId31" Type="http://schemas.openxmlformats.org/officeDocument/2006/relationships/hyperlink" Target="http://probaseballexperience.jcink.net/index.php?showuser=102" TargetMode="External"/><Relationship Id="rId52" Type="http://schemas.openxmlformats.org/officeDocument/2006/relationships/hyperlink" Target="http://probaseballexperience.jcink.net/index.php?showtopic=69" TargetMode="External"/><Relationship Id="rId73" Type="http://schemas.openxmlformats.org/officeDocument/2006/relationships/hyperlink" Target="http://probaseballexperience.jcink.net/index.php?showtopic=2405" TargetMode="External"/><Relationship Id="rId94" Type="http://schemas.openxmlformats.org/officeDocument/2006/relationships/hyperlink" Target="http://probaseballexperience.jcink.net/index.php?showtopic=64" TargetMode="External"/><Relationship Id="rId148" Type="http://schemas.openxmlformats.org/officeDocument/2006/relationships/hyperlink" Target="http://probaseballexperience.jcink.net/index.php?showtopic=230" TargetMode="External"/><Relationship Id="rId169" Type="http://schemas.openxmlformats.org/officeDocument/2006/relationships/hyperlink" Target="http://probaseballexperience.jcink.net/index.php?showtopic=140" TargetMode="External"/><Relationship Id="rId334" Type="http://schemas.openxmlformats.org/officeDocument/2006/relationships/hyperlink" Target="http://probaseballexperience.jcink.net/index.php?showuser=178" TargetMode="External"/><Relationship Id="rId355" Type="http://schemas.openxmlformats.org/officeDocument/2006/relationships/hyperlink" Target="http://probaseballexperience.jcink.net/index.php?showtopic=5763" TargetMode="External"/><Relationship Id="rId4" Type="http://schemas.openxmlformats.org/officeDocument/2006/relationships/hyperlink" Target="http://probaseballexperience.jcink.net/index.php?showtopic=111" TargetMode="External"/><Relationship Id="rId180" Type="http://schemas.openxmlformats.org/officeDocument/2006/relationships/hyperlink" Target="http://probaseballexperience.jcink.net/index.php?showtopic=67" TargetMode="External"/><Relationship Id="rId215" Type="http://schemas.openxmlformats.org/officeDocument/2006/relationships/hyperlink" Target="http://probaseballexperience.jcink.net/index.php?showuser=119" TargetMode="External"/><Relationship Id="rId236" Type="http://schemas.openxmlformats.org/officeDocument/2006/relationships/hyperlink" Target="http://probaseballexperience.jcink.net/index.php?showuser=99" TargetMode="External"/><Relationship Id="rId257" Type="http://schemas.openxmlformats.org/officeDocument/2006/relationships/hyperlink" Target="http://probaseballexperience.jcink.net/index.php?showtopic=220" TargetMode="External"/><Relationship Id="rId278" Type="http://schemas.openxmlformats.org/officeDocument/2006/relationships/hyperlink" Target="http://probaseballexperience.jcink.net/index.php?showtopic=309" TargetMode="External"/><Relationship Id="rId303" Type="http://schemas.openxmlformats.org/officeDocument/2006/relationships/hyperlink" Target="http://probaseballexperience.jcink.net/index.php?showtopic=1097" TargetMode="External"/><Relationship Id="rId42" Type="http://schemas.openxmlformats.org/officeDocument/2006/relationships/hyperlink" Target="http://probaseballexperience.jcink.net/index.php?showtopic=82" TargetMode="External"/><Relationship Id="rId84" Type="http://schemas.openxmlformats.org/officeDocument/2006/relationships/hyperlink" Target="http://probaseballexperience.jcink.net/index.php?showuser=9" TargetMode="External"/><Relationship Id="rId138" Type="http://schemas.openxmlformats.org/officeDocument/2006/relationships/hyperlink" Target="http://probaseballexperience.jcink.net/index.php?showtopic=2444" TargetMode="External"/><Relationship Id="rId345" Type="http://schemas.openxmlformats.org/officeDocument/2006/relationships/hyperlink" Target="http://probaseballexperience.jcink.net/index.php?showtopic=2605" TargetMode="External"/><Relationship Id="rId191" Type="http://schemas.openxmlformats.org/officeDocument/2006/relationships/hyperlink" Target="http://probaseballexperience.jcink.net/index.php?showuser=93" TargetMode="External"/><Relationship Id="rId205" Type="http://schemas.openxmlformats.org/officeDocument/2006/relationships/hyperlink" Target="http://probaseballexperience.jcink.net/index.php?showtopic=144" TargetMode="External"/><Relationship Id="rId247" Type="http://schemas.openxmlformats.org/officeDocument/2006/relationships/hyperlink" Target="http://probaseballexperience.jcink.net/index.php?showtopic=71" TargetMode="External"/><Relationship Id="rId107" Type="http://schemas.openxmlformats.org/officeDocument/2006/relationships/hyperlink" Target="http://probaseballexperience.jcink.net/index.php?showtopic=2312" TargetMode="External"/><Relationship Id="rId289" Type="http://schemas.openxmlformats.org/officeDocument/2006/relationships/hyperlink" Target="http://probaseballexperience.jcink.net/index.php?showuser=184" TargetMode="External"/><Relationship Id="rId11" Type="http://schemas.openxmlformats.org/officeDocument/2006/relationships/hyperlink" Target="http://probaseballexperience.jcink.net/index.php?showuser=127" TargetMode="External"/><Relationship Id="rId53" Type="http://schemas.openxmlformats.org/officeDocument/2006/relationships/hyperlink" Target="http://probaseballexperience.jcink.net/index.php?showtopic=304" TargetMode="External"/><Relationship Id="rId149" Type="http://schemas.openxmlformats.org/officeDocument/2006/relationships/hyperlink" Target="http://probaseballexperience.jcink.net/index.php?showuser=87" TargetMode="External"/><Relationship Id="rId314" Type="http://schemas.openxmlformats.org/officeDocument/2006/relationships/hyperlink" Target="http://probaseballexperience.jcink.net/index.php?showtopic=1104" TargetMode="External"/><Relationship Id="rId356" Type="http://schemas.openxmlformats.org/officeDocument/2006/relationships/table" Target="../tables/table10.xml"/><Relationship Id="rId95" Type="http://schemas.openxmlformats.org/officeDocument/2006/relationships/hyperlink" Target="http://probaseballexperience.jcink.net/index.php?showtopic=953" TargetMode="External"/><Relationship Id="rId160" Type="http://schemas.openxmlformats.org/officeDocument/2006/relationships/hyperlink" Target="http://probaseballexperience.jcink.net/index.php?showtopic=238" TargetMode="External"/><Relationship Id="rId216" Type="http://schemas.openxmlformats.org/officeDocument/2006/relationships/hyperlink" Target="http://probaseballexperience.jcink.net/index.php?showtopic=397" TargetMode="External"/><Relationship Id="rId258" Type="http://schemas.openxmlformats.org/officeDocument/2006/relationships/hyperlink" Target="http://probaseballexperience.jcink.net/index.php?showtopic=258" TargetMode="External"/><Relationship Id="rId22" Type="http://schemas.openxmlformats.org/officeDocument/2006/relationships/hyperlink" Target="http://probaseballexperience.jcink.net/index.php?showtopic=1038" TargetMode="External"/><Relationship Id="rId64" Type="http://schemas.openxmlformats.org/officeDocument/2006/relationships/hyperlink" Target="http://probaseballexperience.jcink.net/index.php?showtopic=142" TargetMode="External"/><Relationship Id="rId118" Type="http://schemas.openxmlformats.org/officeDocument/2006/relationships/hyperlink" Target="http://probaseballexperience.jcink.net/index.php?showtopic=1236" TargetMode="External"/><Relationship Id="rId325" Type="http://schemas.openxmlformats.org/officeDocument/2006/relationships/hyperlink" Target="http://probaseballexperience.jcink.net/index.php?showuser=176" TargetMode="External"/><Relationship Id="rId171" Type="http://schemas.openxmlformats.org/officeDocument/2006/relationships/hyperlink" Target="http://probaseballexperience.jcink.net/index.php?showtopic=140" TargetMode="External"/><Relationship Id="rId227" Type="http://schemas.openxmlformats.org/officeDocument/2006/relationships/hyperlink" Target="http://probaseballexperience.jcink.net/index.php?showuser=141" TargetMode="External"/><Relationship Id="rId269" Type="http://schemas.openxmlformats.org/officeDocument/2006/relationships/hyperlink" Target="http://probaseballexperience.jcink.net/index.php?showtopic=2606" TargetMode="External"/><Relationship Id="rId33" Type="http://schemas.openxmlformats.org/officeDocument/2006/relationships/hyperlink" Target="http://probaseballexperience.jcink.net/index.php?showuser=17" TargetMode="External"/><Relationship Id="rId129" Type="http://schemas.openxmlformats.org/officeDocument/2006/relationships/hyperlink" Target="http://probaseballexperience.jcink.net/index.php?showtopic=4787" TargetMode="External"/><Relationship Id="rId280" Type="http://schemas.openxmlformats.org/officeDocument/2006/relationships/hyperlink" Target="http://probaseballexperience.jcink.net/index.php?showuser=200" TargetMode="External"/><Relationship Id="rId336" Type="http://schemas.openxmlformats.org/officeDocument/2006/relationships/hyperlink" Target="http://probaseballexperience.jcink.net/index.php?showtopic=1174" TargetMode="External"/><Relationship Id="rId75" Type="http://schemas.openxmlformats.org/officeDocument/2006/relationships/hyperlink" Target="http://probaseballexperience.jcink.net/index.php?showuser=111" TargetMode="External"/><Relationship Id="rId140" Type="http://schemas.openxmlformats.org/officeDocument/2006/relationships/hyperlink" Target="http://probaseballexperience.jcink.net/index.php?showuser=186" TargetMode="External"/><Relationship Id="rId182" Type="http://schemas.openxmlformats.org/officeDocument/2006/relationships/hyperlink" Target="http://probaseballexperience.jcink.net/index.php?showuser=32" TargetMode="External"/><Relationship Id="rId6" Type="http://schemas.openxmlformats.org/officeDocument/2006/relationships/hyperlink" Target="http://probaseballexperience.jcink.net/index.php?showtopic=102" TargetMode="External"/><Relationship Id="rId238" Type="http://schemas.openxmlformats.org/officeDocument/2006/relationships/hyperlink" Target="http://probaseballexperience.jcink.net/index.php?showtopic=228" TargetMode="External"/><Relationship Id="rId291" Type="http://schemas.openxmlformats.org/officeDocument/2006/relationships/hyperlink" Target="http://probaseballexperience.jcink.net/index.php?showtopic=1062" TargetMode="External"/><Relationship Id="rId305" Type="http://schemas.openxmlformats.org/officeDocument/2006/relationships/hyperlink" Target="http://probaseballexperience.jcink.net/index.php?showtopic=1097" TargetMode="External"/><Relationship Id="rId347" Type="http://schemas.openxmlformats.org/officeDocument/2006/relationships/hyperlink" Target="http://probaseballexperience.jcink.net/index.php?showtopic=2605" TargetMode="External"/><Relationship Id="rId44" Type="http://schemas.openxmlformats.org/officeDocument/2006/relationships/hyperlink" Target="http://probaseballexperience.jcink.net/index.php?showtopic=160" TargetMode="External"/><Relationship Id="rId86" Type="http://schemas.openxmlformats.org/officeDocument/2006/relationships/hyperlink" Target="http://probaseballexperience.jcink.net/index.php?showtopic=105" TargetMode="External"/><Relationship Id="rId151" Type="http://schemas.openxmlformats.org/officeDocument/2006/relationships/hyperlink" Target="http://probaseballexperience.jcink.net/index.php?showtopic=805" TargetMode="External"/><Relationship Id="rId193" Type="http://schemas.openxmlformats.org/officeDocument/2006/relationships/hyperlink" Target="http://probaseballexperience.jcink.net/index.php?showtopic=221" TargetMode="External"/><Relationship Id="rId207" Type="http://schemas.openxmlformats.org/officeDocument/2006/relationships/hyperlink" Target="http://probaseballexperience.jcink.net/index.php?showtopic=144" TargetMode="External"/><Relationship Id="rId249" Type="http://schemas.openxmlformats.org/officeDocument/2006/relationships/hyperlink" Target="http://probaseballexperience.jcink.net/index.php?showtopic=71" TargetMode="External"/><Relationship Id="rId13" Type="http://schemas.openxmlformats.org/officeDocument/2006/relationships/hyperlink" Target="http://probaseballexperience.jcink.net/index.php?showuser=126" TargetMode="External"/><Relationship Id="rId109" Type="http://schemas.openxmlformats.org/officeDocument/2006/relationships/hyperlink" Target="http://probaseballexperience.jcink.net/index.php?showtopic=2312" TargetMode="External"/><Relationship Id="rId260" Type="http://schemas.openxmlformats.org/officeDocument/2006/relationships/hyperlink" Target="http://probaseballexperience.jcink.net/index.php?showtopic=258" TargetMode="External"/><Relationship Id="rId316" Type="http://schemas.openxmlformats.org/officeDocument/2006/relationships/hyperlink" Target="http://probaseballexperience.jcink.net/index.php?showuser=172" TargetMode="External"/><Relationship Id="rId55" Type="http://schemas.openxmlformats.org/officeDocument/2006/relationships/hyperlink" Target="http://probaseballexperience.jcink.net/index.php?showtopic=304" TargetMode="External"/><Relationship Id="rId97" Type="http://schemas.openxmlformats.org/officeDocument/2006/relationships/hyperlink" Target="http://probaseballexperience.jcink.net/index.php?showtopic=953" TargetMode="External"/><Relationship Id="rId120" Type="http://schemas.openxmlformats.org/officeDocument/2006/relationships/hyperlink" Target="http://probaseballexperience.jcink.net/index.php?showuser=134" TargetMode="External"/><Relationship Id="rId162" Type="http://schemas.openxmlformats.org/officeDocument/2006/relationships/hyperlink" Target="http://probaseballexperience.jcink.net/index.php?showtopic=238" TargetMode="External"/><Relationship Id="rId218" Type="http://schemas.openxmlformats.org/officeDocument/2006/relationships/hyperlink" Target="http://probaseballexperience.jcink.net/index.php?showuser=43" TargetMode="External"/><Relationship Id="rId271" Type="http://schemas.openxmlformats.org/officeDocument/2006/relationships/hyperlink" Target="http://probaseballexperience.jcink.net/index.php?showuser=80" TargetMode="External"/><Relationship Id="rId24" Type="http://schemas.openxmlformats.org/officeDocument/2006/relationships/hyperlink" Target="http://probaseballexperience.jcink.net/index.php?showtopic=277" TargetMode="External"/><Relationship Id="rId66" Type="http://schemas.openxmlformats.org/officeDocument/2006/relationships/hyperlink" Target="http://probaseballexperience.jcink.net/index.php?showuser=75" TargetMode="External"/><Relationship Id="rId131" Type="http://schemas.openxmlformats.org/officeDocument/2006/relationships/hyperlink" Target="http://probaseballexperience.jcink.net/index.php?showuser=45" TargetMode="External"/><Relationship Id="rId327" Type="http://schemas.openxmlformats.org/officeDocument/2006/relationships/hyperlink" Target="http://probaseballexperience.jcink.net/index.php?showtopic=1541" TargetMode="External"/><Relationship Id="rId173" Type="http://schemas.openxmlformats.org/officeDocument/2006/relationships/hyperlink" Target="http://probaseballexperience.jcink.net/index.php?showuser=121" TargetMode="External"/><Relationship Id="rId229" Type="http://schemas.openxmlformats.org/officeDocument/2006/relationships/hyperlink" Target="http://probaseballexperience.jcink.net/index.php?showtopic=303" TargetMode="External"/><Relationship Id="rId240" Type="http://schemas.openxmlformats.org/officeDocument/2006/relationships/hyperlink" Target="http://probaseballexperience.jcink.net/index.php?showtopic=228" TargetMode="External"/><Relationship Id="rId35" Type="http://schemas.openxmlformats.org/officeDocument/2006/relationships/hyperlink" Target="http://probaseballexperience.jcink.net/index.php?showuser=120" TargetMode="External"/><Relationship Id="rId77" Type="http://schemas.openxmlformats.org/officeDocument/2006/relationships/hyperlink" Target="http://probaseballexperience.jcink.net/index.php?showtopic=1293" TargetMode="External"/><Relationship Id="rId100" Type="http://schemas.openxmlformats.org/officeDocument/2006/relationships/hyperlink" Target="http://probaseballexperience.jcink.net/index.php?showtopic=1053" TargetMode="External"/><Relationship Id="rId282" Type="http://schemas.openxmlformats.org/officeDocument/2006/relationships/hyperlink" Target="http://probaseballexperience.jcink.net/index.php?showtopic=1377" TargetMode="External"/><Relationship Id="rId338" Type="http://schemas.openxmlformats.org/officeDocument/2006/relationships/hyperlink" Target="http://probaseballexperience.jcink.net/index.php?showtopic=1174" TargetMode="External"/><Relationship Id="rId8" Type="http://schemas.openxmlformats.org/officeDocument/2006/relationships/hyperlink" Target="http://probaseballexperience.jcink.net/index.php?showtopic=178" TargetMode="External"/><Relationship Id="rId142" Type="http://schemas.openxmlformats.org/officeDocument/2006/relationships/hyperlink" Target="http://probaseballexperience.jcink.net/index.php?showtopic=177" TargetMode="External"/><Relationship Id="rId184" Type="http://schemas.openxmlformats.org/officeDocument/2006/relationships/hyperlink" Target="http://probaseballexperience.jcink.net/index.php?showtopic=498" TargetMode="External"/><Relationship Id="rId251" Type="http://schemas.openxmlformats.org/officeDocument/2006/relationships/hyperlink" Target="http://probaseballexperience.jcink.net/index.php?showuser=339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probaseballexperience.jcink.net/index.php?showtopic=4454" TargetMode="External"/><Relationship Id="rId18" Type="http://schemas.openxmlformats.org/officeDocument/2006/relationships/hyperlink" Target="http://probaseballexperience.jcink.net/index.php?showtopic=4607" TargetMode="External"/><Relationship Id="rId26" Type="http://schemas.openxmlformats.org/officeDocument/2006/relationships/hyperlink" Target="http://probaseballexperience.jcink.net/index.php?showtopic=4609" TargetMode="External"/><Relationship Id="rId39" Type="http://schemas.openxmlformats.org/officeDocument/2006/relationships/hyperlink" Target="http://probaseballexperience.jcink.net/index.php?showtopic=4750" TargetMode="External"/><Relationship Id="rId21" Type="http://schemas.openxmlformats.org/officeDocument/2006/relationships/hyperlink" Target="http://probaseballexperience.jcink.net/index.php?showtopic=4682" TargetMode="External"/><Relationship Id="rId34" Type="http://schemas.openxmlformats.org/officeDocument/2006/relationships/hyperlink" Target="http://probaseballexperience.jcink.net/index.php?showtopic=4611" TargetMode="External"/><Relationship Id="rId42" Type="http://schemas.openxmlformats.org/officeDocument/2006/relationships/hyperlink" Target="http://probaseballexperience.jcink.net/index.php?showtopic=4595" TargetMode="External"/><Relationship Id="rId47" Type="http://schemas.openxmlformats.org/officeDocument/2006/relationships/hyperlink" Target="http://probaseballexperience.jcink.net/index.php?showtopic=4600" TargetMode="External"/><Relationship Id="rId50" Type="http://schemas.openxmlformats.org/officeDocument/2006/relationships/hyperlink" Target="http://probaseballexperience.jcink.net/index.php?showtopic=4559" TargetMode="External"/><Relationship Id="rId55" Type="http://schemas.openxmlformats.org/officeDocument/2006/relationships/hyperlink" Target="http://probaseballexperience.jcink.net/index.php?showtopic=4613" TargetMode="External"/><Relationship Id="rId7" Type="http://schemas.openxmlformats.org/officeDocument/2006/relationships/hyperlink" Target="http://probaseballexperience.jcink.net/index.php?showtopic=4552" TargetMode="External"/><Relationship Id="rId2" Type="http://schemas.openxmlformats.org/officeDocument/2006/relationships/pivotTable" Target="../pivotTables/pivotTable2.xml"/><Relationship Id="rId16" Type="http://schemas.openxmlformats.org/officeDocument/2006/relationships/hyperlink" Target="http://probaseballexperience.jcink.net/index.php?showtopic=4599" TargetMode="External"/><Relationship Id="rId29" Type="http://schemas.openxmlformats.org/officeDocument/2006/relationships/hyperlink" Target="http://probaseballexperience.jcink.net/index.php?showtopic=4614" TargetMode="External"/><Relationship Id="rId11" Type="http://schemas.openxmlformats.org/officeDocument/2006/relationships/hyperlink" Target="http://probaseballexperience.jcink.net/index.php?showtopic=4491" TargetMode="External"/><Relationship Id="rId24" Type="http://schemas.openxmlformats.org/officeDocument/2006/relationships/hyperlink" Target="http://probaseballexperience.jcink.net/index.php?showtopic=4439" TargetMode="External"/><Relationship Id="rId32" Type="http://schemas.openxmlformats.org/officeDocument/2006/relationships/hyperlink" Target="http://probaseballexperience.jcink.net/index.php?showtopic=4787" TargetMode="External"/><Relationship Id="rId37" Type="http://schemas.openxmlformats.org/officeDocument/2006/relationships/hyperlink" Target="http://probaseballexperience.jcink.net/index.php?showtopic=4854" TargetMode="External"/><Relationship Id="rId40" Type="http://schemas.openxmlformats.org/officeDocument/2006/relationships/hyperlink" Target="http://probaseballexperience.jcink.net/index.php?showtopic=4609" TargetMode="External"/><Relationship Id="rId45" Type="http://schemas.openxmlformats.org/officeDocument/2006/relationships/hyperlink" Target="http://probaseballexperience.jcink.net/index.php?showtopic=4856" TargetMode="External"/><Relationship Id="rId53" Type="http://schemas.openxmlformats.org/officeDocument/2006/relationships/hyperlink" Target="http://probaseballexperience.jcink.net/index.php?showtopic=4375" TargetMode="External"/><Relationship Id="rId58" Type="http://schemas.openxmlformats.org/officeDocument/2006/relationships/table" Target="../tables/table17.xml"/><Relationship Id="rId5" Type="http://schemas.openxmlformats.org/officeDocument/2006/relationships/pivotTable" Target="../pivotTables/pivotTable5.xml"/><Relationship Id="rId19" Type="http://schemas.openxmlformats.org/officeDocument/2006/relationships/hyperlink" Target="http://probaseballexperience.jcink.net/index.php?showtopic=4482" TargetMode="External"/><Relationship Id="rId4" Type="http://schemas.openxmlformats.org/officeDocument/2006/relationships/pivotTable" Target="../pivotTables/pivotTable4.xml"/><Relationship Id="rId9" Type="http://schemas.openxmlformats.org/officeDocument/2006/relationships/hyperlink" Target="http://probaseballexperience.jcink.net/index.php?showtopic=4590" TargetMode="External"/><Relationship Id="rId14" Type="http://schemas.openxmlformats.org/officeDocument/2006/relationships/hyperlink" Target="http://probaseballexperience.jcink.net/index.php?showtopic=4445" TargetMode="External"/><Relationship Id="rId22" Type="http://schemas.openxmlformats.org/officeDocument/2006/relationships/hyperlink" Target="http://probaseballexperience.jcink.net/index.php?showtopic=4637" TargetMode="External"/><Relationship Id="rId27" Type="http://schemas.openxmlformats.org/officeDocument/2006/relationships/hyperlink" Target="http://probaseballexperience.jcink.net/index.php?showtopic=4673" TargetMode="External"/><Relationship Id="rId30" Type="http://schemas.openxmlformats.org/officeDocument/2006/relationships/hyperlink" Target="http://probaseballexperience.jcink.net/index.php?showtopic=4596" TargetMode="External"/><Relationship Id="rId35" Type="http://schemas.openxmlformats.org/officeDocument/2006/relationships/hyperlink" Target="http://probaseballexperience.jcink.net/index.php?showtopic=4305" TargetMode="External"/><Relationship Id="rId43" Type="http://schemas.openxmlformats.org/officeDocument/2006/relationships/hyperlink" Target="http://probaseballexperience.jcink.net/index.php?showtopic=4566" TargetMode="External"/><Relationship Id="rId48" Type="http://schemas.openxmlformats.org/officeDocument/2006/relationships/hyperlink" Target="http://probaseballexperience.jcink.net/index.php?showtopic=4565" TargetMode="External"/><Relationship Id="rId56" Type="http://schemas.openxmlformats.org/officeDocument/2006/relationships/hyperlink" Target="http://probaseballexperience.jcink.net/index.php?showtopic=4632" TargetMode="External"/><Relationship Id="rId8" Type="http://schemas.openxmlformats.org/officeDocument/2006/relationships/hyperlink" Target="http://probaseballexperience.jcink.net/index.php?showtopic=4574" TargetMode="External"/><Relationship Id="rId51" Type="http://schemas.openxmlformats.org/officeDocument/2006/relationships/hyperlink" Target="http://probaseballexperience.jcink.net/index.php?showtopic=4591" TargetMode="External"/><Relationship Id="rId3" Type="http://schemas.openxmlformats.org/officeDocument/2006/relationships/pivotTable" Target="../pivotTables/pivotTable3.xml"/><Relationship Id="rId12" Type="http://schemas.openxmlformats.org/officeDocument/2006/relationships/hyperlink" Target="http://probaseballexperience.jcink.net/index.php?showtopic=4437" TargetMode="External"/><Relationship Id="rId17" Type="http://schemas.openxmlformats.org/officeDocument/2006/relationships/hyperlink" Target="http://probaseballexperience.jcink.net/index.php?showtopic=4610" TargetMode="External"/><Relationship Id="rId25" Type="http://schemas.openxmlformats.org/officeDocument/2006/relationships/hyperlink" Target="http://probaseballexperience.jcink.net/index.php?showtopic=4484" TargetMode="External"/><Relationship Id="rId33" Type="http://schemas.openxmlformats.org/officeDocument/2006/relationships/hyperlink" Target="http://probaseballexperience.jcink.net/index.php?showtopic=4177" TargetMode="External"/><Relationship Id="rId38" Type="http://schemas.openxmlformats.org/officeDocument/2006/relationships/hyperlink" Target="http://probaseballexperience.jcink.net/index.php?showtopic=4563" TargetMode="External"/><Relationship Id="rId46" Type="http://schemas.openxmlformats.org/officeDocument/2006/relationships/hyperlink" Target="http://probaseballexperience.jcink.net/index.php?showtopic=4870" TargetMode="External"/><Relationship Id="rId20" Type="http://schemas.openxmlformats.org/officeDocument/2006/relationships/hyperlink" Target="http://probaseballexperience.jcink.net/index.php?showtopic=4697" TargetMode="External"/><Relationship Id="rId41" Type="http://schemas.openxmlformats.org/officeDocument/2006/relationships/hyperlink" Target="http://probaseballexperience.jcink.net/index.php?showtopic=4592" TargetMode="External"/><Relationship Id="rId54" Type="http://schemas.openxmlformats.org/officeDocument/2006/relationships/hyperlink" Target="http://probaseballexperience.jcink.net/index.php?showtopic=4609" TargetMode="External"/><Relationship Id="rId1" Type="http://schemas.openxmlformats.org/officeDocument/2006/relationships/pivotTable" Target="../pivotTables/pivotTable1.xml"/><Relationship Id="rId6" Type="http://schemas.openxmlformats.org/officeDocument/2006/relationships/hyperlink" Target="http://probaseballexperience.jcink.net/index.php?showtopic=4392" TargetMode="External"/><Relationship Id="rId15" Type="http://schemas.openxmlformats.org/officeDocument/2006/relationships/hyperlink" Target="http://probaseballexperience.jcink.net/index.php?showtopic=4698" TargetMode="External"/><Relationship Id="rId23" Type="http://schemas.openxmlformats.org/officeDocument/2006/relationships/hyperlink" Target="http://probaseballexperience.jcink.net/index.php?showtopic=4562" TargetMode="External"/><Relationship Id="rId28" Type="http://schemas.openxmlformats.org/officeDocument/2006/relationships/hyperlink" Target="http://probaseballexperience.jcink.net/index.php?showtopic=4617" TargetMode="External"/><Relationship Id="rId36" Type="http://schemas.openxmlformats.org/officeDocument/2006/relationships/hyperlink" Target="http://probaseballexperience.jcink.net/index.php?showtopic=4561" TargetMode="External"/><Relationship Id="rId49" Type="http://schemas.openxmlformats.org/officeDocument/2006/relationships/hyperlink" Target="http://probaseballexperience.jcink.net/index.php?showtopic=4593" TargetMode="External"/><Relationship Id="rId57" Type="http://schemas.openxmlformats.org/officeDocument/2006/relationships/drawing" Target="../drawings/drawing2.xml"/><Relationship Id="rId10" Type="http://schemas.openxmlformats.org/officeDocument/2006/relationships/hyperlink" Target="http://probaseballexperience.jcink.net/index.php?showtopic=4460" TargetMode="External"/><Relationship Id="rId31" Type="http://schemas.openxmlformats.org/officeDocument/2006/relationships/hyperlink" Target="http://probaseballexperience.jcink.net/index.php?showtopic=4564" TargetMode="External"/><Relationship Id="rId44" Type="http://schemas.openxmlformats.org/officeDocument/2006/relationships/hyperlink" Target="http://probaseballexperience.jcink.net/index.php?showtopic=4797" TargetMode="External"/><Relationship Id="rId52" Type="http://schemas.openxmlformats.org/officeDocument/2006/relationships/hyperlink" Target="http://probaseballexperience.jcink.net/index.php?showtopic=4566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://probaseballexperience.jcink.net/index.php?showtopic=4484" TargetMode="External"/><Relationship Id="rId18" Type="http://schemas.openxmlformats.org/officeDocument/2006/relationships/hyperlink" Target="http://probaseballexperience.jcink.net/index.php?showtopic=4593" TargetMode="External"/><Relationship Id="rId26" Type="http://schemas.openxmlformats.org/officeDocument/2006/relationships/hyperlink" Target="http://probaseballexperience.jcink.net/index.php?showtopic=4590" TargetMode="External"/><Relationship Id="rId39" Type="http://schemas.openxmlformats.org/officeDocument/2006/relationships/hyperlink" Target="http://probaseballexperience.jcink.net/index.php?showtopic=4600" TargetMode="External"/><Relationship Id="rId21" Type="http://schemas.openxmlformats.org/officeDocument/2006/relationships/hyperlink" Target="http://probaseballexperience.jcink.net/index.php?showtopic=4596" TargetMode="External"/><Relationship Id="rId34" Type="http://schemas.openxmlformats.org/officeDocument/2006/relationships/hyperlink" Target="http://probaseballexperience.jcink.net/index.php?showtopic=4454" TargetMode="External"/><Relationship Id="rId42" Type="http://schemas.openxmlformats.org/officeDocument/2006/relationships/hyperlink" Target="http://probaseballexperience.jcink.net/index.php?showtopic=4445" TargetMode="External"/><Relationship Id="rId47" Type="http://schemas.openxmlformats.org/officeDocument/2006/relationships/hyperlink" Target="http://probaseballexperience.jcink.net/index.php?showtopic=4614" TargetMode="External"/><Relationship Id="rId50" Type="http://schemas.openxmlformats.org/officeDocument/2006/relationships/table" Target="../tables/table18.xml"/><Relationship Id="rId7" Type="http://schemas.openxmlformats.org/officeDocument/2006/relationships/hyperlink" Target="http://probaseballexperience.jcink.net/index.php?showtopic=4617" TargetMode="External"/><Relationship Id="rId2" Type="http://schemas.openxmlformats.org/officeDocument/2006/relationships/hyperlink" Target="http://probaseballexperience.jcink.net/index.php?showtopic=4592" TargetMode="External"/><Relationship Id="rId16" Type="http://schemas.openxmlformats.org/officeDocument/2006/relationships/hyperlink" Target="http://probaseballexperience.jcink.net/index.php?showtopic=4460" TargetMode="External"/><Relationship Id="rId29" Type="http://schemas.openxmlformats.org/officeDocument/2006/relationships/hyperlink" Target="http://probaseballexperience.jcink.net/index.php?showtopic=4698" TargetMode="External"/><Relationship Id="rId11" Type="http://schemas.openxmlformats.org/officeDocument/2006/relationships/hyperlink" Target="http://probaseballexperience.jcink.net/index.php?showtopic=4563" TargetMode="External"/><Relationship Id="rId24" Type="http://schemas.openxmlformats.org/officeDocument/2006/relationships/hyperlink" Target="http://probaseballexperience.jcink.net/index.php?showtopic=4673" TargetMode="External"/><Relationship Id="rId32" Type="http://schemas.openxmlformats.org/officeDocument/2006/relationships/hyperlink" Target="http://probaseballexperience.jcink.net/index.php?showtopic=4552" TargetMode="External"/><Relationship Id="rId37" Type="http://schemas.openxmlformats.org/officeDocument/2006/relationships/hyperlink" Target="http://probaseballexperience.jcink.net/index.php?showtopic=4611" TargetMode="External"/><Relationship Id="rId40" Type="http://schemas.openxmlformats.org/officeDocument/2006/relationships/hyperlink" Target="http://probaseballexperience.jcink.net/index.php?showtopic=4610" TargetMode="External"/><Relationship Id="rId45" Type="http://schemas.openxmlformats.org/officeDocument/2006/relationships/hyperlink" Target="http://probaseballexperience.jcink.net/index.php?showtopic=4375" TargetMode="External"/><Relationship Id="rId5" Type="http://schemas.openxmlformats.org/officeDocument/2006/relationships/hyperlink" Target="http://probaseballexperience.jcink.net/index.php?showtopic=4564" TargetMode="External"/><Relationship Id="rId15" Type="http://schemas.openxmlformats.org/officeDocument/2006/relationships/hyperlink" Target="http://probaseballexperience.jcink.net/index.php?showtopic=4482" TargetMode="External"/><Relationship Id="rId23" Type="http://schemas.openxmlformats.org/officeDocument/2006/relationships/hyperlink" Target="http://probaseballexperience.jcink.net/index.php?showtopic=4613" TargetMode="External"/><Relationship Id="rId28" Type="http://schemas.openxmlformats.org/officeDocument/2006/relationships/hyperlink" Target="http://probaseballexperience.jcink.net/index.php?showtopic=4562" TargetMode="External"/><Relationship Id="rId36" Type="http://schemas.openxmlformats.org/officeDocument/2006/relationships/hyperlink" Target="http://probaseballexperience.jcink.net/index.php?showtopic=4392" TargetMode="External"/><Relationship Id="rId49" Type="http://schemas.openxmlformats.org/officeDocument/2006/relationships/hyperlink" Target="http://probaseballexperience.jcink.net/index.php?showtopic=4491" TargetMode="External"/><Relationship Id="rId10" Type="http://schemas.openxmlformats.org/officeDocument/2006/relationships/hyperlink" Target="http://probaseballexperience.jcink.net/index.php?showtopic=4607" TargetMode="External"/><Relationship Id="rId19" Type="http://schemas.openxmlformats.org/officeDocument/2006/relationships/hyperlink" Target="http://probaseballexperience.jcink.net/index.php?showtopic=4637" TargetMode="External"/><Relationship Id="rId31" Type="http://schemas.openxmlformats.org/officeDocument/2006/relationships/hyperlink" Target="http://probaseballexperience.jcink.net/index.php?showtopic=4574" TargetMode="External"/><Relationship Id="rId44" Type="http://schemas.openxmlformats.org/officeDocument/2006/relationships/hyperlink" Target="http://probaseballexperience.jcink.net/index.php?showtopic=4609" TargetMode="External"/><Relationship Id="rId4" Type="http://schemas.openxmlformats.org/officeDocument/2006/relationships/hyperlink" Target="http://probaseballexperience.jcink.net/index.php?showtopic=4632" TargetMode="External"/><Relationship Id="rId9" Type="http://schemas.openxmlformats.org/officeDocument/2006/relationships/hyperlink" Target="http://probaseballexperience.jcink.net/index.php?showtopic=4609" TargetMode="External"/><Relationship Id="rId14" Type="http://schemas.openxmlformats.org/officeDocument/2006/relationships/hyperlink" Target="http://probaseballexperience.jcink.net/index.php?showtopic=4870" TargetMode="External"/><Relationship Id="rId22" Type="http://schemas.openxmlformats.org/officeDocument/2006/relationships/hyperlink" Target="http://probaseballexperience.jcink.net/index.php?showtopic=4682" TargetMode="External"/><Relationship Id="rId27" Type="http://schemas.openxmlformats.org/officeDocument/2006/relationships/hyperlink" Target="http://probaseballexperience.jcink.net/index.php?showtopic=4439" TargetMode="External"/><Relationship Id="rId30" Type="http://schemas.openxmlformats.org/officeDocument/2006/relationships/hyperlink" Target="http://probaseballexperience.jcink.net/index.php?showtopic=4591" TargetMode="External"/><Relationship Id="rId35" Type="http://schemas.openxmlformats.org/officeDocument/2006/relationships/hyperlink" Target="http://probaseballexperience.jcink.net/index.php?showtopic=4566" TargetMode="External"/><Relationship Id="rId43" Type="http://schemas.openxmlformats.org/officeDocument/2006/relationships/hyperlink" Target="http://probaseballexperience.jcink.net/index.php?showtopic=4856" TargetMode="External"/><Relationship Id="rId48" Type="http://schemas.openxmlformats.org/officeDocument/2006/relationships/hyperlink" Target="http://probaseballexperience.jcink.net/index.php?showtopic=4854" TargetMode="External"/><Relationship Id="rId8" Type="http://schemas.openxmlformats.org/officeDocument/2006/relationships/hyperlink" Target="http://probaseballexperience.jcink.net/index.php?showtopic=4599" TargetMode="External"/><Relationship Id="rId3" Type="http://schemas.openxmlformats.org/officeDocument/2006/relationships/hyperlink" Target="http://probaseballexperience.jcink.net/index.php?showtopic=4697" TargetMode="External"/><Relationship Id="rId12" Type="http://schemas.openxmlformats.org/officeDocument/2006/relationships/hyperlink" Target="http://probaseballexperience.jcink.net/index.php?showtopic=4750" TargetMode="External"/><Relationship Id="rId17" Type="http://schemas.openxmlformats.org/officeDocument/2006/relationships/hyperlink" Target="http://probaseballexperience.jcink.net/index.php?showtopic=4559" TargetMode="External"/><Relationship Id="rId25" Type="http://schemas.openxmlformats.org/officeDocument/2006/relationships/hyperlink" Target="http://probaseballexperience.jcink.net/index.php?showtopic=4595" TargetMode="External"/><Relationship Id="rId33" Type="http://schemas.openxmlformats.org/officeDocument/2006/relationships/hyperlink" Target="http://probaseballexperience.jcink.net/index.php?showtopic=4561" TargetMode="External"/><Relationship Id="rId38" Type="http://schemas.openxmlformats.org/officeDocument/2006/relationships/hyperlink" Target="http://probaseballexperience.jcink.net/index.php?showtopic=4797" TargetMode="External"/><Relationship Id="rId46" Type="http://schemas.openxmlformats.org/officeDocument/2006/relationships/hyperlink" Target="http://probaseballexperience.jcink.net/index.php?showtopic=4177" TargetMode="External"/><Relationship Id="rId20" Type="http://schemas.openxmlformats.org/officeDocument/2006/relationships/hyperlink" Target="http://probaseballexperience.jcink.net/index.php?showtopic=4305" TargetMode="External"/><Relationship Id="rId41" Type="http://schemas.openxmlformats.org/officeDocument/2006/relationships/hyperlink" Target="http://probaseballexperience.jcink.net/index.php?showtopic=4437" TargetMode="External"/><Relationship Id="rId1" Type="http://schemas.openxmlformats.org/officeDocument/2006/relationships/hyperlink" Target="http://probaseballexperience.jcink.net/index.php?showtopic=4787" TargetMode="External"/><Relationship Id="rId6" Type="http://schemas.openxmlformats.org/officeDocument/2006/relationships/hyperlink" Target="http://probaseballexperience.jcink.net/index.php?showtopic=4565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topic=5453" TargetMode="External"/><Relationship Id="rId21" Type="http://schemas.openxmlformats.org/officeDocument/2006/relationships/hyperlink" Target="http://probaseballexperience.jcink.net/index.php?showuser=540" TargetMode="External"/><Relationship Id="rId42" Type="http://schemas.openxmlformats.org/officeDocument/2006/relationships/hyperlink" Target="http://probaseballexperience.jcink.net/index.php?showtopic=5794" TargetMode="External"/><Relationship Id="rId47" Type="http://schemas.openxmlformats.org/officeDocument/2006/relationships/hyperlink" Target="http://probaseballexperience.jcink.net/index.php?showuser=497" TargetMode="External"/><Relationship Id="rId63" Type="http://schemas.openxmlformats.org/officeDocument/2006/relationships/hyperlink" Target="http://probaseballexperience.jcink.net/index.php?showuser=502" TargetMode="External"/><Relationship Id="rId68" Type="http://schemas.openxmlformats.org/officeDocument/2006/relationships/hyperlink" Target="http://probaseballexperience.jcink.net/index.php?showtopic=5484" TargetMode="External"/><Relationship Id="rId84" Type="http://schemas.openxmlformats.org/officeDocument/2006/relationships/hyperlink" Target="http://probaseballexperience.jcink.net/index.php?showtopic=5797" TargetMode="External"/><Relationship Id="rId89" Type="http://schemas.openxmlformats.org/officeDocument/2006/relationships/hyperlink" Target="http://probaseballexperience.jcink.net/index.php?showuser=496" TargetMode="External"/><Relationship Id="rId16" Type="http://schemas.openxmlformats.org/officeDocument/2006/relationships/hyperlink" Target="http://probaseballexperience.jcink.net/index.php?showtopic=5632" TargetMode="External"/><Relationship Id="rId11" Type="http://schemas.openxmlformats.org/officeDocument/2006/relationships/hyperlink" Target="http://probaseballexperience.jcink.net/index.php?showuser=516" TargetMode="External"/><Relationship Id="rId32" Type="http://schemas.openxmlformats.org/officeDocument/2006/relationships/hyperlink" Target="http://probaseballexperience.jcink.net/index.php?showtopic=5878" TargetMode="External"/><Relationship Id="rId37" Type="http://schemas.openxmlformats.org/officeDocument/2006/relationships/hyperlink" Target="http://probaseballexperience.jcink.net/index.php?showuser=98" TargetMode="External"/><Relationship Id="rId53" Type="http://schemas.openxmlformats.org/officeDocument/2006/relationships/hyperlink" Target="http://probaseballexperience.jcink.net/index.php?showuser=527" TargetMode="External"/><Relationship Id="rId58" Type="http://schemas.openxmlformats.org/officeDocument/2006/relationships/hyperlink" Target="http://probaseballexperience.jcink.net/index.php?showtopic=5577" TargetMode="External"/><Relationship Id="rId74" Type="http://schemas.openxmlformats.org/officeDocument/2006/relationships/hyperlink" Target="http://probaseballexperience.jcink.net/index.php?showtopic=5736" TargetMode="External"/><Relationship Id="rId79" Type="http://schemas.openxmlformats.org/officeDocument/2006/relationships/hyperlink" Target="http://probaseballexperience.jcink.net/index.php?showuser=521" TargetMode="External"/><Relationship Id="rId102" Type="http://schemas.openxmlformats.org/officeDocument/2006/relationships/hyperlink" Target="http://probaseballexperience.jcink.net/index.php?showtopic=5809" TargetMode="External"/><Relationship Id="rId5" Type="http://schemas.openxmlformats.org/officeDocument/2006/relationships/hyperlink" Target="http://probaseballexperience.jcink.net/index.php?showuser=492" TargetMode="External"/><Relationship Id="rId90" Type="http://schemas.openxmlformats.org/officeDocument/2006/relationships/hyperlink" Target="http://probaseballexperience.jcink.net/index.php?showtopic=5635" TargetMode="External"/><Relationship Id="rId95" Type="http://schemas.openxmlformats.org/officeDocument/2006/relationships/hyperlink" Target="http://probaseballexperience.jcink.net/index.php?showuser=512" TargetMode="External"/><Relationship Id="rId22" Type="http://schemas.openxmlformats.org/officeDocument/2006/relationships/hyperlink" Target="http://probaseballexperience.jcink.net/index.php?showtopic=5824" TargetMode="External"/><Relationship Id="rId27" Type="http://schemas.openxmlformats.org/officeDocument/2006/relationships/hyperlink" Target="http://probaseballexperience.jcink.net/index.php?showuser=510" TargetMode="External"/><Relationship Id="rId43" Type="http://schemas.openxmlformats.org/officeDocument/2006/relationships/hyperlink" Target="http://probaseballexperience.jcink.net/index.php?showuser=485" TargetMode="External"/><Relationship Id="rId48" Type="http://schemas.openxmlformats.org/officeDocument/2006/relationships/hyperlink" Target="http://probaseballexperience.jcink.net/index.php?showtopic=5663" TargetMode="External"/><Relationship Id="rId64" Type="http://schemas.openxmlformats.org/officeDocument/2006/relationships/hyperlink" Target="http://probaseballexperience.jcink.net/index.php?showtopic=5738" TargetMode="External"/><Relationship Id="rId69" Type="http://schemas.openxmlformats.org/officeDocument/2006/relationships/hyperlink" Target="http://probaseballexperience.jcink.net/index.php?showuser=509" TargetMode="External"/><Relationship Id="rId80" Type="http://schemas.openxmlformats.org/officeDocument/2006/relationships/hyperlink" Target="http://probaseballexperience.jcink.net/index.php?showtopic=5804" TargetMode="External"/><Relationship Id="rId85" Type="http://schemas.openxmlformats.org/officeDocument/2006/relationships/hyperlink" Target="http://probaseballexperience.jcink.net/index.php?showuser=531" TargetMode="External"/><Relationship Id="rId12" Type="http://schemas.openxmlformats.org/officeDocument/2006/relationships/hyperlink" Target="http://probaseballexperience.jcink.net/index.php?showtopic=5791" TargetMode="External"/><Relationship Id="rId17" Type="http://schemas.openxmlformats.org/officeDocument/2006/relationships/hyperlink" Target="http://probaseballexperience.jcink.net/index.php?showuser=544" TargetMode="External"/><Relationship Id="rId25" Type="http://schemas.openxmlformats.org/officeDocument/2006/relationships/hyperlink" Target="http://probaseballexperience.jcink.net/index.php?showuser=484" TargetMode="External"/><Relationship Id="rId33" Type="http://schemas.openxmlformats.org/officeDocument/2006/relationships/hyperlink" Target="http://probaseballexperience.jcink.net/index.php?showuser=557" TargetMode="External"/><Relationship Id="rId38" Type="http://schemas.openxmlformats.org/officeDocument/2006/relationships/hyperlink" Target="http://probaseballexperience.jcink.net/index.php?showtopic=5780" TargetMode="External"/><Relationship Id="rId46" Type="http://schemas.openxmlformats.org/officeDocument/2006/relationships/hyperlink" Target="http://probaseballexperience.jcink.net/index.php?showtopic=5327" TargetMode="External"/><Relationship Id="rId59" Type="http://schemas.openxmlformats.org/officeDocument/2006/relationships/hyperlink" Target="http://probaseballexperience.jcink.net/index.php?showuser=498" TargetMode="External"/><Relationship Id="rId67" Type="http://schemas.openxmlformats.org/officeDocument/2006/relationships/hyperlink" Target="http://probaseballexperience.jcink.net/index.php?showuser=487" TargetMode="External"/><Relationship Id="rId103" Type="http://schemas.openxmlformats.org/officeDocument/2006/relationships/table" Target="../tables/table19.xml"/><Relationship Id="rId20" Type="http://schemas.openxmlformats.org/officeDocument/2006/relationships/hyperlink" Target="http://probaseballexperience.jcink.net/index.php?showtopic=5828" TargetMode="External"/><Relationship Id="rId41" Type="http://schemas.openxmlformats.org/officeDocument/2006/relationships/hyperlink" Target="http://probaseballexperience.jcink.net/index.php?showuser=520" TargetMode="External"/><Relationship Id="rId54" Type="http://schemas.openxmlformats.org/officeDocument/2006/relationships/hyperlink" Target="http://probaseballexperience.jcink.net/index.php?showtopic=5822" TargetMode="External"/><Relationship Id="rId62" Type="http://schemas.openxmlformats.org/officeDocument/2006/relationships/hyperlink" Target="http://probaseballexperience.jcink.net/index.php?showtopic=5653" TargetMode="External"/><Relationship Id="rId70" Type="http://schemas.openxmlformats.org/officeDocument/2006/relationships/hyperlink" Target="http://probaseballexperience.jcink.net/index.php?showtopic=5787" TargetMode="External"/><Relationship Id="rId75" Type="http://schemas.openxmlformats.org/officeDocument/2006/relationships/hyperlink" Target="http://probaseballexperience.jcink.net/index.php?showuser=552" TargetMode="External"/><Relationship Id="rId83" Type="http://schemas.openxmlformats.org/officeDocument/2006/relationships/hyperlink" Target="http://probaseballexperience.jcink.net/index.php?showuser=519" TargetMode="External"/><Relationship Id="rId88" Type="http://schemas.openxmlformats.org/officeDocument/2006/relationships/hyperlink" Target="http://probaseballexperience.jcink.net/index.php?showtopic=5795" TargetMode="External"/><Relationship Id="rId91" Type="http://schemas.openxmlformats.org/officeDocument/2006/relationships/hyperlink" Target="http://probaseballexperience.jcink.net/index.php?showuser=494" TargetMode="External"/><Relationship Id="rId96" Type="http://schemas.openxmlformats.org/officeDocument/2006/relationships/hyperlink" Target="http://probaseballexperience.jcink.net/index.php?showtopic=5793" TargetMode="External"/><Relationship Id="rId1" Type="http://schemas.openxmlformats.org/officeDocument/2006/relationships/hyperlink" Target="http://probaseballexperience.jcink.net/index.php?showuser=514" TargetMode="External"/><Relationship Id="rId6" Type="http://schemas.openxmlformats.org/officeDocument/2006/relationships/hyperlink" Target="http://probaseballexperience.jcink.net/index.php?showtopic=5613" TargetMode="External"/><Relationship Id="rId15" Type="http://schemas.openxmlformats.org/officeDocument/2006/relationships/hyperlink" Target="http://probaseballexperience.jcink.net/index.php?showuser=495" TargetMode="External"/><Relationship Id="rId23" Type="http://schemas.openxmlformats.org/officeDocument/2006/relationships/hyperlink" Target="http://probaseballexperience.jcink.net/index.php?showuser=547" TargetMode="External"/><Relationship Id="rId28" Type="http://schemas.openxmlformats.org/officeDocument/2006/relationships/hyperlink" Target="http://probaseballexperience.jcink.net/index.php?showtopic=5788" TargetMode="External"/><Relationship Id="rId36" Type="http://schemas.openxmlformats.org/officeDocument/2006/relationships/hyperlink" Target="http://probaseballexperience.jcink.net/index.php?showtopic=5883" TargetMode="External"/><Relationship Id="rId49" Type="http://schemas.openxmlformats.org/officeDocument/2006/relationships/hyperlink" Target="http://probaseballexperience.jcink.net/index.php?showuser=67" TargetMode="External"/><Relationship Id="rId57" Type="http://schemas.openxmlformats.org/officeDocument/2006/relationships/hyperlink" Target="http://probaseballexperience.jcink.net/index.php?showuser=490" TargetMode="External"/><Relationship Id="rId10" Type="http://schemas.openxmlformats.org/officeDocument/2006/relationships/hyperlink" Target="http://probaseballexperience.jcink.net/index.php?showtopic=5823" TargetMode="External"/><Relationship Id="rId31" Type="http://schemas.openxmlformats.org/officeDocument/2006/relationships/hyperlink" Target="http://probaseballexperience.jcink.net/index.php?showuser=551" TargetMode="External"/><Relationship Id="rId44" Type="http://schemas.openxmlformats.org/officeDocument/2006/relationships/hyperlink" Target="http://probaseballexperience.jcink.net/index.php?showtopic=5765" TargetMode="External"/><Relationship Id="rId52" Type="http://schemas.openxmlformats.org/officeDocument/2006/relationships/hyperlink" Target="http://probaseballexperience.jcink.net/index.php?showtopic=5835" TargetMode="External"/><Relationship Id="rId60" Type="http://schemas.openxmlformats.org/officeDocument/2006/relationships/hyperlink" Target="http://probaseballexperience.jcink.net/index.php?showtopic=5713" TargetMode="External"/><Relationship Id="rId65" Type="http://schemas.openxmlformats.org/officeDocument/2006/relationships/hyperlink" Target="http://probaseballexperience.jcink.net/index.php?showuser=555" TargetMode="External"/><Relationship Id="rId73" Type="http://schemas.openxmlformats.org/officeDocument/2006/relationships/hyperlink" Target="http://probaseballexperience.jcink.net/index.php?showuser=501" TargetMode="External"/><Relationship Id="rId78" Type="http://schemas.openxmlformats.org/officeDocument/2006/relationships/hyperlink" Target="http://probaseballexperience.jcink.net/index.php?showtopic=5295" TargetMode="External"/><Relationship Id="rId81" Type="http://schemas.openxmlformats.org/officeDocument/2006/relationships/hyperlink" Target="http://probaseballexperience.jcink.net/index.php?showuser=554" TargetMode="External"/><Relationship Id="rId86" Type="http://schemas.openxmlformats.org/officeDocument/2006/relationships/hyperlink" Target="http://probaseballexperience.jcink.net/index.php?showtopic=5829" TargetMode="External"/><Relationship Id="rId94" Type="http://schemas.openxmlformats.org/officeDocument/2006/relationships/hyperlink" Target="http://probaseballexperience.jcink.net/index.php?showtopic=5533" TargetMode="External"/><Relationship Id="rId99" Type="http://schemas.openxmlformats.org/officeDocument/2006/relationships/hyperlink" Target="http://probaseballexperience.jcink.net/index.php?showuser=548" TargetMode="External"/><Relationship Id="rId101" Type="http://schemas.openxmlformats.org/officeDocument/2006/relationships/hyperlink" Target="http://probaseballexperience.jcink.net/index.php?showuser=528" TargetMode="External"/><Relationship Id="rId4" Type="http://schemas.openxmlformats.org/officeDocument/2006/relationships/hyperlink" Target="http://probaseballexperience.jcink.net/index.php?showtopic=5360" TargetMode="External"/><Relationship Id="rId9" Type="http://schemas.openxmlformats.org/officeDocument/2006/relationships/hyperlink" Target="http://probaseballexperience.jcink.net/index.php?showuser=511" TargetMode="External"/><Relationship Id="rId13" Type="http://schemas.openxmlformats.org/officeDocument/2006/relationships/hyperlink" Target="http://probaseballexperience.jcink.net/index.php?showuser=504" TargetMode="External"/><Relationship Id="rId18" Type="http://schemas.openxmlformats.org/officeDocument/2006/relationships/hyperlink" Target="http://probaseballexperience.jcink.net/index.php?showtopic=5846" TargetMode="External"/><Relationship Id="rId39" Type="http://schemas.openxmlformats.org/officeDocument/2006/relationships/hyperlink" Target="http://probaseballexperience.jcink.net/index.php?showuser=488" TargetMode="External"/><Relationship Id="rId34" Type="http://schemas.openxmlformats.org/officeDocument/2006/relationships/hyperlink" Target="http://probaseballexperience.jcink.net/index.php?showtopic=5958" TargetMode="External"/><Relationship Id="rId50" Type="http://schemas.openxmlformats.org/officeDocument/2006/relationships/hyperlink" Target="http://probaseballexperience.jcink.net/index.php?showtopic=5821" TargetMode="External"/><Relationship Id="rId55" Type="http://schemas.openxmlformats.org/officeDocument/2006/relationships/hyperlink" Target="http://probaseballexperience.jcink.net/index.php?showuser=486" TargetMode="External"/><Relationship Id="rId76" Type="http://schemas.openxmlformats.org/officeDocument/2006/relationships/hyperlink" Target="http://probaseballexperience.jcink.net/index.php?showtopic=5885" TargetMode="External"/><Relationship Id="rId97" Type="http://schemas.openxmlformats.org/officeDocument/2006/relationships/hyperlink" Target="http://probaseballexperience.jcink.net/index.php?showuser=459" TargetMode="External"/><Relationship Id="rId7" Type="http://schemas.openxmlformats.org/officeDocument/2006/relationships/hyperlink" Target="http://probaseballexperience.jcink.net/index.php?showuser=515" TargetMode="External"/><Relationship Id="rId71" Type="http://schemas.openxmlformats.org/officeDocument/2006/relationships/hyperlink" Target="http://probaseballexperience.jcink.net/index.php?showuser=507" TargetMode="External"/><Relationship Id="rId92" Type="http://schemas.openxmlformats.org/officeDocument/2006/relationships/hyperlink" Target="http://probaseballexperience.jcink.net/index.php?showtopic=5628" TargetMode="External"/><Relationship Id="rId2" Type="http://schemas.openxmlformats.org/officeDocument/2006/relationships/hyperlink" Target="http://probaseballexperience.jcink.net/index.php?showtopic=5789" TargetMode="External"/><Relationship Id="rId29" Type="http://schemas.openxmlformats.org/officeDocument/2006/relationships/hyperlink" Target="http://probaseballexperience.jcink.net/index.php?showuser=525" TargetMode="External"/><Relationship Id="rId24" Type="http://schemas.openxmlformats.org/officeDocument/2006/relationships/hyperlink" Target="http://probaseballexperience.jcink.net/index.php?showtopic=5866" TargetMode="External"/><Relationship Id="rId40" Type="http://schemas.openxmlformats.org/officeDocument/2006/relationships/hyperlink" Target="http://probaseballexperience.jcink.net/index.php?showtopic=5689" TargetMode="External"/><Relationship Id="rId45" Type="http://schemas.openxmlformats.org/officeDocument/2006/relationships/hyperlink" Target="http://probaseballexperience.jcink.net/index.php?showuser=482" TargetMode="External"/><Relationship Id="rId66" Type="http://schemas.openxmlformats.org/officeDocument/2006/relationships/hyperlink" Target="http://probaseballexperience.jcink.net/index.php?showtopic=5931" TargetMode="External"/><Relationship Id="rId87" Type="http://schemas.openxmlformats.org/officeDocument/2006/relationships/hyperlink" Target="http://probaseballexperience.jcink.net/index.php?showuser=518" TargetMode="External"/><Relationship Id="rId61" Type="http://schemas.openxmlformats.org/officeDocument/2006/relationships/hyperlink" Target="http://probaseballexperience.jcink.net/index.php?showuser=272" TargetMode="External"/><Relationship Id="rId82" Type="http://schemas.openxmlformats.org/officeDocument/2006/relationships/hyperlink" Target="http://probaseballexperience.jcink.net/index.php?showtopic=5922" TargetMode="External"/><Relationship Id="rId19" Type="http://schemas.openxmlformats.org/officeDocument/2006/relationships/hyperlink" Target="http://probaseballexperience.jcink.net/index.php?showuser=542" TargetMode="External"/><Relationship Id="rId14" Type="http://schemas.openxmlformats.org/officeDocument/2006/relationships/hyperlink" Target="http://probaseballexperience.jcink.net/index.php?showtopic=5754" TargetMode="External"/><Relationship Id="rId30" Type="http://schemas.openxmlformats.org/officeDocument/2006/relationships/hyperlink" Target="http://probaseballexperience.jcink.net/index.php?showtopic=5808" TargetMode="External"/><Relationship Id="rId35" Type="http://schemas.openxmlformats.org/officeDocument/2006/relationships/hyperlink" Target="http://probaseballexperience.jcink.net/index.php?showuser=550" TargetMode="External"/><Relationship Id="rId56" Type="http://schemas.openxmlformats.org/officeDocument/2006/relationships/hyperlink" Target="http://probaseballexperience.jcink.net/index.php?showtopic=5483" TargetMode="External"/><Relationship Id="rId77" Type="http://schemas.openxmlformats.org/officeDocument/2006/relationships/hyperlink" Target="http://probaseballexperience.jcink.net/index.php?showuser=271" TargetMode="External"/><Relationship Id="rId100" Type="http://schemas.openxmlformats.org/officeDocument/2006/relationships/hyperlink" Target="http://probaseballexperience.jcink.net/index.php?showtopic=5865" TargetMode="External"/><Relationship Id="rId8" Type="http://schemas.openxmlformats.org/officeDocument/2006/relationships/hyperlink" Target="http://probaseballexperience.jcink.net/index.php?showtopic=5796" TargetMode="External"/><Relationship Id="rId51" Type="http://schemas.openxmlformats.org/officeDocument/2006/relationships/hyperlink" Target="http://probaseballexperience.jcink.net/index.php?showuser=543" TargetMode="External"/><Relationship Id="rId72" Type="http://schemas.openxmlformats.org/officeDocument/2006/relationships/hyperlink" Target="http://probaseballexperience.jcink.net/index.php?showtopic=5768" TargetMode="External"/><Relationship Id="rId93" Type="http://schemas.openxmlformats.org/officeDocument/2006/relationships/hyperlink" Target="http://probaseballexperience.jcink.net/index.php?showuser=489" TargetMode="External"/><Relationship Id="rId98" Type="http://schemas.openxmlformats.org/officeDocument/2006/relationships/hyperlink" Target="http://probaseballexperience.jcink.net/index.php?showtopic=5285" TargetMode="External"/><Relationship Id="rId3" Type="http://schemas.openxmlformats.org/officeDocument/2006/relationships/hyperlink" Target="http://probaseballexperience.jcink.net/index.php?showuser=483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://probaseballexperience.jcink.net/index.php?showuser=262" TargetMode="External"/><Relationship Id="rId21" Type="http://schemas.openxmlformats.org/officeDocument/2006/relationships/hyperlink" Target="http://probaseballexperience.jcink.net/index.php?showtopic=191" TargetMode="External"/><Relationship Id="rId42" Type="http://schemas.openxmlformats.org/officeDocument/2006/relationships/hyperlink" Target="http://probaseballexperience.jcink.net/index.php?showtopic=2614" TargetMode="External"/><Relationship Id="rId63" Type="http://schemas.openxmlformats.org/officeDocument/2006/relationships/hyperlink" Target="http://probaseballexperience.jcink.net/index.php?showuser=186" TargetMode="External"/><Relationship Id="rId84" Type="http://schemas.openxmlformats.org/officeDocument/2006/relationships/hyperlink" Target="http://probaseballexperience.jcink.net/index.php?showtopic=1114" TargetMode="External"/><Relationship Id="rId138" Type="http://schemas.openxmlformats.org/officeDocument/2006/relationships/hyperlink" Target="http://probaseballexperience.jcink.net/index.php?showtopic=66" TargetMode="External"/><Relationship Id="rId159" Type="http://schemas.openxmlformats.org/officeDocument/2006/relationships/hyperlink" Target="http://probaseballexperience.jcink.net/index.php?showtopic=3162" TargetMode="External"/><Relationship Id="rId170" Type="http://schemas.openxmlformats.org/officeDocument/2006/relationships/hyperlink" Target="http://probaseballexperience.jcink.net/index.php?showuser=291" TargetMode="External"/><Relationship Id="rId191" Type="http://schemas.openxmlformats.org/officeDocument/2006/relationships/hyperlink" Target="http://probaseballexperience.jcink.net/index.php?showtopic=5066" TargetMode="External"/><Relationship Id="rId205" Type="http://schemas.openxmlformats.org/officeDocument/2006/relationships/hyperlink" Target="http://probaseballexperience.jcink.net/index.php?showtopic=5794" TargetMode="External"/><Relationship Id="rId107" Type="http://schemas.openxmlformats.org/officeDocument/2006/relationships/hyperlink" Target="http://probaseballexperience.jcink.net/index.php?showtopic=2598" TargetMode="External"/><Relationship Id="rId11" Type="http://schemas.openxmlformats.org/officeDocument/2006/relationships/hyperlink" Target="http://probaseballexperience.jcink.net/index.php?showtopic=3087" TargetMode="External"/><Relationship Id="rId32" Type="http://schemas.openxmlformats.org/officeDocument/2006/relationships/hyperlink" Target="http://probaseballexperience.jcink.net/index.php?showtopic=1042" TargetMode="External"/><Relationship Id="rId53" Type="http://schemas.openxmlformats.org/officeDocument/2006/relationships/hyperlink" Target="http://probaseballexperience.jcink.net/index.php?showtopic=3764" TargetMode="External"/><Relationship Id="rId74" Type="http://schemas.openxmlformats.org/officeDocument/2006/relationships/hyperlink" Target="http://probaseballexperience.jcink.net/index.php?showuser=336" TargetMode="External"/><Relationship Id="rId128" Type="http://schemas.openxmlformats.org/officeDocument/2006/relationships/hyperlink" Target="http://probaseballexperience.jcink.net/index.php?showuser=57" TargetMode="External"/><Relationship Id="rId149" Type="http://schemas.openxmlformats.org/officeDocument/2006/relationships/hyperlink" Target="http://probaseballexperience.jcink.net/index.php?showuser=27" TargetMode="External"/><Relationship Id="rId5" Type="http://schemas.openxmlformats.org/officeDocument/2006/relationships/hyperlink" Target="http://probaseballexperience.jcink.net/index.php?showtopic=2455" TargetMode="External"/><Relationship Id="rId95" Type="http://schemas.openxmlformats.org/officeDocument/2006/relationships/hyperlink" Target="http://probaseballexperience.jcink.net/index.php?showtopic=156" TargetMode="External"/><Relationship Id="rId160" Type="http://schemas.openxmlformats.org/officeDocument/2006/relationships/hyperlink" Target="http://probaseballexperience.jcink.net/index.php?showtopic=3186" TargetMode="External"/><Relationship Id="rId181" Type="http://schemas.openxmlformats.org/officeDocument/2006/relationships/hyperlink" Target="http://probaseballexperience.jcink.net/index.php?showtopic=4908" TargetMode="External"/><Relationship Id="rId22" Type="http://schemas.openxmlformats.org/officeDocument/2006/relationships/hyperlink" Target="http://probaseballexperience.jcink.net/index.php?showuser=60" TargetMode="External"/><Relationship Id="rId43" Type="http://schemas.openxmlformats.org/officeDocument/2006/relationships/hyperlink" Target="http://probaseballexperience.jcink.net/index.php?showuser=275" TargetMode="External"/><Relationship Id="rId64" Type="http://schemas.openxmlformats.org/officeDocument/2006/relationships/hyperlink" Target="http://probaseballexperience.jcink.net/index.php?showtopic=4460" TargetMode="External"/><Relationship Id="rId118" Type="http://schemas.openxmlformats.org/officeDocument/2006/relationships/hyperlink" Target="http://probaseballexperience.jcink.net/index.php?showtopic=2591" TargetMode="External"/><Relationship Id="rId139" Type="http://schemas.openxmlformats.org/officeDocument/2006/relationships/hyperlink" Target="http://probaseballexperience.jcink.net/index.php?showtopic=3586" TargetMode="External"/><Relationship Id="rId85" Type="http://schemas.openxmlformats.org/officeDocument/2006/relationships/hyperlink" Target="http://probaseballexperience.jcink.net/index.php?showtopic=4883" TargetMode="External"/><Relationship Id="rId150" Type="http://schemas.openxmlformats.org/officeDocument/2006/relationships/hyperlink" Target="http://probaseballexperience.jcink.net/index.php?showtopic=2142" TargetMode="External"/><Relationship Id="rId171" Type="http://schemas.openxmlformats.org/officeDocument/2006/relationships/hyperlink" Target="http://probaseballexperience.jcink.net/index.php?showtopic=3008" TargetMode="External"/><Relationship Id="rId192" Type="http://schemas.openxmlformats.org/officeDocument/2006/relationships/hyperlink" Target="http://probaseballexperience.jcink.net/index.php?showtopic=5362" TargetMode="External"/><Relationship Id="rId206" Type="http://schemas.openxmlformats.org/officeDocument/2006/relationships/hyperlink" Target="http://probaseballexperience.jcink.net/index.php?showuser=485" TargetMode="External"/><Relationship Id="rId12" Type="http://schemas.openxmlformats.org/officeDocument/2006/relationships/hyperlink" Target="http://probaseballexperience.jcink.net/index.php?showtopic=256" TargetMode="External"/><Relationship Id="rId33" Type="http://schemas.openxmlformats.org/officeDocument/2006/relationships/hyperlink" Target="http://probaseballexperience.jcink.net/index.php?showtopic=2155" TargetMode="External"/><Relationship Id="rId108" Type="http://schemas.openxmlformats.org/officeDocument/2006/relationships/hyperlink" Target="http://probaseballexperience.jcink.net/index.php?showuser=267" TargetMode="External"/><Relationship Id="rId129" Type="http://schemas.openxmlformats.org/officeDocument/2006/relationships/hyperlink" Target="http://probaseballexperience.jcink.net/index.php?showtopic=3104" TargetMode="External"/><Relationship Id="rId54" Type="http://schemas.openxmlformats.org/officeDocument/2006/relationships/hyperlink" Target="http://probaseballexperience.jcink.net/index.php?showtopic=4072" TargetMode="External"/><Relationship Id="rId75" Type="http://schemas.openxmlformats.org/officeDocument/2006/relationships/hyperlink" Target="http://probaseballexperience.jcink.net/index.php?showtopic=3601" TargetMode="External"/><Relationship Id="rId96" Type="http://schemas.openxmlformats.org/officeDocument/2006/relationships/hyperlink" Target="http://probaseballexperience.jcink.net/index.php?showuser=14" TargetMode="External"/><Relationship Id="rId140" Type="http://schemas.openxmlformats.org/officeDocument/2006/relationships/hyperlink" Target="http://probaseballexperience.jcink.net/index.php?showuser=334" TargetMode="External"/><Relationship Id="rId161" Type="http://schemas.openxmlformats.org/officeDocument/2006/relationships/hyperlink" Target="http://probaseballexperience.jcink.net/index.php?showuser=309" TargetMode="External"/><Relationship Id="rId182" Type="http://schemas.openxmlformats.org/officeDocument/2006/relationships/hyperlink" Target="http://probaseballexperience.jcink.net/index.php?showuser=447" TargetMode="External"/><Relationship Id="rId6" Type="http://schemas.openxmlformats.org/officeDocument/2006/relationships/hyperlink" Target="http://probaseballexperience.jcink.net/index.php?showtopic=2590" TargetMode="External"/><Relationship Id="rId23" Type="http://schemas.openxmlformats.org/officeDocument/2006/relationships/hyperlink" Target="http://probaseballexperience.jcink.net/index.php?showtopic=191" TargetMode="External"/><Relationship Id="rId119" Type="http://schemas.openxmlformats.org/officeDocument/2006/relationships/hyperlink" Target="http://probaseballexperience.jcink.net/index.php?showtopic=3476" TargetMode="External"/><Relationship Id="rId44" Type="http://schemas.openxmlformats.org/officeDocument/2006/relationships/hyperlink" Target="http://probaseballexperience.jcink.net/index.php?showtopic=2614" TargetMode="External"/><Relationship Id="rId65" Type="http://schemas.openxmlformats.org/officeDocument/2006/relationships/hyperlink" Target="http://probaseballexperience.jcink.net/index.php?showuser=422" TargetMode="External"/><Relationship Id="rId86" Type="http://schemas.openxmlformats.org/officeDocument/2006/relationships/hyperlink" Target="http://probaseballexperience.jcink.net/index.php?showuser=461" TargetMode="External"/><Relationship Id="rId130" Type="http://schemas.openxmlformats.org/officeDocument/2006/relationships/hyperlink" Target="http://probaseballexperience.jcink.net/index.php?showtopic=1161" TargetMode="External"/><Relationship Id="rId151" Type="http://schemas.openxmlformats.org/officeDocument/2006/relationships/hyperlink" Target="http://probaseballexperience.jcink.net/index.php?showtopic=3123" TargetMode="External"/><Relationship Id="rId172" Type="http://schemas.openxmlformats.org/officeDocument/2006/relationships/hyperlink" Target="http://probaseballexperience.jcink.net/index.php?showtopic=2966" TargetMode="External"/><Relationship Id="rId193" Type="http://schemas.openxmlformats.org/officeDocument/2006/relationships/hyperlink" Target="http://probaseballexperience.jcink.net/index.php?showuser=476" TargetMode="External"/><Relationship Id="rId207" Type="http://schemas.openxmlformats.org/officeDocument/2006/relationships/hyperlink" Target="http://probaseballexperience.jcink.net/index.php?showtopic=5765" TargetMode="External"/><Relationship Id="rId13" Type="http://schemas.openxmlformats.org/officeDocument/2006/relationships/hyperlink" Target="http://probaseballexperience.jcink.net/index.php?showuser=98" TargetMode="External"/><Relationship Id="rId109" Type="http://schemas.openxmlformats.org/officeDocument/2006/relationships/hyperlink" Target="http://probaseballexperience.jcink.net/index.php?showtopic=2598" TargetMode="External"/><Relationship Id="rId34" Type="http://schemas.openxmlformats.org/officeDocument/2006/relationships/hyperlink" Target="http://probaseballexperience.jcink.net/index.php?showuser=233" TargetMode="External"/><Relationship Id="rId55" Type="http://schemas.openxmlformats.org/officeDocument/2006/relationships/hyperlink" Target="http://probaseballexperience.jcink.net/index.php?showuser=205" TargetMode="External"/><Relationship Id="rId76" Type="http://schemas.openxmlformats.org/officeDocument/2006/relationships/hyperlink" Target="http://probaseballexperience.jcink.net/index.php?showuser=444" TargetMode="External"/><Relationship Id="rId97" Type="http://schemas.openxmlformats.org/officeDocument/2006/relationships/hyperlink" Target="http://probaseballexperience.jcink.net/index.php?showtopic=156" TargetMode="External"/><Relationship Id="rId120" Type="http://schemas.openxmlformats.org/officeDocument/2006/relationships/hyperlink" Target="http://probaseballexperience.jcink.net/index.php?showuser=324" TargetMode="External"/><Relationship Id="rId141" Type="http://schemas.openxmlformats.org/officeDocument/2006/relationships/hyperlink" Target="http://probaseballexperience.jcink.net/index.php?showtopic=3586" TargetMode="External"/><Relationship Id="rId7" Type="http://schemas.openxmlformats.org/officeDocument/2006/relationships/hyperlink" Target="http://probaseballexperience.jcink.net/index.php?showuser=263" TargetMode="External"/><Relationship Id="rId162" Type="http://schemas.openxmlformats.org/officeDocument/2006/relationships/hyperlink" Target="http://probaseballexperience.jcink.net/index.php?showtopic=3186" TargetMode="External"/><Relationship Id="rId183" Type="http://schemas.openxmlformats.org/officeDocument/2006/relationships/hyperlink" Target="http://probaseballexperience.jcink.net/index.php?showtopic=4927" TargetMode="External"/><Relationship Id="rId24" Type="http://schemas.openxmlformats.org/officeDocument/2006/relationships/hyperlink" Target="http://probaseballexperience.jcink.net/index.php?showtopic=153" TargetMode="External"/><Relationship Id="rId45" Type="http://schemas.openxmlformats.org/officeDocument/2006/relationships/hyperlink" Target="http://probaseballexperience.jcink.net/index.php?showtopic=3108" TargetMode="External"/><Relationship Id="rId66" Type="http://schemas.openxmlformats.org/officeDocument/2006/relationships/hyperlink" Target="http://probaseballexperience.jcink.net/index.php?showtopic=4607" TargetMode="External"/><Relationship Id="rId87" Type="http://schemas.openxmlformats.org/officeDocument/2006/relationships/hyperlink" Target="http://probaseballexperience.jcink.net/index.php?showtopic=5096" TargetMode="External"/><Relationship Id="rId110" Type="http://schemas.openxmlformats.org/officeDocument/2006/relationships/hyperlink" Target="http://probaseballexperience.jcink.net/index.php?showtopic=2604" TargetMode="External"/><Relationship Id="rId131" Type="http://schemas.openxmlformats.org/officeDocument/2006/relationships/hyperlink" Target="http://probaseballexperience.jcink.net/index.php?showuser=189" TargetMode="External"/><Relationship Id="rId152" Type="http://schemas.openxmlformats.org/officeDocument/2006/relationships/hyperlink" Target="http://probaseballexperience.jcink.net/index.php?showuser=292" TargetMode="External"/><Relationship Id="rId173" Type="http://schemas.openxmlformats.org/officeDocument/2006/relationships/hyperlink" Target="http://probaseballexperience.jcink.net/index.php?showuser=285" TargetMode="External"/><Relationship Id="rId194" Type="http://schemas.openxmlformats.org/officeDocument/2006/relationships/hyperlink" Target="http://probaseballexperience.jcink.net/index.php?showtopic=5162" TargetMode="External"/><Relationship Id="rId208" Type="http://schemas.openxmlformats.org/officeDocument/2006/relationships/hyperlink" Target="http://probaseballexperience.jcink.net/index.php?showuser=482" TargetMode="External"/><Relationship Id="rId19" Type="http://schemas.openxmlformats.org/officeDocument/2006/relationships/hyperlink" Target="http://probaseballexperience.jcink.net/index.php?showuser=65" TargetMode="External"/><Relationship Id="rId14" Type="http://schemas.openxmlformats.org/officeDocument/2006/relationships/hyperlink" Target="http://probaseballexperience.jcink.net/index.php?showtopic=256" TargetMode="External"/><Relationship Id="rId30" Type="http://schemas.openxmlformats.org/officeDocument/2006/relationships/hyperlink" Target="http://probaseballexperience.jcink.net/index.php?showtopic=1042" TargetMode="External"/><Relationship Id="rId35" Type="http://schemas.openxmlformats.org/officeDocument/2006/relationships/hyperlink" Target="http://probaseballexperience.jcink.net/index.php?showtopic=2155" TargetMode="External"/><Relationship Id="rId56" Type="http://schemas.openxmlformats.org/officeDocument/2006/relationships/hyperlink" Target="http://probaseballexperience.jcink.net/index.php?showtopic=3539" TargetMode="External"/><Relationship Id="rId77" Type="http://schemas.openxmlformats.org/officeDocument/2006/relationships/hyperlink" Target="http://probaseballexperience.jcink.net/index.php?showtopic=4903" TargetMode="External"/><Relationship Id="rId100" Type="http://schemas.openxmlformats.org/officeDocument/2006/relationships/hyperlink" Target="http://probaseballexperience.jcink.net/index.php?showtopic=1732" TargetMode="External"/><Relationship Id="rId105" Type="http://schemas.openxmlformats.org/officeDocument/2006/relationships/hyperlink" Target="http://probaseballexperience.jcink.net/index.php?showuser=133" TargetMode="External"/><Relationship Id="rId126" Type="http://schemas.openxmlformats.org/officeDocument/2006/relationships/hyperlink" Target="http://probaseballexperience.jcink.net/index.php?showtopic=5553" TargetMode="External"/><Relationship Id="rId147" Type="http://schemas.openxmlformats.org/officeDocument/2006/relationships/hyperlink" Target="http://probaseballexperience.jcink.net/index.php?showtopic=2569" TargetMode="External"/><Relationship Id="rId168" Type="http://schemas.openxmlformats.org/officeDocument/2006/relationships/hyperlink" Target="http://probaseballexperience.jcink.net/index.php?showtopic=2905" TargetMode="External"/><Relationship Id="rId8" Type="http://schemas.openxmlformats.org/officeDocument/2006/relationships/hyperlink" Target="http://probaseballexperience.jcink.net/index.php?showtopic=2590" TargetMode="External"/><Relationship Id="rId51" Type="http://schemas.openxmlformats.org/officeDocument/2006/relationships/hyperlink" Target="http://probaseballexperience.jcink.net/index.php?showtopic=3764" TargetMode="External"/><Relationship Id="rId72" Type="http://schemas.openxmlformats.org/officeDocument/2006/relationships/hyperlink" Target="http://probaseballexperience.jcink.net/index.php?showtopic=4600" TargetMode="External"/><Relationship Id="rId93" Type="http://schemas.openxmlformats.org/officeDocument/2006/relationships/hyperlink" Target="http://probaseballexperience.jcink.net/index.php?showuser=113" TargetMode="External"/><Relationship Id="rId98" Type="http://schemas.openxmlformats.org/officeDocument/2006/relationships/hyperlink" Target="http://probaseballexperience.jcink.net/index.php?showtopic=1732" TargetMode="External"/><Relationship Id="rId121" Type="http://schemas.openxmlformats.org/officeDocument/2006/relationships/hyperlink" Target="http://probaseballexperience.jcink.net/index.php?showtopic=3476" TargetMode="External"/><Relationship Id="rId142" Type="http://schemas.openxmlformats.org/officeDocument/2006/relationships/hyperlink" Target="http://probaseballexperience.jcink.net/index.php?showtopic=2467" TargetMode="External"/><Relationship Id="rId163" Type="http://schemas.openxmlformats.org/officeDocument/2006/relationships/hyperlink" Target="http://probaseballexperience.jcink.net/index.php?showtopic=2967" TargetMode="External"/><Relationship Id="rId184" Type="http://schemas.openxmlformats.org/officeDocument/2006/relationships/hyperlink" Target="http://probaseballexperience.jcink.net/index.php?showuser=395" TargetMode="External"/><Relationship Id="rId189" Type="http://schemas.openxmlformats.org/officeDocument/2006/relationships/hyperlink" Target="http://probaseballexperience.jcink.net/index.php?showtopic=4613" TargetMode="External"/><Relationship Id="rId3" Type="http://schemas.openxmlformats.org/officeDocument/2006/relationships/hyperlink" Target="http://probaseballexperience.jcink.net/index.php?showtopic=2455" TargetMode="External"/><Relationship Id="rId214" Type="http://schemas.openxmlformats.org/officeDocument/2006/relationships/hyperlink" Target="http://probaseballexperience.jcink.net/index.php?showuser=527" TargetMode="External"/><Relationship Id="rId25" Type="http://schemas.openxmlformats.org/officeDocument/2006/relationships/hyperlink" Target="http://probaseballexperience.jcink.net/index.php?showuser=52" TargetMode="External"/><Relationship Id="rId46" Type="http://schemas.openxmlformats.org/officeDocument/2006/relationships/hyperlink" Target="http://probaseballexperience.jcink.net/index.php?showuser=305" TargetMode="External"/><Relationship Id="rId67" Type="http://schemas.openxmlformats.org/officeDocument/2006/relationships/hyperlink" Target="http://probaseballexperience.jcink.net/index.php?showuser=403" TargetMode="External"/><Relationship Id="rId116" Type="http://schemas.openxmlformats.org/officeDocument/2006/relationships/hyperlink" Target="http://probaseballexperience.jcink.net/index.php?showtopic=2591" TargetMode="External"/><Relationship Id="rId137" Type="http://schemas.openxmlformats.org/officeDocument/2006/relationships/hyperlink" Target="http://probaseballexperience.jcink.net/index.php?showuser=19" TargetMode="External"/><Relationship Id="rId158" Type="http://schemas.openxmlformats.org/officeDocument/2006/relationships/hyperlink" Target="http://probaseballexperience.jcink.net/index.php?showuser=312" TargetMode="External"/><Relationship Id="rId20" Type="http://schemas.openxmlformats.org/officeDocument/2006/relationships/hyperlink" Target="http://probaseballexperience.jcink.net/index.php?showtopic=180" TargetMode="External"/><Relationship Id="rId41" Type="http://schemas.openxmlformats.org/officeDocument/2006/relationships/hyperlink" Target="http://probaseballexperience.jcink.net/index.php?showtopic=1232" TargetMode="External"/><Relationship Id="rId62" Type="http://schemas.openxmlformats.org/officeDocument/2006/relationships/hyperlink" Target="http://probaseballexperience.jcink.net/index.php?showtopic=3980" TargetMode="External"/><Relationship Id="rId83" Type="http://schemas.openxmlformats.org/officeDocument/2006/relationships/hyperlink" Target="http://probaseballexperience.jcink.net/index.php?showuser=81" TargetMode="External"/><Relationship Id="rId88" Type="http://schemas.openxmlformats.org/officeDocument/2006/relationships/hyperlink" Target="http://probaseballexperience.jcink.net/index.php?showtopic=5319" TargetMode="External"/><Relationship Id="rId111" Type="http://schemas.openxmlformats.org/officeDocument/2006/relationships/hyperlink" Target="http://probaseballexperience.jcink.net/index.php?showuser=273" TargetMode="External"/><Relationship Id="rId132" Type="http://schemas.openxmlformats.org/officeDocument/2006/relationships/hyperlink" Target="http://probaseballexperience.jcink.net/index.php?showtopic=1161" TargetMode="External"/><Relationship Id="rId153" Type="http://schemas.openxmlformats.org/officeDocument/2006/relationships/hyperlink" Target="http://probaseballexperience.jcink.net/index.php?showtopic=3123" TargetMode="External"/><Relationship Id="rId174" Type="http://schemas.openxmlformats.org/officeDocument/2006/relationships/hyperlink" Target="http://probaseballexperience.jcink.net/index.php?showtopic=2966" TargetMode="External"/><Relationship Id="rId179" Type="http://schemas.openxmlformats.org/officeDocument/2006/relationships/hyperlink" Target="http://probaseballexperience.jcink.net/index.php?showtopic=4856" TargetMode="External"/><Relationship Id="rId195" Type="http://schemas.openxmlformats.org/officeDocument/2006/relationships/hyperlink" Target="http://probaseballexperience.jcink.net/index.php?showtopic=5313" TargetMode="External"/><Relationship Id="rId209" Type="http://schemas.openxmlformats.org/officeDocument/2006/relationships/hyperlink" Target="http://probaseballexperience.jcink.net/index.php?showtopic=5327" TargetMode="External"/><Relationship Id="rId190" Type="http://schemas.openxmlformats.org/officeDocument/2006/relationships/hyperlink" Target="http://probaseballexperience.jcink.net/index.php?showuser=361" TargetMode="External"/><Relationship Id="rId204" Type="http://schemas.openxmlformats.org/officeDocument/2006/relationships/hyperlink" Target="http://probaseballexperience.jcink.net/index.php?showuser=520" TargetMode="External"/><Relationship Id="rId15" Type="http://schemas.openxmlformats.org/officeDocument/2006/relationships/hyperlink" Target="http://probaseballexperience.jcink.net/index.php?showtopic=3967" TargetMode="External"/><Relationship Id="rId36" Type="http://schemas.openxmlformats.org/officeDocument/2006/relationships/hyperlink" Target="http://probaseballexperience.jcink.net/index.php?showtopic=1209" TargetMode="External"/><Relationship Id="rId57" Type="http://schemas.openxmlformats.org/officeDocument/2006/relationships/hyperlink" Target="http://probaseballexperience.jcink.net/index.php?showuser=325" TargetMode="External"/><Relationship Id="rId106" Type="http://schemas.openxmlformats.org/officeDocument/2006/relationships/hyperlink" Target="http://probaseballexperience.jcink.net/index.php?showtopic=792" TargetMode="External"/><Relationship Id="rId127" Type="http://schemas.openxmlformats.org/officeDocument/2006/relationships/hyperlink" Target="http://probaseballexperience.jcink.net/index.php?showtopic=3104" TargetMode="External"/><Relationship Id="rId10" Type="http://schemas.openxmlformats.org/officeDocument/2006/relationships/hyperlink" Target="http://probaseballexperience.jcink.net/index.php?showuser=302" TargetMode="External"/><Relationship Id="rId31" Type="http://schemas.openxmlformats.org/officeDocument/2006/relationships/hyperlink" Target="http://probaseballexperience.jcink.net/index.php?showuser=159" TargetMode="External"/><Relationship Id="rId52" Type="http://schemas.openxmlformats.org/officeDocument/2006/relationships/hyperlink" Target="http://probaseballexperience.jcink.net/index.php?showuser=51" TargetMode="External"/><Relationship Id="rId73" Type="http://schemas.openxmlformats.org/officeDocument/2006/relationships/hyperlink" Target="http://probaseballexperience.jcink.net/index.php?showtopic=3601" TargetMode="External"/><Relationship Id="rId78" Type="http://schemas.openxmlformats.org/officeDocument/2006/relationships/hyperlink" Target="http://probaseballexperience.jcink.net/index.php?showuser=451" TargetMode="External"/><Relationship Id="rId94" Type="http://schemas.openxmlformats.org/officeDocument/2006/relationships/hyperlink" Target="http://probaseballexperience.jcink.net/index.php?showtopic=345" TargetMode="External"/><Relationship Id="rId99" Type="http://schemas.openxmlformats.org/officeDocument/2006/relationships/hyperlink" Target="http://probaseballexperience.jcink.net/index.php?showuser=217" TargetMode="External"/><Relationship Id="rId101" Type="http://schemas.openxmlformats.org/officeDocument/2006/relationships/hyperlink" Target="http://probaseballexperience.jcink.net/index.php?showtopic=101" TargetMode="External"/><Relationship Id="rId122" Type="http://schemas.openxmlformats.org/officeDocument/2006/relationships/hyperlink" Target="http://probaseballexperience.jcink.net/index.php?showtopic=5553" TargetMode="External"/><Relationship Id="rId143" Type="http://schemas.openxmlformats.org/officeDocument/2006/relationships/hyperlink" Target="http://probaseballexperience.jcink.net/index.php?showuser=17" TargetMode="External"/><Relationship Id="rId148" Type="http://schemas.openxmlformats.org/officeDocument/2006/relationships/hyperlink" Target="http://probaseballexperience.jcink.net/index.php?showtopic=2142" TargetMode="External"/><Relationship Id="rId164" Type="http://schemas.openxmlformats.org/officeDocument/2006/relationships/hyperlink" Target="http://probaseballexperience.jcink.net/index.php?showuser=286" TargetMode="External"/><Relationship Id="rId169" Type="http://schemas.openxmlformats.org/officeDocument/2006/relationships/hyperlink" Target="http://probaseballexperience.jcink.net/index.php?showtopic=3008" TargetMode="External"/><Relationship Id="rId185" Type="http://schemas.openxmlformats.org/officeDocument/2006/relationships/hyperlink" Target="http://probaseballexperience.jcink.net/index.php?showtopic=4565" TargetMode="External"/><Relationship Id="rId4" Type="http://schemas.openxmlformats.org/officeDocument/2006/relationships/hyperlink" Target="http://probaseballexperience.jcink.net/index.php?showuser=254" TargetMode="External"/><Relationship Id="rId9" Type="http://schemas.openxmlformats.org/officeDocument/2006/relationships/hyperlink" Target="http://probaseballexperience.jcink.net/index.php?showtopic=3087" TargetMode="External"/><Relationship Id="rId180" Type="http://schemas.openxmlformats.org/officeDocument/2006/relationships/hyperlink" Target="http://probaseballexperience.jcink.net/index.php?showuser=445" TargetMode="External"/><Relationship Id="rId210" Type="http://schemas.openxmlformats.org/officeDocument/2006/relationships/hyperlink" Target="http://probaseballexperience.jcink.net/index.php?showuser=497" TargetMode="External"/><Relationship Id="rId215" Type="http://schemas.openxmlformats.org/officeDocument/2006/relationships/hyperlink" Target="http://probaseballexperience.jcink.net/index.php?showtopic=5822" TargetMode="External"/><Relationship Id="rId26" Type="http://schemas.openxmlformats.org/officeDocument/2006/relationships/hyperlink" Target="http://probaseballexperience.jcink.net/index.php?showtopic=153" TargetMode="External"/><Relationship Id="rId47" Type="http://schemas.openxmlformats.org/officeDocument/2006/relationships/hyperlink" Target="http://probaseballexperience.jcink.net/index.php?showtopic=3108" TargetMode="External"/><Relationship Id="rId68" Type="http://schemas.openxmlformats.org/officeDocument/2006/relationships/hyperlink" Target="http://probaseballexperience.jcink.net/index.php?showtopic=4562" TargetMode="External"/><Relationship Id="rId89" Type="http://schemas.openxmlformats.org/officeDocument/2006/relationships/hyperlink" Target="http://probaseballexperience.jcink.net/index.php?showtopic=72" TargetMode="External"/><Relationship Id="rId112" Type="http://schemas.openxmlformats.org/officeDocument/2006/relationships/hyperlink" Target="http://probaseballexperience.jcink.net/index.php?showtopic=2604" TargetMode="External"/><Relationship Id="rId133" Type="http://schemas.openxmlformats.org/officeDocument/2006/relationships/hyperlink" Target="http://probaseballexperience.jcink.net/index.php?showtopic=1045" TargetMode="External"/><Relationship Id="rId154" Type="http://schemas.openxmlformats.org/officeDocument/2006/relationships/hyperlink" Target="http://probaseballexperience.jcink.net/index.php?showtopic=3170" TargetMode="External"/><Relationship Id="rId175" Type="http://schemas.openxmlformats.org/officeDocument/2006/relationships/hyperlink" Target="http://probaseballexperience.jcink.net/index.php?showtopic=3606" TargetMode="External"/><Relationship Id="rId196" Type="http://schemas.openxmlformats.org/officeDocument/2006/relationships/hyperlink" Target="http://probaseballexperience.jcink.net/index.php?showuser=547" TargetMode="External"/><Relationship Id="rId200" Type="http://schemas.openxmlformats.org/officeDocument/2006/relationships/hyperlink" Target="http://probaseballexperience.jcink.net/index.php?showuser=510" TargetMode="External"/><Relationship Id="rId16" Type="http://schemas.openxmlformats.org/officeDocument/2006/relationships/hyperlink" Target="http://probaseballexperience.jcink.net/index.php?showuser=9" TargetMode="External"/><Relationship Id="rId37" Type="http://schemas.openxmlformats.org/officeDocument/2006/relationships/hyperlink" Target="http://probaseballexperience.jcink.net/index.php?showuser=190" TargetMode="External"/><Relationship Id="rId58" Type="http://schemas.openxmlformats.org/officeDocument/2006/relationships/hyperlink" Target="http://probaseballexperience.jcink.net/index.php?showtopic=3539" TargetMode="External"/><Relationship Id="rId79" Type="http://schemas.openxmlformats.org/officeDocument/2006/relationships/hyperlink" Target="http://probaseballexperience.jcink.net/index.php?showtopic=5001" TargetMode="External"/><Relationship Id="rId102" Type="http://schemas.openxmlformats.org/officeDocument/2006/relationships/hyperlink" Target="http://probaseballexperience.jcink.net/index.php?showuser=23" TargetMode="External"/><Relationship Id="rId123" Type="http://schemas.openxmlformats.org/officeDocument/2006/relationships/hyperlink" Target="http://probaseballexperience.jcink.net/index.php?showtopic=4032" TargetMode="External"/><Relationship Id="rId144" Type="http://schemas.openxmlformats.org/officeDocument/2006/relationships/hyperlink" Target="http://probaseballexperience.jcink.net/index.php?showtopic=2467" TargetMode="External"/><Relationship Id="rId90" Type="http://schemas.openxmlformats.org/officeDocument/2006/relationships/hyperlink" Target="http://probaseballexperience.jcink.net/index.php?showuser=12" TargetMode="External"/><Relationship Id="rId165" Type="http://schemas.openxmlformats.org/officeDocument/2006/relationships/hyperlink" Target="http://probaseballexperience.jcink.net/index.php?showtopic=2967" TargetMode="External"/><Relationship Id="rId186" Type="http://schemas.openxmlformats.org/officeDocument/2006/relationships/hyperlink" Target="http://probaseballexperience.jcink.net/index.php?showuser=250" TargetMode="External"/><Relationship Id="rId211" Type="http://schemas.openxmlformats.org/officeDocument/2006/relationships/hyperlink" Target="http://probaseballexperience.jcink.net/index.php?showtopic=5663" TargetMode="External"/><Relationship Id="rId27" Type="http://schemas.openxmlformats.org/officeDocument/2006/relationships/hyperlink" Target="http://probaseballexperience.jcink.net/index.php?showtopic=120" TargetMode="External"/><Relationship Id="rId48" Type="http://schemas.openxmlformats.org/officeDocument/2006/relationships/hyperlink" Target="http://probaseballexperience.jcink.net/index.php?showtopic=1740" TargetMode="External"/><Relationship Id="rId69" Type="http://schemas.openxmlformats.org/officeDocument/2006/relationships/hyperlink" Target="http://probaseballexperience.jcink.net/index.php?showuser=390" TargetMode="External"/><Relationship Id="rId113" Type="http://schemas.openxmlformats.org/officeDocument/2006/relationships/hyperlink" Target="http://probaseballexperience.jcink.net/index.php?showtopic=2906" TargetMode="External"/><Relationship Id="rId134" Type="http://schemas.openxmlformats.org/officeDocument/2006/relationships/hyperlink" Target="http://probaseballexperience.jcink.net/index.php?showuser=158" TargetMode="External"/><Relationship Id="rId80" Type="http://schemas.openxmlformats.org/officeDocument/2006/relationships/hyperlink" Target="http://probaseballexperience.jcink.net/index.php?showuser=469" TargetMode="External"/><Relationship Id="rId155" Type="http://schemas.openxmlformats.org/officeDocument/2006/relationships/hyperlink" Target="http://probaseballexperience.jcink.net/index.php?showuser=311" TargetMode="External"/><Relationship Id="rId176" Type="http://schemas.openxmlformats.org/officeDocument/2006/relationships/hyperlink" Target="http://probaseballexperience.jcink.net/index.php?showuser=109" TargetMode="External"/><Relationship Id="rId197" Type="http://schemas.openxmlformats.org/officeDocument/2006/relationships/hyperlink" Target="http://probaseballexperience.jcink.net/index.php?showtopic=5866" TargetMode="External"/><Relationship Id="rId201" Type="http://schemas.openxmlformats.org/officeDocument/2006/relationships/hyperlink" Target="http://probaseballexperience.jcink.net/index.php?showtopic=5788" TargetMode="External"/><Relationship Id="rId17" Type="http://schemas.openxmlformats.org/officeDocument/2006/relationships/hyperlink" Target="http://probaseballexperience.jcink.net/index.php?showtopic=3967" TargetMode="External"/><Relationship Id="rId38" Type="http://schemas.openxmlformats.org/officeDocument/2006/relationships/hyperlink" Target="http://probaseballexperience.jcink.net/index.php?showtopic=1209" TargetMode="External"/><Relationship Id="rId59" Type="http://schemas.openxmlformats.org/officeDocument/2006/relationships/hyperlink" Target="http://probaseballexperience.jcink.net/index.php?showtopic=5540&amp;st=0&amp;" TargetMode="External"/><Relationship Id="rId103" Type="http://schemas.openxmlformats.org/officeDocument/2006/relationships/hyperlink" Target="http://probaseballexperience.jcink.net/index.php?showtopic=101" TargetMode="External"/><Relationship Id="rId124" Type="http://schemas.openxmlformats.org/officeDocument/2006/relationships/hyperlink" Target="http://probaseballexperience.jcink.net/index.php?showuser=358" TargetMode="External"/><Relationship Id="rId70" Type="http://schemas.openxmlformats.org/officeDocument/2006/relationships/hyperlink" Target="http://probaseballexperience.jcink.net/index.php?showtopic=4482" TargetMode="External"/><Relationship Id="rId91" Type="http://schemas.openxmlformats.org/officeDocument/2006/relationships/hyperlink" Target="http://probaseballexperience.jcink.net/index.php?showtopic=72" TargetMode="External"/><Relationship Id="rId145" Type="http://schemas.openxmlformats.org/officeDocument/2006/relationships/hyperlink" Target="http://probaseballexperience.jcink.net/index.php?showtopic=2569" TargetMode="External"/><Relationship Id="rId166" Type="http://schemas.openxmlformats.org/officeDocument/2006/relationships/hyperlink" Target="http://probaseballexperience.jcink.net/index.php?showtopic=2905" TargetMode="External"/><Relationship Id="rId187" Type="http://schemas.openxmlformats.org/officeDocument/2006/relationships/hyperlink" Target="http://probaseballexperience.jcink.net/index.php?showtopic=4375" TargetMode="External"/><Relationship Id="rId1" Type="http://schemas.openxmlformats.org/officeDocument/2006/relationships/hyperlink" Target="http://probaseballexperience.jcink.net/index.php?showuser=234" TargetMode="External"/><Relationship Id="rId212" Type="http://schemas.openxmlformats.org/officeDocument/2006/relationships/hyperlink" Target="http://probaseballexperience.jcink.net/index.php?showuser=489" TargetMode="External"/><Relationship Id="rId28" Type="http://schemas.openxmlformats.org/officeDocument/2006/relationships/hyperlink" Target="http://probaseballexperience.jcink.net/index.php?showuser=30" TargetMode="External"/><Relationship Id="rId49" Type="http://schemas.openxmlformats.org/officeDocument/2006/relationships/hyperlink" Target="http://probaseballexperience.jcink.net/index.php?showuser=222" TargetMode="External"/><Relationship Id="rId114" Type="http://schemas.openxmlformats.org/officeDocument/2006/relationships/hyperlink" Target="http://probaseballexperience.jcink.net/index.php?showuser=281" TargetMode="External"/><Relationship Id="rId60" Type="http://schemas.openxmlformats.org/officeDocument/2006/relationships/hyperlink" Target="http://probaseballexperience.jcink.net/index.php?showtopic=3980" TargetMode="External"/><Relationship Id="rId81" Type="http://schemas.openxmlformats.org/officeDocument/2006/relationships/hyperlink" Target="http://probaseballexperience.jcink.net/index.php?showtopic=5106" TargetMode="External"/><Relationship Id="rId135" Type="http://schemas.openxmlformats.org/officeDocument/2006/relationships/hyperlink" Target="http://probaseballexperience.jcink.net/index.php?showtopic=1045" TargetMode="External"/><Relationship Id="rId156" Type="http://schemas.openxmlformats.org/officeDocument/2006/relationships/hyperlink" Target="http://probaseballexperience.jcink.net/index.php?showtopic=3170" TargetMode="External"/><Relationship Id="rId177" Type="http://schemas.openxmlformats.org/officeDocument/2006/relationships/hyperlink" Target="http://probaseballexperience.jcink.net/index.php?showtopic=3606" TargetMode="External"/><Relationship Id="rId198" Type="http://schemas.openxmlformats.org/officeDocument/2006/relationships/hyperlink" Target="http://probaseballexperience.jcink.net/index.php?showuser=484" TargetMode="External"/><Relationship Id="rId202" Type="http://schemas.openxmlformats.org/officeDocument/2006/relationships/hyperlink" Target="http://probaseballexperience.jcink.net/index.php?showuser=525" TargetMode="External"/><Relationship Id="rId18" Type="http://schemas.openxmlformats.org/officeDocument/2006/relationships/hyperlink" Target="http://probaseballexperience.jcink.net/index.php?showtopic=180" TargetMode="External"/><Relationship Id="rId39" Type="http://schemas.openxmlformats.org/officeDocument/2006/relationships/hyperlink" Target="http://probaseballexperience.jcink.net/index.php?showtopic=1232" TargetMode="External"/><Relationship Id="rId50" Type="http://schemas.openxmlformats.org/officeDocument/2006/relationships/hyperlink" Target="http://probaseballexperience.jcink.net/index.php?showtopic=1740" TargetMode="External"/><Relationship Id="rId104" Type="http://schemas.openxmlformats.org/officeDocument/2006/relationships/hyperlink" Target="http://probaseballexperience.jcink.net/index.php?showtopic=792" TargetMode="External"/><Relationship Id="rId125" Type="http://schemas.openxmlformats.org/officeDocument/2006/relationships/hyperlink" Target="http://probaseballexperience.jcink.net/index.php?showtopic=4032" TargetMode="External"/><Relationship Id="rId146" Type="http://schemas.openxmlformats.org/officeDocument/2006/relationships/hyperlink" Target="http://probaseballexperience.jcink.net/index.php?showuser=21" TargetMode="External"/><Relationship Id="rId167" Type="http://schemas.openxmlformats.org/officeDocument/2006/relationships/hyperlink" Target="http://probaseballexperience.jcink.net/index.php?showuser=55" TargetMode="External"/><Relationship Id="rId188" Type="http://schemas.openxmlformats.org/officeDocument/2006/relationships/hyperlink" Target="http://probaseballexperience.jcink.net/index.php?showuser=424" TargetMode="External"/><Relationship Id="rId71" Type="http://schemas.openxmlformats.org/officeDocument/2006/relationships/hyperlink" Target="http://probaseballexperience.jcink.net/index.php?showuser=419" TargetMode="External"/><Relationship Id="rId92" Type="http://schemas.openxmlformats.org/officeDocument/2006/relationships/hyperlink" Target="http://probaseballexperience.jcink.net/index.php?showtopic=345" TargetMode="External"/><Relationship Id="rId213" Type="http://schemas.openxmlformats.org/officeDocument/2006/relationships/hyperlink" Target="http://probaseballexperience.jcink.net/index.php?showtopic=5533" TargetMode="External"/><Relationship Id="rId2" Type="http://schemas.openxmlformats.org/officeDocument/2006/relationships/hyperlink" Target="http://probaseballexperience.jcink.net/index.php?showtopic=2154" TargetMode="External"/><Relationship Id="rId29" Type="http://schemas.openxmlformats.org/officeDocument/2006/relationships/hyperlink" Target="http://probaseballexperience.jcink.net/index.php?showtopic=120" TargetMode="External"/><Relationship Id="rId40" Type="http://schemas.openxmlformats.org/officeDocument/2006/relationships/hyperlink" Target="http://probaseballexperience.jcink.net/index.php?showuser=194" TargetMode="External"/><Relationship Id="rId115" Type="http://schemas.openxmlformats.org/officeDocument/2006/relationships/hyperlink" Target="http://probaseballexperience.jcink.net/index.php?showtopic=2906" TargetMode="External"/><Relationship Id="rId136" Type="http://schemas.openxmlformats.org/officeDocument/2006/relationships/hyperlink" Target="http://probaseballexperience.jcink.net/index.php?showtopic=66" TargetMode="External"/><Relationship Id="rId157" Type="http://schemas.openxmlformats.org/officeDocument/2006/relationships/hyperlink" Target="http://probaseballexperience.jcink.net/index.php?showtopic=3097" TargetMode="External"/><Relationship Id="rId178" Type="http://schemas.openxmlformats.org/officeDocument/2006/relationships/hyperlink" Target="http://probaseballexperience.jcink.net/index.php?showuser=439" TargetMode="External"/><Relationship Id="rId61" Type="http://schemas.openxmlformats.org/officeDocument/2006/relationships/hyperlink" Target="http://probaseballexperience.jcink.net/index.php?showuser=355" TargetMode="External"/><Relationship Id="rId82" Type="http://schemas.openxmlformats.org/officeDocument/2006/relationships/hyperlink" Target="http://probaseballexperience.jcink.net/index.php?showtopic=1114" TargetMode="External"/><Relationship Id="rId199" Type="http://schemas.openxmlformats.org/officeDocument/2006/relationships/hyperlink" Target="http://probaseballexperience.jcink.net/index.php?showtopic=5453" TargetMode="External"/><Relationship Id="rId203" Type="http://schemas.openxmlformats.org/officeDocument/2006/relationships/hyperlink" Target="http://probaseballexperience.jcink.net/index.php?showtopic=5808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topic=3601" TargetMode="External"/><Relationship Id="rId21" Type="http://schemas.openxmlformats.org/officeDocument/2006/relationships/hyperlink" Target="http://probaseballexperience.jcink.net/index.php?showuser=339" TargetMode="External"/><Relationship Id="rId42" Type="http://schemas.openxmlformats.org/officeDocument/2006/relationships/hyperlink" Target="http://probaseballexperience.jcink.net/index.php?showtopic=3582" TargetMode="External"/><Relationship Id="rId47" Type="http://schemas.openxmlformats.org/officeDocument/2006/relationships/hyperlink" Target="http://probaseballexperience.jcink.net/index.php?showuser=335" TargetMode="External"/><Relationship Id="rId63" Type="http://schemas.openxmlformats.org/officeDocument/2006/relationships/hyperlink" Target="http://probaseballexperience.jcink.net/index.php?showtopic=3610" TargetMode="External"/><Relationship Id="rId68" Type="http://schemas.openxmlformats.org/officeDocument/2006/relationships/hyperlink" Target="http://probaseballexperience.jcink.net/index.php?showtopic=3430" TargetMode="External"/><Relationship Id="rId16" Type="http://schemas.openxmlformats.org/officeDocument/2006/relationships/hyperlink" Target="http://probaseballexperience.jcink.net/index.php?showtopic=3211" TargetMode="External"/><Relationship Id="rId11" Type="http://schemas.openxmlformats.org/officeDocument/2006/relationships/hyperlink" Target="http://probaseballexperience.jcink.net/index.php?showtopic=3476" TargetMode="External"/><Relationship Id="rId24" Type="http://schemas.openxmlformats.org/officeDocument/2006/relationships/hyperlink" Target="http://probaseballexperience.jcink.net/index.php?showuser=322" TargetMode="External"/><Relationship Id="rId32" Type="http://schemas.openxmlformats.org/officeDocument/2006/relationships/hyperlink" Target="http://probaseballexperience.jcink.net/index.php?showuser=338" TargetMode="External"/><Relationship Id="rId37" Type="http://schemas.openxmlformats.org/officeDocument/2006/relationships/hyperlink" Target="http://probaseballexperience.jcink.net/index.php?showtopic=3634" TargetMode="External"/><Relationship Id="rId40" Type="http://schemas.openxmlformats.org/officeDocument/2006/relationships/hyperlink" Target="http://probaseballexperience.jcink.net/index.php?showtopic=3582" TargetMode="External"/><Relationship Id="rId45" Type="http://schemas.openxmlformats.org/officeDocument/2006/relationships/hyperlink" Target="http://probaseballexperience.jcink.net/index.php?showtopic=3360" TargetMode="External"/><Relationship Id="rId53" Type="http://schemas.openxmlformats.org/officeDocument/2006/relationships/hyperlink" Target="http://probaseballexperience.jcink.net/index.php?showuser=315" TargetMode="External"/><Relationship Id="rId58" Type="http://schemas.openxmlformats.org/officeDocument/2006/relationships/hyperlink" Target="http://probaseballexperience.jcink.net/index.php?showtopic=3573" TargetMode="External"/><Relationship Id="rId66" Type="http://schemas.openxmlformats.org/officeDocument/2006/relationships/hyperlink" Target="http://probaseballexperience.jcink.net/index.php?showtopic=3430&amp;view=findpost&amp;p=37310" TargetMode="External"/><Relationship Id="rId74" Type="http://schemas.openxmlformats.org/officeDocument/2006/relationships/hyperlink" Target="http://probaseballexperience.jcink.net/index.php?showtopic=3580" TargetMode="External"/><Relationship Id="rId79" Type="http://schemas.openxmlformats.org/officeDocument/2006/relationships/hyperlink" Target="http://probaseballexperience.jcink.net/index.php?showuser=109" TargetMode="External"/><Relationship Id="rId5" Type="http://schemas.openxmlformats.org/officeDocument/2006/relationships/hyperlink" Target="http://probaseballexperience.jcink.net/index.php?showuser=325" TargetMode="External"/><Relationship Id="rId61" Type="http://schemas.openxmlformats.org/officeDocument/2006/relationships/hyperlink" Target="http://probaseballexperience.jcink.net/index.php?showtopic=3585" TargetMode="External"/><Relationship Id="rId19" Type="http://schemas.openxmlformats.org/officeDocument/2006/relationships/hyperlink" Target="http://probaseballexperience.jcink.net/index.php?showtopic=3586" TargetMode="External"/><Relationship Id="rId14" Type="http://schemas.openxmlformats.org/officeDocument/2006/relationships/hyperlink" Target="http://probaseballexperience.jcink.net/index.php?showtopic=3211" TargetMode="External"/><Relationship Id="rId22" Type="http://schemas.openxmlformats.org/officeDocument/2006/relationships/hyperlink" Target="http://probaseballexperience.jcink.net/index.php?showtopic=3627" TargetMode="External"/><Relationship Id="rId27" Type="http://schemas.openxmlformats.org/officeDocument/2006/relationships/hyperlink" Target="http://probaseballexperience.jcink.net/index.php?showuser=336" TargetMode="External"/><Relationship Id="rId30" Type="http://schemas.openxmlformats.org/officeDocument/2006/relationships/hyperlink" Target="http://probaseballexperience.jcink.net/index.php?showtopic=3621" TargetMode="External"/><Relationship Id="rId35" Type="http://schemas.openxmlformats.org/officeDocument/2006/relationships/hyperlink" Target="http://probaseballexperience.jcink.net/index.php?showuser=317" TargetMode="External"/><Relationship Id="rId43" Type="http://schemas.openxmlformats.org/officeDocument/2006/relationships/hyperlink" Target="http://probaseballexperience.jcink.net/index.php?showtopic=3360" TargetMode="External"/><Relationship Id="rId48" Type="http://schemas.openxmlformats.org/officeDocument/2006/relationships/hyperlink" Target="http://probaseballexperience.jcink.net/index.php?showtopic=3594" TargetMode="External"/><Relationship Id="rId56" Type="http://schemas.openxmlformats.org/officeDocument/2006/relationships/hyperlink" Target="http://probaseballexperience.jcink.net/index.php?showuser=327" TargetMode="External"/><Relationship Id="rId64" Type="http://schemas.openxmlformats.org/officeDocument/2006/relationships/hyperlink" Target="http://probaseballexperience.jcink.net/index.php?showuser=42" TargetMode="External"/><Relationship Id="rId69" Type="http://schemas.openxmlformats.org/officeDocument/2006/relationships/hyperlink" Target="http://probaseballexperience.jcink.net/index.php?showtopic=3485" TargetMode="External"/><Relationship Id="rId77" Type="http://schemas.openxmlformats.org/officeDocument/2006/relationships/hyperlink" Target="http://probaseballexperience.jcink.net/index.php?showtopic=3581" TargetMode="External"/><Relationship Id="rId8" Type="http://schemas.openxmlformats.org/officeDocument/2006/relationships/hyperlink" Target="http://probaseballexperience.jcink.net/index.php?showuser=318" TargetMode="External"/><Relationship Id="rId51" Type="http://schemas.openxmlformats.org/officeDocument/2006/relationships/hyperlink" Target="http://probaseballexperience.jcink.net/index.php?showtopic=3576" TargetMode="External"/><Relationship Id="rId72" Type="http://schemas.openxmlformats.org/officeDocument/2006/relationships/hyperlink" Target="http://probaseballexperience.jcink.net/index.php?showtopic=3580" TargetMode="External"/><Relationship Id="rId3" Type="http://schemas.openxmlformats.org/officeDocument/2006/relationships/hyperlink" Target="http://probaseballexperience.jcink.net/index.php?showtopic=3438" TargetMode="External"/><Relationship Id="rId12" Type="http://schemas.openxmlformats.org/officeDocument/2006/relationships/hyperlink" Target="http://probaseballexperience.jcink.net/index.php?showtopic=3561" TargetMode="External"/><Relationship Id="rId17" Type="http://schemas.openxmlformats.org/officeDocument/2006/relationships/hyperlink" Target="http://probaseballexperience.jcink.net/index.php?showtopic=3586" TargetMode="External"/><Relationship Id="rId25" Type="http://schemas.openxmlformats.org/officeDocument/2006/relationships/hyperlink" Target="http://probaseballexperience.jcink.net/index.php?showtopic=3435" TargetMode="External"/><Relationship Id="rId33" Type="http://schemas.openxmlformats.org/officeDocument/2006/relationships/hyperlink" Target="http://probaseballexperience.jcink.net/index.php?showtopic=3619" TargetMode="External"/><Relationship Id="rId38" Type="http://schemas.openxmlformats.org/officeDocument/2006/relationships/hyperlink" Target="http://probaseballexperience.jcink.net/index.php?showuser=129" TargetMode="External"/><Relationship Id="rId46" Type="http://schemas.openxmlformats.org/officeDocument/2006/relationships/hyperlink" Target="http://probaseballexperience.jcink.net/index.php?showtopic=3594" TargetMode="External"/><Relationship Id="rId59" Type="http://schemas.openxmlformats.org/officeDocument/2006/relationships/hyperlink" Target="http://probaseballexperience.jcink.net/index.php?showuser=328" TargetMode="External"/><Relationship Id="rId67" Type="http://schemas.openxmlformats.org/officeDocument/2006/relationships/hyperlink" Target="http://probaseballexperience.jcink.net/index.php?showuser=321" TargetMode="External"/><Relationship Id="rId20" Type="http://schemas.openxmlformats.org/officeDocument/2006/relationships/hyperlink" Target="http://probaseballexperience.jcink.net/index.php?showtopic=3627" TargetMode="External"/><Relationship Id="rId41" Type="http://schemas.openxmlformats.org/officeDocument/2006/relationships/hyperlink" Target="http://probaseballexperience.jcink.net/index.php?showuser=332" TargetMode="External"/><Relationship Id="rId54" Type="http://schemas.openxmlformats.org/officeDocument/2006/relationships/hyperlink" Target="http://probaseballexperience.jcink.net/index.php?showtopic=3196" TargetMode="External"/><Relationship Id="rId62" Type="http://schemas.openxmlformats.org/officeDocument/2006/relationships/hyperlink" Target="http://probaseballexperience.jcink.net/index.php?showuser=333" TargetMode="External"/><Relationship Id="rId70" Type="http://schemas.openxmlformats.org/officeDocument/2006/relationships/hyperlink" Target="http://probaseballexperience.jcink.net/index.php?showuser=49" TargetMode="External"/><Relationship Id="rId75" Type="http://schemas.openxmlformats.org/officeDocument/2006/relationships/hyperlink" Target="http://probaseballexperience.jcink.net/index.php?showtopic=3581" TargetMode="External"/><Relationship Id="rId1" Type="http://schemas.openxmlformats.org/officeDocument/2006/relationships/hyperlink" Target="http://probaseballexperience.jcink.net/index.php?showtopic=3438" TargetMode="External"/><Relationship Id="rId6" Type="http://schemas.openxmlformats.org/officeDocument/2006/relationships/hyperlink" Target="http://probaseballexperience.jcink.net/index.php?showtopic=3539" TargetMode="External"/><Relationship Id="rId15" Type="http://schemas.openxmlformats.org/officeDocument/2006/relationships/hyperlink" Target="http://probaseballexperience.jcink.net/index.php?showuser=316" TargetMode="External"/><Relationship Id="rId23" Type="http://schemas.openxmlformats.org/officeDocument/2006/relationships/hyperlink" Target="http://probaseballexperience.jcink.net/index.php?showtopic=3435" TargetMode="External"/><Relationship Id="rId28" Type="http://schemas.openxmlformats.org/officeDocument/2006/relationships/hyperlink" Target="http://probaseballexperience.jcink.net/index.php?showtopic=3621" TargetMode="External"/><Relationship Id="rId36" Type="http://schemas.openxmlformats.org/officeDocument/2006/relationships/hyperlink" Target="http://probaseballexperience.jcink.net/index.php?showtopic=3272" TargetMode="External"/><Relationship Id="rId49" Type="http://schemas.openxmlformats.org/officeDocument/2006/relationships/hyperlink" Target="http://probaseballexperience.jcink.net/index.php?showtopic=3576" TargetMode="External"/><Relationship Id="rId57" Type="http://schemas.openxmlformats.org/officeDocument/2006/relationships/hyperlink" Target="http://probaseballexperience.jcink.net/index.php?showtopic=3567" TargetMode="External"/><Relationship Id="rId10" Type="http://schemas.openxmlformats.org/officeDocument/2006/relationships/hyperlink" Target="http://probaseballexperience.jcink.net/index.php?showuser=324" TargetMode="External"/><Relationship Id="rId31" Type="http://schemas.openxmlformats.org/officeDocument/2006/relationships/hyperlink" Target="http://probaseballexperience.jcink.net/index.php?showtopic=3619" TargetMode="External"/><Relationship Id="rId44" Type="http://schemas.openxmlformats.org/officeDocument/2006/relationships/hyperlink" Target="http://probaseballexperience.jcink.net/index.php?showuser=280" TargetMode="External"/><Relationship Id="rId52" Type="http://schemas.openxmlformats.org/officeDocument/2006/relationships/hyperlink" Target="http://probaseballexperience.jcink.net/index.php?showtopic=3196" TargetMode="External"/><Relationship Id="rId60" Type="http://schemas.openxmlformats.org/officeDocument/2006/relationships/hyperlink" Target="http://probaseballexperience.jcink.net/index.php?showtopic=3573" TargetMode="External"/><Relationship Id="rId65" Type="http://schemas.openxmlformats.org/officeDocument/2006/relationships/hyperlink" Target="http://probaseballexperience.jcink.net/index.php?showtopic=3610" TargetMode="External"/><Relationship Id="rId73" Type="http://schemas.openxmlformats.org/officeDocument/2006/relationships/hyperlink" Target="http://probaseballexperience.jcink.net/index.php?showuser=330" TargetMode="External"/><Relationship Id="rId78" Type="http://schemas.openxmlformats.org/officeDocument/2006/relationships/hyperlink" Target="http://probaseballexperience.jcink.net/index.php?showtopic=3606" TargetMode="External"/><Relationship Id="rId4" Type="http://schemas.openxmlformats.org/officeDocument/2006/relationships/hyperlink" Target="http://probaseballexperience.jcink.net/index.php?showtopic=3539" TargetMode="External"/><Relationship Id="rId9" Type="http://schemas.openxmlformats.org/officeDocument/2006/relationships/hyperlink" Target="http://probaseballexperience.jcink.net/index.php?showtopic=3476" TargetMode="External"/><Relationship Id="rId13" Type="http://schemas.openxmlformats.org/officeDocument/2006/relationships/hyperlink" Target="http://probaseballexperience.jcink.net/index.php?showuser=326" TargetMode="External"/><Relationship Id="rId18" Type="http://schemas.openxmlformats.org/officeDocument/2006/relationships/hyperlink" Target="http://probaseballexperience.jcink.net/index.php?showuser=334" TargetMode="External"/><Relationship Id="rId39" Type="http://schemas.openxmlformats.org/officeDocument/2006/relationships/hyperlink" Target="http://probaseballexperience.jcink.net/index.php?showtopic=3634" TargetMode="External"/><Relationship Id="rId34" Type="http://schemas.openxmlformats.org/officeDocument/2006/relationships/hyperlink" Target="http://probaseballexperience.jcink.net/index.php?showtopic=3272" TargetMode="External"/><Relationship Id="rId50" Type="http://schemas.openxmlformats.org/officeDocument/2006/relationships/hyperlink" Target="http://probaseballexperience.jcink.net/index.php?showuser=329" TargetMode="External"/><Relationship Id="rId55" Type="http://schemas.openxmlformats.org/officeDocument/2006/relationships/hyperlink" Target="http://probaseballexperience.jcink.net/index.php?showtopic=3567" TargetMode="External"/><Relationship Id="rId76" Type="http://schemas.openxmlformats.org/officeDocument/2006/relationships/hyperlink" Target="http://probaseballexperience.jcink.net/index.php?showuser=331" TargetMode="External"/><Relationship Id="rId7" Type="http://schemas.openxmlformats.org/officeDocument/2006/relationships/hyperlink" Target="http://probaseballexperience.jcink.net/index.php?showtopic=3286" TargetMode="External"/><Relationship Id="rId71" Type="http://schemas.openxmlformats.org/officeDocument/2006/relationships/hyperlink" Target="http://probaseballexperience.jcink.net/index.php?showtopic=3485" TargetMode="External"/><Relationship Id="rId2" Type="http://schemas.openxmlformats.org/officeDocument/2006/relationships/hyperlink" Target="http://probaseballexperience.jcink.net/index.php?showuser=323" TargetMode="External"/><Relationship Id="rId29" Type="http://schemas.openxmlformats.org/officeDocument/2006/relationships/hyperlink" Target="http://probaseballexperience.jcink.net/index.php?showuser=337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probaseballexperience.jcink.net/index.php?showuser=17" TargetMode="External"/><Relationship Id="rId671" Type="http://schemas.openxmlformats.org/officeDocument/2006/relationships/hyperlink" Target="http://probaseballexperience.jcink.net/index.php?showuser=112" TargetMode="External"/><Relationship Id="rId21" Type="http://schemas.openxmlformats.org/officeDocument/2006/relationships/hyperlink" Target="http://probaseballexperience.jcink.net/index.php?showtopic=180" TargetMode="External"/><Relationship Id="rId324" Type="http://schemas.openxmlformats.org/officeDocument/2006/relationships/hyperlink" Target="http://probaseballexperience.jcink.net/index.php?showuser=147" TargetMode="External"/><Relationship Id="rId531" Type="http://schemas.openxmlformats.org/officeDocument/2006/relationships/hyperlink" Target="http://probaseballexperience.jcink.net/index.php?showtopic=3097" TargetMode="External"/><Relationship Id="rId629" Type="http://schemas.openxmlformats.org/officeDocument/2006/relationships/hyperlink" Target="http://probaseballexperience.jcink.net/index.php?showtopic=3581" TargetMode="External"/><Relationship Id="rId170" Type="http://schemas.openxmlformats.org/officeDocument/2006/relationships/hyperlink" Target="http://probaseballexperience.jcink.net/index.php?showtopic=2525" TargetMode="External"/><Relationship Id="rId268" Type="http://schemas.openxmlformats.org/officeDocument/2006/relationships/hyperlink" Target="http://probaseballexperience.jcink.net/index.php?showtopic=2989" TargetMode="External"/><Relationship Id="rId475" Type="http://schemas.openxmlformats.org/officeDocument/2006/relationships/hyperlink" Target="http://probaseballexperience.jcink.net/index.php?showuser=200" TargetMode="External"/><Relationship Id="rId682" Type="http://schemas.openxmlformats.org/officeDocument/2006/relationships/hyperlink" Target="http://probaseballexperience.jcink.net/index.php?showtopic=1064" TargetMode="External"/><Relationship Id="rId32" Type="http://schemas.openxmlformats.org/officeDocument/2006/relationships/hyperlink" Target="http://probaseballexperience.jcink.net/index.php?showuser=72" TargetMode="External"/><Relationship Id="rId128" Type="http://schemas.openxmlformats.org/officeDocument/2006/relationships/hyperlink" Target="http://probaseballexperience.jcink.net/index.php?showtopic=89" TargetMode="External"/><Relationship Id="rId335" Type="http://schemas.openxmlformats.org/officeDocument/2006/relationships/hyperlink" Target="http://probaseballexperience.jcink.net/index.php?showtopic=1092" TargetMode="External"/><Relationship Id="rId542" Type="http://schemas.openxmlformats.org/officeDocument/2006/relationships/hyperlink" Target="http://probaseballexperience.jcink.net/index.php?showtopic=96" TargetMode="External"/><Relationship Id="rId181" Type="http://schemas.openxmlformats.org/officeDocument/2006/relationships/hyperlink" Target="http://probaseballexperience.jcink.net/index.php?showtopic=2906" TargetMode="External"/><Relationship Id="rId402" Type="http://schemas.openxmlformats.org/officeDocument/2006/relationships/hyperlink" Target="http://probaseballexperience.jcink.net/index.php?showtopic=1810" TargetMode="External"/><Relationship Id="rId279" Type="http://schemas.openxmlformats.org/officeDocument/2006/relationships/hyperlink" Target="http://probaseballexperience.jcink.net/index.php?showuser=95" TargetMode="External"/><Relationship Id="rId486" Type="http://schemas.openxmlformats.org/officeDocument/2006/relationships/hyperlink" Target="http://probaseballexperience.jcink.net/index.php?act=ST&amp;f=2&amp;t=2524" TargetMode="External"/><Relationship Id="rId693" Type="http://schemas.openxmlformats.org/officeDocument/2006/relationships/hyperlink" Target="http://probaseballexperience.jcink.net/index.php?showtopic=2966" TargetMode="External"/><Relationship Id="rId707" Type="http://schemas.openxmlformats.org/officeDocument/2006/relationships/hyperlink" Target="http://probaseballexperience.jcink.net/index.php?showuser=212" TargetMode="External"/><Relationship Id="rId43" Type="http://schemas.openxmlformats.org/officeDocument/2006/relationships/hyperlink" Target="http://probaseballexperience.jcink.net/index.php?showtopic=101" TargetMode="External"/><Relationship Id="rId139" Type="http://schemas.openxmlformats.org/officeDocument/2006/relationships/hyperlink" Target="http://probaseballexperience.jcink.net/index.php?showtopic=115" TargetMode="External"/><Relationship Id="rId346" Type="http://schemas.openxmlformats.org/officeDocument/2006/relationships/hyperlink" Target="http://probaseballexperience.jcink.net/index.php?showtopic=1246" TargetMode="External"/><Relationship Id="rId553" Type="http://schemas.openxmlformats.org/officeDocument/2006/relationships/hyperlink" Target="http://probaseballexperience.jcink.net/index.php?showuser=335" TargetMode="External"/><Relationship Id="rId192" Type="http://schemas.openxmlformats.org/officeDocument/2006/relationships/hyperlink" Target="http://probaseballexperience.jcink.net/index.php?showuser=270" TargetMode="External"/><Relationship Id="rId206" Type="http://schemas.openxmlformats.org/officeDocument/2006/relationships/hyperlink" Target="http://probaseballexperience.jcink.net/index.php?showtopic=2604" TargetMode="External"/><Relationship Id="rId413" Type="http://schemas.openxmlformats.org/officeDocument/2006/relationships/hyperlink" Target="http://probaseballexperience.jcink.net/index.php?showuser=163" TargetMode="External"/><Relationship Id="rId497" Type="http://schemas.openxmlformats.org/officeDocument/2006/relationships/hyperlink" Target="http://probaseballexperience.jcink.net/index.php?showtopic=177" TargetMode="External"/><Relationship Id="rId620" Type="http://schemas.openxmlformats.org/officeDocument/2006/relationships/hyperlink" Target="http://probaseballexperience.jcink.net/index.php?showtopic=2622" TargetMode="External"/><Relationship Id="rId718" Type="http://schemas.openxmlformats.org/officeDocument/2006/relationships/hyperlink" Target="http://probaseballexperience.jcink.net/index.php?showtopic=228" TargetMode="External"/><Relationship Id="rId357" Type="http://schemas.openxmlformats.org/officeDocument/2006/relationships/hyperlink" Target="http://probaseballexperience.jcink.net/index.php?showtopic=3286" TargetMode="External"/><Relationship Id="rId54" Type="http://schemas.openxmlformats.org/officeDocument/2006/relationships/hyperlink" Target="http://probaseballexperience.jcink.net/index.php?showtopic=1161" TargetMode="External"/><Relationship Id="rId217" Type="http://schemas.openxmlformats.org/officeDocument/2006/relationships/hyperlink" Target="http://probaseballexperience.jcink.net/index.php?showtopic=918" TargetMode="External"/><Relationship Id="rId564" Type="http://schemas.openxmlformats.org/officeDocument/2006/relationships/hyperlink" Target="http://probaseballexperience.jcink.net/index.php?showtopic=1799" TargetMode="External"/><Relationship Id="rId424" Type="http://schemas.openxmlformats.org/officeDocument/2006/relationships/hyperlink" Target="http://probaseballexperience.jcink.net/index.php?showtopic=75" TargetMode="External"/><Relationship Id="rId631" Type="http://schemas.openxmlformats.org/officeDocument/2006/relationships/hyperlink" Target="http://probaseballexperience.jcink.net/index.php?showtopic=3581" TargetMode="External"/><Relationship Id="rId729" Type="http://schemas.openxmlformats.org/officeDocument/2006/relationships/hyperlink" Target="http://probaseballexperience.jcink.net/index.php?showtopic=1085" TargetMode="External"/><Relationship Id="rId270" Type="http://schemas.openxmlformats.org/officeDocument/2006/relationships/hyperlink" Target="http://probaseballexperience.jcink.net/index.php?showuser=302" TargetMode="External"/><Relationship Id="rId65" Type="http://schemas.openxmlformats.org/officeDocument/2006/relationships/hyperlink" Target="http://probaseballexperience.jcink.net/index.php?showuser=217" TargetMode="External"/><Relationship Id="rId130" Type="http://schemas.openxmlformats.org/officeDocument/2006/relationships/hyperlink" Target="http://probaseballexperience.jcink.net/index.php?showtopic=89" TargetMode="External"/><Relationship Id="rId368" Type="http://schemas.openxmlformats.org/officeDocument/2006/relationships/hyperlink" Target="http://probaseballexperience.jcink.net/index.php?showtopic=1218" TargetMode="External"/><Relationship Id="rId575" Type="http://schemas.openxmlformats.org/officeDocument/2006/relationships/hyperlink" Target="http://probaseballexperience.jcink.net/index.php?showtopic=3080" TargetMode="External"/><Relationship Id="rId228" Type="http://schemas.openxmlformats.org/officeDocument/2006/relationships/hyperlink" Target="http://probaseballexperience.jcink.net/index.php?showuser=131" TargetMode="External"/><Relationship Id="rId435" Type="http://schemas.openxmlformats.org/officeDocument/2006/relationships/hyperlink" Target="http://probaseballexperience.jcink.net/index.php?showtopic=3211" TargetMode="External"/><Relationship Id="rId642" Type="http://schemas.openxmlformats.org/officeDocument/2006/relationships/hyperlink" Target="http://probaseballexperience.jcink.net/index.php?showtopic=2967" TargetMode="External"/><Relationship Id="rId281" Type="http://schemas.openxmlformats.org/officeDocument/2006/relationships/hyperlink" Target="http://probaseballexperience.jcink.net/index.php?showtopic=2450" TargetMode="External"/><Relationship Id="rId502" Type="http://schemas.openxmlformats.org/officeDocument/2006/relationships/hyperlink" Target="http://probaseballexperience.jcink.net/index.php?showuser=132" TargetMode="External"/><Relationship Id="rId76" Type="http://schemas.openxmlformats.org/officeDocument/2006/relationships/hyperlink" Target="http://probaseballexperience.jcink.net/index.php?showtopic=258" TargetMode="External"/><Relationship Id="rId141" Type="http://schemas.openxmlformats.org/officeDocument/2006/relationships/hyperlink" Target="http://probaseballexperience.jcink.net/index.php?showuser=44" TargetMode="External"/><Relationship Id="rId379" Type="http://schemas.openxmlformats.org/officeDocument/2006/relationships/hyperlink" Target="http://probaseballexperience.jcink.net/index.php?showtopic=3539" TargetMode="External"/><Relationship Id="rId586" Type="http://schemas.openxmlformats.org/officeDocument/2006/relationships/hyperlink" Target="http://probaseballexperience.jcink.net/index.php?showuser=115" TargetMode="External"/><Relationship Id="rId7" Type="http://schemas.openxmlformats.org/officeDocument/2006/relationships/hyperlink" Target="http://probaseballexperience.jcink.net/index.php?showtopic=210" TargetMode="External"/><Relationship Id="rId239" Type="http://schemas.openxmlformats.org/officeDocument/2006/relationships/hyperlink" Target="http://probaseballexperience.jcink.net/index.php?showtopic=287" TargetMode="External"/><Relationship Id="rId446" Type="http://schemas.openxmlformats.org/officeDocument/2006/relationships/hyperlink" Target="http://probaseballexperience.jcink.net/index.php?showtopic=3627" TargetMode="External"/><Relationship Id="rId653" Type="http://schemas.openxmlformats.org/officeDocument/2006/relationships/hyperlink" Target="http://probaseballexperience.jcink.net/index.php?showuser=119" TargetMode="External"/><Relationship Id="rId292" Type="http://schemas.openxmlformats.org/officeDocument/2006/relationships/hyperlink" Target="http://probaseballexperience.jcink.net/index.php?showtopic=3153" TargetMode="External"/><Relationship Id="rId306" Type="http://schemas.openxmlformats.org/officeDocument/2006/relationships/hyperlink" Target="http://probaseballexperience.jcink.net/index.php?showuser=279" TargetMode="External"/><Relationship Id="rId87" Type="http://schemas.openxmlformats.org/officeDocument/2006/relationships/hyperlink" Target="http://probaseballexperience.jcink.net/index.php?showuser=158" TargetMode="External"/><Relationship Id="rId513" Type="http://schemas.openxmlformats.org/officeDocument/2006/relationships/hyperlink" Target="http://probaseballexperience.jcink.net/index.php?showtopic=126" TargetMode="External"/><Relationship Id="rId597" Type="http://schemas.openxmlformats.org/officeDocument/2006/relationships/hyperlink" Target="http://probaseballexperience.jcink.net/index.php?showtopic=3573" TargetMode="External"/><Relationship Id="rId720" Type="http://schemas.openxmlformats.org/officeDocument/2006/relationships/hyperlink" Target="http://probaseballexperience.jcink.net/index.php?showtopic=228" TargetMode="External"/><Relationship Id="rId152" Type="http://schemas.openxmlformats.org/officeDocument/2006/relationships/hyperlink" Target="http://probaseballexperience.jcink.net/index.php?showtopic=188" TargetMode="External"/><Relationship Id="rId457" Type="http://schemas.openxmlformats.org/officeDocument/2006/relationships/hyperlink" Target="http://probaseballexperience.jcink.net/index.php?showuser=50" TargetMode="External"/><Relationship Id="rId664" Type="http://schemas.openxmlformats.org/officeDocument/2006/relationships/hyperlink" Target="http://probaseballexperience.jcink.net/index.php?showtopic=109" TargetMode="External"/><Relationship Id="rId14" Type="http://schemas.openxmlformats.org/officeDocument/2006/relationships/hyperlink" Target="http://probaseballexperience.jcink.net/index.php?showuser=39" TargetMode="External"/><Relationship Id="rId317" Type="http://schemas.openxmlformats.org/officeDocument/2006/relationships/hyperlink" Target="http://probaseballexperience.jcink.net/index.php?showtopic=953" TargetMode="External"/><Relationship Id="rId524" Type="http://schemas.openxmlformats.org/officeDocument/2006/relationships/hyperlink" Target="http://probaseballexperience.jcink.net/index.php?showtopic=498" TargetMode="External"/><Relationship Id="rId731" Type="http://schemas.openxmlformats.org/officeDocument/2006/relationships/hyperlink" Target="http://probaseballexperience.jcink.net/index.php?showuser=192" TargetMode="External"/><Relationship Id="rId98" Type="http://schemas.openxmlformats.org/officeDocument/2006/relationships/hyperlink" Target="http://probaseballexperience.jcink.net/index.php?showtopic=158" TargetMode="External"/><Relationship Id="rId163" Type="http://schemas.openxmlformats.org/officeDocument/2006/relationships/hyperlink" Target="http://probaseballexperience.jcink.net/index.php?showtopic=1236" TargetMode="External"/><Relationship Id="rId370" Type="http://schemas.openxmlformats.org/officeDocument/2006/relationships/hyperlink" Target="http://probaseballexperience.jcink.net/index.php?showtopic=1218" TargetMode="External"/><Relationship Id="rId230" Type="http://schemas.openxmlformats.org/officeDocument/2006/relationships/hyperlink" Target="http://probaseballexperience.jcink.net/index.php?showtopic=105" TargetMode="External"/><Relationship Id="rId468" Type="http://schemas.openxmlformats.org/officeDocument/2006/relationships/hyperlink" Target="http://probaseballexperience.jcink.net/index.php?showtopic=215" TargetMode="External"/><Relationship Id="rId675" Type="http://schemas.openxmlformats.org/officeDocument/2006/relationships/hyperlink" Target="http://probaseballexperience.jcink.net/index.php?showtopic=1048" TargetMode="External"/><Relationship Id="rId25" Type="http://schemas.openxmlformats.org/officeDocument/2006/relationships/hyperlink" Target="http://probaseballexperience.jcink.net/index.php?showtopic=120" TargetMode="External"/><Relationship Id="rId328" Type="http://schemas.openxmlformats.org/officeDocument/2006/relationships/hyperlink" Target="http://probaseballexperience.jcink.net/index.php?showtopic=3438" TargetMode="External"/><Relationship Id="rId535" Type="http://schemas.openxmlformats.org/officeDocument/2006/relationships/hyperlink" Target="http://probaseballexperience.jcink.net/index.php?showuser=303" TargetMode="External"/><Relationship Id="rId742" Type="http://schemas.openxmlformats.org/officeDocument/2006/relationships/hyperlink" Target="http://probaseballexperience.jcink.net/index.php?showtopic=1034" TargetMode="External"/><Relationship Id="rId174" Type="http://schemas.openxmlformats.org/officeDocument/2006/relationships/hyperlink" Target="http://probaseballexperience.jcink.net/index.php?showuser=271" TargetMode="External"/><Relationship Id="rId381" Type="http://schemas.openxmlformats.org/officeDocument/2006/relationships/hyperlink" Target="http://probaseballexperience.jcink.net/index.php?showuser=296" TargetMode="External"/><Relationship Id="rId602" Type="http://schemas.openxmlformats.org/officeDocument/2006/relationships/hyperlink" Target="http://probaseballexperience.jcink.net/index.php?showtopic=2596" TargetMode="External"/><Relationship Id="rId241" Type="http://schemas.openxmlformats.org/officeDocument/2006/relationships/hyperlink" Target="http://probaseballexperience.jcink.net/index.php?showtopic=287" TargetMode="External"/><Relationship Id="rId479" Type="http://schemas.openxmlformats.org/officeDocument/2006/relationships/hyperlink" Target="http://probaseballexperience.jcink.net/index.php?showtopic=3435" TargetMode="External"/><Relationship Id="rId686" Type="http://schemas.openxmlformats.org/officeDocument/2006/relationships/hyperlink" Target="http://probaseballexperience.jcink.net/index.php?showuser=55" TargetMode="External"/><Relationship Id="rId36" Type="http://schemas.openxmlformats.org/officeDocument/2006/relationships/hyperlink" Target="http://probaseballexperience.jcink.net/index.php?showtopic=122" TargetMode="External"/><Relationship Id="rId339" Type="http://schemas.openxmlformats.org/officeDocument/2006/relationships/hyperlink" Target="http://probaseballexperience.jcink.net/index.php?showuser=59" TargetMode="External"/><Relationship Id="rId546" Type="http://schemas.openxmlformats.org/officeDocument/2006/relationships/hyperlink" Target="http://probaseballexperience.jcink.net/index.php?showtopic=2571" TargetMode="External"/><Relationship Id="rId101" Type="http://schemas.openxmlformats.org/officeDocument/2006/relationships/hyperlink" Target="http://probaseballexperience.jcink.net/index.php?showtopic=2155" TargetMode="External"/><Relationship Id="rId185" Type="http://schemas.openxmlformats.org/officeDocument/2006/relationships/hyperlink" Target="http://probaseballexperience.jcink.net/index.php?showtopic=2590" TargetMode="External"/><Relationship Id="rId406" Type="http://schemas.openxmlformats.org/officeDocument/2006/relationships/hyperlink" Target="http://probaseballexperience.jcink.net/index.php?showtopic=3027" TargetMode="External"/><Relationship Id="rId392" Type="http://schemas.openxmlformats.org/officeDocument/2006/relationships/hyperlink" Target="http://probaseballexperience.jcink.net/index.php?showuser=5" TargetMode="External"/><Relationship Id="rId613" Type="http://schemas.openxmlformats.org/officeDocument/2006/relationships/hyperlink" Target="http://probaseballexperience.jcink.net/index.php?showtopic=327" TargetMode="External"/><Relationship Id="rId697" Type="http://schemas.openxmlformats.org/officeDocument/2006/relationships/hyperlink" Target="http://probaseballexperience.jcink.net/index.php?showtopic=917" TargetMode="External"/><Relationship Id="rId252" Type="http://schemas.openxmlformats.org/officeDocument/2006/relationships/hyperlink" Target="http://probaseballexperience.jcink.net/index.php?showuser=29" TargetMode="External"/><Relationship Id="rId47" Type="http://schemas.openxmlformats.org/officeDocument/2006/relationships/hyperlink" Target="http://probaseballexperience.jcink.net/index.php?showuser=187" TargetMode="External"/><Relationship Id="rId112" Type="http://schemas.openxmlformats.org/officeDocument/2006/relationships/hyperlink" Target="http://probaseballexperience.jcink.net/index.php?showtopic=1232" TargetMode="External"/><Relationship Id="rId557" Type="http://schemas.openxmlformats.org/officeDocument/2006/relationships/hyperlink" Target="http://probaseballexperience.jcink.net/index.php?showtopic=173" TargetMode="External"/><Relationship Id="rId196" Type="http://schemas.openxmlformats.org/officeDocument/2006/relationships/hyperlink" Target="http://probaseballexperience.jcink.net/index.php?showtopic=1441" TargetMode="External"/><Relationship Id="rId417" Type="http://schemas.openxmlformats.org/officeDocument/2006/relationships/hyperlink" Target="http://probaseballexperience.jcink.net/index.php?showtopic=2444" TargetMode="External"/><Relationship Id="rId624" Type="http://schemas.openxmlformats.org/officeDocument/2006/relationships/hyperlink" Target="http://probaseballexperience.jcink.net/index.php?showuser=313" TargetMode="External"/><Relationship Id="rId263" Type="http://schemas.openxmlformats.org/officeDocument/2006/relationships/hyperlink" Target="http://probaseballexperience.jcink.net/index.php?showtopic=176" TargetMode="External"/><Relationship Id="rId470" Type="http://schemas.openxmlformats.org/officeDocument/2006/relationships/hyperlink" Target="http://probaseballexperience.jcink.net/index.php?showtopic=215" TargetMode="External"/><Relationship Id="rId58" Type="http://schemas.openxmlformats.org/officeDocument/2006/relationships/hyperlink" Target="http://probaseballexperience.jcink.net/index.php?showtopic=1560" TargetMode="External"/><Relationship Id="rId123" Type="http://schemas.openxmlformats.org/officeDocument/2006/relationships/hyperlink" Target="http://probaseballexperience.jcink.net/index.php?showuser=234" TargetMode="External"/><Relationship Id="rId330" Type="http://schemas.openxmlformats.org/officeDocument/2006/relationships/hyperlink" Target="http://probaseballexperience.jcink.net/index.php?showuser=206" TargetMode="External"/><Relationship Id="rId568" Type="http://schemas.openxmlformats.org/officeDocument/2006/relationships/hyperlink" Target="http://probaseballexperience.jcink.net/index.php?showuser=184" TargetMode="External"/><Relationship Id="rId428" Type="http://schemas.openxmlformats.org/officeDocument/2006/relationships/hyperlink" Target="http://probaseballexperience.jcink.net/index.php?showuser=326" TargetMode="External"/><Relationship Id="rId635" Type="http://schemas.openxmlformats.org/officeDocument/2006/relationships/hyperlink" Target="http://probaseballexperience.jcink.net/index.php?showtopic=3606" TargetMode="External"/><Relationship Id="rId274" Type="http://schemas.openxmlformats.org/officeDocument/2006/relationships/hyperlink" Target="http://probaseballexperience.jcink.net/index.php?showtopic=3018" TargetMode="External"/><Relationship Id="rId481" Type="http://schemas.openxmlformats.org/officeDocument/2006/relationships/hyperlink" Target="http://probaseballexperience.jcink.net/index.php?showuser=121" TargetMode="External"/><Relationship Id="rId702" Type="http://schemas.openxmlformats.org/officeDocument/2006/relationships/hyperlink" Target="http://probaseballexperience.jcink.net/index.php?showtopic=1082" TargetMode="External"/><Relationship Id="rId69" Type="http://schemas.openxmlformats.org/officeDocument/2006/relationships/hyperlink" Target="http://probaseballexperience.jcink.net/index.php?showtopic=66" TargetMode="External"/><Relationship Id="rId134" Type="http://schemas.openxmlformats.org/officeDocument/2006/relationships/hyperlink" Target="http://probaseballexperience.jcink.net/index.php?showtopic=2455" TargetMode="External"/><Relationship Id="rId579" Type="http://schemas.openxmlformats.org/officeDocument/2006/relationships/hyperlink" Target="http://probaseballexperience.jcink.net/index.php?showtopic=2229" TargetMode="External"/><Relationship Id="rId341" Type="http://schemas.openxmlformats.org/officeDocument/2006/relationships/hyperlink" Target="http://probaseballexperience.jcink.net/index.php?showtopic=164" TargetMode="External"/><Relationship Id="rId439" Type="http://schemas.openxmlformats.org/officeDocument/2006/relationships/hyperlink" Target="http://probaseballexperience.jcink.net/index.php?showuser=334" TargetMode="External"/><Relationship Id="rId646" Type="http://schemas.openxmlformats.org/officeDocument/2006/relationships/hyperlink" Target="http://probaseballexperience.jcink.net/index.php?showtopic=490" TargetMode="External"/><Relationship Id="rId201" Type="http://schemas.openxmlformats.org/officeDocument/2006/relationships/hyperlink" Target="http://probaseballexperience.jcink.net/index.php?showuser=68" TargetMode="External"/><Relationship Id="rId285" Type="http://schemas.openxmlformats.org/officeDocument/2006/relationships/hyperlink" Target="http://probaseballexperience.jcink.net/index.php?showuser=292" TargetMode="External"/><Relationship Id="rId506" Type="http://schemas.openxmlformats.org/officeDocument/2006/relationships/hyperlink" Target="http://probaseballexperience.jcink.net/index.php?showtopic=1377" TargetMode="External"/><Relationship Id="rId492" Type="http://schemas.openxmlformats.org/officeDocument/2006/relationships/hyperlink" Target="http://probaseballexperience.jcink.net/index.php?showtopic=3621" TargetMode="External"/><Relationship Id="rId713" Type="http://schemas.openxmlformats.org/officeDocument/2006/relationships/hyperlink" Target="http://probaseballexperience.jcink.net/index.php?showuser=139" TargetMode="External"/><Relationship Id="rId145" Type="http://schemas.openxmlformats.org/officeDocument/2006/relationships/hyperlink" Target="http://probaseballexperience.jcink.net/index.php?showtopic=354" TargetMode="External"/><Relationship Id="rId352" Type="http://schemas.openxmlformats.org/officeDocument/2006/relationships/hyperlink" Target="http://probaseballexperience.jcink.net/index.php?showuser=33" TargetMode="External"/><Relationship Id="rId212" Type="http://schemas.openxmlformats.org/officeDocument/2006/relationships/hyperlink" Target="http://probaseballexperience.jcink.net/index.php?showtopic=3046&amp;st=0&amp;" TargetMode="External"/><Relationship Id="rId657" Type="http://schemas.openxmlformats.org/officeDocument/2006/relationships/hyperlink" Target="http://probaseballexperience.jcink.net/index.php?showtopic=249" TargetMode="External"/><Relationship Id="rId296" Type="http://schemas.openxmlformats.org/officeDocument/2006/relationships/hyperlink" Target="http://probaseballexperience.jcink.net/index.php?showtopic=3145" TargetMode="External"/><Relationship Id="rId517" Type="http://schemas.openxmlformats.org/officeDocument/2006/relationships/hyperlink" Target="http://probaseballexperience.jcink.net/index.php?showuser=299" TargetMode="External"/><Relationship Id="rId724" Type="http://schemas.openxmlformats.org/officeDocument/2006/relationships/hyperlink" Target="http://probaseballexperience.jcink.net/index.php?showtopic=384" TargetMode="External"/><Relationship Id="rId60" Type="http://schemas.openxmlformats.org/officeDocument/2006/relationships/hyperlink" Target="http://probaseballexperience.jcink.net/index.php?showtopic=1560" TargetMode="External"/><Relationship Id="rId156" Type="http://schemas.openxmlformats.org/officeDocument/2006/relationships/hyperlink" Target="http://probaseballexperience.jcink.net/index.php?showuser=267" TargetMode="External"/><Relationship Id="rId363" Type="http://schemas.openxmlformats.org/officeDocument/2006/relationships/hyperlink" Target="http://probaseballexperience.jcink.net/index.php?showuser=80" TargetMode="External"/><Relationship Id="rId570" Type="http://schemas.openxmlformats.org/officeDocument/2006/relationships/hyperlink" Target="http://probaseballexperience.jcink.net/index.php?showtopic=235" TargetMode="External"/><Relationship Id="rId223" Type="http://schemas.openxmlformats.org/officeDocument/2006/relationships/hyperlink" Target="http://probaseballexperience.jcink.net/index.php?showtopic=1740" TargetMode="External"/><Relationship Id="rId430" Type="http://schemas.openxmlformats.org/officeDocument/2006/relationships/hyperlink" Target="http://probaseballexperience.jcink.net/index.php?showuser=282" TargetMode="External"/><Relationship Id="rId668" Type="http://schemas.openxmlformats.org/officeDocument/2006/relationships/hyperlink" Target="http://probaseballexperience.jcink.net/index.php?showuser=185" TargetMode="External"/><Relationship Id="rId18" Type="http://schemas.openxmlformats.org/officeDocument/2006/relationships/hyperlink" Target="http://probaseballexperience.jcink.net/index.php?showtopic=405" TargetMode="External"/><Relationship Id="rId528" Type="http://schemas.openxmlformats.org/officeDocument/2006/relationships/hyperlink" Target="http://probaseballexperience.jcink.net/index.php?showtopic=162" TargetMode="External"/><Relationship Id="rId735" Type="http://schemas.openxmlformats.org/officeDocument/2006/relationships/hyperlink" Target="http://probaseballexperience.jcink.net/index.php?showtopic=1738" TargetMode="External"/><Relationship Id="rId167" Type="http://schemas.openxmlformats.org/officeDocument/2006/relationships/hyperlink" Target="http://probaseballexperience.jcink.net/index.php?showtopic=2569" TargetMode="External"/><Relationship Id="rId374" Type="http://schemas.openxmlformats.org/officeDocument/2006/relationships/hyperlink" Target="http://probaseballexperience.jcink.net/index.php?showtopic=98" TargetMode="External"/><Relationship Id="rId581" Type="http://schemas.openxmlformats.org/officeDocument/2006/relationships/hyperlink" Target="http://probaseballexperience.jcink.net/index.php?showtopic=2229" TargetMode="External"/><Relationship Id="rId71" Type="http://schemas.openxmlformats.org/officeDocument/2006/relationships/hyperlink" Target="http://probaseballexperience.jcink.net/index.php?showuser=117" TargetMode="External"/><Relationship Id="rId234" Type="http://schemas.openxmlformats.org/officeDocument/2006/relationships/hyperlink" Target="http://probaseballexperience.jcink.net/index.php?showuser=165" TargetMode="External"/><Relationship Id="rId679" Type="http://schemas.openxmlformats.org/officeDocument/2006/relationships/hyperlink" Target="http://probaseballexperience.jcink.net/index.php?showtopic=1076" TargetMode="External"/><Relationship Id="rId2" Type="http://schemas.openxmlformats.org/officeDocument/2006/relationships/hyperlink" Target="http://probaseballexperience.jcink.net/index.php?showuser=14" TargetMode="External"/><Relationship Id="rId29" Type="http://schemas.openxmlformats.org/officeDocument/2006/relationships/hyperlink" Target="http://probaseballexperience.jcink.net/index.php?showuser=60" TargetMode="External"/><Relationship Id="rId441" Type="http://schemas.openxmlformats.org/officeDocument/2006/relationships/hyperlink" Target="http://probaseballexperience.jcink.net/index.php?showtopic=3619" TargetMode="External"/><Relationship Id="rId539" Type="http://schemas.openxmlformats.org/officeDocument/2006/relationships/hyperlink" Target="http://probaseballexperience.jcink.net/index.php?showtopic=3360" TargetMode="External"/><Relationship Id="rId178" Type="http://schemas.openxmlformats.org/officeDocument/2006/relationships/hyperlink" Target="http://probaseballexperience.jcink.net/index.php?showtopic=2599" TargetMode="External"/><Relationship Id="rId301" Type="http://schemas.openxmlformats.org/officeDocument/2006/relationships/hyperlink" Target="http://probaseballexperience.jcink.net/index.php?showtopic=2781" TargetMode="External"/><Relationship Id="rId82" Type="http://schemas.openxmlformats.org/officeDocument/2006/relationships/hyperlink" Target="http://probaseballexperience.jcink.net/index.php?showtopic=213" TargetMode="External"/><Relationship Id="rId385" Type="http://schemas.openxmlformats.org/officeDocument/2006/relationships/hyperlink" Target="http://probaseballexperience.jcink.net/index.php?showtopic=1741" TargetMode="External"/><Relationship Id="rId592" Type="http://schemas.openxmlformats.org/officeDocument/2006/relationships/hyperlink" Target="http://probaseballexperience.jcink.net/index.php?showuser=315" TargetMode="External"/><Relationship Id="rId606" Type="http://schemas.openxmlformats.org/officeDocument/2006/relationships/hyperlink" Target="http://probaseballexperience.jcink.net/index.php?showuser=243" TargetMode="External"/><Relationship Id="rId245" Type="http://schemas.openxmlformats.org/officeDocument/2006/relationships/hyperlink" Target="http://probaseballexperience.jcink.net/index.php?showtopic=3104" TargetMode="External"/><Relationship Id="rId452" Type="http://schemas.openxmlformats.org/officeDocument/2006/relationships/hyperlink" Target="http://probaseballexperience.jcink.net/index.php?showtopic=2987" TargetMode="External"/><Relationship Id="rId105" Type="http://schemas.openxmlformats.org/officeDocument/2006/relationships/hyperlink" Target="http://probaseballexperience.jcink.net/index.php?showuser=27" TargetMode="External"/><Relationship Id="rId312" Type="http://schemas.openxmlformats.org/officeDocument/2006/relationships/hyperlink" Target="http://probaseballexperience.jcink.net/index.php?showuser=150" TargetMode="External"/><Relationship Id="rId93" Type="http://schemas.openxmlformats.org/officeDocument/2006/relationships/hyperlink" Target="http://probaseballexperience.jcink.net/index.php?showuser=92" TargetMode="External"/><Relationship Id="rId189" Type="http://schemas.openxmlformats.org/officeDocument/2006/relationships/hyperlink" Target="http://probaseballexperience.jcink.net/index.php?showuser=2" TargetMode="External"/><Relationship Id="rId396" Type="http://schemas.openxmlformats.org/officeDocument/2006/relationships/hyperlink" Target="http://probaseballexperience.jcink.net/index.php?showtopic=2506" TargetMode="External"/><Relationship Id="rId617" Type="http://schemas.openxmlformats.org/officeDocument/2006/relationships/hyperlink" Target="http://probaseballexperience.jcink.net/index.php?showtopic=1032" TargetMode="External"/><Relationship Id="rId256" Type="http://schemas.openxmlformats.org/officeDocument/2006/relationships/hyperlink" Target="http://probaseballexperience.jcink.net/index.php?showtopic=268" TargetMode="External"/><Relationship Id="rId463" Type="http://schemas.openxmlformats.org/officeDocument/2006/relationships/hyperlink" Target="http://probaseballexperience.jcink.net/index.php?showuser=129" TargetMode="External"/><Relationship Id="rId670" Type="http://schemas.openxmlformats.org/officeDocument/2006/relationships/hyperlink" Target="http://probaseballexperience.jcink.net/index.php?showtopic=342" TargetMode="External"/><Relationship Id="rId116" Type="http://schemas.openxmlformats.org/officeDocument/2006/relationships/hyperlink" Target="http://probaseballexperience.jcink.net/index.php?showtopic=2467" TargetMode="External"/><Relationship Id="rId158" Type="http://schemas.openxmlformats.org/officeDocument/2006/relationships/hyperlink" Target="http://probaseballexperience.jcink.net/index.php?showtopic=100" TargetMode="External"/><Relationship Id="rId323" Type="http://schemas.openxmlformats.org/officeDocument/2006/relationships/hyperlink" Target="http://probaseballexperience.jcink.net/index.php?showtopic=1757" TargetMode="External"/><Relationship Id="rId530" Type="http://schemas.openxmlformats.org/officeDocument/2006/relationships/hyperlink" Target="http://probaseballexperience.jcink.net/index.php?showtopic=162" TargetMode="External"/><Relationship Id="rId726" Type="http://schemas.openxmlformats.org/officeDocument/2006/relationships/hyperlink" Target="http://probaseballexperience.jcink.net/index.php?showtopic=384" TargetMode="External"/><Relationship Id="rId20" Type="http://schemas.openxmlformats.org/officeDocument/2006/relationships/hyperlink" Target="http://probaseballexperience.jcink.net/index.php?showuser=65" TargetMode="External"/><Relationship Id="rId62" Type="http://schemas.openxmlformats.org/officeDocument/2006/relationships/hyperlink" Target="http://probaseballexperience.jcink.net/index.php?showuser=159" TargetMode="External"/><Relationship Id="rId365" Type="http://schemas.openxmlformats.org/officeDocument/2006/relationships/hyperlink" Target="http://probaseballexperience.jcink.net/index.php?showtopic=607" TargetMode="External"/><Relationship Id="rId572" Type="http://schemas.openxmlformats.org/officeDocument/2006/relationships/hyperlink" Target="http://probaseballexperience.jcink.net/index.php?showtopic=235" TargetMode="External"/><Relationship Id="rId628" Type="http://schemas.openxmlformats.org/officeDocument/2006/relationships/hyperlink" Target="http://probaseballexperience.jcink.net/index.php?showtopic=3170" TargetMode="External"/><Relationship Id="rId225" Type="http://schemas.openxmlformats.org/officeDocument/2006/relationships/hyperlink" Target="http://probaseballexperience.jcink.net/index.php?showuser=205" TargetMode="External"/><Relationship Id="rId267" Type="http://schemas.openxmlformats.org/officeDocument/2006/relationships/hyperlink" Target="http://probaseballexperience.jcink.net/index.php?showuser=290" TargetMode="External"/><Relationship Id="rId432" Type="http://schemas.openxmlformats.org/officeDocument/2006/relationships/hyperlink" Target="http://probaseballexperience.jcink.net/index.php?showtopic=112" TargetMode="External"/><Relationship Id="rId474" Type="http://schemas.openxmlformats.org/officeDocument/2006/relationships/hyperlink" Target="http://probaseballexperience.jcink.net/index.php?showtopic=1477" TargetMode="External"/><Relationship Id="rId127" Type="http://schemas.openxmlformats.org/officeDocument/2006/relationships/hyperlink" Target="http://probaseballexperience.jcink.net/index.php?showtopic=2165" TargetMode="External"/><Relationship Id="rId681" Type="http://schemas.openxmlformats.org/officeDocument/2006/relationships/hyperlink" Target="http://probaseballexperience.jcink.net/index.php?showtopic=1076" TargetMode="External"/><Relationship Id="rId737" Type="http://schemas.openxmlformats.org/officeDocument/2006/relationships/hyperlink" Target="http://probaseballexperience.jcink.net/index.php?showuser=250" TargetMode="External"/><Relationship Id="rId31" Type="http://schemas.openxmlformats.org/officeDocument/2006/relationships/hyperlink" Target="http://probaseballexperience.jcink.net/index.php?showtopic=211" TargetMode="External"/><Relationship Id="rId73" Type="http://schemas.openxmlformats.org/officeDocument/2006/relationships/hyperlink" Target="http://probaseballexperience.jcink.net/index.php?showtopic=88" TargetMode="External"/><Relationship Id="rId169" Type="http://schemas.openxmlformats.org/officeDocument/2006/relationships/hyperlink" Target="http://probaseballexperience.jcink.net/index.php?showtopic=2569" TargetMode="External"/><Relationship Id="rId334" Type="http://schemas.openxmlformats.org/officeDocument/2006/relationships/hyperlink" Target="http://probaseballexperience.jcink.net/index.php?showtopic=797" TargetMode="External"/><Relationship Id="rId376" Type="http://schemas.openxmlformats.org/officeDocument/2006/relationships/hyperlink" Target="http://probaseballexperience.jcink.net/index.php?showtopic=98" TargetMode="External"/><Relationship Id="rId541" Type="http://schemas.openxmlformats.org/officeDocument/2006/relationships/hyperlink" Target="http://probaseballexperience.jcink.net/index.php?showuser=26" TargetMode="External"/><Relationship Id="rId583" Type="http://schemas.openxmlformats.org/officeDocument/2006/relationships/hyperlink" Target="http://probaseballexperience.jcink.net/index.php?showuser=166" TargetMode="External"/><Relationship Id="rId639" Type="http://schemas.openxmlformats.org/officeDocument/2006/relationships/hyperlink" Target="http://probaseballexperience.jcink.net/index.php?showtopic=3186" TargetMode="External"/><Relationship Id="rId4" Type="http://schemas.openxmlformats.org/officeDocument/2006/relationships/hyperlink" Target="http://probaseballexperience.jcink.net/index.php?showtopic=79" TargetMode="External"/><Relationship Id="rId180" Type="http://schemas.openxmlformats.org/officeDocument/2006/relationships/hyperlink" Target="http://probaseballexperience.jcink.net/index.php?showuser=281" TargetMode="External"/><Relationship Id="rId236" Type="http://schemas.openxmlformats.org/officeDocument/2006/relationships/hyperlink" Target="http://probaseballexperience.jcink.net/index.php?showtopic=2984" TargetMode="External"/><Relationship Id="rId278" Type="http://schemas.openxmlformats.org/officeDocument/2006/relationships/hyperlink" Target="http://probaseballexperience.jcink.net/index.php?showtopic=247" TargetMode="External"/><Relationship Id="rId401" Type="http://schemas.openxmlformats.org/officeDocument/2006/relationships/hyperlink" Target="http://probaseballexperience.jcink.net/index.php?showuser=224" TargetMode="External"/><Relationship Id="rId443" Type="http://schemas.openxmlformats.org/officeDocument/2006/relationships/hyperlink" Target="http://probaseballexperience.jcink.net/index.php?showtopic=3619" TargetMode="External"/><Relationship Id="rId650" Type="http://schemas.openxmlformats.org/officeDocument/2006/relationships/hyperlink" Target="http://probaseballexperience.jcink.net/index.php?showuser=76" TargetMode="External"/><Relationship Id="rId303" Type="http://schemas.openxmlformats.org/officeDocument/2006/relationships/hyperlink" Target="http://probaseballexperience.jcink.net/index.php?showuser=191" TargetMode="External"/><Relationship Id="rId485" Type="http://schemas.openxmlformats.org/officeDocument/2006/relationships/hyperlink" Target="http://probaseballexperience.jcink.net/index.php?showtopic=127" TargetMode="External"/><Relationship Id="rId692" Type="http://schemas.openxmlformats.org/officeDocument/2006/relationships/hyperlink" Target="http://probaseballexperience.jcink.net/index.php?showuser=285" TargetMode="External"/><Relationship Id="rId706" Type="http://schemas.openxmlformats.org/officeDocument/2006/relationships/hyperlink" Target="http://probaseballexperience.jcink.net/index.php?showtopic=1673" TargetMode="External"/><Relationship Id="rId42" Type="http://schemas.openxmlformats.org/officeDocument/2006/relationships/hyperlink" Target="http://probaseballexperience.jcink.net/index.php?showtopic=627" TargetMode="External"/><Relationship Id="rId84" Type="http://schemas.openxmlformats.org/officeDocument/2006/relationships/hyperlink" Target="http://probaseballexperience.jcink.net/index.php?showtopic=213" TargetMode="External"/><Relationship Id="rId138" Type="http://schemas.openxmlformats.org/officeDocument/2006/relationships/hyperlink" Target="http://probaseballexperience.jcink.net/index.php?showuser=38" TargetMode="External"/><Relationship Id="rId345" Type="http://schemas.openxmlformats.org/officeDocument/2006/relationships/hyperlink" Target="http://probaseballexperience.jcink.net/index.php?showuser=195" TargetMode="External"/><Relationship Id="rId387" Type="http://schemas.openxmlformats.org/officeDocument/2006/relationships/hyperlink" Target="http://probaseballexperience.jcink.net/index.php?showtopic=1741" TargetMode="External"/><Relationship Id="rId510" Type="http://schemas.openxmlformats.org/officeDocument/2006/relationships/hyperlink" Target="http://probaseballexperience.jcink.net/index.php?showtopic=3272" TargetMode="External"/><Relationship Id="rId552" Type="http://schemas.openxmlformats.org/officeDocument/2006/relationships/hyperlink" Target="http://probaseballexperience.jcink.net/index.php?showtopic=3594" TargetMode="External"/><Relationship Id="rId594" Type="http://schemas.openxmlformats.org/officeDocument/2006/relationships/hyperlink" Target="http://probaseballexperience.jcink.net/index.php?showtopic=3567" TargetMode="External"/><Relationship Id="rId608" Type="http://schemas.openxmlformats.org/officeDocument/2006/relationships/hyperlink" Target="http://probaseballexperience.jcink.net/index.php?showtopic=144" TargetMode="External"/><Relationship Id="rId191" Type="http://schemas.openxmlformats.org/officeDocument/2006/relationships/hyperlink" Target="http://probaseballexperience.jcink.net/index.php?showtopic=2601" TargetMode="External"/><Relationship Id="rId205" Type="http://schemas.openxmlformats.org/officeDocument/2006/relationships/hyperlink" Target="http://probaseballexperience.jcink.net/index.php?showtopic=2307" TargetMode="External"/><Relationship Id="rId247" Type="http://schemas.openxmlformats.org/officeDocument/2006/relationships/hyperlink" Target="http://probaseballexperience.jcink.net/index.php?showtopic=3104" TargetMode="External"/><Relationship Id="rId412" Type="http://schemas.openxmlformats.org/officeDocument/2006/relationships/hyperlink" Target="http://probaseballexperience.jcink.net/index.php?showtopic=1053" TargetMode="External"/><Relationship Id="rId107" Type="http://schemas.openxmlformats.org/officeDocument/2006/relationships/hyperlink" Target="http://probaseballexperience.jcink.net/index.php?showtopic=1209" TargetMode="External"/><Relationship Id="rId289" Type="http://schemas.openxmlformats.org/officeDocument/2006/relationships/hyperlink" Target="http://probaseballexperience.jcink.net/index.php?showtopic=3110" TargetMode="External"/><Relationship Id="rId454" Type="http://schemas.openxmlformats.org/officeDocument/2006/relationships/hyperlink" Target="http://probaseballexperience.jcink.net/index.php?showuser=214" TargetMode="External"/><Relationship Id="rId496" Type="http://schemas.openxmlformats.org/officeDocument/2006/relationships/hyperlink" Target="http://probaseballexperience.jcink.net/index.php?showuser=63" TargetMode="External"/><Relationship Id="rId661" Type="http://schemas.openxmlformats.org/officeDocument/2006/relationships/hyperlink" Target="http://probaseballexperience.jcink.net/index.php?showtopic=1097" TargetMode="External"/><Relationship Id="rId717" Type="http://schemas.openxmlformats.org/officeDocument/2006/relationships/hyperlink" Target="http://probaseballexperience.jcink.net/index.php?showtopic=276" TargetMode="External"/><Relationship Id="rId11" Type="http://schemas.openxmlformats.org/officeDocument/2006/relationships/hyperlink" Target="http://probaseballexperience.jcink.net/index.php?showuser=113" TargetMode="External"/><Relationship Id="rId53" Type="http://schemas.openxmlformats.org/officeDocument/2006/relationships/hyperlink" Target="http://probaseballexperience.jcink.net/index.php?showuser=189" TargetMode="External"/><Relationship Id="rId149" Type="http://schemas.openxmlformats.org/officeDocument/2006/relationships/hyperlink" Target="http://probaseballexperience.jcink.net/index.php?showtopic=230" TargetMode="External"/><Relationship Id="rId314" Type="http://schemas.openxmlformats.org/officeDocument/2006/relationships/hyperlink" Target="http://probaseballexperience.jcink.net/index.php?showtopic=2337" TargetMode="External"/><Relationship Id="rId356" Type="http://schemas.openxmlformats.org/officeDocument/2006/relationships/hyperlink" Target="http://probaseballexperience.jcink.net/index.php?showtopic=2227" TargetMode="External"/><Relationship Id="rId398" Type="http://schemas.openxmlformats.org/officeDocument/2006/relationships/hyperlink" Target="http://probaseballexperience.jcink.net/index.php?showuser=162" TargetMode="External"/><Relationship Id="rId521" Type="http://schemas.openxmlformats.org/officeDocument/2006/relationships/hyperlink" Target="http://probaseballexperience.jcink.net/index.php?showtopic=3576" TargetMode="External"/><Relationship Id="rId563" Type="http://schemas.openxmlformats.org/officeDocument/2006/relationships/hyperlink" Target="http://probaseballexperience.jcink.net/index.php?showtopic=147" TargetMode="External"/><Relationship Id="rId619" Type="http://schemas.openxmlformats.org/officeDocument/2006/relationships/hyperlink" Target="http://probaseballexperience.jcink.net/index.php?showtopic=1032" TargetMode="External"/><Relationship Id="rId95" Type="http://schemas.openxmlformats.org/officeDocument/2006/relationships/hyperlink" Target="http://probaseballexperience.jcink.net/index.php?showtopic=1152" TargetMode="External"/><Relationship Id="rId160" Type="http://schemas.openxmlformats.org/officeDocument/2006/relationships/hyperlink" Target="http://probaseballexperience.jcink.net/index.php?showtopic=100" TargetMode="External"/><Relationship Id="rId216" Type="http://schemas.openxmlformats.org/officeDocument/2006/relationships/hyperlink" Target="http://probaseballexperience.jcink.net/index.php?showuser=142" TargetMode="External"/><Relationship Id="rId423" Type="http://schemas.openxmlformats.org/officeDocument/2006/relationships/hyperlink" Target="http://probaseballexperience.jcink.net/index.php?showtopic=238" TargetMode="External"/><Relationship Id="rId258" Type="http://schemas.openxmlformats.org/officeDocument/2006/relationships/hyperlink" Target="http://probaseballexperience.jcink.net/index.php?showuser=235" TargetMode="External"/><Relationship Id="rId465" Type="http://schemas.openxmlformats.org/officeDocument/2006/relationships/hyperlink" Target="http://probaseballexperience.jcink.net/index.php?showtopic=2502" TargetMode="External"/><Relationship Id="rId630" Type="http://schemas.openxmlformats.org/officeDocument/2006/relationships/hyperlink" Target="http://probaseballexperience.jcink.net/index.php?showuser=331" TargetMode="External"/><Relationship Id="rId672" Type="http://schemas.openxmlformats.org/officeDocument/2006/relationships/hyperlink" Target="http://probaseballexperience.jcink.net/index.php?showtopic=342" TargetMode="External"/><Relationship Id="rId728" Type="http://schemas.openxmlformats.org/officeDocument/2006/relationships/hyperlink" Target="http://probaseballexperience.jcink.net/index.php?showuser=178" TargetMode="External"/><Relationship Id="rId22" Type="http://schemas.openxmlformats.org/officeDocument/2006/relationships/hyperlink" Target="http://probaseballexperience.jcink.net/index.php?showtopic=153" TargetMode="External"/><Relationship Id="rId64" Type="http://schemas.openxmlformats.org/officeDocument/2006/relationships/hyperlink" Target="http://probaseballexperience.jcink.net/index.php?showtopic=1732" TargetMode="External"/><Relationship Id="rId118" Type="http://schemas.openxmlformats.org/officeDocument/2006/relationships/hyperlink" Target="http://probaseballexperience.jcink.net/index.php?showtopic=2467" TargetMode="External"/><Relationship Id="rId325" Type="http://schemas.openxmlformats.org/officeDocument/2006/relationships/hyperlink" Target="http://probaseballexperience.jcink.net/index.php?showtopic=1757" TargetMode="External"/><Relationship Id="rId367" Type="http://schemas.openxmlformats.org/officeDocument/2006/relationships/hyperlink" Target="http://probaseballexperience.jcink.net/index.php?showtopic=607" TargetMode="External"/><Relationship Id="rId532" Type="http://schemas.openxmlformats.org/officeDocument/2006/relationships/hyperlink" Target="http://probaseballexperience.jcink.net/index.php?showuser=312" TargetMode="External"/><Relationship Id="rId574" Type="http://schemas.openxmlformats.org/officeDocument/2006/relationships/hyperlink" Target="http://probaseballexperience.jcink.net/index.php?showuser=297" TargetMode="External"/><Relationship Id="rId171" Type="http://schemas.openxmlformats.org/officeDocument/2006/relationships/hyperlink" Target="http://probaseballexperience.jcink.net/index.php?showuser=1" TargetMode="External"/><Relationship Id="rId227" Type="http://schemas.openxmlformats.org/officeDocument/2006/relationships/hyperlink" Target="http://probaseballexperience.jcink.net/index.php?showtopic=3019" TargetMode="External"/><Relationship Id="rId269" Type="http://schemas.openxmlformats.org/officeDocument/2006/relationships/hyperlink" Target="http://probaseballexperience.jcink.net/index.php?showtopic=3087" TargetMode="External"/><Relationship Id="rId434" Type="http://schemas.openxmlformats.org/officeDocument/2006/relationships/hyperlink" Target="http://probaseballexperience.jcink.net/index.php?showtopic=112" TargetMode="External"/><Relationship Id="rId476" Type="http://schemas.openxmlformats.org/officeDocument/2006/relationships/hyperlink" Target="http://probaseballexperience.jcink.net/index.php?showtopic=1477" TargetMode="External"/><Relationship Id="rId641" Type="http://schemas.openxmlformats.org/officeDocument/2006/relationships/hyperlink" Target="http://probaseballexperience.jcink.net/index.php?showuser=286" TargetMode="External"/><Relationship Id="rId683" Type="http://schemas.openxmlformats.org/officeDocument/2006/relationships/hyperlink" Target="http://probaseballexperience.jcink.net/index.php?showuser=167" TargetMode="External"/><Relationship Id="rId739" Type="http://schemas.openxmlformats.org/officeDocument/2006/relationships/hyperlink" Target="http://probaseballexperience.jcink.net/index.php?showtopic=840" TargetMode="External"/><Relationship Id="rId33" Type="http://schemas.openxmlformats.org/officeDocument/2006/relationships/hyperlink" Target="http://probaseballexperience.jcink.net/index.php?showtopic=211" TargetMode="External"/><Relationship Id="rId129" Type="http://schemas.openxmlformats.org/officeDocument/2006/relationships/hyperlink" Target="http://probaseballexperience.jcink.net/index.php?showuser=9" TargetMode="External"/><Relationship Id="rId280" Type="http://schemas.openxmlformats.org/officeDocument/2006/relationships/hyperlink" Target="http://probaseballexperience.jcink.net/index.php?showtopic=247" TargetMode="External"/><Relationship Id="rId336" Type="http://schemas.openxmlformats.org/officeDocument/2006/relationships/hyperlink" Target="http://probaseballexperience.jcink.net/index.php?showuser=179" TargetMode="External"/><Relationship Id="rId501" Type="http://schemas.openxmlformats.org/officeDocument/2006/relationships/hyperlink" Target="http://probaseballexperience.jcink.net/index.php?showtopic=762" TargetMode="External"/><Relationship Id="rId543" Type="http://schemas.openxmlformats.org/officeDocument/2006/relationships/hyperlink" Target="http://probaseballexperience.jcink.net/index.php?showtopic=242" TargetMode="External"/><Relationship Id="rId75" Type="http://schemas.openxmlformats.org/officeDocument/2006/relationships/hyperlink" Target="http://probaseballexperience.jcink.net/index.php?showtopic=88" TargetMode="External"/><Relationship Id="rId140" Type="http://schemas.openxmlformats.org/officeDocument/2006/relationships/hyperlink" Target="http://probaseballexperience.jcink.net/index.php?showtopic=123" TargetMode="External"/><Relationship Id="rId182" Type="http://schemas.openxmlformats.org/officeDocument/2006/relationships/hyperlink" Target="http://probaseballexperience.jcink.net/index.php?showtopic=141" TargetMode="External"/><Relationship Id="rId378" Type="http://schemas.openxmlformats.org/officeDocument/2006/relationships/hyperlink" Target="http://probaseballexperience.jcink.net/index.php?showuser=325" TargetMode="External"/><Relationship Id="rId403" Type="http://schemas.openxmlformats.org/officeDocument/2006/relationships/hyperlink" Target="http://probaseballexperience.jcink.net/index.php?showtopic=805" TargetMode="External"/><Relationship Id="rId585" Type="http://schemas.openxmlformats.org/officeDocument/2006/relationships/hyperlink" Target="http://probaseballexperience.jcink.net/index.php?showtopic=362" TargetMode="External"/><Relationship Id="rId6" Type="http://schemas.openxmlformats.org/officeDocument/2006/relationships/hyperlink" Target="http://probaseballexperience.jcink.net/index.php?showtopic=79" TargetMode="External"/><Relationship Id="rId238" Type="http://schemas.openxmlformats.org/officeDocument/2006/relationships/hyperlink" Target="http://probaseballexperience.jcink.net/index.php?showtopic=2984" TargetMode="External"/><Relationship Id="rId445" Type="http://schemas.openxmlformats.org/officeDocument/2006/relationships/hyperlink" Target="http://probaseballexperience.jcink.net/index.php?showuser=339" TargetMode="External"/><Relationship Id="rId487" Type="http://schemas.openxmlformats.org/officeDocument/2006/relationships/hyperlink" Target="http://probaseballexperience.jcink.net/index.php?showuser=102" TargetMode="External"/><Relationship Id="rId610" Type="http://schemas.openxmlformats.org/officeDocument/2006/relationships/hyperlink" Target="http://probaseballexperience.jcink.net/index.php?showtopic=144" TargetMode="External"/><Relationship Id="rId652" Type="http://schemas.openxmlformats.org/officeDocument/2006/relationships/hyperlink" Target="http://probaseballexperience.jcink.net/index.php?showtopic=397" TargetMode="External"/><Relationship Id="rId694" Type="http://schemas.openxmlformats.org/officeDocument/2006/relationships/hyperlink" Target="http://probaseballexperience.jcink.net/index.php?showtopic=1426" TargetMode="External"/><Relationship Id="rId708" Type="http://schemas.openxmlformats.org/officeDocument/2006/relationships/hyperlink" Target="http://probaseballexperience.jcink.net/index.php?showtopic=1673" TargetMode="External"/><Relationship Id="rId291" Type="http://schemas.openxmlformats.org/officeDocument/2006/relationships/hyperlink" Target="http://probaseballexperience.jcink.net/index.php?showuser=310" TargetMode="External"/><Relationship Id="rId305" Type="http://schemas.openxmlformats.org/officeDocument/2006/relationships/hyperlink" Target="http://probaseballexperience.jcink.net/index.php?showtopic=2674" TargetMode="External"/><Relationship Id="rId347" Type="http://schemas.openxmlformats.org/officeDocument/2006/relationships/hyperlink" Target="http://probaseballexperience.jcink.net/index.php?showtopic=248" TargetMode="External"/><Relationship Id="rId512" Type="http://schemas.openxmlformats.org/officeDocument/2006/relationships/hyperlink" Target="http://probaseballexperience.jcink.net/index.php?showtopic=3272" TargetMode="External"/><Relationship Id="rId44" Type="http://schemas.openxmlformats.org/officeDocument/2006/relationships/hyperlink" Target="http://probaseballexperience.jcink.net/index.php?showuser=23" TargetMode="External"/><Relationship Id="rId86" Type="http://schemas.openxmlformats.org/officeDocument/2006/relationships/hyperlink" Target="http://probaseballexperience.jcink.net/index.php?showtopic=1045" TargetMode="External"/><Relationship Id="rId151" Type="http://schemas.openxmlformats.org/officeDocument/2006/relationships/hyperlink" Target="http://probaseballexperience.jcink.net/index.php?showtopic=230" TargetMode="External"/><Relationship Id="rId389" Type="http://schemas.openxmlformats.org/officeDocument/2006/relationships/hyperlink" Target="http://probaseballexperience.jcink.net/index.php?showuser=78" TargetMode="External"/><Relationship Id="rId554" Type="http://schemas.openxmlformats.org/officeDocument/2006/relationships/hyperlink" Target="http://probaseballexperience.jcink.net/index.php?showtopic=3594" TargetMode="External"/><Relationship Id="rId596" Type="http://schemas.openxmlformats.org/officeDocument/2006/relationships/hyperlink" Target="http://probaseballexperience.jcink.net/index.php?showtopic=3567" TargetMode="External"/><Relationship Id="rId193" Type="http://schemas.openxmlformats.org/officeDocument/2006/relationships/hyperlink" Target="http://probaseballexperience.jcink.net/index.php?showtopic=2601" TargetMode="External"/><Relationship Id="rId207" Type="http://schemas.openxmlformats.org/officeDocument/2006/relationships/hyperlink" Target="http://probaseballexperience.jcink.net/index.php?showuser=273" TargetMode="External"/><Relationship Id="rId249" Type="http://schemas.openxmlformats.org/officeDocument/2006/relationships/hyperlink" Target="http://probaseballexperience.jcink.net/index.php?showuser=97" TargetMode="External"/><Relationship Id="rId414" Type="http://schemas.openxmlformats.org/officeDocument/2006/relationships/hyperlink" Target="http://probaseballexperience.jcink.net/index.php?showtopic=1053" TargetMode="External"/><Relationship Id="rId456" Type="http://schemas.openxmlformats.org/officeDocument/2006/relationships/hyperlink" Target="http://probaseballexperience.jcink.net/index.php?showtopic=140" TargetMode="External"/><Relationship Id="rId498" Type="http://schemas.openxmlformats.org/officeDocument/2006/relationships/hyperlink" Target="http://probaseballexperience.jcink.net/index.php?showtopic=2615" TargetMode="External"/><Relationship Id="rId621" Type="http://schemas.openxmlformats.org/officeDocument/2006/relationships/hyperlink" Target="http://probaseballexperience.jcink.net/index.php?showuser=277" TargetMode="External"/><Relationship Id="rId663" Type="http://schemas.openxmlformats.org/officeDocument/2006/relationships/hyperlink" Target="http://probaseballexperience.jcink.net/index.php?showtopic=1097" TargetMode="External"/><Relationship Id="rId13" Type="http://schemas.openxmlformats.org/officeDocument/2006/relationships/hyperlink" Target="http://probaseballexperience.jcink.net/index.php?showtopic=104" TargetMode="External"/><Relationship Id="rId109" Type="http://schemas.openxmlformats.org/officeDocument/2006/relationships/hyperlink" Target="http://probaseballexperience.jcink.net/index.php?showtopic=1209" TargetMode="External"/><Relationship Id="rId260" Type="http://schemas.openxmlformats.org/officeDocument/2006/relationships/hyperlink" Target="http://probaseballexperience.jcink.net/index.php?showtopic=64" TargetMode="External"/><Relationship Id="rId316" Type="http://schemas.openxmlformats.org/officeDocument/2006/relationships/hyperlink" Target="http://probaseballexperience.jcink.net/index.php?showtopic=2337" TargetMode="External"/><Relationship Id="rId523" Type="http://schemas.openxmlformats.org/officeDocument/2006/relationships/hyperlink" Target="http://probaseballexperience.jcink.net/index.php?showuser=124" TargetMode="External"/><Relationship Id="rId719" Type="http://schemas.openxmlformats.org/officeDocument/2006/relationships/hyperlink" Target="http://probaseballexperience.jcink.net/index.php?showuser=84" TargetMode="External"/><Relationship Id="rId55" Type="http://schemas.openxmlformats.org/officeDocument/2006/relationships/hyperlink" Target="http://probaseballexperience.jcink.net/index.php?showtopic=195" TargetMode="External"/><Relationship Id="rId97" Type="http://schemas.openxmlformats.org/officeDocument/2006/relationships/hyperlink" Target="http://probaseballexperience.jcink.net/index.php?showtopic=1152" TargetMode="External"/><Relationship Id="rId120" Type="http://schemas.openxmlformats.org/officeDocument/2006/relationships/hyperlink" Target="http://probaseballexperience.jcink.net/index.php?showuser=104" TargetMode="External"/><Relationship Id="rId358" Type="http://schemas.openxmlformats.org/officeDocument/2006/relationships/hyperlink" Target="http://probaseballexperience.jcink.net/index.php?showuser=318" TargetMode="External"/><Relationship Id="rId565" Type="http://schemas.openxmlformats.org/officeDocument/2006/relationships/hyperlink" Target="http://probaseballexperience.jcink.net/index.php?showuser=223" TargetMode="External"/><Relationship Id="rId730" Type="http://schemas.openxmlformats.org/officeDocument/2006/relationships/hyperlink" Target="http://probaseballexperience.jcink.net/index.php?showtopic=1174" TargetMode="External"/><Relationship Id="rId162" Type="http://schemas.openxmlformats.org/officeDocument/2006/relationships/hyperlink" Target="http://probaseballexperience.jcink.net/index.php?showuser=126" TargetMode="External"/><Relationship Id="rId218" Type="http://schemas.openxmlformats.org/officeDocument/2006/relationships/hyperlink" Target="http://probaseballexperience.jcink.net/index.php?showtopic=114" TargetMode="External"/><Relationship Id="rId425" Type="http://schemas.openxmlformats.org/officeDocument/2006/relationships/hyperlink" Target="http://probaseballexperience.jcink.net/index.php?showuser=7" TargetMode="External"/><Relationship Id="rId467" Type="http://schemas.openxmlformats.org/officeDocument/2006/relationships/hyperlink" Target="http://probaseballexperience.jcink.net/index.php?showtopic=2502" TargetMode="External"/><Relationship Id="rId632" Type="http://schemas.openxmlformats.org/officeDocument/2006/relationships/hyperlink" Target="http://probaseballexperience.jcink.net/index.php?showtopic=3430&amp;view=findpost&amp;p=37310" TargetMode="External"/><Relationship Id="rId271" Type="http://schemas.openxmlformats.org/officeDocument/2006/relationships/hyperlink" Target="http://probaseballexperience.jcink.net/index.php?showtopic=3087" TargetMode="External"/><Relationship Id="rId674" Type="http://schemas.openxmlformats.org/officeDocument/2006/relationships/hyperlink" Target="http://probaseballexperience.jcink.net/index.php?showuser=161" TargetMode="External"/><Relationship Id="rId24" Type="http://schemas.openxmlformats.org/officeDocument/2006/relationships/hyperlink" Target="http://probaseballexperience.jcink.net/index.php?showtopic=153" TargetMode="External"/><Relationship Id="rId66" Type="http://schemas.openxmlformats.org/officeDocument/2006/relationships/hyperlink" Target="http://probaseballexperience.jcink.net/index.php?showtopic=1732" TargetMode="External"/><Relationship Id="rId131" Type="http://schemas.openxmlformats.org/officeDocument/2006/relationships/hyperlink" Target="http://probaseballexperience.jcink.net/index.php?showtopic=1664" TargetMode="External"/><Relationship Id="rId327" Type="http://schemas.openxmlformats.org/officeDocument/2006/relationships/hyperlink" Target="http://probaseballexperience.jcink.net/index.php?showuser=323" TargetMode="External"/><Relationship Id="rId369" Type="http://schemas.openxmlformats.org/officeDocument/2006/relationships/hyperlink" Target="http://probaseballexperience.jcink.net/index.php?showuser=193" TargetMode="External"/><Relationship Id="rId534" Type="http://schemas.openxmlformats.org/officeDocument/2006/relationships/hyperlink" Target="http://probaseballexperience.jcink.net/index.php?showtopic=3097" TargetMode="External"/><Relationship Id="rId576" Type="http://schemas.openxmlformats.org/officeDocument/2006/relationships/hyperlink" Target="http://probaseballexperience.jcink.net/index.php?showtopic=239" TargetMode="External"/><Relationship Id="rId741" Type="http://schemas.openxmlformats.org/officeDocument/2006/relationships/hyperlink" Target="http://probaseballexperience.jcink.net/index.php?showtopic=840" TargetMode="External"/><Relationship Id="rId173" Type="http://schemas.openxmlformats.org/officeDocument/2006/relationships/hyperlink" Target="http://probaseballexperience.jcink.net/index.php?showtopic=2606" TargetMode="External"/><Relationship Id="rId229" Type="http://schemas.openxmlformats.org/officeDocument/2006/relationships/hyperlink" Target="http://probaseballexperience.jcink.net/index.php?showtopic=3019" TargetMode="External"/><Relationship Id="rId380" Type="http://schemas.openxmlformats.org/officeDocument/2006/relationships/hyperlink" Target="http://probaseballexperience.jcink.net/index.php?showtopic=3043&amp;st=0&amp;" TargetMode="External"/><Relationship Id="rId436" Type="http://schemas.openxmlformats.org/officeDocument/2006/relationships/hyperlink" Target="http://probaseballexperience.jcink.net/index.php?showuser=316" TargetMode="External"/><Relationship Id="rId601" Type="http://schemas.openxmlformats.org/officeDocument/2006/relationships/hyperlink" Target="http://probaseballexperience.jcink.net/index.php?showuser=333" TargetMode="External"/><Relationship Id="rId643" Type="http://schemas.openxmlformats.org/officeDocument/2006/relationships/hyperlink" Target="http://probaseballexperience.jcink.net/index.php?showtopic=1070" TargetMode="External"/><Relationship Id="rId240" Type="http://schemas.openxmlformats.org/officeDocument/2006/relationships/hyperlink" Target="http://probaseballexperience.jcink.net/index.php?showuser=105" TargetMode="External"/><Relationship Id="rId478" Type="http://schemas.openxmlformats.org/officeDocument/2006/relationships/hyperlink" Target="http://probaseballexperience.jcink.net/index.php?showuser=322" TargetMode="External"/><Relationship Id="rId685" Type="http://schemas.openxmlformats.org/officeDocument/2006/relationships/hyperlink" Target="http://probaseballexperience.jcink.net/index.php?showtopic=2905" TargetMode="External"/><Relationship Id="rId35" Type="http://schemas.openxmlformats.org/officeDocument/2006/relationships/hyperlink" Target="http://probaseballexperience.jcink.net/index.php?showuser=18" TargetMode="External"/><Relationship Id="rId77" Type="http://schemas.openxmlformats.org/officeDocument/2006/relationships/hyperlink" Target="http://probaseballexperience.jcink.net/index.php?showuser=48" TargetMode="External"/><Relationship Id="rId100" Type="http://schemas.openxmlformats.org/officeDocument/2006/relationships/hyperlink" Target="http://probaseballexperience.jcink.net/index.php?showtopic=158" TargetMode="External"/><Relationship Id="rId282" Type="http://schemas.openxmlformats.org/officeDocument/2006/relationships/hyperlink" Target="http://probaseballexperience.jcink.net/index.php?showuser=253" TargetMode="External"/><Relationship Id="rId338" Type="http://schemas.openxmlformats.org/officeDocument/2006/relationships/hyperlink" Target="http://probaseballexperience.jcink.net/index.php?showtopic=168" TargetMode="External"/><Relationship Id="rId503" Type="http://schemas.openxmlformats.org/officeDocument/2006/relationships/hyperlink" Target="http://probaseballexperience.jcink.net/index.php?showtopic=762" TargetMode="External"/><Relationship Id="rId545" Type="http://schemas.openxmlformats.org/officeDocument/2006/relationships/hyperlink" Target="http://probaseballexperience.jcink.net/index.php?showtopic=242" TargetMode="External"/><Relationship Id="rId587" Type="http://schemas.openxmlformats.org/officeDocument/2006/relationships/hyperlink" Target="http://probaseballexperience.jcink.net/index.php?showtopic=362" TargetMode="External"/><Relationship Id="rId710" Type="http://schemas.openxmlformats.org/officeDocument/2006/relationships/hyperlink" Target="http://probaseballexperience.jcink.net/index.php?showuser=77" TargetMode="External"/><Relationship Id="rId8" Type="http://schemas.openxmlformats.org/officeDocument/2006/relationships/hyperlink" Target="http://probaseballexperience.jcink.net/index.php?showuser=71" TargetMode="External"/><Relationship Id="rId142" Type="http://schemas.openxmlformats.org/officeDocument/2006/relationships/hyperlink" Target="http://probaseballexperience.jcink.net/index.php?showtopic=123" TargetMode="External"/><Relationship Id="rId184" Type="http://schemas.openxmlformats.org/officeDocument/2006/relationships/hyperlink" Target="http://probaseballexperience.jcink.net/index.php?showtopic=141" TargetMode="External"/><Relationship Id="rId391" Type="http://schemas.openxmlformats.org/officeDocument/2006/relationships/hyperlink" Target="http://probaseballexperience.jcink.net/index.php?showtopic=309" TargetMode="External"/><Relationship Id="rId405" Type="http://schemas.openxmlformats.org/officeDocument/2006/relationships/hyperlink" Target="http://probaseballexperience.jcink.net/index.php?showtopic=805" TargetMode="External"/><Relationship Id="rId447" Type="http://schemas.openxmlformats.org/officeDocument/2006/relationships/hyperlink" Target="http://probaseballexperience.jcink.net/index.php?showtopic=183" TargetMode="External"/><Relationship Id="rId612" Type="http://schemas.openxmlformats.org/officeDocument/2006/relationships/hyperlink" Target="http://probaseballexperience.jcink.net/index.php?showuser=109" TargetMode="External"/><Relationship Id="rId251" Type="http://schemas.openxmlformats.org/officeDocument/2006/relationships/hyperlink" Target="http://probaseballexperience.jcink.net/index.php?showtopic=138" TargetMode="External"/><Relationship Id="rId489" Type="http://schemas.openxmlformats.org/officeDocument/2006/relationships/hyperlink" Target="http://probaseballexperience.jcink.net/index.php?showtopic=1734" TargetMode="External"/><Relationship Id="rId654" Type="http://schemas.openxmlformats.org/officeDocument/2006/relationships/hyperlink" Target="http://probaseballexperience.jcink.net/index.php?showtopic=397" TargetMode="External"/><Relationship Id="rId696" Type="http://schemas.openxmlformats.org/officeDocument/2006/relationships/hyperlink" Target="http://probaseballexperience.jcink.net/index.php?showtopic=1426" TargetMode="External"/><Relationship Id="rId46" Type="http://schemas.openxmlformats.org/officeDocument/2006/relationships/hyperlink" Target="http://probaseballexperience.jcink.net/index.php?showtopic=1154" TargetMode="External"/><Relationship Id="rId293" Type="http://schemas.openxmlformats.org/officeDocument/2006/relationships/hyperlink" Target="http://probaseballexperience.jcink.net/index.php?showtopic=3117" TargetMode="External"/><Relationship Id="rId307" Type="http://schemas.openxmlformats.org/officeDocument/2006/relationships/hyperlink" Target="http://probaseballexperience.jcink.net/index.php?showtopic=2674" TargetMode="External"/><Relationship Id="rId349" Type="http://schemas.openxmlformats.org/officeDocument/2006/relationships/hyperlink" Target="http://probaseballexperience.jcink.net/index.php?showtopic=248" TargetMode="External"/><Relationship Id="rId514" Type="http://schemas.openxmlformats.org/officeDocument/2006/relationships/hyperlink" Target="http://probaseballexperience.jcink.net/index.php?showuser=32" TargetMode="External"/><Relationship Id="rId556" Type="http://schemas.openxmlformats.org/officeDocument/2006/relationships/hyperlink" Target="http://probaseballexperience.jcink.net/index.php?showuser=62" TargetMode="External"/><Relationship Id="rId721" Type="http://schemas.openxmlformats.org/officeDocument/2006/relationships/hyperlink" Target="http://probaseballexperience.jcink.net/index.php?showtopic=1083" TargetMode="External"/><Relationship Id="rId88" Type="http://schemas.openxmlformats.org/officeDocument/2006/relationships/hyperlink" Target="http://probaseballexperience.jcink.net/index.php?showtopic=1045" TargetMode="External"/><Relationship Id="rId111" Type="http://schemas.openxmlformats.org/officeDocument/2006/relationships/hyperlink" Target="http://probaseballexperience.jcink.net/index.php?showuser=194" TargetMode="External"/><Relationship Id="rId153" Type="http://schemas.openxmlformats.org/officeDocument/2006/relationships/hyperlink" Target="http://probaseballexperience.jcink.net/index.php?showuser=67" TargetMode="External"/><Relationship Id="rId195" Type="http://schemas.openxmlformats.org/officeDocument/2006/relationships/hyperlink" Target="http://probaseballexperience.jcink.net/index.php?showuser=199" TargetMode="External"/><Relationship Id="rId209" Type="http://schemas.openxmlformats.org/officeDocument/2006/relationships/hyperlink" Target="http://probaseballexperience.jcink.net/index.php?showtopic=2605" TargetMode="External"/><Relationship Id="rId360" Type="http://schemas.openxmlformats.org/officeDocument/2006/relationships/hyperlink" Target="http://probaseballexperience.jcink.net/index.php?showuser=258" TargetMode="External"/><Relationship Id="rId416" Type="http://schemas.openxmlformats.org/officeDocument/2006/relationships/hyperlink" Target="http://probaseballexperience.jcink.net/index.php?showuser=252" TargetMode="External"/><Relationship Id="rId598" Type="http://schemas.openxmlformats.org/officeDocument/2006/relationships/hyperlink" Target="http://probaseballexperience.jcink.net/index.php?showuser=328" TargetMode="External"/><Relationship Id="rId220" Type="http://schemas.openxmlformats.org/officeDocument/2006/relationships/hyperlink" Target="http://probaseballexperience.jcink.net/index.php?showtopic=114" TargetMode="External"/><Relationship Id="rId458" Type="http://schemas.openxmlformats.org/officeDocument/2006/relationships/hyperlink" Target="http://probaseballexperience.jcink.net/index.php?showtopic=140" TargetMode="External"/><Relationship Id="rId623" Type="http://schemas.openxmlformats.org/officeDocument/2006/relationships/hyperlink" Target="http://probaseballexperience.jcink.net/index.php?showtopic=3174" TargetMode="External"/><Relationship Id="rId665" Type="http://schemas.openxmlformats.org/officeDocument/2006/relationships/hyperlink" Target="http://probaseballexperience.jcink.net/index.php?showuser=37" TargetMode="External"/><Relationship Id="rId15" Type="http://schemas.openxmlformats.org/officeDocument/2006/relationships/hyperlink" Target="http://probaseballexperience.jcink.net/index.php?showtopic=104" TargetMode="External"/><Relationship Id="rId57" Type="http://schemas.openxmlformats.org/officeDocument/2006/relationships/hyperlink" Target="http://probaseballexperience.jcink.net/index.php?showtopic=195" TargetMode="External"/><Relationship Id="rId262" Type="http://schemas.openxmlformats.org/officeDocument/2006/relationships/hyperlink" Target="http://probaseballexperience.jcink.net/index.php?showtopic=64" TargetMode="External"/><Relationship Id="rId318" Type="http://schemas.openxmlformats.org/officeDocument/2006/relationships/hyperlink" Target="http://probaseballexperience.jcink.net/index.php?showuser=145" TargetMode="External"/><Relationship Id="rId525" Type="http://schemas.openxmlformats.org/officeDocument/2006/relationships/hyperlink" Target="http://probaseballexperience.jcink.net/index.php?showtopic=496" TargetMode="External"/><Relationship Id="rId567" Type="http://schemas.openxmlformats.org/officeDocument/2006/relationships/hyperlink" Target="http://probaseballexperience.jcink.net/index.php?showtopic=1147" TargetMode="External"/><Relationship Id="rId732" Type="http://schemas.openxmlformats.org/officeDocument/2006/relationships/hyperlink" Target="http://probaseballexperience.jcink.net/index.php?showtopic=1174" TargetMode="External"/><Relationship Id="rId99" Type="http://schemas.openxmlformats.org/officeDocument/2006/relationships/hyperlink" Target="http://probaseballexperience.jcink.net/index.php?showuser=45" TargetMode="External"/><Relationship Id="rId122" Type="http://schemas.openxmlformats.org/officeDocument/2006/relationships/hyperlink" Target="http://probaseballexperience.jcink.net/index.php?showtopic=2154" TargetMode="External"/><Relationship Id="rId164" Type="http://schemas.openxmlformats.org/officeDocument/2006/relationships/hyperlink" Target="http://probaseballexperience.jcink.net/index.php?showtopic=1934" TargetMode="External"/><Relationship Id="rId371" Type="http://schemas.openxmlformats.org/officeDocument/2006/relationships/hyperlink" Target="http://probaseballexperience.jcink.net/index.php?showtopic=2183" TargetMode="External"/><Relationship Id="rId427" Type="http://schemas.openxmlformats.org/officeDocument/2006/relationships/hyperlink" Target="http://probaseballexperience.jcink.net/index.php?showtopic=3561" TargetMode="External"/><Relationship Id="rId469" Type="http://schemas.openxmlformats.org/officeDocument/2006/relationships/hyperlink" Target="http://probaseballexperience.jcink.net/index.php?showuser=74" TargetMode="External"/><Relationship Id="rId634" Type="http://schemas.openxmlformats.org/officeDocument/2006/relationships/hyperlink" Target="http://probaseballexperience.jcink.net/index.php?showtopic=3430" TargetMode="External"/><Relationship Id="rId676" Type="http://schemas.openxmlformats.org/officeDocument/2006/relationships/hyperlink" Target="http://probaseballexperience.jcink.net/index.php?showtopic=1104" TargetMode="External"/><Relationship Id="rId26" Type="http://schemas.openxmlformats.org/officeDocument/2006/relationships/hyperlink" Target="http://probaseballexperience.jcink.net/index.php?showuser=30" TargetMode="External"/><Relationship Id="rId231" Type="http://schemas.openxmlformats.org/officeDocument/2006/relationships/hyperlink" Target="http://probaseballexperience.jcink.net/index.php?showuser=31" TargetMode="External"/><Relationship Id="rId273" Type="http://schemas.openxmlformats.org/officeDocument/2006/relationships/hyperlink" Target="http://probaseballexperience.jcink.net/index.php?showuser=293" TargetMode="External"/><Relationship Id="rId329" Type="http://schemas.openxmlformats.org/officeDocument/2006/relationships/hyperlink" Target="http://probaseballexperience.jcink.net/index.php?showtopic=1564" TargetMode="External"/><Relationship Id="rId480" Type="http://schemas.openxmlformats.org/officeDocument/2006/relationships/hyperlink" Target="http://probaseballexperience.jcink.net/index.php?showtopic=477" TargetMode="External"/><Relationship Id="rId536" Type="http://schemas.openxmlformats.org/officeDocument/2006/relationships/hyperlink" Target="http://probaseballexperience.jcink.net/index.php?showtopic=3097" TargetMode="External"/><Relationship Id="rId701" Type="http://schemas.openxmlformats.org/officeDocument/2006/relationships/hyperlink" Target="http://probaseballexperience.jcink.net/index.php?showuser=176" TargetMode="External"/><Relationship Id="rId68" Type="http://schemas.openxmlformats.org/officeDocument/2006/relationships/hyperlink" Target="http://probaseballexperience.jcink.net/index.php?showuser=19" TargetMode="External"/><Relationship Id="rId133" Type="http://schemas.openxmlformats.org/officeDocument/2006/relationships/hyperlink" Target="http://probaseballexperience.jcink.net/index.php?showtopic=1664" TargetMode="External"/><Relationship Id="rId175" Type="http://schemas.openxmlformats.org/officeDocument/2006/relationships/hyperlink" Target="http://probaseballexperience.jcink.net/index.php?showtopic=2606" TargetMode="External"/><Relationship Id="rId340" Type="http://schemas.openxmlformats.org/officeDocument/2006/relationships/hyperlink" Target="http://probaseballexperience.jcink.net/index.php?showtopic=168" TargetMode="External"/><Relationship Id="rId578" Type="http://schemas.openxmlformats.org/officeDocument/2006/relationships/hyperlink" Target="http://probaseballexperience.jcink.net/index.php?showtopic=239" TargetMode="External"/><Relationship Id="rId743" Type="http://schemas.openxmlformats.org/officeDocument/2006/relationships/hyperlink" Target="http://probaseballexperience.jcink.net/index.php?showuser=151" TargetMode="External"/><Relationship Id="rId200" Type="http://schemas.openxmlformats.org/officeDocument/2006/relationships/hyperlink" Target="http://probaseballexperience.jcink.net/index.php?showtopic=192" TargetMode="External"/><Relationship Id="rId382" Type="http://schemas.openxmlformats.org/officeDocument/2006/relationships/hyperlink" Target="http://probaseballexperience.jcink.net/index.php?showtopic=3043&amp;view=findpost&amp;p=32473" TargetMode="External"/><Relationship Id="rId438" Type="http://schemas.openxmlformats.org/officeDocument/2006/relationships/hyperlink" Target="http://probaseballexperience.jcink.net/index.php?showtopic=3586" TargetMode="External"/><Relationship Id="rId603" Type="http://schemas.openxmlformats.org/officeDocument/2006/relationships/hyperlink" Target="http://probaseballexperience.jcink.net/index.php?showuser=264" TargetMode="External"/><Relationship Id="rId645" Type="http://schemas.openxmlformats.org/officeDocument/2006/relationships/hyperlink" Target="http://probaseballexperience.jcink.net/index.php?showtopic=1070" TargetMode="External"/><Relationship Id="rId687" Type="http://schemas.openxmlformats.org/officeDocument/2006/relationships/hyperlink" Target="http://probaseballexperience.jcink.net/index.php?showtopic=2905" TargetMode="External"/><Relationship Id="rId242" Type="http://schemas.openxmlformats.org/officeDocument/2006/relationships/hyperlink" Target="http://probaseballexperience.jcink.net/index.php?showtopic=2591" TargetMode="External"/><Relationship Id="rId284" Type="http://schemas.openxmlformats.org/officeDocument/2006/relationships/hyperlink" Target="http://probaseballexperience.jcink.net/index.php?showtopic=3123" TargetMode="External"/><Relationship Id="rId491" Type="http://schemas.openxmlformats.org/officeDocument/2006/relationships/hyperlink" Target="http://probaseballexperience.jcink.net/index.php?showtopic=1734" TargetMode="External"/><Relationship Id="rId505" Type="http://schemas.openxmlformats.org/officeDocument/2006/relationships/hyperlink" Target="http://probaseballexperience.jcink.net/index.php?showuser=197" TargetMode="External"/><Relationship Id="rId712" Type="http://schemas.openxmlformats.org/officeDocument/2006/relationships/hyperlink" Target="http://probaseballexperience.jcink.net/index.php?showtopic=1541" TargetMode="External"/><Relationship Id="rId37" Type="http://schemas.openxmlformats.org/officeDocument/2006/relationships/hyperlink" Target="http://probaseballexperience.jcink.net/index.php?showtopic=1114" TargetMode="External"/><Relationship Id="rId79" Type="http://schemas.openxmlformats.org/officeDocument/2006/relationships/hyperlink" Target="http://probaseballexperience.jcink.net/index.php?showtopic=792" TargetMode="External"/><Relationship Id="rId102" Type="http://schemas.openxmlformats.org/officeDocument/2006/relationships/hyperlink" Target="http://probaseballexperience.jcink.net/index.php?showuser=233" TargetMode="External"/><Relationship Id="rId144" Type="http://schemas.openxmlformats.org/officeDocument/2006/relationships/hyperlink" Target="http://probaseballexperience.jcink.net/index.php?showuser=114" TargetMode="External"/><Relationship Id="rId547" Type="http://schemas.openxmlformats.org/officeDocument/2006/relationships/hyperlink" Target="http://probaseballexperience.jcink.net/index.php?showuser=259" TargetMode="External"/><Relationship Id="rId589" Type="http://schemas.openxmlformats.org/officeDocument/2006/relationships/hyperlink" Target="http://probaseballexperience.jcink.net/index.php?showuser=42" TargetMode="External"/><Relationship Id="rId90" Type="http://schemas.openxmlformats.org/officeDocument/2006/relationships/hyperlink" Target="http://probaseballexperience.jcink.net/index.php?showuser=98" TargetMode="External"/><Relationship Id="rId186" Type="http://schemas.openxmlformats.org/officeDocument/2006/relationships/hyperlink" Target="http://probaseballexperience.jcink.net/index.php?showuser=263" TargetMode="External"/><Relationship Id="rId351" Type="http://schemas.openxmlformats.org/officeDocument/2006/relationships/hyperlink" Target="http://probaseballexperience.jcink.net/index.php?showtopic=106" TargetMode="External"/><Relationship Id="rId393" Type="http://schemas.openxmlformats.org/officeDocument/2006/relationships/hyperlink" Target="http://probaseballexperience.jcink.net/index.php?showtopic=309" TargetMode="External"/><Relationship Id="rId407" Type="http://schemas.openxmlformats.org/officeDocument/2006/relationships/hyperlink" Target="http://probaseballexperience.jcink.net/index.php?showuser=4" TargetMode="External"/><Relationship Id="rId449" Type="http://schemas.openxmlformats.org/officeDocument/2006/relationships/hyperlink" Target="http://probaseballexperience.jcink.net/index.php?showtopic=183" TargetMode="External"/><Relationship Id="rId614" Type="http://schemas.openxmlformats.org/officeDocument/2006/relationships/hyperlink" Target="http://probaseballexperience.jcink.net/index.php?showtopic=2190" TargetMode="External"/><Relationship Id="rId656" Type="http://schemas.openxmlformats.org/officeDocument/2006/relationships/hyperlink" Target="http://probaseballexperience.jcink.net/index.php?showuser=43" TargetMode="External"/><Relationship Id="rId211" Type="http://schemas.openxmlformats.org/officeDocument/2006/relationships/hyperlink" Target="http://probaseballexperience.jcink.net/index.php?showtopic=2605" TargetMode="External"/><Relationship Id="rId253" Type="http://schemas.openxmlformats.org/officeDocument/2006/relationships/hyperlink" Target="http://probaseballexperience.jcink.net/index.php?showtopic=138" TargetMode="External"/><Relationship Id="rId295" Type="http://schemas.openxmlformats.org/officeDocument/2006/relationships/hyperlink" Target="http://probaseballexperience.jcink.net/index.php?showtopic=3117" TargetMode="External"/><Relationship Id="rId309" Type="http://schemas.openxmlformats.org/officeDocument/2006/relationships/hyperlink" Target="http://probaseballexperience.jcink.net/index.php?showuser=283" TargetMode="External"/><Relationship Id="rId460" Type="http://schemas.openxmlformats.org/officeDocument/2006/relationships/hyperlink" Target="http://probaseballexperience.jcink.net/index.php?showuser=332" TargetMode="External"/><Relationship Id="rId516" Type="http://schemas.openxmlformats.org/officeDocument/2006/relationships/hyperlink" Target="http://probaseballexperience.jcink.net/index.php?showtopic=3048" TargetMode="External"/><Relationship Id="rId698" Type="http://schemas.openxmlformats.org/officeDocument/2006/relationships/hyperlink" Target="http://probaseballexperience.jcink.net/index.php?showuser=141" TargetMode="External"/><Relationship Id="rId48" Type="http://schemas.openxmlformats.org/officeDocument/2006/relationships/hyperlink" Target="http://probaseballexperience.jcink.net/index.php?showtopic=1154" TargetMode="External"/><Relationship Id="rId113" Type="http://schemas.openxmlformats.org/officeDocument/2006/relationships/hyperlink" Target="http://probaseballexperience.jcink.net/index.php?showtopic=618" TargetMode="External"/><Relationship Id="rId320" Type="http://schemas.openxmlformats.org/officeDocument/2006/relationships/hyperlink" Target="http://probaseballexperience.jcink.net/index.php?showtopic=71" TargetMode="External"/><Relationship Id="rId558" Type="http://schemas.openxmlformats.org/officeDocument/2006/relationships/hyperlink" Target="http://probaseballexperience.jcink.net/index.php?showtopic=221" TargetMode="External"/><Relationship Id="rId723" Type="http://schemas.openxmlformats.org/officeDocument/2006/relationships/hyperlink" Target="http://probaseballexperience.jcink.net/index.php?showtopic=1083" TargetMode="External"/><Relationship Id="rId155" Type="http://schemas.openxmlformats.org/officeDocument/2006/relationships/hyperlink" Target="http://probaseballexperience.jcink.net/index.php?showtopic=2598" TargetMode="External"/><Relationship Id="rId197" Type="http://schemas.openxmlformats.org/officeDocument/2006/relationships/hyperlink" Target="http://probaseballexperience.jcink.net/index.php?showtopic=2614" TargetMode="External"/><Relationship Id="rId362" Type="http://schemas.openxmlformats.org/officeDocument/2006/relationships/hyperlink" Target="http://probaseballexperience.jcink.net/index.php?showtopic=219" TargetMode="External"/><Relationship Id="rId418" Type="http://schemas.openxmlformats.org/officeDocument/2006/relationships/hyperlink" Target="http://probaseballexperience.jcink.net/index.php?showtopic=3476" TargetMode="External"/><Relationship Id="rId625" Type="http://schemas.openxmlformats.org/officeDocument/2006/relationships/hyperlink" Target="http://probaseballexperience.jcink.net/index.php?showtopic=3174" TargetMode="External"/><Relationship Id="rId222" Type="http://schemas.openxmlformats.org/officeDocument/2006/relationships/hyperlink" Target="http://probaseballexperience.jcink.net/index.php?showuser=222" TargetMode="External"/><Relationship Id="rId264" Type="http://schemas.openxmlformats.org/officeDocument/2006/relationships/hyperlink" Target="http://probaseballexperience.jcink.net/index.php?showuser=61" TargetMode="External"/><Relationship Id="rId471" Type="http://schemas.openxmlformats.org/officeDocument/2006/relationships/hyperlink" Target="http://probaseballexperience.jcink.net/index.php?showtopic=1735" TargetMode="External"/><Relationship Id="rId667" Type="http://schemas.openxmlformats.org/officeDocument/2006/relationships/hyperlink" Target="http://probaseballexperience.jcink.net/index.php?showtopic=1148" TargetMode="External"/><Relationship Id="rId17" Type="http://schemas.openxmlformats.org/officeDocument/2006/relationships/hyperlink" Target="http://probaseballexperience.jcink.net/index.php?showuser=108" TargetMode="External"/><Relationship Id="rId59" Type="http://schemas.openxmlformats.org/officeDocument/2006/relationships/hyperlink" Target="http://probaseballexperience.jcink.net/index.php?showuser=208" TargetMode="External"/><Relationship Id="rId124" Type="http://schemas.openxmlformats.org/officeDocument/2006/relationships/hyperlink" Target="http://probaseballexperience.jcink.net/index.php?showtopic=2154" TargetMode="External"/><Relationship Id="rId527" Type="http://schemas.openxmlformats.org/officeDocument/2006/relationships/hyperlink" Target="http://probaseballexperience.jcink.net/index.php?showtopic=496" TargetMode="External"/><Relationship Id="rId569" Type="http://schemas.openxmlformats.org/officeDocument/2006/relationships/hyperlink" Target="http://probaseballexperience.jcink.net/index.php?showtopic=1147" TargetMode="External"/><Relationship Id="rId734" Type="http://schemas.openxmlformats.org/officeDocument/2006/relationships/hyperlink" Target="http://probaseballexperience.jcink.net/index.php?showuser=221" TargetMode="External"/><Relationship Id="rId70" Type="http://schemas.openxmlformats.org/officeDocument/2006/relationships/hyperlink" Target="http://probaseballexperience.jcink.net/index.php?showtopic=383" TargetMode="External"/><Relationship Id="rId166" Type="http://schemas.openxmlformats.org/officeDocument/2006/relationships/hyperlink" Target="http://probaseballexperience.jcink.net/index.php?showtopic=1934" TargetMode="External"/><Relationship Id="rId331" Type="http://schemas.openxmlformats.org/officeDocument/2006/relationships/hyperlink" Target="http://probaseballexperience.jcink.net/index.php?showtopic=1564" TargetMode="External"/><Relationship Id="rId373" Type="http://schemas.openxmlformats.org/officeDocument/2006/relationships/hyperlink" Target="http://probaseballexperience.jcink.net/index.php?showtopic=2183" TargetMode="External"/><Relationship Id="rId429" Type="http://schemas.openxmlformats.org/officeDocument/2006/relationships/hyperlink" Target="http://probaseballexperience.jcink.net/index.php?showtopic=2921" TargetMode="External"/><Relationship Id="rId580" Type="http://schemas.openxmlformats.org/officeDocument/2006/relationships/hyperlink" Target="http://probaseballexperience.jcink.net/index.php?showuser=249" TargetMode="External"/><Relationship Id="rId636" Type="http://schemas.openxmlformats.org/officeDocument/2006/relationships/hyperlink" Target="http://probaseballexperience.jcink.net/index.php?showuser=109" TargetMode="External"/><Relationship Id="rId1" Type="http://schemas.openxmlformats.org/officeDocument/2006/relationships/hyperlink" Target="http://probaseballexperience.jcink.net/index.php?showtopic=156" TargetMode="External"/><Relationship Id="rId233" Type="http://schemas.openxmlformats.org/officeDocument/2006/relationships/hyperlink" Target="http://probaseballexperience.jcink.net/index.php?showtopic=1058" TargetMode="External"/><Relationship Id="rId440" Type="http://schemas.openxmlformats.org/officeDocument/2006/relationships/hyperlink" Target="http://probaseballexperience.jcink.net/index.php?showtopic=3586" TargetMode="External"/><Relationship Id="rId678" Type="http://schemas.openxmlformats.org/officeDocument/2006/relationships/hyperlink" Target="http://probaseballexperience.jcink.net/index.php?showtopic=1104" TargetMode="External"/><Relationship Id="rId28" Type="http://schemas.openxmlformats.org/officeDocument/2006/relationships/hyperlink" Target="http://probaseballexperience.jcink.net/index.php?showtopic=191" TargetMode="External"/><Relationship Id="rId275" Type="http://schemas.openxmlformats.org/officeDocument/2006/relationships/hyperlink" Target="http://probaseballexperience.jcink.net/index.php?showtopic=3108" TargetMode="External"/><Relationship Id="rId300" Type="http://schemas.openxmlformats.org/officeDocument/2006/relationships/hyperlink" Target="http://probaseballexperience.jcink.net/index.php?showuser=10" TargetMode="External"/><Relationship Id="rId482" Type="http://schemas.openxmlformats.org/officeDocument/2006/relationships/hyperlink" Target="http://probaseballexperience.jcink.net/index.php?showtopic=477" TargetMode="External"/><Relationship Id="rId538" Type="http://schemas.openxmlformats.org/officeDocument/2006/relationships/hyperlink" Target="http://probaseballexperience.jcink.net/index.php?showuser=280" TargetMode="External"/><Relationship Id="rId703" Type="http://schemas.openxmlformats.org/officeDocument/2006/relationships/hyperlink" Target="http://probaseballexperience.jcink.net/index.php?showtopic=303" TargetMode="External"/><Relationship Id="rId81" Type="http://schemas.openxmlformats.org/officeDocument/2006/relationships/hyperlink" Target="http://probaseballexperience.jcink.net/index.php?showtopic=792" TargetMode="External"/><Relationship Id="rId135" Type="http://schemas.openxmlformats.org/officeDocument/2006/relationships/hyperlink" Target="http://probaseballexperience.jcink.net/index.php?showuser=254" TargetMode="External"/><Relationship Id="rId177" Type="http://schemas.openxmlformats.org/officeDocument/2006/relationships/hyperlink" Target="http://probaseballexperience.jcink.net/index.php?showuser=269" TargetMode="External"/><Relationship Id="rId342" Type="http://schemas.openxmlformats.org/officeDocument/2006/relationships/hyperlink" Target="http://probaseballexperience.jcink.net/index.php?showuser=58" TargetMode="External"/><Relationship Id="rId384" Type="http://schemas.openxmlformats.org/officeDocument/2006/relationships/hyperlink" Target="http://probaseballexperience.jcink.net/index.php?showuser=336" TargetMode="External"/><Relationship Id="rId591" Type="http://schemas.openxmlformats.org/officeDocument/2006/relationships/hyperlink" Target="http://probaseballexperience.jcink.net/index.php?showtopic=3196" TargetMode="External"/><Relationship Id="rId605" Type="http://schemas.openxmlformats.org/officeDocument/2006/relationships/hyperlink" Target="http://probaseballexperience.jcink.net/index.php?showtopic=2194" TargetMode="External"/><Relationship Id="rId202" Type="http://schemas.openxmlformats.org/officeDocument/2006/relationships/hyperlink" Target="http://probaseballexperience.jcink.net/index.php?showtopic=192" TargetMode="External"/><Relationship Id="rId244" Type="http://schemas.openxmlformats.org/officeDocument/2006/relationships/hyperlink" Target="http://probaseballexperience.jcink.net/index.php?showtopic=2591" TargetMode="External"/><Relationship Id="rId647" Type="http://schemas.openxmlformats.org/officeDocument/2006/relationships/hyperlink" Target="http://probaseballexperience.jcink.net/index.php?showuser=122" TargetMode="External"/><Relationship Id="rId689" Type="http://schemas.openxmlformats.org/officeDocument/2006/relationships/hyperlink" Target="http://probaseballexperience.jcink.net/index.php?showuser=291" TargetMode="External"/><Relationship Id="rId39" Type="http://schemas.openxmlformats.org/officeDocument/2006/relationships/hyperlink" Target="http://probaseballexperience.jcink.net/index.php?showtopic=1114" TargetMode="External"/><Relationship Id="rId286" Type="http://schemas.openxmlformats.org/officeDocument/2006/relationships/hyperlink" Target="http://probaseballexperience.jcink.net/index.php?showtopic=3123" TargetMode="External"/><Relationship Id="rId451" Type="http://schemas.openxmlformats.org/officeDocument/2006/relationships/hyperlink" Target="http://probaseballexperience.jcink.net/index.php?showuser=40" TargetMode="External"/><Relationship Id="rId493" Type="http://schemas.openxmlformats.org/officeDocument/2006/relationships/hyperlink" Target="http://probaseballexperience.jcink.net/index.php?showuser=337" TargetMode="External"/><Relationship Id="rId507" Type="http://schemas.openxmlformats.org/officeDocument/2006/relationships/hyperlink" Target="http://probaseballexperience.jcink.net/index.php?showtopic=67" TargetMode="External"/><Relationship Id="rId549" Type="http://schemas.openxmlformats.org/officeDocument/2006/relationships/hyperlink" Target="http://probaseballexperience.jcink.net/index.php?showtopic=1041" TargetMode="External"/><Relationship Id="rId714" Type="http://schemas.openxmlformats.org/officeDocument/2006/relationships/hyperlink" Target="http://probaseballexperience.jcink.net/index.php?showtopic=1541" TargetMode="External"/><Relationship Id="rId50" Type="http://schemas.openxmlformats.org/officeDocument/2006/relationships/hyperlink" Target="http://probaseballexperience.jcink.net/index.php?showuser=13" TargetMode="External"/><Relationship Id="rId104" Type="http://schemas.openxmlformats.org/officeDocument/2006/relationships/hyperlink" Target="http://probaseballexperience.jcink.net/index.php?showtopic=2142" TargetMode="External"/><Relationship Id="rId146" Type="http://schemas.openxmlformats.org/officeDocument/2006/relationships/hyperlink" Target="http://probaseballexperience.jcink.net/index.php?showtopic=72" TargetMode="External"/><Relationship Id="rId188" Type="http://schemas.openxmlformats.org/officeDocument/2006/relationships/hyperlink" Target="http://probaseballexperience.jcink.net/index.php?showtopic=2518" TargetMode="External"/><Relationship Id="rId311" Type="http://schemas.openxmlformats.org/officeDocument/2006/relationships/hyperlink" Target="http://probaseballexperience.jcink.net/index.php?showtopic=1035" TargetMode="External"/><Relationship Id="rId353" Type="http://schemas.openxmlformats.org/officeDocument/2006/relationships/hyperlink" Target="http://probaseballexperience.jcink.net/index.php?showtopic=106" TargetMode="External"/><Relationship Id="rId395" Type="http://schemas.openxmlformats.org/officeDocument/2006/relationships/hyperlink" Target="http://probaseballexperience.jcink.net/index.php?showuser=256" TargetMode="External"/><Relationship Id="rId409" Type="http://schemas.openxmlformats.org/officeDocument/2006/relationships/hyperlink" Target="http://probaseballexperience.jcink.net/index.php?showtopic=118" TargetMode="External"/><Relationship Id="rId560" Type="http://schemas.openxmlformats.org/officeDocument/2006/relationships/hyperlink" Target="http://probaseballexperience.jcink.net/index.php?showtopic=221" TargetMode="External"/><Relationship Id="rId92" Type="http://schemas.openxmlformats.org/officeDocument/2006/relationships/hyperlink" Target="http://probaseballexperience.jcink.net/index.php?showtopic=453" TargetMode="External"/><Relationship Id="rId213" Type="http://schemas.openxmlformats.org/officeDocument/2006/relationships/hyperlink" Target="http://probaseballexperience.jcink.net/index.php?showuser=298" TargetMode="External"/><Relationship Id="rId420" Type="http://schemas.openxmlformats.org/officeDocument/2006/relationships/hyperlink" Target="http://probaseballexperience.jcink.net/index.php?showtopic=3476" TargetMode="External"/><Relationship Id="rId616" Type="http://schemas.openxmlformats.org/officeDocument/2006/relationships/hyperlink" Target="http://probaseballexperience.jcink.net/index.php?showtopic=2190" TargetMode="External"/><Relationship Id="rId658" Type="http://schemas.openxmlformats.org/officeDocument/2006/relationships/hyperlink" Target="http://probaseballexperience.jcink.net/index.php?showtopic=1093" TargetMode="External"/><Relationship Id="rId255" Type="http://schemas.openxmlformats.org/officeDocument/2006/relationships/hyperlink" Target="http://probaseballexperience.jcink.net/index.php?showuser=91" TargetMode="External"/><Relationship Id="rId297" Type="http://schemas.openxmlformats.org/officeDocument/2006/relationships/hyperlink" Target="http://probaseballexperience.jcink.net/index.php?showuser=308" TargetMode="External"/><Relationship Id="rId462" Type="http://schemas.openxmlformats.org/officeDocument/2006/relationships/hyperlink" Target="http://probaseballexperience.jcink.net/index.php?showtopic=3634" TargetMode="External"/><Relationship Id="rId518" Type="http://schemas.openxmlformats.org/officeDocument/2006/relationships/hyperlink" Target="http://probaseballexperience.jcink.net/index.php?showtopic=3048" TargetMode="External"/><Relationship Id="rId725" Type="http://schemas.openxmlformats.org/officeDocument/2006/relationships/hyperlink" Target="http://probaseballexperience.jcink.net/index.php?showuser=118" TargetMode="External"/><Relationship Id="rId115" Type="http://schemas.openxmlformats.org/officeDocument/2006/relationships/hyperlink" Target="http://probaseballexperience.jcink.net/index.php?showtopic=618" TargetMode="External"/><Relationship Id="rId157" Type="http://schemas.openxmlformats.org/officeDocument/2006/relationships/hyperlink" Target="http://probaseballexperience.jcink.net/index.php?showtopic=2598" TargetMode="External"/><Relationship Id="rId322" Type="http://schemas.openxmlformats.org/officeDocument/2006/relationships/hyperlink" Target="http://probaseballexperience.jcink.net/index.php?showtopic=71" TargetMode="External"/><Relationship Id="rId364" Type="http://schemas.openxmlformats.org/officeDocument/2006/relationships/hyperlink" Target="http://probaseballexperience.jcink.net/index.php?showtopic=219" TargetMode="External"/><Relationship Id="rId61" Type="http://schemas.openxmlformats.org/officeDocument/2006/relationships/hyperlink" Target="http://probaseballexperience.jcink.net/index.php?showtopic=1042" TargetMode="External"/><Relationship Id="rId199" Type="http://schemas.openxmlformats.org/officeDocument/2006/relationships/hyperlink" Target="http://probaseballexperience.jcink.net/index.php?showtopic=2614" TargetMode="External"/><Relationship Id="rId571" Type="http://schemas.openxmlformats.org/officeDocument/2006/relationships/hyperlink" Target="http://probaseballexperience.jcink.net/index.php?showuser=88" TargetMode="External"/><Relationship Id="rId627" Type="http://schemas.openxmlformats.org/officeDocument/2006/relationships/hyperlink" Target="http://probaseballexperience.jcink.net/index.php?showuser=311" TargetMode="External"/><Relationship Id="rId669" Type="http://schemas.openxmlformats.org/officeDocument/2006/relationships/hyperlink" Target="http://probaseballexperience.jcink.net/index.php?showtopic=1148" TargetMode="External"/><Relationship Id="rId19" Type="http://schemas.openxmlformats.org/officeDocument/2006/relationships/hyperlink" Target="http://probaseballexperience.jcink.net/index.php?showtopic=180" TargetMode="External"/><Relationship Id="rId224" Type="http://schemas.openxmlformats.org/officeDocument/2006/relationships/hyperlink" Target="http://probaseballexperience.jcink.net/index.php?showtopic=2121" TargetMode="External"/><Relationship Id="rId266" Type="http://schemas.openxmlformats.org/officeDocument/2006/relationships/hyperlink" Target="http://probaseballexperience.jcink.net/index.php?showtopic=2989" TargetMode="External"/><Relationship Id="rId431" Type="http://schemas.openxmlformats.org/officeDocument/2006/relationships/hyperlink" Target="http://probaseballexperience.jcink.net/index.php?showtopic=2921" TargetMode="External"/><Relationship Id="rId473" Type="http://schemas.openxmlformats.org/officeDocument/2006/relationships/hyperlink" Target="http://probaseballexperience.jcink.net/index.php?showtopic=1735" TargetMode="External"/><Relationship Id="rId529" Type="http://schemas.openxmlformats.org/officeDocument/2006/relationships/hyperlink" Target="http://probaseballexperience.jcink.net/index.php?showuser=55" TargetMode="External"/><Relationship Id="rId680" Type="http://schemas.openxmlformats.org/officeDocument/2006/relationships/hyperlink" Target="http://probaseballexperience.jcink.net/index.php?showuser=172" TargetMode="External"/><Relationship Id="rId736" Type="http://schemas.openxmlformats.org/officeDocument/2006/relationships/hyperlink" Target="http://probaseballexperience.jcink.net/index.php?showtopic=2312" TargetMode="External"/><Relationship Id="rId30" Type="http://schemas.openxmlformats.org/officeDocument/2006/relationships/hyperlink" Target="http://probaseballexperience.jcink.net/index.php?showtopic=191" TargetMode="External"/><Relationship Id="rId126" Type="http://schemas.openxmlformats.org/officeDocument/2006/relationships/hyperlink" Target="http://probaseballexperience.jcink.net/index.php?showuser=11" TargetMode="External"/><Relationship Id="rId168" Type="http://schemas.openxmlformats.org/officeDocument/2006/relationships/hyperlink" Target="http://probaseballexperience.jcink.net/index.php?showuser=21" TargetMode="External"/><Relationship Id="rId333" Type="http://schemas.openxmlformats.org/officeDocument/2006/relationships/hyperlink" Target="http://probaseballexperience.jcink.net/index.php?showuser=134" TargetMode="External"/><Relationship Id="rId540" Type="http://schemas.openxmlformats.org/officeDocument/2006/relationships/hyperlink" Target="http://probaseballexperience.jcink.net/index.php?showtopic=96" TargetMode="External"/><Relationship Id="rId72" Type="http://schemas.openxmlformats.org/officeDocument/2006/relationships/hyperlink" Target="http://probaseballexperience.jcink.net/index.php?showtopic=383" TargetMode="External"/><Relationship Id="rId375" Type="http://schemas.openxmlformats.org/officeDocument/2006/relationships/hyperlink" Target="http://probaseballexperience.jcink.net/index.php?showuser=28" TargetMode="External"/><Relationship Id="rId582" Type="http://schemas.openxmlformats.org/officeDocument/2006/relationships/hyperlink" Target="http://probaseballexperience.jcink.net/index.php?showtopic=1062" TargetMode="External"/><Relationship Id="rId638" Type="http://schemas.openxmlformats.org/officeDocument/2006/relationships/hyperlink" Target="http://probaseballexperience.jcink.net/index.php?showuser=309" TargetMode="External"/><Relationship Id="rId3" Type="http://schemas.openxmlformats.org/officeDocument/2006/relationships/hyperlink" Target="http://probaseballexperience.jcink.net/index.php?showtopic=156" TargetMode="External"/><Relationship Id="rId235" Type="http://schemas.openxmlformats.org/officeDocument/2006/relationships/hyperlink" Target="http://probaseballexperience.jcink.net/index.php?showtopic=1058" TargetMode="External"/><Relationship Id="rId277" Type="http://schemas.openxmlformats.org/officeDocument/2006/relationships/hyperlink" Target="http://probaseballexperience.jcink.net/index.php?showtopic=3108" TargetMode="External"/><Relationship Id="rId400" Type="http://schemas.openxmlformats.org/officeDocument/2006/relationships/hyperlink" Target="http://probaseballexperience.jcink.net/index.php?showtopic=1810" TargetMode="External"/><Relationship Id="rId442" Type="http://schemas.openxmlformats.org/officeDocument/2006/relationships/hyperlink" Target="http://probaseballexperience.jcink.net/index.php?showuser=338" TargetMode="External"/><Relationship Id="rId484" Type="http://schemas.openxmlformats.org/officeDocument/2006/relationships/hyperlink" Target="http://probaseballexperience.jcink.net/index.php?showuser=46" TargetMode="External"/><Relationship Id="rId705" Type="http://schemas.openxmlformats.org/officeDocument/2006/relationships/hyperlink" Target="http://probaseballexperience.jcink.net/index.php?showtopic=303" TargetMode="External"/><Relationship Id="rId137" Type="http://schemas.openxmlformats.org/officeDocument/2006/relationships/hyperlink" Target="http://probaseballexperience.jcink.net/index.php?showtopic=115" TargetMode="External"/><Relationship Id="rId302" Type="http://schemas.openxmlformats.org/officeDocument/2006/relationships/hyperlink" Target="http://probaseballexperience.jcink.net/index.php?showtopic=1358" TargetMode="External"/><Relationship Id="rId344" Type="http://schemas.openxmlformats.org/officeDocument/2006/relationships/hyperlink" Target="http://probaseballexperience.jcink.net/index.php?showtopic=1246" TargetMode="External"/><Relationship Id="rId691" Type="http://schemas.openxmlformats.org/officeDocument/2006/relationships/hyperlink" Target="http://probaseballexperience.jcink.net/index.php?showtopic=2966" TargetMode="External"/><Relationship Id="rId41" Type="http://schemas.openxmlformats.org/officeDocument/2006/relationships/hyperlink" Target="http://probaseballexperience.jcink.net/index.php?showuser=69" TargetMode="External"/><Relationship Id="rId83" Type="http://schemas.openxmlformats.org/officeDocument/2006/relationships/hyperlink" Target="http://probaseballexperience.jcink.net/index.php?showuser=73" TargetMode="External"/><Relationship Id="rId179" Type="http://schemas.openxmlformats.org/officeDocument/2006/relationships/hyperlink" Target="http://probaseballexperience.jcink.net/index.php?showtopic=2906" TargetMode="External"/><Relationship Id="rId386" Type="http://schemas.openxmlformats.org/officeDocument/2006/relationships/hyperlink" Target="http://probaseballexperience.jcink.net/index.php?showuser=127" TargetMode="External"/><Relationship Id="rId551" Type="http://schemas.openxmlformats.org/officeDocument/2006/relationships/hyperlink" Target="http://probaseballexperience.jcink.net/index.php?showtopic=1041" TargetMode="External"/><Relationship Id="rId593" Type="http://schemas.openxmlformats.org/officeDocument/2006/relationships/hyperlink" Target="http://probaseballexperience.jcink.net/index.php?showtopic=3196" TargetMode="External"/><Relationship Id="rId607" Type="http://schemas.openxmlformats.org/officeDocument/2006/relationships/hyperlink" Target="http://probaseballexperience.jcink.net/index.php?showtopic=2194" TargetMode="External"/><Relationship Id="rId649" Type="http://schemas.openxmlformats.org/officeDocument/2006/relationships/hyperlink" Target="http://probaseballexperience.jcink.net/index.php?showtopic=217" TargetMode="External"/><Relationship Id="rId190" Type="http://schemas.openxmlformats.org/officeDocument/2006/relationships/hyperlink" Target="http://probaseballexperience.jcink.net/index.php?showtopic=2518" TargetMode="External"/><Relationship Id="rId204" Type="http://schemas.openxmlformats.org/officeDocument/2006/relationships/hyperlink" Target="http://probaseballexperience.jcink.net/index.php?showuser=210" TargetMode="External"/><Relationship Id="rId246" Type="http://schemas.openxmlformats.org/officeDocument/2006/relationships/hyperlink" Target="http://probaseballexperience.jcink.net/index.php?showuser=57" TargetMode="External"/><Relationship Id="rId288" Type="http://schemas.openxmlformats.org/officeDocument/2006/relationships/hyperlink" Target="http://probaseballexperience.jcink.net/index.php?showuser=306" TargetMode="External"/><Relationship Id="rId411" Type="http://schemas.openxmlformats.org/officeDocument/2006/relationships/hyperlink" Target="http://probaseballexperience.jcink.net/index.php?showtopic=118" TargetMode="External"/><Relationship Id="rId453" Type="http://schemas.openxmlformats.org/officeDocument/2006/relationships/hyperlink" Target="http://probaseballexperience.jcink.net/index.php?showtopic=1836" TargetMode="External"/><Relationship Id="rId509" Type="http://schemas.openxmlformats.org/officeDocument/2006/relationships/hyperlink" Target="http://probaseballexperience.jcink.net/index.php?showtopic=67" TargetMode="External"/><Relationship Id="rId660" Type="http://schemas.openxmlformats.org/officeDocument/2006/relationships/hyperlink" Target="http://probaseballexperience.jcink.net/index.php?showtopic=1093" TargetMode="External"/><Relationship Id="rId106" Type="http://schemas.openxmlformats.org/officeDocument/2006/relationships/hyperlink" Target="http://probaseballexperience.jcink.net/index.php?showtopic=2142" TargetMode="External"/><Relationship Id="rId313" Type="http://schemas.openxmlformats.org/officeDocument/2006/relationships/hyperlink" Target="http://probaseballexperience.jcink.net/index.php?showtopic=1035" TargetMode="External"/><Relationship Id="rId495" Type="http://schemas.openxmlformats.org/officeDocument/2006/relationships/hyperlink" Target="http://probaseballexperience.jcink.net/index.php?showtopic=177" TargetMode="External"/><Relationship Id="rId716" Type="http://schemas.openxmlformats.org/officeDocument/2006/relationships/hyperlink" Target="http://probaseballexperience.jcink.net/index.php?showuser=99" TargetMode="External"/><Relationship Id="rId10" Type="http://schemas.openxmlformats.org/officeDocument/2006/relationships/hyperlink" Target="http://probaseballexperience.jcink.net/index.php?showtopic=345" TargetMode="External"/><Relationship Id="rId52" Type="http://schemas.openxmlformats.org/officeDocument/2006/relationships/hyperlink" Target="http://probaseballexperience.jcink.net/index.php?showtopic=1161" TargetMode="External"/><Relationship Id="rId94" Type="http://schemas.openxmlformats.org/officeDocument/2006/relationships/hyperlink" Target="http://probaseballexperience.jcink.net/index.php?showtopic=453" TargetMode="External"/><Relationship Id="rId148" Type="http://schemas.openxmlformats.org/officeDocument/2006/relationships/hyperlink" Target="http://probaseballexperience.jcink.net/index.php?showtopic=72" TargetMode="External"/><Relationship Id="rId355" Type="http://schemas.openxmlformats.org/officeDocument/2006/relationships/hyperlink" Target="http://probaseballexperience.jcink.net/index.php?showuser=248" TargetMode="External"/><Relationship Id="rId397" Type="http://schemas.openxmlformats.org/officeDocument/2006/relationships/hyperlink" Target="http://probaseballexperience.jcink.net/index.php?showtopic=1075" TargetMode="External"/><Relationship Id="rId520" Type="http://schemas.openxmlformats.org/officeDocument/2006/relationships/hyperlink" Target="http://probaseballexperience.jcink.net/index.php?showuser=329" TargetMode="External"/><Relationship Id="rId562" Type="http://schemas.openxmlformats.org/officeDocument/2006/relationships/hyperlink" Target="http://probaseballexperience.jcink.net/index.php?showuser=53" TargetMode="External"/><Relationship Id="rId618" Type="http://schemas.openxmlformats.org/officeDocument/2006/relationships/hyperlink" Target="http://probaseballexperience.jcink.net/index.php?showuser=149" TargetMode="External"/><Relationship Id="rId215" Type="http://schemas.openxmlformats.org/officeDocument/2006/relationships/hyperlink" Target="http://probaseballexperience.jcink.net/index.php?showtopic=918" TargetMode="External"/><Relationship Id="rId257" Type="http://schemas.openxmlformats.org/officeDocument/2006/relationships/hyperlink" Target="http://probaseballexperience.jcink.net/index.php?showtopic=2575" TargetMode="External"/><Relationship Id="rId422" Type="http://schemas.openxmlformats.org/officeDocument/2006/relationships/hyperlink" Target="http://probaseballexperience.jcink.net/index.php?showuser=89" TargetMode="External"/><Relationship Id="rId464" Type="http://schemas.openxmlformats.org/officeDocument/2006/relationships/hyperlink" Target="http://probaseballexperience.jcink.net/index.php?showtopic=3634" TargetMode="External"/><Relationship Id="rId299" Type="http://schemas.openxmlformats.org/officeDocument/2006/relationships/hyperlink" Target="http://probaseballexperience.jcink.net/index.php?showtopic=2781" TargetMode="External"/><Relationship Id="rId727" Type="http://schemas.openxmlformats.org/officeDocument/2006/relationships/hyperlink" Target="http://probaseballexperience.jcink.net/index.php?showtopic=1085" TargetMode="External"/><Relationship Id="rId63" Type="http://schemas.openxmlformats.org/officeDocument/2006/relationships/hyperlink" Target="http://probaseballexperience.jcink.net/index.php?showtopic=1042" TargetMode="External"/><Relationship Id="rId159" Type="http://schemas.openxmlformats.org/officeDocument/2006/relationships/hyperlink" Target="http://probaseballexperience.jcink.net/index.php?showuser=34" TargetMode="External"/><Relationship Id="rId366" Type="http://schemas.openxmlformats.org/officeDocument/2006/relationships/hyperlink" Target="http://probaseballexperience.jcink.net/index.php?showuser=125" TargetMode="External"/><Relationship Id="rId573" Type="http://schemas.openxmlformats.org/officeDocument/2006/relationships/hyperlink" Target="http://probaseballexperience.jcink.net/index.php?showtopic=3080" TargetMode="External"/><Relationship Id="rId226" Type="http://schemas.openxmlformats.org/officeDocument/2006/relationships/hyperlink" Target="http://probaseballexperience.jcink.net/index.php?showtopic=2121" TargetMode="External"/><Relationship Id="rId433" Type="http://schemas.openxmlformats.org/officeDocument/2006/relationships/hyperlink" Target="http://probaseballexperience.jcink.net/index.php?showuser=41" TargetMode="External"/><Relationship Id="rId640" Type="http://schemas.openxmlformats.org/officeDocument/2006/relationships/hyperlink" Target="http://probaseballexperience.jcink.net/index.php?showtopic=2967" TargetMode="External"/><Relationship Id="rId738" Type="http://schemas.openxmlformats.org/officeDocument/2006/relationships/hyperlink" Target="http://probaseballexperience.jcink.net/index.php?showtopic=2312" TargetMode="External"/><Relationship Id="rId74" Type="http://schemas.openxmlformats.org/officeDocument/2006/relationships/hyperlink" Target="http://probaseballexperience.jcink.net/index.php?showuser=15" TargetMode="External"/><Relationship Id="rId377" Type="http://schemas.openxmlformats.org/officeDocument/2006/relationships/hyperlink" Target="http://probaseballexperience.jcink.net/index.php?showtopic=3539" TargetMode="External"/><Relationship Id="rId500" Type="http://schemas.openxmlformats.org/officeDocument/2006/relationships/hyperlink" Target="http://probaseballexperience.jcink.net/index.php?showtopic=2615" TargetMode="External"/><Relationship Id="rId584" Type="http://schemas.openxmlformats.org/officeDocument/2006/relationships/hyperlink" Target="http://probaseballexperience.jcink.net/index.php?showtopic=1062" TargetMode="External"/><Relationship Id="rId5" Type="http://schemas.openxmlformats.org/officeDocument/2006/relationships/hyperlink" Target="http://probaseballexperience.jcink.net/index.php?showuser=8" TargetMode="External"/><Relationship Id="rId237" Type="http://schemas.openxmlformats.org/officeDocument/2006/relationships/hyperlink" Target="http://probaseballexperience.jcink.net/index.php?showuser=288" TargetMode="External"/><Relationship Id="rId444" Type="http://schemas.openxmlformats.org/officeDocument/2006/relationships/hyperlink" Target="http://probaseballexperience.jcink.net/index.php?showtopic=3627" TargetMode="External"/><Relationship Id="rId651" Type="http://schemas.openxmlformats.org/officeDocument/2006/relationships/hyperlink" Target="http://probaseballexperience.jcink.net/index.php?showtopic=217" TargetMode="External"/><Relationship Id="rId290" Type="http://schemas.openxmlformats.org/officeDocument/2006/relationships/hyperlink" Target="http://probaseballexperience.jcink.net/index.php?showtopic=3153" TargetMode="External"/><Relationship Id="rId304" Type="http://schemas.openxmlformats.org/officeDocument/2006/relationships/hyperlink" Target="http://probaseballexperience.jcink.net/index.php?showtopic=1358" TargetMode="External"/><Relationship Id="rId388" Type="http://schemas.openxmlformats.org/officeDocument/2006/relationships/hyperlink" Target="http://probaseballexperience.jcink.net/index.php?showtopic=220" TargetMode="External"/><Relationship Id="rId511" Type="http://schemas.openxmlformats.org/officeDocument/2006/relationships/hyperlink" Target="http://probaseballexperience.jcink.net/index.php?showuser=317" TargetMode="External"/><Relationship Id="rId609" Type="http://schemas.openxmlformats.org/officeDocument/2006/relationships/hyperlink" Target="http://probaseballexperience.jcink.net/index.php?showuser=54" TargetMode="External"/><Relationship Id="rId85" Type="http://schemas.openxmlformats.org/officeDocument/2006/relationships/hyperlink" Target="http://probaseballexperience.jcink.net/index.php?showtopic=2376" TargetMode="External"/><Relationship Id="rId150" Type="http://schemas.openxmlformats.org/officeDocument/2006/relationships/hyperlink" Target="http://probaseballexperience.jcink.net/index.php?showuser=87" TargetMode="External"/><Relationship Id="rId595" Type="http://schemas.openxmlformats.org/officeDocument/2006/relationships/hyperlink" Target="http://probaseballexperience.jcink.net/index.php?showuser=327" TargetMode="External"/><Relationship Id="rId248" Type="http://schemas.openxmlformats.org/officeDocument/2006/relationships/hyperlink" Target="http://probaseballexperience.jcink.net/index.php?showtopic=1532" TargetMode="External"/><Relationship Id="rId455" Type="http://schemas.openxmlformats.org/officeDocument/2006/relationships/hyperlink" Target="http://probaseballexperience.jcink.net/index.php?showtopic=1836" TargetMode="External"/><Relationship Id="rId662" Type="http://schemas.openxmlformats.org/officeDocument/2006/relationships/hyperlink" Target="http://probaseballexperience.jcink.net/index.php?showuser=181" TargetMode="External"/><Relationship Id="rId12" Type="http://schemas.openxmlformats.org/officeDocument/2006/relationships/hyperlink" Target="http://probaseballexperience.jcink.net/index.php?showtopic=345" TargetMode="External"/><Relationship Id="rId108" Type="http://schemas.openxmlformats.org/officeDocument/2006/relationships/hyperlink" Target="http://probaseballexperience.jcink.net/index.php?showuser=190" TargetMode="External"/><Relationship Id="rId315" Type="http://schemas.openxmlformats.org/officeDocument/2006/relationships/hyperlink" Target="http://probaseballexperience.jcink.net/index.php?showuser=251" TargetMode="External"/><Relationship Id="rId522" Type="http://schemas.openxmlformats.org/officeDocument/2006/relationships/hyperlink" Target="http://probaseballexperience.jcink.net/index.php?showtopic=498" TargetMode="External"/><Relationship Id="rId96" Type="http://schemas.openxmlformats.org/officeDocument/2006/relationships/hyperlink" Target="http://probaseballexperience.jcink.net/index.php?showuser=186" TargetMode="External"/><Relationship Id="rId161" Type="http://schemas.openxmlformats.org/officeDocument/2006/relationships/hyperlink" Target="http://probaseballexperience.jcink.net/index.php?showtopic=1236" TargetMode="External"/><Relationship Id="rId399" Type="http://schemas.openxmlformats.org/officeDocument/2006/relationships/hyperlink" Target="http://probaseballexperience.jcink.net/index.php?showtopic=1075" TargetMode="External"/><Relationship Id="rId259" Type="http://schemas.openxmlformats.org/officeDocument/2006/relationships/hyperlink" Target="http://probaseballexperience.jcink.net/index.php?showtopic=2575" TargetMode="External"/><Relationship Id="rId466" Type="http://schemas.openxmlformats.org/officeDocument/2006/relationships/hyperlink" Target="http://probaseballexperience.jcink.net/index.php?showuser=255" TargetMode="External"/><Relationship Id="rId673" Type="http://schemas.openxmlformats.org/officeDocument/2006/relationships/hyperlink" Target="http://probaseballexperience.jcink.net/index.php?showtopic=1048" TargetMode="External"/><Relationship Id="rId23" Type="http://schemas.openxmlformats.org/officeDocument/2006/relationships/hyperlink" Target="http://probaseballexperience.jcink.net/index.php?showuser=52" TargetMode="External"/><Relationship Id="rId119" Type="http://schemas.openxmlformats.org/officeDocument/2006/relationships/hyperlink" Target="http://probaseballexperience.jcink.net/index.php?showtopic=288" TargetMode="External"/><Relationship Id="rId326" Type="http://schemas.openxmlformats.org/officeDocument/2006/relationships/hyperlink" Target="http://probaseballexperience.jcink.net/index.php?showtopic=3438" TargetMode="External"/><Relationship Id="rId533" Type="http://schemas.openxmlformats.org/officeDocument/2006/relationships/hyperlink" Target="http://probaseballexperience.jcink.net/index.php?showtopic=3162" TargetMode="External"/><Relationship Id="rId740" Type="http://schemas.openxmlformats.org/officeDocument/2006/relationships/hyperlink" Target="http://probaseballexperience.jcink.net/index.php?showuser=136" TargetMode="External"/><Relationship Id="rId172" Type="http://schemas.openxmlformats.org/officeDocument/2006/relationships/hyperlink" Target="http://probaseballexperience.jcink.net/index.php?showtopic=2525" TargetMode="External"/><Relationship Id="rId477" Type="http://schemas.openxmlformats.org/officeDocument/2006/relationships/hyperlink" Target="http://probaseballexperience.jcink.net/index.php?showtopic=3435" TargetMode="External"/><Relationship Id="rId600" Type="http://schemas.openxmlformats.org/officeDocument/2006/relationships/hyperlink" Target="http://probaseballexperience.jcink.net/index.php?showtopic=3585" TargetMode="External"/><Relationship Id="rId684" Type="http://schemas.openxmlformats.org/officeDocument/2006/relationships/hyperlink" Target="http://probaseballexperience.jcink.net/index.php?showtopic=1064" TargetMode="External"/><Relationship Id="rId337" Type="http://schemas.openxmlformats.org/officeDocument/2006/relationships/hyperlink" Target="http://probaseballexperience.jcink.net/index.php?showtopic=1092" TargetMode="External"/><Relationship Id="rId34" Type="http://schemas.openxmlformats.org/officeDocument/2006/relationships/hyperlink" Target="http://probaseballexperience.jcink.net/index.php?showtopic=122" TargetMode="External"/><Relationship Id="rId544" Type="http://schemas.openxmlformats.org/officeDocument/2006/relationships/hyperlink" Target="http://probaseballexperience.jcink.net/index.php?showuser=93" TargetMode="External"/><Relationship Id="rId183" Type="http://schemas.openxmlformats.org/officeDocument/2006/relationships/hyperlink" Target="http://probaseballexperience.jcink.net/index.php?showuser=20" TargetMode="External"/><Relationship Id="rId390" Type="http://schemas.openxmlformats.org/officeDocument/2006/relationships/hyperlink" Target="http://probaseballexperience.jcink.net/index.php?showtopic=220" TargetMode="External"/><Relationship Id="rId404" Type="http://schemas.openxmlformats.org/officeDocument/2006/relationships/hyperlink" Target="http://probaseballexperience.jcink.net/index.php?showuser=135" TargetMode="External"/><Relationship Id="rId611" Type="http://schemas.openxmlformats.org/officeDocument/2006/relationships/hyperlink" Target="http://probaseballexperience.jcink.net/index.php?showtopic=327" TargetMode="External"/><Relationship Id="rId250" Type="http://schemas.openxmlformats.org/officeDocument/2006/relationships/hyperlink" Target="http://probaseballexperience.jcink.net/index.php?showtopic=1532" TargetMode="External"/><Relationship Id="rId488" Type="http://schemas.openxmlformats.org/officeDocument/2006/relationships/hyperlink" Target="http://probaseballexperience.jcink.net/index.php?act=ST&amp;f=2&amp;t=2524" TargetMode="External"/><Relationship Id="rId695" Type="http://schemas.openxmlformats.org/officeDocument/2006/relationships/hyperlink" Target="http://probaseballexperience.jcink.net/index.php?showuser=198" TargetMode="External"/><Relationship Id="rId709" Type="http://schemas.openxmlformats.org/officeDocument/2006/relationships/hyperlink" Target="http://probaseballexperience.jcink.net/index.php?showtopic=218" TargetMode="External"/><Relationship Id="rId45" Type="http://schemas.openxmlformats.org/officeDocument/2006/relationships/hyperlink" Target="http://probaseballexperience.jcink.net/index.php?showtopic=101" TargetMode="External"/><Relationship Id="rId110" Type="http://schemas.openxmlformats.org/officeDocument/2006/relationships/hyperlink" Target="http://probaseballexperience.jcink.net/index.php?showtopic=1232" TargetMode="External"/><Relationship Id="rId348" Type="http://schemas.openxmlformats.org/officeDocument/2006/relationships/hyperlink" Target="http://probaseballexperience.jcink.net/index.php?showuser=96" TargetMode="External"/><Relationship Id="rId555" Type="http://schemas.openxmlformats.org/officeDocument/2006/relationships/hyperlink" Target="http://probaseballexperience.jcink.net/index.php?showtopic=173" TargetMode="External"/><Relationship Id="rId194" Type="http://schemas.openxmlformats.org/officeDocument/2006/relationships/hyperlink" Target="http://probaseballexperience.jcink.net/index.php?showtopic=1441" TargetMode="External"/><Relationship Id="rId208" Type="http://schemas.openxmlformats.org/officeDocument/2006/relationships/hyperlink" Target="http://probaseballexperience.jcink.net/index.php?showtopic=2604" TargetMode="External"/><Relationship Id="rId415" Type="http://schemas.openxmlformats.org/officeDocument/2006/relationships/hyperlink" Target="http://probaseballexperience.jcink.net/index.php?showtopic=2444" TargetMode="External"/><Relationship Id="rId622" Type="http://schemas.openxmlformats.org/officeDocument/2006/relationships/hyperlink" Target="http://probaseballexperience.jcink.net/index.php?showtopic=2622" TargetMode="External"/><Relationship Id="rId261" Type="http://schemas.openxmlformats.org/officeDocument/2006/relationships/hyperlink" Target="http://probaseballexperience.jcink.net/index.php?showuser=4" TargetMode="External"/><Relationship Id="rId499" Type="http://schemas.openxmlformats.org/officeDocument/2006/relationships/hyperlink" Target="http://probaseballexperience.jcink.net/index.php?showuser=276" TargetMode="External"/><Relationship Id="rId56" Type="http://schemas.openxmlformats.org/officeDocument/2006/relationships/hyperlink" Target="http://probaseballexperience.jcink.net/index.php?showuser=6" TargetMode="External"/><Relationship Id="rId359" Type="http://schemas.openxmlformats.org/officeDocument/2006/relationships/hyperlink" Target="http://probaseballexperience.jcink.net/index.php?showtopic=2551" TargetMode="External"/><Relationship Id="rId566" Type="http://schemas.openxmlformats.org/officeDocument/2006/relationships/hyperlink" Target="http://probaseballexperience.jcink.net/index.php?showtopic=1799" TargetMode="External"/><Relationship Id="rId121" Type="http://schemas.openxmlformats.org/officeDocument/2006/relationships/hyperlink" Target="http://probaseballexperience.jcink.net/index.php?showtopic=288" TargetMode="External"/><Relationship Id="rId219" Type="http://schemas.openxmlformats.org/officeDocument/2006/relationships/hyperlink" Target="http://probaseballexperience.jcink.net/index.php?showuser=35" TargetMode="External"/><Relationship Id="rId426" Type="http://schemas.openxmlformats.org/officeDocument/2006/relationships/hyperlink" Target="http://probaseballexperience.jcink.net/index.php?showtopic=75" TargetMode="External"/><Relationship Id="rId633" Type="http://schemas.openxmlformats.org/officeDocument/2006/relationships/hyperlink" Target="http://probaseballexperience.jcink.net/index.php?showuser=321" TargetMode="External"/><Relationship Id="rId67" Type="http://schemas.openxmlformats.org/officeDocument/2006/relationships/hyperlink" Target="http://probaseballexperience.jcink.net/index.php?showtopic=66" TargetMode="External"/><Relationship Id="rId272" Type="http://schemas.openxmlformats.org/officeDocument/2006/relationships/hyperlink" Target="http://probaseballexperience.jcink.net/index.php?showtopic=3018" TargetMode="External"/><Relationship Id="rId577" Type="http://schemas.openxmlformats.org/officeDocument/2006/relationships/hyperlink" Target="http://probaseballexperience.jcink.net/index.php?showuser=90" TargetMode="External"/><Relationship Id="rId700" Type="http://schemas.openxmlformats.org/officeDocument/2006/relationships/hyperlink" Target="http://probaseballexperience.jcink.net/index.php?showtopic=1082" TargetMode="External"/><Relationship Id="rId132" Type="http://schemas.openxmlformats.org/officeDocument/2006/relationships/hyperlink" Target="http://probaseballexperience.jcink.net/index.php?showuser=211" TargetMode="External"/><Relationship Id="rId437" Type="http://schemas.openxmlformats.org/officeDocument/2006/relationships/hyperlink" Target="http://probaseballexperience.jcink.net/index.php?showtopic=3211" TargetMode="External"/><Relationship Id="rId644" Type="http://schemas.openxmlformats.org/officeDocument/2006/relationships/hyperlink" Target="http://probaseballexperience.jcink.net/index.php?showuser=169" TargetMode="External"/><Relationship Id="rId283" Type="http://schemas.openxmlformats.org/officeDocument/2006/relationships/hyperlink" Target="http://probaseballexperience.jcink.net/index.php?showtopic=2450" TargetMode="External"/><Relationship Id="rId490" Type="http://schemas.openxmlformats.org/officeDocument/2006/relationships/hyperlink" Target="http://probaseballexperience.jcink.net/index.php?showuser=219" TargetMode="External"/><Relationship Id="rId504" Type="http://schemas.openxmlformats.org/officeDocument/2006/relationships/hyperlink" Target="http://probaseballexperience.jcink.net/index.php?showtopic=1377" TargetMode="External"/><Relationship Id="rId711" Type="http://schemas.openxmlformats.org/officeDocument/2006/relationships/hyperlink" Target="http://probaseballexperience.jcink.net/index.php?showtopic=218" TargetMode="External"/><Relationship Id="rId78" Type="http://schemas.openxmlformats.org/officeDocument/2006/relationships/hyperlink" Target="http://probaseballexperience.jcink.net/index.php?showtopic=258" TargetMode="External"/><Relationship Id="rId143" Type="http://schemas.openxmlformats.org/officeDocument/2006/relationships/hyperlink" Target="http://probaseballexperience.jcink.net/index.php?showtopic=354" TargetMode="External"/><Relationship Id="rId350" Type="http://schemas.openxmlformats.org/officeDocument/2006/relationships/hyperlink" Target="http://probaseballexperience.jcink.net/index.php?showtopic=248" TargetMode="External"/><Relationship Id="rId588" Type="http://schemas.openxmlformats.org/officeDocument/2006/relationships/hyperlink" Target="http://probaseballexperience.jcink.net/index.php?showtopic=3610" TargetMode="External"/><Relationship Id="rId9" Type="http://schemas.openxmlformats.org/officeDocument/2006/relationships/hyperlink" Target="http://probaseballexperience.jcink.net/index.php?showtopic=210" TargetMode="External"/><Relationship Id="rId210" Type="http://schemas.openxmlformats.org/officeDocument/2006/relationships/hyperlink" Target="http://probaseballexperience.jcink.net/index.php?showuser=272" TargetMode="External"/><Relationship Id="rId448" Type="http://schemas.openxmlformats.org/officeDocument/2006/relationships/hyperlink" Target="http://probaseballexperience.jcink.net/index.php?showuser=66" TargetMode="External"/><Relationship Id="rId655" Type="http://schemas.openxmlformats.org/officeDocument/2006/relationships/hyperlink" Target="http://probaseballexperience.jcink.net/index.php?showtopic=249" TargetMode="External"/><Relationship Id="rId294" Type="http://schemas.openxmlformats.org/officeDocument/2006/relationships/hyperlink" Target="http://probaseballexperience.jcink.net/index.php?showuser=3" TargetMode="External"/><Relationship Id="rId308" Type="http://schemas.openxmlformats.org/officeDocument/2006/relationships/hyperlink" Target="http://probaseballexperience.jcink.net/index.php?showtopic=2930" TargetMode="External"/><Relationship Id="rId515" Type="http://schemas.openxmlformats.org/officeDocument/2006/relationships/hyperlink" Target="http://probaseballexperience.jcink.net/index.php?showtopic=126" TargetMode="External"/><Relationship Id="rId722" Type="http://schemas.openxmlformats.org/officeDocument/2006/relationships/hyperlink" Target="http://probaseballexperience.jcink.net/index.php?showuser=175" TargetMode="External"/><Relationship Id="rId89" Type="http://schemas.openxmlformats.org/officeDocument/2006/relationships/hyperlink" Target="http://probaseballexperience.jcink.net/index.php?showtopic=256" TargetMode="External"/><Relationship Id="rId154" Type="http://schemas.openxmlformats.org/officeDocument/2006/relationships/hyperlink" Target="http://probaseballexperience.jcink.net/index.php?showtopic=188" TargetMode="External"/><Relationship Id="rId361" Type="http://schemas.openxmlformats.org/officeDocument/2006/relationships/hyperlink" Target="http://probaseballexperience.jcink.net/index.php?showtopic=2551" TargetMode="External"/><Relationship Id="rId599" Type="http://schemas.openxmlformats.org/officeDocument/2006/relationships/hyperlink" Target="http://probaseballexperience.jcink.net/index.php?showtopic=3573" TargetMode="External"/><Relationship Id="rId459" Type="http://schemas.openxmlformats.org/officeDocument/2006/relationships/hyperlink" Target="http://probaseballexperience.jcink.net/index.php?showtopic=3582" TargetMode="External"/><Relationship Id="rId666" Type="http://schemas.openxmlformats.org/officeDocument/2006/relationships/hyperlink" Target="http://probaseballexperience.jcink.net/index.php?showtopic=109" TargetMode="External"/><Relationship Id="rId16" Type="http://schemas.openxmlformats.org/officeDocument/2006/relationships/hyperlink" Target="http://probaseballexperience.jcink.net/index.php?showtopic=405" TargetMode="External"/><Relationship Id="rId221" Type="http://schemas.openxmlformats.org/officeDocument/2006/relationships/hyperlink" Target="http://probaseballexperience.jcink.net/index.php?showtopic=1740" TargetMode="External"/><Relationship Id="rId319" Type="http://schemas.openxmlformats.org/officeDocument/2006/relationships/hyperlink" Target="http://probaseballexperience.jcink.net/index.php?showtopic=953" TargetMode="External"/><Relationship Id="rId526" Type="http://schemas.openxmlformats.org/officeDocument/2006/relationships/hyperlink" Target="http://probaseballexperience.jcink.net/index.php?showuser=101" TargetMode="External"/><Relationship Id="rId733" Type="http://schemas.openxmlformats.org/officeDocument/2006/relationships/hyperlink" Target="http://probaseballexperience.jcink.net/index.php?showtopic=1738" TargetMode="External"/><Relationship Id="rId165" Type="http://schemas.openxmlformats.org/officeDocument/2006/relationships/hyperlink" Target="http://probaseballexperience.jcink.net/index.php?showuser=225" TargetMode="External"/><Relationship Id="rId372" Type="http://schemas.openxmlformats.org/officeDocument/2006/relationships/hyperlink" Target="http://probaseballexperience.jcink.net/index.php?showuser=238" TargetMode="External"/><Relationship Id="rId677" Type="http://schemas.openxmlformats.org/officeDocument/2006/relationships/hyperlink" Target="http://probaseballexperience.jcink.net/index.php?showuser=182" TargetMode="External"/><Relationship Id="rId232" Type="http://schemas.openxmlformats.org/officeDocument/2006/relationships/hyperlink" Target="http://probaseballexperience.jcink.net/index.php?showtopic=105" TargetMode="External"/><Relationship Id="rId27" Type="http://schemas.openxmlformats.org/officeDocument/2006/relationships/hyperlink" Target="http://probaseballexperience.jcink.net/index.php?showtopic=120" TargetMode="External"/><Relationship Id="rId537" Type="http://schemas.openxmlformats.org/officeDocument/2006/relationships/hyperlink" Target="http://probaseballexperience.jcink.net/index.php?showtopic=3360" TargetMode="External"/><Relationship Id="rId744" Type="http://schemas.openxmlformats.org/officeDocument/2006/relationships/hyperlink" Target="http://probaseballexperience.jcink.net/index.php?showtopic=1034" TargetMode="External"/><Relationship Id="rId80" Type="http://schemas.openxmlformats.org/officeDocument/2006/relationships/hyperlink" Target="http://probaseballexperience.jcink.net/index.php?showuser=133" TargetMode="External"/><Relationship Id="rId176" Type="http://schemas.openxmlformats.org/officeDocument/2006/relationships/hyperlink" Target="http://probaseballexperience.jcink.net/index.php?showtopic=2599" TargetMode="External"/><Relationship Id="rId383" Type="http://schemas.openxmlformats.org/officeDocument/2006/relationships/hyperlink" Target="http://probaseballexperience.jcink.net/index.php?showtopic=3601" TargetMode="External"/><Relationship Id="rId590" Type="http://schemas.openxmlformats.org/officeDocument/2006/relationships/hyperlink" Target="http://probaseballexperience.jcink.net/index.php?showtopic=3610" TargetMode="External"/><Relationship Id="rId604" Type="http://schemas.openxmlformats.org/officeDocument/2006/relationships/hyperlink" Target="http://probaseballexperience.jcink.net/index.php?showtopic=2596" TargetMode="External"/><Relationship Id="rId243" Type="http://schemas.openxmlformats.org/officeDocument/2006/relationships/hyperlink" Target="http://probaseballexperience.jcink.net/index.php?showuser=262" TargetMode="External"/><Relationship Id="rId450" Type="http://schemas.openxmlformats.org/officeDocument/2006/relationships/hyperlink" Target="http://probaseballexperience.jcink.net/index.php?showtopic=2999" TargetMode="External"/><Relationship Id="rId688" Type="http://schemas.openxmlformats.org/officeDocument/2006/relationships/hyperlink" Target="http://probaseballexperience.jcink.net/index.php?showtopic=3008" TargetMode="External"/><Relationship Id="rId38" Type="http://schemas.openxmlformats.org/officeDocument/2006/relationships/hyperlink" Target="http://probaseballexperience.jcink.net/index.php?showuser=81" TargetMode="External"/><Relationship Id="rId103" Type="http://schemas.openxmlformats.org/officeDocument/2006/relationships/hyperlink" Target="http://probaseballexperience.jcink.net/index.php?showtopic=2155" TargetMode="External"/><Relationship Id="rId310" Type="http://schemas.openxmlformats.org/officeDocument/2006/relationships/hyperlink" Target="http://probaseballexperience.jcink.net/index.php?showtopic=2930" TargetMode="External"/><Relationship Id="rId548" Type="http://schemas.openxmlformats.org/officeDocument/2006/relationships/hyperlink" Target="http://probaseballexperience.jcink.net/index.php?showtopic=2571" TargetMode="External"/><Relationship Id="rId91" Type="http://schemas.openxmlformats.org/officeDocument/2006/relationships/hyperlink" Target="http://probaseballexperience.jcink.net/index.php?showtopic=256" TargetMode="External"/><Relationship Id="rId187" Type="http://schemas.openxmlformats.org/officeDocument/2006/relationships/hyperlink" Target="http://probaseballexperience.jcink.net/index.php?showtopic=2590" TargetMode="External"/><Relationship Id="rId394" Type="http://schemas.openxmlformats.org/officeDocument/2006/relationships/hyperlink" Target="http://probaseballexperience.jcink.net/index.php?showtopic=2506" TargetMode="External"/><Relationship Id="rId408" Type="http://schemas.openxmlformats.org/officeDocument/2006/relationships/hyperlink" Target="http://probaseballexperience.jcink.net/index.php?showtopic=3027" TargetMode="External"/><Relationship Id="rId615" Type="http://schemas.openxmlformats.org/officeDocument/2006/relationships/hyperlink" Target="http://probaseballexperience.jcink.net/index.php?showuser=237" TargetMode="External"/><Relationship Id="rId254" Type="http://schemas.openxmlformats.org/officeDocument/2006/relationships/hyperlink" Target="http://probaseballexperience.jcink.net/index.php?showtopic=268" TargetMode="External"/><Relationship Id="rId699" Type="http://schemas.openxmlformats.org/officeDocument/2006/relationships/hyperlink" Target="http://probaseballexperience.jcink.net/index.php?showtopic=917" TargetMode="External"/><Relationship Id="rId49" Type="http://schemas.openxmlformats.org/officeDocument/2006/relationships/hyperlink" Target="http://probaseballexperience.jcink.net/index.php?showtopic=84" TargetMode="External"/><Relationship Id="rId114" Type="http://schemas.openxmlformats.org/officeDocument/2006/relationships/hyperlink" Target="http://probaseballexperience.jcink.net/index.php?showuser=128" TargetMode="External"/><Relationship Id="rId461" Type="http://schemas.openxmlformats.org/officeDocument/2006/relationships/hyperlink" Target="http://probaseballexperience.jcink.net/index.php?showtopic=3582" TargetMode="External"/><Relationship Id="rId559" Type="http://schemas.openxmlformats.org/officeDocument/2006/relationships/hyperlink" Target="http://probaseballexperience.jcink.net/index.php?showuser=82" TargetMode="External"/><Relationship Id="rId198" Type="http://schemas.openxmlformats.org/officeDocument/2006/relationships/hyperlink" Target="http://probaseballexperience.jcink.net/index.php?showuser=275" TargetMode="External"/><Relationship Id="rId321" Type="http://schemas.openxmlformats.org/officeDocument/2006/relationships/hyperlink" Target="http://probaseballexperience.jcink.net/index.php?showuser=22" TargetMode="External"/><Relationship Id="rId419" Type="http://schemas.openxmlformats.org/officeDocument/2006/relationships/hyperlink" Target="http://probaseballexperience.jcink.net/index.php?showuser=324" TargetMode="External"/><Relationship Id="rId626" Type="http://schemas.openxmlformats.org/officeDocument/2006/relationships/hyperlink" Target="http://probaseballexperience.jcink.net/index.php?showtopic=3170" TargetMode="External"/><Relationship Id="rId265" Type="http://schemas.openxmlformats.org/officeDocument/2006/relationships/hyperlink" Target="http://probaseballexperience.jcink.net/index.php?showtopic=176" TargetMode="External"/><Relationship Id="rId472" Type="http://schemas.openxmlformats.org/officeDocument/2006/relationships/hyperlink" Target="http://probaseballexperience.jcink.net/index.php?showuser=220" TargetMode="External"/><Relationship Id="rId125" Type="http://schemas.openxmlformats.org/officeDocument/2006/relationships/hyperlink" Target="http://probaseballexperience.jcink.net/index.php?showtopic=2165" TargetMode="External"/><Relationship Id="rId332" Type="http://schemas.openxmlformats.org/officeDocument/2006/relationships/hyperlink" Target="http://probaseballexperience.jcink.net/index.php?showtopic=797" TargetMode="External"/><Relationship Id="rId637" Type="http://schemas.openxmlformats.org/officeDocument/2006/relationships/hyperlink" Target="http://probaseballexperience.jcink.net/index.php?showtopic=3186" TargetMode="External"/><Relationship Id="rId276" Type="http://schemas.openxmlformats.org/officeDocument/2006/relationships/hyperlink" Target="http://probaseballexperience.jcink.net/index.php?showuser=305" TargetMode="External"/><Relationship Id="rId483" Type="http://schemas.openxmlformats.org/officeDocument/2006/relationships/hyperlink" Target="http://probaseballexperience.jcink.net/index.php?showtopic=127" TargetMode="External"/><Relationship Id="rId690" Type="http://schemas.openxmlformats.org/officeDocument/2006/relationships/hyperlink" Target="http://probaseballexperience.jcink.net/index.php?showtopic=3008" TargetMode="External"/><Relationship Id="rId704" Type="http://schemas.openxmlformats.org/officeDocument/2006/relationships/hyperlink" Target="http://probaseballexperience.jcink.net/index.php?showuser=106" TargetMode="External"/><Relationship Id="rId40" Type="http://schemas.openxmlformats.org/officeDocument/2006/relationships/hyperlink" Target="http://probaseballexperience.jcink.net/index.php?showtopic=627" TargetMode="External"/><Relationship Id="rId136" Type="http://schemas.openxmlformats.org/officeDocument/2006/relationships/hyperlink" Target="http://probaseballexperience.jcink.net/index.php?showtopic=2455" TargetMode="External"/><Relationship Id="rId343" Type="http://schemas.openxmlformats.org/officeDocument/2006/relationships/hyperlink" Target="http://probaseballexperience.jcink.net/index.php?showtopic=164" TargetMode="External"/><Relationship Id="rId550" Type="http://schemas.openxmlformats.org/officeDocument/2006/relationships/hyperlink" Target="http://probaseballexperience.jcink.net/index.php?showuser=157" TargetMode="External"/><Relationship Id="rId203" Type="http://schemas.openxmlformats.org/officeDocument/2006/relationships/hyperlink" Target="http://probaseballexperience.jcink.net/index.php?showtopic=2307" TargetMode="External"/><Relationship Id="rId648" Type="http://schemas.openxmlformats.org/officeDocument/2006/relationships/hyperlink" Target="http://probaseballexperience.jcink.net/index.php?showtopic=490" TargetMode="External"/><Relationship Id="rId287" Type="http://schemas.openxmlformats.org/officeDocument/2006/relationships/hyperlink" Target="http://probaseballexperience.jcink.net/index.php?showtopic=3110" TargetMode="External"/><Relationship Id="rId410" Type="http://schemas.openxmlformats.org/officeDocument/2006/relationships/hyperlink" Target="http://probaseballexperience.jcink.net/index.php?showuser=42" TargetMode="External"/><Relationship Id="rId494" Type="http://schemas.openxmlformats.org/officeDocument/2006/relationships/hyperlink" Target="http://probaseballexperience.jcink.net/index.php?showtopic=3621" TargetMode="External"/><Relationship Id="rId508" Type="http://schemas.openxmlformats.org/officeDocument/2006/relationships/hyperlink" Target="http://probaseballexperience.jcink.net/index.php?showuser=24" TargetMode="External"/><Relationship Id="rId715" Type="http://schemas.openxmlformats.org/officeDocument/2006/relationships/hyperlink" Target="http://probaseballexperience.jcink.net/index.php?showtopic=276" TargetMode="External"/><Relationship Id="rId147" Type="http://schemas.openxmlformats.org/officeDocument/2006/relationships/hyperlink" Target="http://probaseballexperience.jcink.net/index.php?showuser=12" TargetMode="External"/><Relationship Id="rId354" Type="http://schemas.openxmlformats.org/officeDocument/2006/relationships/hyperlink" Target="http://probaseballexperience.jcink.net/index.php?showtopic=2227" TargetMode="External"/><Relationship Id="rId51" Type="http://schemas.openxmlformats.org/officeDocument/2006/relationships/hyperlink" Target="http://probaseballexperience.jcink.net/index.php?showtopic=84" TargetMode="External"/><Relationship Id="rId561" Type="http://schemas.openxmlformats.org/officeDocument/2006/relationships/hyperlink" Target="http://probaseballexperience.jcink.net/index.php?showtopic=147" TargetMode="External"/><Relationship Id="rId659" Type="http://schemas.openxmlformats.org/officeDocument/2006/relationships/hyperlink" Target="http://probaseballexperience.jcink.net/index.php?showuser=180" TargetMode="External"/><Relationship Id="rId214" Type="http://schemas.openxmlformats.org/officeDocument/2006/relationships/hyperlink" Target="http://probaseballexperience.jcink.net/index.php?showtopic=3046&amp;view=findpost&amp;p=32489" TargetMode="External"/><Relationship Id="rId298" Type="http://schemas.openxmlformats.org/officeDocument/2006/relationships/hyperlink" Target="http://probaseballexperience.jcink.net/index.php?showtopic=3145" TargetMode="External"/><Relationship Id="rId421" Type="http://schemas.openxmlformats.org/officeDocument/2006/relationships/hyperlink" Target="http://probaseballexperience.jcink.net/index.php?showtopic=238" TargetMode="External"/><Relationship Id="rId519" Type="http://schemas.openxmlformats.org/officeDocument/2006/relationships/hyperlink" Target="http://probaseballexperience.jcink.net/index.php?showtopic=3576" TargetMode="External"/></Relationships>
</file>

<file path=xl/worksheets/_rels/sheet25.xml.rels><?xml version="1.0" encoding="UTF-8" standalone="yes"?>
<Relationships xmlns="http://schemas.openxmlformats.org/package/2006/relationships"><Relationship Id="rId26" Type="http://schemas.openxmlformats.org/officeDocument/2006/relationships/hyperlink" Target="http://probaseballexperience.jcink.net/index.php?showtopic=3046&amp;view=findpost&amp;p=32489" TargetMode="External"/><Relationship Id="rId21" Type="http://schemas.openxmlformats.org/officeDocument/2006/relationships/hyperlink" Target="http://probaseballexperience.jcink.net/index.php?showtopic=3018" TargetMode="External"/><Relationship Id="rId42" Type="http://schemas.openxmlformats.org/officeDocument/2006/relationships/hyperlink" Target="http://probaseballexperience.jcink.net/index.php?showuser=40" TargetMode="External"/><Relationship Id="rId47" Type="http://schemas.openxmlformats.org/officeDocument/2006/relationships/hyperlink" Target="http://probaseballexperience.jcink.net/index.php?showtopic=3097" TargetMode="External"/><Relationship Id="rId63" Type="http://schemas.openxmlformats.org/officeDocument/2006/relationships/hyperlink" Target="http://probaseballexperience.jcink.net/index.php?showuser=296" TargetMode="External"/><Relationship Id="rId68" Type="http://schemas.openxmlformats.org/officeDocument/2006/relationships/hyperlink" Target="http://probaseballexperience.jcink.net/index.php?showtopic=3008" TargetMode="External"/><Relationship Id="rId84" Type="http://schemas.openxmlformats.org/officeDocument/2006/relationships/hyperlink" Target="http://probaseballexperience.jcink.net/index.php?showtopic=2921" TargetMode="External"/><Relationship Id="rId89" Type="http://schemas.openxmlformats.org/officeDocument/2006/relationships/hyperlink" Target="http://probaseballexperience.jcink.net/index.php?showuser=285" TargetMode="External"/><Relationship Id="rId16" Type="http://schemas.openxmlformats.org/officeDocument/2006/relationships/hyperlink" Target="http://probaseballexperience.jcink.net/index.php?showuser=310" TargetMode="External"/><Relationship Id="rId11" Type="http://schemas.openxmlformats.org/officeDocument/2006/relationships/hyperlink" Target="http://probaseballexperience.jcink.net/index.php?showtopic=2989" TargetMode="External"/><Relationship Id="rId32" Type="http://schemas.openxmlformats.org/officeDocument/2006/relationships/hyperlink" Target="http://probaseballexperience.jcink.net/index.php?showtopic=3104" TargetMode="External"/><Relationship Id="rId37" Type="http://schemas.openxmlformats.org/officeDocument/2006/relationships/hyperlink" Target="http://probaseballexperience.jcink.net/index.php?showuser=131" TargetMode="External"/><Relationship Id="rId53" Type="http://schemas.openxmlformats.org/officeDocument/2006/relationships/hyperlink" Target="http://probaseballexperience.jcink.net/index.php?showtopic=3123" TargetMode="External"/><Relationship Id="rId58" Type="http://schemas.openxmlformats.org/officeDocument/2006/relationships/hyperlink" Target="http://probaseballexperience.jcink.net/index.php?showtopic=3027" TargetMode="External"/><Relationship Id="rId74" Type="http://schemas.openxmlformats.org/officeDocument/2006/relationships/hyperlink" Target="http://probaseballexperience.jcink.net/index.php?showuser=55" TargetMode="External"/><Relationship Id="rId79" Type="http://schemas.openxmlformats.org/officeDocument/2006/relationships/hyperlink" Target="http://probaseballexperience.jcink.net/index.php?showtopic=3117" TargetMode="External"/><Relationship Id="rId5" Type="http://schemas.openxmlformats.org/officeDocument/2006/relationships/hyperlink" Target="http://probaseballexperience.jcink.net/index.php?showuser=305" TargetMode="External"/><Relationship Id="rId90" Type="http://schemas.openxmlformats.org/officeDocument/2006/relationships/hyperlink" Target="http://probaseballexperience.jcink.net/index.php?showtopic=2966" TargetMode="External"/><Relationship Id="rId14" Type="http://schemas.openxmlformats.org/officeDocument/2006/relationships/hyperlink" Target="http://probaseballexperience.jcink.net/index.php?showtopic=2984" TargetMode="External"/><Relationship Id="rId22" Type="http://schemas.openxmlformats.org/officeDocument/2006/relationships/hyperlink" Target="http://probaseballexperience.jcink.net/index.php?showuser=293" TargetMode="External"/><Relationship Id="rId27" Type="http://schemas.openxmlformats.org/officeDocument/2006/relationships/hyperlink" Target="http://probaseballexperience.jcink.net/index.php?showtopic=3110" TargetMode="External"/><Relationship Id="rId30" Type="http://schemas.openxmlformats.org/officeDocument/2006/relationships/hyperlink" Target="http://probaseballexperience.jcink.net/index.php?showtopic=3104" TargetMode="External"/><Relationship Id="rId35" Type="http://schemas.openxmlformats.org/officeDocument/2006/relationships/hyperlink" Target="http://probaseballexperience.jcink.net/index.php?showtopic=3174" TargetMode="External"/><Relationship Id="rId43" Type="http://schemas.openxmlformats.org/officeDocument/2006/relationships/hyperlink" Target="http://probaseballexperience.jcink.net/index.php?showtopic=2987" TargetMode="External"/><Relationship Id="rId48" Type="http://schemas.openxmlformats.org/officeDocument/2006/relationships/hyperlink" Target="http://probaseballexperience.jcink.net/index.php?showuser=312" TargetMode="External"/><Relationship Id="rId56" Type="http://schemas.openxmlformats.org/officeDocument/2006/relationships/hyperlink" Target="http://probaseballexperience.jcink.net/index.php?showtopic=3027" TargetMode="External"/><Relationship Id="rId64" Type="http://schemas.openxmlformats.org/officeDocument/2006/relationships/hyperlink" Target="http://probaseballexperience.jcink.net/index.php?showtopic=3043&amp;view=findpost&amp;p=32473" TargetMode="External"/><Relationship Id="rId69" Type="http://schemas.openxmlformats.org/officeDocument/2006/relationships/hyperlink" Target="http://probaseballexperience.jcink.net/index.php?showuser=291" TargetMode="External"/><Relationship Id="rId77" Type="http://schemas.openxmlformats.org/officeDocument/2006/relationships/hyperlink" Target="http://probaseballexperience.jcink.net/index.php?showuser=10" TargetMode="External"/><Relationship Id="rId8" Type="http://schemas.openxmlformats.org/officeDocument/2006/relationships/hyperlink" Target="http://probaseballexperience.jcink.net/index.php?showtopic=2930" TargetMode="External"/><Relationship Id="rId51" Type="http://schemas.openxmlformats.org/officeDocument/2006/relationships/hyperlink" Target="http://probaseballexperience.jcink.net/index.php?showuser=308" TargetMode="External"/><Relationship Id="rId72" Type="http://schemas.openxmlformats.org/officeDocument/2006/relationships/hyperlink" Target="http://probaseballexperience.jcink.net/index.php?showuser=309" TargetMode="External"/><Relationship Id="rId80" Type="http://schemas.openxmlformats.org/officeDocument/2006/relationships/hyperlink" Target="http://probaseballexperience.jcink.net/index.php?showuser=3" TargetMode="External"/><Relationship Id="rId85" Type="http://schemas.openxmlformats.org/officeDocument/2006/relationships/hyperlink" Target="http://probaseballexperience.jcink.net/index.php?showtopic=2967" TargetMode="External"/><Relationship Id="rId3" Type="http://schemas.openxmlformats.org/officeDocument/2006/relationships/hyperlink" Target="http://probaseballexperience.jcink.net/index.php?showtopic=2906" TargetMode="External"/><Relationship Id="rId12" Type="http://schemas.openxmlformats.org/officeDocument/2006/relationships/hyperlink" Target="http://probaseballexperience.jcink.net/index.php?showtopic=2984" TargetMode="External"/><Relationship Id="rId17" Type="http://schemas.openxmlformats.org/officeDocument/2006/relationships/hyperlink" Target="http://probaseballexperience.jcink.net/index.php?showtopic=3153" TargetMode="External"/><Relationship Id="rId25" Type="http://schemas.openxmlformats.org/officeDocument/2006/relationships/hyperlink" Target="http://probaseballexperience.jcink.net/index.php?showuser=298" TargetMode="External"/><Relationship Id="rId33" Type="http://schemas.openxmlformats.org/officeDocument/2006/relationships/hyperlink" Target="http://probaseballexperience.jcink.net/index.php?showtopic=3174" TargetMode="External"/><Relationship Id="rId38" Type="http://schemas.openxmlformats.org/officeDocument/2006/relationships/hyperlink" Target="http://probaseballexperience.jcink.net/index.php?showtopic=3019" TargetMode="External"/><Relationship Id="rId46" Type="http://schemas.openxmlformats.org/officeDocument/2006/relationships/hyperlink" Target="http://probaseballexperience.jcink.net/index.php?showtopic=3087" TargetMode="External"/><Relationship Id="rId59" Type="http://schemas.openxmlformats.org/officeDocument/2006/relationships/hyperlink" Target="http://probaseballexperience.jcink.net/index.php?showtopic=3080" TargetMode="External"/><Relationship Id="rId67" Type="http://schemas.openxmlformats.org/officeDocument/2006/relationships/hyperlink" Target="http://probaseballexperience.jcink.net/index.php?showtopic=3097" TargetMode="External"/><Relationship Id="rId20" Type="http://schemas.openxmlformats.org/officeDocument/2006/relationships/hyperlink" Target="http://probaseballexperience.jcink.net/index.php?showtopic=3048" TargetMode="External"/><Relationship Id="rId41" Type="http://schemas.openxmlformats.org/officeDocument/2006/relationships/hyperlink" Target="http://probaseballexperience.jcink.net/index.php?showtopic=2999" TargetMode="External"/><Relationship Id="rId54" Type="http://schemas.openxmlformats.org/officeDocument/2006/relationships/hyperlink" Target="http://probaseballexperience.jcink.net/index.php?showuser=292" TargetMode="External"/><Relationship Id="rId62" Type="http://schemas.openxmlformats.org/officeDocument/2006/relationships/hyperlink" Target="http://probaseballexperience.jcink.net/index.php?showtopic=3043&amp;st=0&amp;" TargetMode="External"/><Relationship Id="rId70" Type="http://schemas.openxmlformats.org/officeDocument/2006/relationships/hyperlink" Target="http://probaseballexperience.jcink.net/index.php?showtopic=3008" TargetMode="External"/><Relationship Id="rId75" Type="http://schemas.openxmlformats.org/officeDocument/2006/relationships/hyperlink" Target="http://probaseballexperience.jcink.net/index.php?showtopic=2905" TargetMode="External"/><Relationship Id="rId83" Type="http://schemas.openxmlformats.org/officeDocument/2006/relationships/hyperlink" Target="http://probaseballexperience.jcink.net/index.php?showuser=282" TargetMode="External"/><Relationship Id="rId88" Type="http://schemas.openxmlformats.org/officeDocument/2006/relationships/hyperlink" Target="http://probaseballexperience.jcink.net/index.php?showtopic=2966" TargetMode="External"/><Relationship Id="rId91" Type="http://schemas.openxmlformats.org/officeDocument/2006/relationships/table" Target="../tables/table20.xml"/><Relationship Id="rId1" Type="http://schemas.openxmlformats.org/officeDocument/2006/relationships/hyperlink" Target="http://probaseballexperience.jcink.net/index.php?showtopic=2906" TargetMode="External"/><Relationship Id="rId6" Type="http://schemas.openxmlformats.org/officeDocument/2006/relationships/hyperlink" Target="http://probaseballexperience.jcink.net/index.php?showtopic=3108" TargetMode="External"/><Relationship Id="rId15" Type="http://schemas.openxmlformats.org/officeDocument/2006/relationships/hyperlink" Target="http://probaseballexperience.jcink.net/index.php?showtopic=3153" TargetMode="External"/><Relationship Id="rId23" Type="http://schemas.openxmlformats.org/officeDocument/2006/relationships/hyperlink" Target="http://probaseballexperience.jcink.net/index.php?showtopic=3018" TargetMode="External"/><Relationship Id="rId28" Type="http://schemas.openxmlformats.org/officeDocument/2006/relationships/hyperlink" Target="http://probaseballexperience.jcink.net/index.php?showuser=306" TargetMode="External"/><Relationship Id="rId36" Type="http://schemas.openxmlformats.org/officeDocument/2006/relationships/hyperlink" Target="http://probaseballexperience.jcink.net/index.php?showtopic=3019" TargetMode="External"/><Relationship Id="rId49" Type="http://schemas.openxmlformats.org/officeDocument/2006/relationships/hyperlink" Target="http://probaseballexperience.jcink.net/index.php?showtopic=3162" TargetMode="External"/><Relationship Id="rId57" Type="http://schemas.openxmlformats.org/officeDocument/2006/relationships/hyperlink" Target="http://probaseballexperience.jcink.net/index.php?showuser=4" TargetMode="External"/><Relationship Id="rId10" Type="http://schemas.openxmlformats.org/officeDocument/2006/relationships/hyperlink" Target="http://probaseballexperience.jcink.net/index.php?showuser=290" TargetMode="External"/><Relationship Id="rId31" Type="http://schemas.openxmlformats.org/officeDocument/2006/relationships/hyperlink" Target="http://probaseballexperience.jcink.net/index.php?showuser=57" TargetMode="External"/><Relationship Id="rId44" Type="http://schemas.openxmlformats.org/officeDocument/2006/relationships/hyperlink" Target="http://probaseballexperience.jcink.net/index.php?showtopic=3087" TargetMode="External"/><Relationship Id="rId52" Type="http://schemas.openxmlformats.org/officeDocument/2006/relationships/hyperlink" Target="http://probaseballexperience.jcink.net/index.php?showtopic=3145" TargetMode="External"/><Relationship Id="rId60" Type="http://schemas.openxmlformats.org/officeDocument/2006/relationships/hyperlink" Target="http://probaseballexperience.jcink.net/index.php?showuser=297" TargetMode="External"/><Relationship Id="rId65" Type="http://schemas.openxmlformats.org/officeDocument/2006/relationships/hyperlink" Target="http://probaseballexperience.jcink.net/index.php?showtopic=3097" TargetMode="External"/><Relationship Id="rId73" Type="http://schemas.openxmlformats.org/officeDocument/2006/relationships/hyperlink" Target="http://probaseballexperience.jcink.net/index.php?showtopic=2905" TargetMode="External"/><Relationship Id="rId78" Type="http://schemas.openxmlformats.org/officeDocument/2006/relationships/hyperlink" Target="http://probaseballexperience.jcink.net/index.php?showtopic=2781" TargetMode="External"/><Relationship Id="rId81" Type="http://schemas.openxmlformats.org/officeDocument/2006/relationships/hyperlink" Target="http://probaseballexperience.jcink.net/index.php?showtopic=3117" TargetMode="External"/><Relationship Id="rId86" Type="http://schemas.openxmlformats.org/officeDocument/2006/relationships/hyperlink" Target="http://probaseballexperience.jcink.net/index.php?showuser=286" TargetMode="External"/><Relationship Id="rId4" Type="http://schemas.openxmlformats.org/officeDocument/2006/relationships/hyperlink" Target="http://probaseballexperience.jcink.net/index.php?showtopic=3108" TargetMode="External"/><Relationship Id="rId9" Type="http://schemas.openxmlformats.org/officeDocument/2006/relationships/hyperlink" Target="http://probaseballexperience.jcink.net/index.php?showtopic=2989" TargetMode="External"/><Relationship Id="rId13" Type="http://schemas.openxmlformats.org/officeDocument/2006/relationships/hyperlink" Target="http://probaseballexperience.jcink.net/index.php?showuser=288" TargetMode="External"/><Relationship Id="rId18" Type="http://schemas.openxmlformats.org/officeDocument/2006/relationships/hyperlink" Target="http://probaseballexperience.jcink.net/index.php?showtopic=3048" TargetMode="External"/><Relationship Id="rId39" Type="http://schemas.openxmlformats.org/officeDocument/2006/relationships/hyperlink" Target="http://probaseballexperience.jcink.net/index.php?showtopic=3170" TargetMode="External"/><Relationship Id="rId34" Type="http://schemas.openxmlformats.org/officeDocument/2006/relationships/hyperlink" Target="http://probaseballexperience.jcink.net/index.php?showuser=313" TargetMode="External"/><Relationship Id="rId50" Type="http://schemas.openxmlformats.org/officeDocument/2006/relationships/hyperlink" Target="http://probaseballexperience.jcink.net/index.php?showtopic=3145" TargetMode="External"/><Relationship Id="rId55" Type="http://schemas.openxmlformats.org/officeDocument/2006/relationships/hyperlink" Target="http://probaseballexperience.jcink.net/index.php?showtopic=3123" TargetMode="External"/><Relationship Id="rId76" Type="http://schemas.openxmlformats.org/officeDocument/2006/relationships/hyperlink" Target="http://probaseballexperience.jcink.net/index.php?showtopic=2781" TargetMode="External"/><Relationship Id="rId7" Type="http://schemas.openxmlformats.org/officeDocument/2006/relationships/hyperlink" Target="http://probaseballexperience.jcink.net/index.php?showtopic=2930" TargetMode="External"/><Relationship Id="rId71" Type="http://schemas.openxmlformats.org/officeDocument/2006/relationships/hyperlink" Target="http://probaseballexperience.jcink.net/index.php?showtopic=3186" TargetMode="External"/><Relationship Id="rId2" Type="http://schemas.openxmlformats.org/officeDocument/2006/relationships/hyperlink" Target="http://probaseballexperience.jcink.net/index.php?showuser=281" TargetMode="External"/><Relationship Id="rId29" Type="http://schemas.openxmlformats.org/officeDocument/2006/relationships/hyperlink" Target="http://probaseballexperience.jcink.net/index.php?showtopic=3110" TargetMode="External"/><Relationship Id="rId24" Type="http://schemas.openxmlformats.org/officeDocument/2006/relationships/hyperlink" Target="http://probaseballexperience.jcink.net/index.php?showtopic=3046&amp;st=0&amp;" TargetMode="External"/><Relationship Id="rId40" Type="http://schemas.openxmlformats.org/officeDocument/2006/relationships/hyperlink" Target="http://probaseballexperience.jcink.net/index.php?showtopic=3170" TargetMode="External"/><Relationship Id="rId45" Type="http://schemas.openxmlformats.org/officeDocument/2006/relationships/hyperlink" Target="http://probaseballexperience.jcink.net/index.php?showuser=302" TargetMode="External"/><Relationship Id="rId66" Type="http://schemas.openxmlformats.org/officeDocument/2006/relationships/hyperlink" Target="http://probaseballexperience.jcink.net/index.php?showuser=303" TargetMode="External"/><Relationship Id="rId87" Type="http://schemas.openxmlformats.org/officeDocument/2006/relationships/hyperlink" Target="http://probaseballexperience.jcink.net/index.php?showtopic=2967" TargetMode="External"/><Relationship Id="rId61" Type="http://schemas.openxmlformats.org/officeDocument/2006/relationships/hyperlink" Target="http://probaseballexperience.jcink.net/index.php?showtopic=3080" TargetMode="External"/><Relationship Id="rId82" Type="http://schemas.openxmlformats.org/officeDocument/2006/relationships/hyperlink" Target="http://probaseballexperience.jcink.net/index.php?showtopic=2921" TargetMode="External"/><Relationship Id="rId19" Type="http://schemas.openxmlformats.org/officeDocument/2006/relationships/hyperlink" Target="http://probaseballexperience.jcink.net/index.php?showuser=2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1"/>
  <sheetViews>
    <sheetView workbookViewId="0">
      <selection sqref="A1:B1"/>
    </sheetView>
  </sheetViews>
  <sheetFormatPr baseColWidth="10" defaultColWidth="14.5" defaultRowHeight="15.75" customHeight="1"/>
  <cols>
    <col min="1" max="1" width="17.5" customWidth="1"/>
    <col min="2" max="2" width="9.5" customWidth="1"/>
    <col min="3" max="3" width="4" customWidth="1"/>
    <col min="4" max="4" width="8.6640625" customWidth="1"/>
    <col min="5" max="6" width="9.5" customWidth="1"/>
    <col min="7" max="7" width="9.1640625" customWidth="1"/>
    <col min="8" max="8" width="9.5" customWidth="1"/>
    <col min="9" max="9" width="11" customWidth="1"/>
    <col min="10" max="10" width="9.6640625" customWidth="1"/>
    <col min="11" max="11" width="15.5" customWidth="1"/>
  </cols>
  <sheetData>
    <row r="1" spans="1:10" ht="13">
      <c r="A1" s="411" t="s">
        <v>134</v>
      </c>
      <c r="B1" s="412"/>
      <c r="D1" s="413" t="s">
        <v>137</v>
      </c>
      <c r="E1" s="414"/>
      <c r="F1" s="414"/>
      <c r="G1" s="414"/>
      <c r="H1" s="414"/>
      <c r="I1" s="414"/>
      <c r="J1" s="415"/>
    </row>
    <row r="2" spans="1:10" ht="13">
      <c r="A2" s="62" t="s">
        <v>139</v>
      </c>
      <c r="B2" s="63">
        <f>COUNTIF('S11 Draft'!D2:D1001,"&lt;&gt;")</f>
        <v>51</v>
      </c>
      <c r="D2" s="64" t="s">
        <v>6</v>
      </c>
      <c r="E2" s="64" t="s">
        <v>19</v>
      </c>
      <c r="F2" s="64" t="s">
        <v>20</v>
      </c>
      <c r="G2" s="64" t="s">
        <v>21</v>
      </c>
      <c r="H2" s="64" t="s">
        <v>22</v>
      </c>
      <c r="I2" s="64" t="s">
        <v>142</v>
      </c>
      <c r="J2" s="65" t="s">
        <v>143</v>
      </c>
    </row>
    <row r="3" spans="1:10" ht="13">
      <c r="A3" s="66" t="s">
        <v>144</v>
      </c>
      <c r="B3" s="67" t="e">
        <f>COUNTIF(#REF!,"SP")+COUNTIF(#REF!,"CL")</f>
        <v>#REF!</v>
      </c>
      <c r="D3" s="68" t="s">
        <v>10</v>
      </c>
      <c r="E3" s="69">
        <f>DVS!I29</f>
        <v>124.99</v>
      </c>
      <c r="F3" s="69">
        <f>DVS!J29</f>
        <v>74.5</v>
      </c>
      <c r="G3" s="69">
        <f>DVS!K29</f>
        <v>37.5</v>
      </c>
      <c r="H3" s="69">
        <f>DVS!L29</f>
        <v>27</v>
      </c>
      <c r="I3" s="69">
        <f>DVS!M29</f>
        <v>18</v>
      </c>
      <c r="J3" s="70">
        <f t="shared" ref="J3:J10" si="0">SUM(E3:H3)</f>
        <v>263.99</v>
      </c>
    </row>
    <row r="4" spans="1:10" ht="13">
      <c r="A4" s="62" t="s">
        <v>149</v>
      </c>
      <c r="B4" s="63" t="e">
        <f>B2-B3</f>
        <v>#REF!</v>
      </c>
      <c r="D4" s="71" t="s">
        <v>11</v>
      </c>
      <c r="E4" s="72">
        <f>SAS!I28</f>
        <v>119.5</v>
      </c>
      <c r="F4" s="72">
        <f>SAS!J28</f>
        <v>100.05</v>
      </c>
      <c r="G4" s="72">
        <f>SAS!K28</f>
        <v>30.8</v>
      </c>
      <c r="H4" s="72">
        <f>SAS!L28</f>
        <v>25.25</v>
      </c>
      <c r="I4" s="72">
        <f>SAS!M28</f>
        <v>0</v>
      </c>
      <c r="J4" s="74">
        <f t="shared" si="0"/>
        <v>275.60000000000002</v>
      </c>
    </row>
    <row r="5" spans="1:10" ht="13">
      <c r="D5" s="68" t="s">
        <v>12</v>
      </c>
      <c r="E5" s="69">
        <f>VAN!I31</f>
        <v>114.25</v>
      </c>
      <c r="F5" s="69">
        <f>VAN!J31</f>
        <v>91.75</v>
      </c>
      <c r="G5" s="69">
        <f>VAN!K31</f>
        <v>74</v>
      </c>
      <c r="H5" s="69">
        <f>VAN!L31</f>
        <v>8.5</v>
      </c>
      <c r="I5" s="69">
        <f>VAN!M31</f>
        <v>0</v>
      </c>
      <c r="J5" s="70">
        <f t="shared" si="0"/>
        <v>288.5</v>
      </c>
    </row>
    <row r="6" spans="1:10" ht="13">
      <c r="A6" s="10" t="s">
        <v>155</v>
      </c>
      <c r="B6">
        <f>COUNTIF(FA!C72:C1001,"&lt;&gt;")</f>
        <v>46</v>
      </c>
      <c r="D6" s="71" t="s">
        <v>13</v>
      </c>
      <c r="E6" s="72">
        <f>UTA!I40</f>
        <v>120</v>
      </c>
      <c r="F6" s="72">
        <f>UTA!J40</f>
        <v>77.5</v>
      </c>
      <c r="G6" s="72">
        <f>UTA!K40</f>
        <v>39.5</v>
      </c>
      <c r="H6" s="72">
        <f>UTA!L40</f>
        <v>30</v>
      </c>
      <c r="I6" s="72">
        <f>UTA!M40</f>
        <v>5</v>
      </c>
      <c r="J6" s="74">
        <f t="shared" si="0"/>
        <v>267</v>
      </c>
    </row>
    <row r="7" spans="1:10" ht="13">
      <c r="D7" s="68" t="s">
        <v>5</v>
      </c>
      <c r="E7" s="69">
        <f>OBX!I29</f>
        <v>122.5</v>
      </c>
      <c r="F7" s="69">
        <f>OBX!J29</f>
        <v>48.25</v>
      </c>
      <c r="G7" s="69">
        <f>OBX!K29</f>
        <v>30.5</v>
      </c>
      <c r="H7" s="69">
        <f>OBX!L29</f>
        <v>18</v>
      </c>
      <c r="I7" s="69">
        <f>OBX!M29</f>
        <v>0</v>
      </c>
      <c r="J7" s="70">
        <f t="shared" si="0"/>
        <v>219.25</v>
      </c>
    </row>
    <row r="8" spans="1:10" ht="13">
      <c r="A8" s="75" t="s">
        <v>160</v>
      </c>
      <c r="B8" s="76">
        <v>120</v>
      </c>
      <c r="D8" s="71" t="s">
        <v>8</v>
      </c>
      <c r="E8" s="72">
        <f>NYV!I37</f>
        <v>104</v>
      </c>
      <c r="F8" s="72">
        <f>NYV!J37</f>
        <v>94</v>
      </c>
      <c r="G8" s="72">
        <f>NYV!K37</f>
        <v>79.5</v>
      </c>
      <c r="H8" s="72">
        <f>NYV!L37</f>
        <v>32.75</v>
      </c>
      <c r="I8" s="72">
        <f>NYV!M37</f>
        <v>0</v>
      </c>
      <c r="J8" s="74">
        <f t="shared" si="0"/>
        <v>310.25</v>
      </c>
    </row>
    <row r="9" spans="1:10" ht="13">
      <c r="A9" s="75" t="s">
        <v>162</v>
      </c>
      <c r="B9" s="76">
        <v>130</v>
      </c>
      <c r="D9" s="68" t="s">
        <v>3</v>
      </c>
      <c r="E9" s="69">
        <f>PRO!I38</f>
        <v>93.5</v>
      </c>
      <c r="F9" s="69">
        <f>PRO!J38</f>
        <v>68.5</v>
      </c>
      <c r="G9" s="69">
        <f>PRO!K38</f>
        <v>29.5</v>
      </c>
      <c r="H9" s="69">
        <f>PRO!L38</f>
        <v>13.5</v>
      </c>
      <c r="I9" s="69">
        <f>PRO!M38</f>
        <v>0</v>
      </c>
      <c r="J9" s="70">
        <f t="shared" si="0"/>
        <v>205</v>
      </c>
    </row>
    <row r="10" spans="1:10" ht="13">
      <c r="D10" s="71" t="s">
        <v>9</v>
      </c>
      <c r="E10" s="72">
        <f>FL!I27</f>
        <v>123.88</v>
      </c>
      <c r="F10" s="72">
        <f>FL!J27</f>
        <v>39.75</v>
      </c>
      <c r="G10" s="72">
        <f>FL!K27</f>
        <v>11.5</v>
      </c>
      <c r="H10" s="72">
        <f>FL!L27</f>
        <v>9.5</v>
      </c>
      <c r="I10" s="72">
        <f>FL!M27</f>
        <v>0</v>
      </c>
      <c r="J10" s="74">
        <f t="shared" si="0"/>
        <v>184.63</v>
      </c>
    </row>
    <row r="11" spans="1:10" ht="9" customHeight="1"/>
    <row r="12" spans="1:10" ht="13">
      <c r="A12" s="75" t="s">
        <v>167</v>
      </c>
      <c r="B12" s="75" t="s">
        <v>168</v>
      </c>
      <c r="D12" s="413" t="s">
        <v>169</v>
      </c>
      <c r="E12" s="414"/>
      <c r="F12" s="414"/>
      <c r="G12" s="414"/>
      <c r="H12" s="414"/>
      <c r="I12" s="414"/>
      <c r="J12" s="415"/>
    </row>
    <row r="13" spans="1:10" ht="13">
      <c r="D13" s="64" t="s">
        <v>6</v>
      </c>
      <c r="E13" s="64" t="s">
        <v>170</v>
      </c>
      <c r="F13" s="64" t="s">
        <v>171</v>
      </c>
      <c r="G13" s="64" t="s">
        <v>172</v>
      </c>
      <c r="H13" s="64" t="s">
        <v>173</v>
      </c>
      <c r="I13" s="64" t="s">
        <v>174</v>
      </c>
      <c r="J13" s="64" t="s">
        <v>175</v>
      </c>
    </row>
    <row r="14" spans="1:10" ht="13">
      <c r="D14" s="68" t="s">
        <v>10</v>
      </c>
      <c r="E14" s="77">
        <f>COUNTIF(DVS!$F:$F,"SP")</f>
        <v>8</v>
      </c>
      <c r="F14" s="77">
        <f>COUNTIF(DVS!$F:$F,"CL")</f>
        <v>4</v>
      </c>
      <c r="G14" s="77">
        <f>COUNTIF(DVS!$F:$F,"C")</f>
        <v>2</v>
      </c>
      <c r="H14" s="77">
        <f>COUNTIF(DVS!$F:$F,"1B")+COUNTIF(DVS!$F:$F,"2B")+COUNTIF(DVS!$F:$F,"3B")+COUNTIF(DVS!$F:$F,"SS")</f>
        <v>6</v>
      </c>
      <c r="I14" s="77">
        <f>COUNTIF(DVS!$F:$F,"LF")+COUNTIF(DVS!$F:$F,"CF")+COUNTIF(DVS!$F:$F,"RF")</f>
        <v>5</v>
      </c>
      <c r="J14" s="77">
        <f t="shared" ref="J14:J21" si="1">SUM(E14:I14)</f>
        <v>25</v>
      </c>
    </row>
    <row r="15" spans="1:10" ht="13">
      <c r="D15" s="71" t="s">
        <v>11</v>
      </c>
      <c r="E15" s="78">
        <f>COUNTIF(SAS!$F:$F,"SP")</f>
        <v>6</v>
      </c>
      <c r="F15" s="78">
        <f>COUNTIF(SAS!$F:$F,"CL")</f>
        <v>4</v>
      </c>
      <c r="G15" s="78">
        <f>COUNTIF(SAS!$F:$F,"C")</f>
        <v>2</v>
      </c>
      <c r="H15" s="78">
        <f>COUNTIF(SAS!$F:$F,"1B")+COUNTIF(SAS!$F:$F,"2B")+COUNTIF(SAS!$F:$F,"3B")+COUNTIF(SAS!$F:$F,"SS")</f>
        <v>7</v>
      </c>
      <c r="I15" s="78">
        <f>COUNTIF(SAS!$F:$F,"LF")+COUNTIF(SAS!$F:$F,"CF")+COUNTIF(SAS!$F:$F,"RF")</f>
        <v>4</v>
      </c>
      <c r="J15" s="78">
        <f t="shared" si="1"/>
        <v>23</v>
      </c>
    </row>
    <row r="16" spans="1:10" ht="13">
      <c r="D16" s="68" t="s">
        <v>12</v>
      </c>
      <c r="E16" s="77">
        <f>COUNTIF(VAN!$F:$F,"SP")</f>
        <v>6</v>
      </c>
      <c r="F16" s="77">
        <f>COUNTIF(VAN!$F:$F,"CL")</f>
        <v>5</v>
      </c>
      <c r="G16" s="77">
        <f>COUNTIF(VAN!$F:$F,"C")</f>
        <v>4</v>
      </c>
      <c r="H16" s="77">
        <f>COUNTIF(VAN!$F:$F,"1B")+COUNTIF(VAN!$F:$F,"2B")+COUNTIF(VAN!$F:$F,"3B")+COUNTIF(VAN!$F:$F,"SS")</f>
        <v>6</v>
      </c>
      <c r="I16" s="77">
        <f>COUNTIF(VAN!$F:$F,"LF")+COUNTIF(VAN!$F:$F,"CF")+COUNTIF(VAN!$F:$F,"RF")</f>
        <v>6</v>
      </c>
      <c r="J16" s="77">
        <f t="shared" si="1"/>
        <v>27</v>
      </c>
    </row>
    <row r="17" spans="4:10" ht="13">
      <c r="D17" s="71" t="s">
        <v>13</v>
      </c>
      <c r="E17" s="78">
        <f>COUNTIF(UTA!$F:$F,"SP")</f>
        <v>9</v>
      </c>
      <c r="F17" s="78">
        <f>COUNTIF(UTA!$F:$F,"CL")</f>
        <v>8</v>
      </c>
      <c r="G17" s="78">
        <f>COUNTIF(UTA!$F:$F,"C")</f>
        <v>3</v>
      </c>
      <c r="H17" s="78">
        <f>COUNTIF(UTA!$F:$F,"1B")+COUNTIF(UTA!$F:$F,"2B")+COUNTIF(UTA!$F:$F,"3B")+COUNTIF(UTA!$F:$F,"SS")</f>
        <v>9</v>
      </c>
      <c r="I17" s="78">
        <f>COUNTIF(UTA!$F:$F,"LF")+COUNTIF(UTA!$F:$F,"CF")+COUNTIF(UTA!$F:$F,"RF")</f>
        <v>6</v>
      </c>
      <c r="J17" s="78">
        <f t="shared" si="1"/>
        <v>35</v>
      </c>
    </row>
    <row r="18" spans="4:10" ht="13">
      <c r="D18" s="68" t="s">
        <v>5</v>
      </c>
      <c r="E18" s="77">
        <f>COUNTIF(OBX!$F:$F,"SP")</f>
        <v>6</v>
      </c>
      <c r="F18" s="77">
        <f>COUNTIF(OBX!$F:$F,"CL")</f>
        <v>4</v>
      </c>
      <c r="G18" s="77">
        <f>COUNTIF(OBX!$F:$F,"C")</f>
        <v>2</v>
      </c>
      <c r="H18" s="77">
        <f>COUNTIF(OBX!$F:$F,"1B")+COUNTIF(OBX!$F:$F,"2B")+COUNTIF(OBX!$F:$F,"3B")+COUNTIF(OBX!$F:$F,"SS")</f>
        <v>7</v>
      </c>
      <c r="I18" s="77">
        <f>COUNTIF(OBX!$F:$F,"LF")+COUNTIF(OBX!$F:$F,"CF")+COUNTIF(OBX!$F:$F,"RF")</f>
        <v>5</v>
      </c>
      <c r="J18" s="77">
        <f t="shared" si="1"/>
        <v>24</v>
      </c>
    </row>
    <row r="19" spans="4:10" ht="13">
      <c r="D19" s="71" t="s">
        <v>8</v>
      </c>
      <c r="E19" s="78">
        <f>COUNTIF(NYV!$F:$F,"SP")</f>
        <v>10</v>
      </c>
      <c r="F19" s="78">
        <f>COUNTIF(NYV!$F:$F,"CL")</f>
        <v>4</v>
      </c>
      <c r="G19" s="78">
        <f>COUNTIF(NYV!$F:$F,"C")</f>
        <v>2</v>
      </c>
      <c r="H19" s="78">
        <f>COUNTIF(NYV!$F:$F,"1B")+COUNTIF(NYV!$F:$F,"2B")+COUNTIF(NYV!$F:$F,"3B")+COUNTIF(NYV!$F:$F,"SS")</f>
        <v>10</v>
      </c>
      <c r="I19" s="78">
        <f>COUNTIF(NYV!$F:$F,"LF")+COUNTIF(NYV!$F:$F,"CF")+COUNTIF(NYV!$F:$F,"RF")</f>
        <v>6</v>
      </c>
      <c r="J19" s="78">
        <f t="shared" si="1"/>
        <v>32</v>
      </c>
    </row>
    <row r="20" spans="4:10" ht="13">
      <c r="D20" s="68" t="s">
        <v>3</v>
      </c>
      <c r="E20" s="77">
        <f>COUNTIF(PRO!$F:$F,"SP")</f>
        <v>9</v>
      </c>
      <c r="F20" s="77">
        <f>COUNTIF(PRO!$F:$F,"CL")</f>
        <v>4</v>
      </c>
      <c r="G20" s="77">
        <f>COUNTIF(PRO!$F:$F,"C")</f>
        <v>4</v>
      </c>
      <c r="H20" s="77">
        <f>COUNTIF(PRO!$F:$F,"1B")+COUNTIF(PRO!$F:$F,"2B")+COUNTIF(PRO!$F:$F,"3B")+COUNTIF(PRO!$F:$F,"SS")</f>
        <v>7</v>
      </c>
      <c r="I20" s="77">
        <f>COUNTIF(PRO!$F:$F,"LF")+COUNTIF(PRO!$F:$F,"CF")+COUNTIF(PRO!$F:$F,"RF")</f>
        <v>7</v>
      </c>
      <c r="J20" s="77">
        <f t="shared" si="1"/>
        <v>31</v>
      </c>
    </row>
    <row r="21" spans="4:10" ht="13">
      <c r="D21" s="71" t="s">
        <v>9</v>
      </c>
      <c r="E21" s="78">
        <f>COUNTIF(FL!$F:$F,"SP")</f>
        <v>7</v>
      </c>
      <c r="F21" s="78">
        <f>COUNTIF(FL!$F:$F,"CL")</f>
        <v>4</v>
      </c>
      <c r="G21" s="78">
        <f>COUNTIF(FL!$F:$F,"C")</f>
        <v>3</v>
      </c>
      <c r="H21" s="78">
        <f>COUNTIF(FL!$F:$F,"1B")+COUNTIF(FL!$F:$F,"2B")+COUNTIF(FL!$F:$F,"3B")+COUNTIF(FL!$F:$F,"SS")</f>
        <v>6</v>
      </c>
      <c r="I21" s="78">
        <f>COUNTIF(FL!$F:$F,"LF")+COUNTIF(FL!$F:$F,"CF")+COUNTIF(FL!$F:$F,"RF")</f>
        <v>3</v>
      </c>
      <c r="J21" s="78">
        <f t="shared" si="1"/>
        <v>23</v>
      </c>
    </row>
  </sheetData>
  <mergeCells count="3">
    <mergeCell ref="A1:B1"/>
    <mergeCell ref="D1:J1"/>
    <mergeCell ref="D12:J12"/>
  </mergeCells>
  <conditionalFormatting sqref="E3:I10">
    <cfRule type="cellIs" dxfId="375" priority="1" operator="greaterThanOrEqual">
      <formula>130</formula>
    </cfRule>
  </conditionalFormatting>
  <conditionalFormatting sqref="E3:I10">
    <cfRule type="cellIs" dxfId="374" priority="2" operator="greaterThanOrEqual">
      <formula>120</formula>
    </cfRule>
  </conditionalFormatting>
  <hyperlinks>
    <hyperlink ref="A1" location="S11 Draft!A1" display="S11 Draft" xr:uid="{00000000-0004-0000-0000-000000000000}"/>
    <hyperlink ref="D3" location="DVS!A1" display="DVS" xr:uid="{00000000-0004-0000-0000-000001000000}"/>
    <hyperlink ref="D4" location="SAS!A1" display="SAS" xr:uid="{00000000-0004-0000-0000-000002000000}"/>
    <hyperlink ref="D5" location="VAN!A1" display="VAN" xr:uid="{00000000-0004-0000-0000-000003000000}"/>
    <hyperlink ref="A6" location="FA!A1" display="Free Agents" xr:uid="{00000000-0004-0000-0000-000004000000}"/>
    <hyperlink ref="D6" location="UTA!A1" display="UTA" xr:uid="{00000000-0004-0000-0000-000005000000}"/>
    <hyperlink ref="D7" location="OBX!A1" display="OBX" xr:uid="{00000000-0004-0000-0000-000006000000}"/>
    <hyperlink ref="D8" location="NYV!A1" display="NYV" xr:uid="{00000000-0004-0000-0000-000007000000}"/>
    <hyperlink ref="D9" location="PRO!A1" display="PRO" xr:uid="{00000000-0004-0000-0000-000008000000}"/>
    <hyperlink ref="D10" location="FL!A1" display="FL" xr:uid="{00000000-0004-0000-0000-000009000000}"/>
    <hyperlink ref="D14" location="DVS!A1" display="DVS" xr:uid="{00000000-0004-0000-0000-00000A000000}"/>
    <hyperlink ref="D15" location="SAS!A1" display="SAS" xr:uid="{00000000-0004-0000-0000-00000B000000}"/>
    <hyperlink ref="D16" location="VAN!A1" display="VAN" xr:uid="{00000000-0004-0000-0000-00000C000000}"/>
    <hyperlink ref="D17" location="UTA!A1" display="UTA" xr:uid="{00000000-0004-0000-0000-00000D000000}"/>
    <hyperlink ref="D18" location="OBX!A1" display="OBX" xr:uid="{00000000-0004-0000-0000-00000E000000}"/>
    <hyperlink ref="D19" location="NYV!A1" display="NYV" xr:uid="{00000000-0004-0000-0000-00000F000000}"/>
    <hyperlink ref="D20" location="PRO!A1" display="PRO" xr:uid="{00000000-0004-0000-0000-000010000000}"/>
    <hyperlink ref="D21" location="FL!A1" display="FL" xr:uid="{00000000-0004-0000-0000-000011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1"/>
  <sheetViews>
    <sheetView workbookViewId="0"/>
  </sheetViews>
  <sheetFormatPr baseColWidth="10" defaultColWidth="14.5" defaultRowHeight="15.75" customHeight="1"/>
  <cols>
    <col min="1" max="1" width="75.5" customWidth="1"/>
  </cols>
  <sheetData>
    <row r="1" spans="1:4" ht="15.75" customHeight="1">
      <c r="A1" s="1" t="s">
        <v>0</v>
      </c>
    </row>
    <row r="2" spans="1:4" ht="15.75" customHeight="1">
      <c r="A2" s="3" t="s">
        <v>1</v>
      </c>
    </row>
    <row r="3" spans="1:4" ht="15.75" customHeight="1">
      <c r="C3" s="4" t="s">
        <v>2</v>
      </c>
    </row>
    <row r="4" spans="1:4" ht="15.75" customHeight="1">
      <c r="C4" s="4" t="s">
        <v>3</v>
      </c>
      <c r="D4" s="4" t="s">
        <v>4</v>
      </c>
    </row>
    <row r="5" spans="1:4" ht="15.75" customHeight="1">
      <c r="C5" s="4" t="s">
        <v>5</v>
      </c>
      <c r="D5" s="4" t="s">
        <v>4</v>
      </c>
    </row>
    <row r="6" spans="1:4" ht="15.75" customHeight="1">
      <c r="C6" s="4" t="s">
        <v>8</v>
      </c>
      <c r="D6" s="4" t="s">
        <v>4</v>
      </c>
    </row>
    <row r="7" spans="1:4" ht="15.75" customHeight="1">
      <c r="C7" s="4" t="s">
        <v>9</v>
      </c>
      <c r="D7" s="4" t="s">
        <v>4</v>
      </c>
    </row>
    <row r="8" spans="1:4" ht="15.75" customHeight="1">
      <c r="C8" s="4" t="s">
        <v>10</v>
      </c>
      <c r="D8" s="4" t="s">
        <v>4</v>
      </c>
    </row>
    <row r="9" spans="1:4" ht="15.75" customHeight="1">
      <c r="C9" s="4" t="s">
        <v>11</v>
      </c>
      <c r="D9" s="4" t="s">
        <v>4</v>
      </c>
    </row>
    <row r="10" spans="1:4" ht="15.75" customHeight="1">
      <c r="C10" s="4" t="s">
        <v>12</v>
      </c>
      <c r="D10" s="4" t="s">
        <v>4</v>
      </c>
    </row>
    <row r="11" spans="1:4" ht="15.75" customHeight="1">
      <c r="C11" s="4" t="s">
        <v>13</v>
      </c>
      <c r="D11" s="4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E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4" customWidth="1"/>
    <col min="2" max="2" width="5.6640625" customWidth="1"/>
    <col min="4" max="4" width="15.1640625" customWidth="1"/>
    <col min="6" max="6" width="9.5" customWidth="1"/>
    <col min="8" max="8" width="4.6640625" customWidth="1"/>
    <col min="9" max="9" width="4.33203125" customWidth="1"/>
    <col min="10" max="12" width="4.5" customWidth="1"/>
    <col min="13" max="13" width="5.1640625" customWidth="1"/>
    <col min="28" max="28" width="4.5" customWidth="1"/>
  </cols>
  <sheetData>
    <row r="1" spans="1:57" ht="15.75" customHeight="1">
      <c r="A1" s="2"/>
      <c r="B1" s="2" t="s">
        <v>6</v>
      </c>
      <c r="C1" s="5" t="s">
        <v>7</v>
      </c>
      <c r="D1" s="5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22</v>
      </c>
      <c r="M1" s="2" t="s">
        <v>23</v>
      </c>
      <c r="N1" s="2" t="s">
        <v>24</v>
      </c>
      <c r="O1" s="6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V1" s="2" t="s">
        <v>32</v>
      </c>
      <c r="W1" s="2" t="s">
        <v>33</v>
      </c>
      <c r="X1" s="2" t="s">
        <v>34</v>
      </c>
      <c r="Y1" s="2" t="s">
        <v>35</v>
      </c>
      <c r="Z1" s="2" t="s">
        <v>36</v>
      </c>
      <c r="AA1" s="2" t="s">
        <v>37</v>
      </c>
      <c r="AB1" s="2" t="s">
        <v>38</v>
      </c>
      <c r="AC1" s="7" t="s">
        <v>39</v>
      </c>
      <c r="AD1" s="2" t="s">
        <v>40</v>
      </c>
      <c r="AE1" s="2" t="s">
        <v>41</v>
      </c>
      <c r="AF1" s="2" t="s">
        <v>42</v>
      </c>
      <c r="AG1" s="2" t="s">
        <v>43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</row>
    <row r="2" spans="1:57" ht="15.75" customHeight="1">
      <c r="B2" s="8" t="s">
        <v>44</v>
      </c>
      <c r="C2" s="9" t="s">
        <v>45</v>
      </c>
      <c r="D2" s="10" t="str">
        <f>HYPERLINK("http://probaseballexperience.jcink.net/index.php?showtopic=6041&amp;st=0&amp;#entry73112","Colton Valentine - C")</f>
        <v>Colton Valentine - C</v>
      </c>
      <c r="E2" s="11" t="str">
        <f t="shared" ref="E2:E43" si="0">IFERROR(TRIM(LEFT(D2,LEN(D2)-4)),"")</f>
        <v>Colton Valentine</v>
      </c>
      <c r="F2" s="11" t="str">
        <f t="shared" ref="F2:F62" si="1">TRIM(RIGHT(D2,2))</f>
        <v>C</v>
      </c>
      <c r="G2" s="4" t="s">
        <v>46</v>
      </c>
      <c r="H2" s="7">
        <v>100</v>
      </c>
      <c r="N2" s="4" t="s">
        <v>20</v>
      </c>
      <c r="P2" s="4" t="s">
        <v>19</v>
      </c>
      <c r="AC2" s="4" t="s">
        <v>47</v>
      </c>
      <c r="BA2" s="12"/>
      <c r="BB2" s="12"/>
      <c r="BC2" s="12"/>
      <c r="BD2" s="12"/>
      <c r="BE2" s="12"/>
    </row>
    <row r="3" spans="1:57" ht="15.75" customHeight="1">
      <c r="B3" s="8" t="s">
        <v>44</v>
      </c>
      <c r="C3" s="9" t="s">
        <v>48</v>
      </c>
      <c r="D3" s="13" t="str">
        <f>HYPERLINK("http://probaseballexperience.jcink.net/index.php?showtopic=6030","Thomas Delabar - CL")</f>
        <v>Thomas Delabar - CL</v>
      </c>
      <c r="E3" s="11" t="str">
        <f t="shared" si="0"/>
        <v>Thomas Delabar</v>
      </c>
      <c r="F3" s="11" t="str">
        <f t="shared" si="1"/>
        <v>CL</v>
      </c>
      <c r="G3" s="4" t="s">
        <v>49</v>
      </c>
      <c r="H3" s="7">
        <v>100</v>
      </c>
      <c r="N3" s="4" t="s">
        <v>20</v>
      </c>
      <c r="P3" s="4" t="s">
        <v>19</v>
      </c>
      <c r="AC3" s="4" t="s">
        <v>47</v>
      </c>
      <c r="BA3" s="12"/>
      <c r="BB3" s="12"/>
      <c r="BC3" s="12"/>
      <c r="BD3" s="12"/>
      <c r="BE3" s="12"/>
    </row>
    <row r="4" spans="1:57" ht="15.75" customHeight="1">
      <c r="A4" s="12"/>
      <c r="B4" s="7" t="s">
        <v>44</v>
      </c>
      <c r="C4" s="9" t="s">
        <v>50</v>
      </c>
      <c r="D4" s="10" t="str">
        <f>HYPERLINK("http://probaseballexperience.jcink.net/index.php?showtopic=6017","Nate Pearson - CL")</f>
        <v>Nate Pearson - CL</v>
      </c>
      <c r="E4" s="11" t="str">
        <f t="shared" si="0"/>
        <v>Nate Pearson</v>
      </c>
      <c r="F4" s="11" t="str">
        <f t="shared" si="1"/>
        <v>CL</v>
      </c>
      <c r="G4" s="15" t="s">
        <v>55</v>
      </c>
      <c r="H4" s="7">
        <v>100</v>
      </c>
      <c r="I4" s="2"/>
      <c r="J4" s="2"/>
      <c r="K4" s="2"/>
      <c r="L4" s="2"/>
      <c r="M4" s="2"/>
      <c r="N4" s="4" t="s">
        <v>20</v>
      </c>
      <c r="O4" s="6"/>
      <c r="P4" s="4" t="s">
        <v>19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2"/>
      <c r="AC4" s="4" t="s">
        <v>47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</row>
    <row r="5" spans="1:57" ht="15.75" customHeight="1">
      <c r="A5" s="12"/>
      <c r="B5" s="7" t="s">
        <v>44</v>
      </c>
      <c r="C5" s="9" t="s">
        <v>57</v>
      </c>
      <c r="D5" s="13" t="str">
        <f>HYPERLINK("http://probaseballexperience.jcink.net/index.php?showtopic=6250","Johnny Blaze - RF")</f>
        <v>Johnny Blaze - RF</v>
      </c>
      <c r="E5" s="11" t="str">
        <f t="shared" si="0"/>
        <v>Johnny Blaze</v>
      </c>
      <c r="F5" s="11" t="str">
        <f t="shared" si="1"/>
        <v>RF</v>
      </c>
      <c r="G5" s="7" t="s">
        <v>58</v>
      </c>
      <c r="H5" s="7">
        <v>100</v>
      </c>
      <c r="I5" s="2"/>
      <c r="J5" s="2"/>
      <c r="K5" s="2"/>
      <c r="L5" s="2"/>
      <c r="M5" s="2"/>
      <c r="N5" s="4" t="s">
        <v>20</v>
      </c>
      <c r="O5" s="19"/>
      <c r="P5" s="4" t="s">
        <v>19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2"/>
      <c r="AC5" s="4" t="s">
        <v>47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</row>
    <row r="6" spans="1:57" ht="15.75" customHeight="1">
      <c r="A6" s="12"/>
      <c r="B6" s="7" t="s">
        <v>44</v>
      </c>
      <c r="C6" s="9" t="s">
        <v>59</v>
      </c>
      <c r="D6" s="10" t="str">
        <f>HYPERLINK("http://probaseballexperience.jcink.net/index.php?showtopic=6184","Chest Rockwell - C")</f>
        <v>Chest Rockwell - C</v>
      </c>
      <c r="E6" s="11" t="str">
        <f t="shared" si="0"/>
        <v>Chest Rockwell</v>
      </c>
      <c r="F6" s="11" t="str">
        <f t="shared" si="1"/>
        <v>C</v>
      </c>
      <c r="G6" s="7" t="s">
        <v>60</v>
      </c>
      <c r="H6" s="7">
        <v>100</v>
      </c>
      <c r="I6" s="2"/>
      <c r="J6" s="2"/>
      <c r="K6" s="2"/>
      <c r="L6" s="2"/>
      <c r="M6" s="2"/>
      <c r="N6" s="4" t="s">
        <v>20</v>
      </c>
      <c r="O6" s="6"/>
      <c r="P6" s="4" t="s">
        <v>19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2"/>
      <c r="AC6" s="4" t="s">
        <v>47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</row>
    <row r="7" spans="1:57" ht="15.75" customHeight="1">
      <c r="A7" s="12"/>
      <c r="B7" s="7" t="s">
        <v>44</v>
      </c>
      <c r="C7" s="9" t="s">
        <v>61</v>
      </c>
      <c r="D7" s="10" t="str">
        <f>HYPERLINK("http://probaseballexperience.jcink.net/index.php?showtopic=6001","Benjamin Hilmer - 2B")</f>
        <v>Benjamin Hilmer - 2B</v>
      </c>
      <c r="E7" s="11" t="str">
        <f t="shared" si="0"/>
        <v>Benjamin Hilmer</v>
      </c>
      <c r="F7" s="11" t="str">
        <f t="shared" si="1"/>
        <v>2B</v>
      </c>
      <c r="G7" s="7" t="s">
        <v>62</v>
      </c>
      <c r="H7" s="7">
        <v>100</v>
      </c>
      <c r="I7" s="2"/>
      <c r="J7" s="2"/>
      <c r="K7" s="2"/>
      <c r="L7" s="2"/>
      <c r="M7" s="2"/>
      <c r="N7" s="4" t="s">
        <v>20</v>
      </c>
      <c r="O7" s="19"/>
      <c r="P7" s="4" t="s">
        <v>19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2"/>
      <c r="AC7" s="4" t="s">
        <v>47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</row>
    <row r="8" spans="1:57" ht="15.75" customHeight="1">
      <c r="A8" s="12"/>
      <c r="B8" s="7" t="s">
        <v>44</v>
      </c>
      <c r="C8" s="24"/>
      <c r="D8" s="25"/>
      <c r="E8" s="11" t="str">
        <f t="shared" si="0"/>
        <v/>
      </c>
      <c r="F8" s="11" t="str">
        <f t="shared" si="1"/>
        <v/>
      </c>
      <c r="G8" s="15"/>
      <c r="H8" s="7">
        <v>100</v>
      </c>
      <c r="I8" s="2"/>
      <c r="J8" s="2"/>
      <c r="K8" s="2"/>
      <c r="L8" s="2"/>
      <c r="M8" s="2"/>
      <c r="N8" s="4" t="s">
        <v>20</v>
      </c>
      <c r="O8" s="6"/>
      <c r="P8" s="4" t="s">
        <v>19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2"/>
      <c r="AC8" s="4" t="s">
        <v>47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</row>
    <row r="9" spans="1:57" ht="15.75" customHeight="1">
      <c r="A9" s="12"/>
      <c r="B9" s="7" t="s">
        <v>44</v>
      </c>
      <c r="C9" s="28"/>
      <c r="D9" s="25"/>
      <c r="E9" s="11" t="str">
        <f t="shared" si="0"/>
        <v/>
      </c>
      <c r="F9" s="11" t="str">
        <f t="shared" si="1"/>
        <v/>
      </c>
      <c r="G9" s="15"/>
      <c r="H9" s="7">
        <v>100</v>
      </c>
      <c r="I9" s="2"/>
      <c r="J9" s="2"/>
      <c r="K9" s="2"/>
      <c r="L9" s="2"/>
      <c r="M9" s="2"/>
      <c r="N9" s="4" t="s">
        <v>20</v>
      </c>
      <c r="O9" s="6"/>
      <c r="P9" s="4" t="s">
        <v>19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2"/>
      <c r="AC9" s="4" t="s">
        <v>47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</row>
    <row r="10" spans="1:57" ht="15.75" customHeight="1">
      <c r="A10" s="12"/>
      <c r="B10" s="7" t="s">
        <v>44</v>
      </c>
      <c r="C10" s="28"/>
      <c r="D10" s="25"/>
      <c r="E10" s="11" t="str">
        <f t="shared" si="0"/>
        <v/>
      </c>
      <c r="F10" s="11" t="str">
        <f t="shared" si="1"/>
        <v/>
      </c>
      <c r="G10" s="15"/>
      <c r="H10" s="7">
        <v>100</v>
      </c>
      <c r="I10" s="2"/>
      <c r="J10" s="2"/>
      <c r="K10" s="2"/>
      <c r="L10" s="2"/>
      <c r="M10" s="2"/>
      <c r="N10" s="4" t="s">
        <v>20</v>
      </c>
      <c r="O10" s="6"/>
      <c r="P10" s="4" t="s">
        <v>19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2"/>
      <c r="AC10" s="4" t="s">
        <v>47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</row>
    <row r="11" spans="1:57" ht="15.75" customHeight="1">
      <c r="A11" s="12"/>
      <c r="B11" s="7" t="s">
        <v>44</v>
      </c>
      <c r="C11" s="28"/>
      <c r="D11" s="25"/>
      <c r="E11" s="11" t="str">
        <f t="shared" si="0"/>
        <v/>
      </c>
      <c r="F11" s="11" t="str">
        <f t="shared" si="1"/>
        <v/>
      </c>
      <c r="G11" s="15"/>
      <c r="H11" s="7">
        <v>100</v>
      </c>
      <c r="I11" s="2"/>
      <c r="J11" s="2"/>
      <c r="K11" s="2"/>
      <c r="L11" s="2"/>
      <c r="M11" s="2"/>
      <c r="N11" s="4" t="s">
        <v>20</v>
      </c>
      <c r="O11" s="19"/>
      <c r="P11" s="4" t="s">
        <v>19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2"/>
      <c r="AC11" s="4" t="s">
        <v>47</v>
      </c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</row>
    <row r="12" spans="1:57" ht="15.75" customHeight="1">
      <c r="A12" s="12"/>
      <c r="B12" s="7" t="s">
        <v>44</v>
      </c>
      <c r="C12" s="28"/>
      <c r="D12" s="25"/>
      <c r="E12" s="11" t="str">
        <f t="shared" si="0"/>
        <v/>
      </c>
      <c r="F12" s="11" t="str">
        <f t="shared" si="1"/>
        <v/>
      </c>
      <c r="G12" s="7"/>
      <c r="H12" s="7">
        <v>100</v>
      </c>
      <c r="I12" s="2"/>
      <c r="J12" s="2"/>
      <c r="K12" s="2"/>
      <c r="L12" s="2"/>
      <c r="M12" s="2"/>
      <c r="N12" s="4" t="s">
        <v>20</v>
      </c>
      <c r="O12" s="6"/>
      <c r="P12" s="4" t="s">
        <v>19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2"/>
      <c r="AC12" s="4" t="s">
        <v>47</v>
      </c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</row>
    <row r="13" spans="1:57" ht="15.75" customHeight="1">
      <c r="A13" s="12"/>
      <c r="B13" s="7" t="s">
        <v>44</v>
      </c>
      <c r="C13" s="28"/>
      <c r="D13" s="25"/>
      <c r="E13" s="11" t="str">
        <f t="shared" si="0"/>
        <v/>
      </c>
      <c r="F13" s="11" t="str">
        <f t="shared" si="1"/>
        <v/>
      </c>
      <c r="G13" s="7"/>
      <c r="H13" s="7">
        <v>100</v>
      </c>
      <c r="I13" s="2"/>
      <c r="J13" s="2"/>
      <c r="K13" s="2"/>
      <c r="L13" s="2"/>
      <c r="M13" s="2"/>
      <c r="N13" s="4" t="s">
        <v>20</v>
      </c>
      <c r="O13" s="6"/>
      <c r="P13" s="4" t="s">
        <v>19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2"/>
      <c r="AC13" s="4" t="s">
        <v>47</v>
      </c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</row>
    <row r="14" spans="1:57" ht="15.75" customHeight="1">
      <c r="A14" s="12"/>
      <c r="B14" s="7" t="s">
        <v>44</v>
      </c>
      <c r="C14" s="28"/>
      <c r="D14" s="25"/>
      <c r="E14" s="11" t="str">
        <f t="shared" si="0"/>
        <v/>
      </c>
      <c r="F14" s="11" t="str">
        <f t="shared" si="1"/>
        <v/>
      </c>
      <c r="G14" s="15"/>
      <c r="H14" s="7">
        <v>100</v>
      </c>
      <c r="I14" s="2"/>
      <c r="J14" s="2"/>
      <c r="K14" s="2"/>
      <c r="L14" s="2"/>
      <c r="M14" s="2"/>
      <c r="N14" s="4" t="s">
        <v>20</v>
      </c>
      <c r="O14" s="6"/>
      <c r="P14" s="4" t="s">
        <v>19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2"/>
      <c r="AC14" s="4" t="s">
        <v>47</v>
      </c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</row>
    <row r="15" spans="1:57" ht="15.75" customHeight="1">
      <c r="A15" s="12"/>
      <c r="B15" s="7" t="s">
        <v>44</v>
      </c>
      <c r="C15" s="28"/>
      <c r="D15" s="25"/>
      <c r="E15" s="11" t="str">
        <f t="shared" si="0"/>
        <v/>
      </c>
      <c r="F15" s="11" t="str">
        <f t="shared" si="1"/>
        <v/>
      </c>
      <c r="G15" s="7"/>
      <c r="H15" s="7">
        <v>100</v>
      </c>
      <c r="I15" s="2"/>
      <c r="J15" s="2"/>
      <c r="K15" s="2"/>
      <c r="L15" s="2"/>
      <c r="M15" s="2"/>
      <c r="N15" s="4" t="s">
        <v>20</v>
      </c>
      <c r="O15" s="19"/>
      <c r="P15" s="4" t="s">
        <v>19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2"/>
      <c r="AC15" s="4" t="s">
        <v>47</v>
      </c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</row>
    <row r="16" spans="1:57" ht="15.75" customHeight="1">
      <c r="A16" s="12"/>
      <c r="B16" s="7" t="s">
        <v>44</v>
      </c>
      <c r="C16" s="28"/>
      <c r="D16" s="25"/>
      <c r="E16" s="11" t="str">
        <f t="shared" si="0"/>
        <v/>
      </c>
      <c r="F16" s="11" t="str">
        <f t="shared" si="1"/>
        <v/>
      </c>
      <c r="G16" s="15"/>
      <c r="H16" s="7">
        <v>100</v>
      </c>
      <c r="I16" s="2"/>
      <c r="J16" s="2"/>
      <c r="K16" s="2"/>
      <c r="L16" s="2"/>
      <c r="M16" s="2"/>
      <c r="N16" s="4" t="s">
        <v>20</v>
      </c>
      <c r="O16" s="6"/>
      <c r="P16" s="4" t="s">
        <v>19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2"/>
      <c r="AC16" s="4" t="s">
        <v>47</v>
      </c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</row>
    <row r="17" spans="1:57" ht="15.75" customHeight="1">
      <c r="A17" s="12"/>
      <c r="B17" s="7" t="s">
        <v>44</v>
      </c>
      <c r="C17" s="28"/>
      <c r="D17" s="25"/>
      <c r="E17" s="11" t="str">
        <f t="shared" si="0"/>
        <v/>
      </c>
      <c r="F17" s="11" t="str">
        <f t="shared" si="1"/>
        <v/>
      </c>
      <c r="G17" s="7"/>
      <c r="H17" s="7">
        <v>100</v>
      </c>
      <c r="I17" s="2"/>
      <c r="J17" s="2"/>
      <c r="K17" s="2"/>
      <c r="L17" s="2"/>
      <c r="M17" s="2"/>
      <c r="N17" s="4" t="s">
        <v>20</v>
      </c>
      <c r="O17" s="19"/>
      <c r="P17" s="4" t="s">
        <v>19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2"/>
      <c r="AC17" s="4" t="s">
        <v>47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</row>
    <row r="18" spans="1:57" ht="15.75" customHeight="1">
      <c r="A18" s="12"/>
      <c r="B18" s="7" t="s">
        <v>44</v>
      </c>
      <c r="C18" s="28"/>
      <c r="D18" s="32"/>
      <c r="E18" s="11" t="str">
        <f t="shared" si="0"/>
        <v/>
      </c>
      <c r="F18" s="11" t="str">
        <f t="shared" si="1"/>
        <v/>
      </c>
      <c r="G18" s="7"/>
      <c r="H18" s="7">
        <v>100</v>
      </c>
      <c r="I18" s="2"/>
      <c r="J18" s="2"/>
      <c r="K18" s="2"/>
      <c r="L18" s="2"/>
      <c r="M18" s="2"/>
      <c r="N18" s="4" t="s">
        <v>20</v>
      </c>
      <c r="O18" s="6"/>
      <c r="P18" s="4" t="s">
        <v>19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2"/>
      <c r="AC18" s="4" t="s">
        <v>47</v>
      </c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</row>
    <row r="19" spans="1:57" ht="15.75" customHeight="1">
      <c r="A19" s="12"/>
      <c r="B19" s="7" t="s">
        <v>44</v>
      </c>
      <c r="C19" s="28"/>
      <c r="D19" s="32"/>
      <c r="E19" s="11" t="str">
        <f t="shared" si="0"/>
        <v/>
      </c>
      <c r="F19" s="11" t="str">
        <f t="shared" si="1"/>
        <v/>
      </c>
      <c r="G19" s="7"/>
      <c r="H19" s="7">
        <v>100</v>
      </c>
      <c r="I19" s="2"/>
      <c r="J19" s="2"/>
      <c r="K19" s="2"/>
      <c r="L19" s="2"/>
      <c r="M19" s="2"/>
      <c r="N19" s="4" t="s">
        <v>20</v>
      </c>
      <c r="O19" s="19"/>
      <c r="P19" s="4" t="s">
        <v>19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2"/>
      <c r="AC19" s="4" t="s">
        <v>47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</row>
    <row r="20" spans="1:57" ht="15.75" customHeight="1">
      <c r="A20" s="12"/>
      <c r="B20" s="7" t="s">
        <v>44</v>
      </c>
      <c r="C20" s="28"/>
      <c r="D20" s="32"/>
      <c r="E20" s="11" t="str">
        <f t="shared" si="0"/>
        <v/>
      </c>
      <c r="F20" s="11" t="str">
        <f t="shared" si="1"/>
        <v/>
      </c>
      <c r="G20" s="7"/>
      <c r="H20" s="7">
        <v>100</v>
      </c>
      <c r="I20" s="2"/>
      <c r="J20" s="2"/>
      <c r="K20" s="2"/>
      <c r="L20" s="2"/>
      <c r="M20" s="2"/>
      <c r="N20" s="4" t="s">
        <v>20</v>
      </c>
      <c r="O20" s="19"/>
      <c r="P20" s="4" t="s">
        <v>19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2"/>
      <c r="AC20" s="4" t="s">
        <v>47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</row>
    <row r="21" spans="1:57" ht="15.75" customHeight="1">
      <c r="A21" s="12"/>
      <c r="B21" s="7" t="s">
        <v>44</v>
      </c>
      <c r="C21" s="28"/>
      <c r="D21" s="32"/>
      <c r="E21" s="11" t="str">
        <f t="shared" si="0"/>
        <v/>
      </c>
      <c r="F21" s="11" t="str">
        <f t="shared" si="1"/>
        <v/>
      </c>
      <c r="G21" s="7"/>
      <c r="H21" s="7">
        <v>100</v>
      </c>
      <c r="I21" s="2"/>
      <c r="J21" s="2"/>
      <c r="K21" s="2"/>
      <c r="L21" s="2"/>
      <c r="M21" s="2"/>
      <c r="N21" s="4" t="s">
        <v>20</v>
      </c>
      <c r="O21" s="19"/>
      <c r="P21" s="4" t="s">
        <v>19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2"/>
      <c r="AC21" s="4" t="s">
        <v>47</v>
      </c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</row>
    <row r="22" spans="1:57" ht="15.75" customHeight="1">
      <c r="A22" s="12"/>
      <c r="B22" s="7" t="s">
        <v>44</v>
      </c>
      <c r="C22" s="28"/>
      <c r="D22" s="32"/>
      <c r="E22" s="11" t="str">
        <f t="shared" si="0"/>
        <v/>
      </c>
      <c r="F22" s="11" t="str">
        <f t="shared" si="1"/>
        <v/>
      </c>
      <c r="G22" s="7"/>
      <c r="H22" s="7">
        <v>100</v>
      </c>
      <c r="I22" s="2"/>
      <c r="J22" s="2"/>
      <c r="K22" s="2"/>
      <c r="L22" s="2"/>
      <c r="M22" s="2"/>
      <c r="N22" s="4" t="s">
        <v>20</v>
      </c>
      <c r="O22" s="6"/>
      <c r="P22" s="4" t="s">
        <v>19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2"/>
      <c r="AC22" s="4" t="s">
        <v>47</v>
      </c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</row>
    <row r="23" spans="1:57" ht="15.75" customHeight="1">
      <c r="A23" s="12"/>
      <c r="B23" s="7" t="s">
        <v>44</v>
      </c>
      <c r="C23" s="28"/>
      <c r="D23" s="32"/>
      <c r="E23" s="11" t="str">
        <f t="shared" si="0"/>
        <v/>
      </c>
      <c r="F23" s="11" t="str">
        <f t="shared" si="1"/>
        <v/>
      </c>
      <c r="G23" s="7"/>
      <c r="H23" s="7">
        <v>100</v>
      </c>
      <c r="I23" s="2"/>
      <c r="J23" s="2"/>
      <c r="K23" s="2"/>
      <c r="L23" s="2"/>
      <c r="M23" s="2"/>
      <c r="N23" s="4" t="s">
        <v>20</v>
      </c>
      <c r="O23" s="19"/>
      <c r="P23" s="4" t="s">
        <v>19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2"/>
      <c r="AC23" s="4" t="s">
        <v>47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</row>
    <row r="24" spans="1:57" ht="15.75" customHeight="1">
      <c r="A24" s="12"/>
      <c r="B24" s="7" t="s">
        <v>44</v>
      </c>
      <c r="C24" s="28"/>
      <c r="D24" s="32"/>
      <c r="E24" s="11" t="str">
        <f t="shared" si="0"/>
        <v/>
      </c>
      <c r="F24" s="11" t="str">
        <f t="shared" si="1"/>
        <v/>
      </c>
      <c r="G24" s="7"/>
      <c r="H24" s="7">
        <v>100</v>
      </c>
      <c r="I24" s="2"/>
      <c r="J24" s="2"/>
      <c r="K24" s="2"/>
      <c r="L24" s="2"/>
      <c r="M24" s="2"/>
      <c r="N24" s="4" t="s">
        <v>20</v>
      </c>
      <c r="O24" s="6"/>
      <c r="P24" s="4" t="s">
        <v>19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2"/>
      <c r="AC24" s="4" t="s">
        <v>47</v>
      </c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</row>
    <row r="25" spans="1:57" ht="15.75" customHeight="1">
      <c r="A25" s="12"/>
      <c r="B25" s="7" t="s">
        <v>44</v>
      </c>
      <c r="C25" s="28"/>
      <c r="D25" s="32"/>
      <c r="E25" s="11" t="str">
        <f t="shared" si="0"/>
        <v/>
      </c>
      <c r="F25" s="11" t="str">
        <f t="shared" si="1"/>
        <v/>
      </c>
      <c r="G25" s="7"/>
      <c r="H25" s="7">
        <v>100</v>
      </c>
      <c r="I25" s="2"/>
      <c r="J25" s="2"/>
      <c r="K25" s="2"/>
      <c r="L25" s="2"/>
      <c r="M25" s="2"/>
      <c r="N25" s="4" t="s">
        <v>20</v>
      </c>
      <c r="O25" s="19"/>
      <c r="P25" s="4" t="s">
        <v>19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2"/>
      <c r="AC25" s="4" t="s">
        <v>47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</row>
    <row r="26" spans="1:57" ht="15.75" customHeight="1">
      <c r="A26" s="12"/>
      <c r="B26" s="7" t="s">
        <v>44</v>
      </c>
      <c r="C26" s="28"/>
      <c r="D26" s="32"/>
      <c r="E26" s="11" t="str">
        <f t="shared" si="0"/>
        <v/>
      </c>
      <c r="F26" s="11" t="str">
        <f t="shared" si="1"/>
        <v/>
      </c>
      <c r="G26" s="7"/>
      <c r="H26" s="7">
        <v>100</v>
      </c>
      <c r="I26" s="2"/>
      <c r="J26" s="2"/>
      <c r="K26" s="2"/>
      <c r="L26" s="2"/>
      <c r="M26" s="2"/>
      <c r="N26" s="4" t="s">
        <v>20</v>
      </c>
      <c r="O26" s="6"/>
      <c r="P26" s="4" t="s">
        <v>19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2"/>
      <c r="AC26" s="4" t="s">
        <v>47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</row>
    <row r="27" spans="1:57" ht="15.75" customHeight="1">
      <c r="A27" s="12"/>
      <c r="B27" s="7" t="s">
        <v>44</v>
      </c>
      <c r="C27" s="28"/>
      <c r="D27" s="32"/>
      <c r="E27" s="11" t="str">
        <f t="shared" si="0"/>
        <v/>
      </c>
      <c r="F27" s="11" t="str">
        <f t="shared" si="1"/>
        <v/>
      </c>
      <c r="G27" s="7"/>
      <c r="H27" s="7">
        <v>100</v>
      </c>
      <c r="I27" s="2"/>
      <c r="J27" s="2"/>
      <c r="K27" s="2"/>
      <c r="L27" s="2"/>
      <c r="M27" s="2"/>
      <c r="N27" s="4" t="s">
        <v>20</v>
      </c>
      <c r="O27" s="6"/>
      <c r="P27" s="4" t="s">
        <v>19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2"/>
      <c r="AC27" s="4" t="s">
        <v>47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</row>
    <row r="28" spans="1:57" ht="15.75" customHeight="1">
      <c r="A28" s="12"/>
      <c r="B28" s="7" t="s">
        <v>44</v>
      </c>
      <c r="C28" s="39"/>
      <c r="D28" s="32"/>
      <c r="E28" s="11" t="str">
        <f t="shared" si="0"/>
        <v/>
      </c>
      <c r="F28" s="11" t="str">
        <f t="shared" si="1"/>
        <v/>
      </c>
      <c r="G28" s="7"/>
      <c r="H28" s="7">
        <v>100</v>
      </c>
      <c r="I28" s="2"/>
      <c r="J28" s="2"/>
      <c r="K28" s="2"/>
      <c r="L28" s="2"/>
      <c r="M28" s="2"/>
      <c r="N28" s="4" t="s">
        <v>20</v>
      </c>
      <c r="O28" s="19"/>
      <c r="P28" s="4" t="s">
        <v>19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2"/>
      <c r="AC28" s="4" t="s">
        <v>47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</row>
    <row r="29" spans="1:57" ht="15.75" customHeight="1">
      <c r="A29" s="12"/>
      <c r="B29" s="7" t="s">
        <v>44</v>
      </c>
      <c r="C29" s="28"/>
      <c r="D29" s="32"/>
      <c r="E29" s="11" t="str">
        <f t="shared" si="0"/>
        <v/>
      </c>
      <c r="F29" s="11" t="str">
        <f t="shared" si="1"/>
        <v/>
      </c>
      <c r="G29" s="7"/>
      <c r="H29" s="7">
        <v>100</v>
      </c>
      <c r="I29" s="2"/>
      <c r="J29" s="2"/>
      <c r="K29" s="2"/>
      <c r="L29" s="2"/>
      <c r="M29" s="2"/>
      <c r="N29" s="4" t="s">
        <v>20</v>
      </c>
      <c r="O29" s="19"/>
      <c r="P29" s="4" t="s">
        <v>19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2"/>
      <c r="AC29" s="4" t="s">
        <v>47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</row>
    <row r="30" spans="1:57" ht="15.75" customHeight="1">
      <c r="A30" s="12"/>
      <c r="B30" s="7" t="s">
        <v>44</v>
      </c>
      <c r="C30" s="28"/>
      <c r="D30" s="25"/>
      <c r="E30" s="11" t="str">
        <f t="shared" si="0"/>
        <v/>
      </c>
      <c r="F30" s="11" t="str">
        <f t="shared" si="1"/>
        <v/>
      </c>
      <c r="G30" s="15"/>
      <c r="H30" s="7">
        <v>100</v>
      </c>
      <c r="I30" s="2"/>
      <c r="J30" s="2"/>
      <c r="K30" s="2"/>
      <c r="L30" s="2"/>
      <c r="M30" s="2"/>
      <c r="N30" s="4" t="s">
        <v>20</v>
      </c>
      <c r="O30" s="19"/>
      <c r="P30" s="4" t="s">
        <v>19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2"/>
      <c r="AC30" s="4" t="s">
        <v>47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</row>
    <row r="31" spans="1:57" ht="15.75" customHeight="1">
      <c r="A31" s="12"/>
      <c r="B31" s="7" t="s">
        <v>44</v>
      </c>
      <c r="C31" s="28"/>
      <c r="D31" s="32"/>
      <c r="E31" s="11" t="str">
        <f t="shared" si="0"/>
        <v/>
      </c>
      <c r="F31" s="11" t="str">
        <f t="shared" si="1"/>
        <v/>
      </c>
      <c r="G31" s="7"/>
      <c r="H31" s="7">
        <v>100</v>
      </c>
      <c r="I31" s="2"/>
      <c r="J31" s="2"/>
      <c r="K31" s="2"/>
      <c r="L31" s="2"/>
      <c r="M31" s="2"/>
      <c r="N31" s="4" t="s">
        <v>20</v>
      </c>
      <c r="O31" s="6"/>
      <c r="P31" s="4" t="s">
        <v>19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2"/>
      <c r="AC31" s="4" t="s">
        <v>47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</row>
    <row r="32" spans="1:57" ht="15.75" customHeight="1">
      <c r="A32" s="12"/>
      <c r="B32" s="7" t="s">
        <v>44</v>
      </c>
      <c r="C32" s="28"/>
      <c r="D32" s="32"/>
      <c r="E32" s="11" t="str">
        <f t="shared" si="0"/>
        <v/>
      </c>
      <c r="F32" s="11" t="str">
        <f t="shared" si="1"/>
        <v/>
      </c>
      <c r="G32" s="15"/>
      <c r="H32" s="7">
        <v>100</v>
      </c>
      <c r="I32" s="2"/>
      <c r="J32" s="2"/>
      <c r="K32" s="2"/>
      <c r="L32" s="2"/>
      <c r="M32" s="2"/>
      <c r="N32" s="4" t="s">
        <v>20</v>
      </c>
      <c r="O32" s="6"/>
      <c r="P32" s="4" t="s">
        <v>19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2"/>
      <c r="AC32" s="4" t="s">
        <v>47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</row>
    <row r="33" spans="1:57" ht="15.75" customHeight="1">
      <c r="A33" s="12"/>
      <c r="B33" s="7" t="s">
        <v>44</v>
      </c>
      <c r="C33" s="39"/>
      <c r="D33" s="32"/>
      <c r="E33" s="11" t="str">
        <f t="shared" si="0"/>
        <v/>
      </c>
      <c r="F33" s="11" t="str">
        <f t="shared" si="1"/>
        <v/>
      </c>
      <c r="G33" s="7"/>
      <c r="H33" s="7">
        <v>100</v>
      </c>
      <c r="I33" s="2"/>
      <c r="J33" s="2"/>
      <c r="K33" s="2"/>
      <c r="L33" s="2"/>
      <c r="M33" s="2"/>
      <c r="N33" s="4" t="s">
        <v>20</v>
      </c>
      <c r="O33" s="19"/>
      <c r="P33" s="4" t="s">
        <v>19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2"/>
      <c r="AC33" s="4" t="s">
        <v>47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</row>
    <row r="34" spans="1:57" ht="15.75" customHeight="1">
      <c r="A34" s="12"/>
      <c r="B34" s="7" t="s">
        <v>44</v>
      </c>
      <c r="C34" s="39"/>
      <c r="D34" s="32"/>
      <c r="E34" s="11" t="str">
        <f t="shared" si="0"/>
        <v/>
      </c>
      <c r="F34" s="11" t="str">
        <f t="shared" si="1"/>
        <v/>
      </c>
      <c r="G34" s="7"/>
      <c r="H34" s="7">
        <v>100</v>
      </c>
      <c r="I34" s="2"/>
      <c r="J34" s="2"/>
      <c r="K34" s="2"/>
      <c r="L34" s="2"/>
      <c r="M34" s="2"/>
      <c r="N34" s="4" t="s">
        <v>20</v>
      </c>
      <c r="O34" s="19"/>
      <c r="P34" s="4" t="s">
        <v>19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2"/>
      <c r="AC34" s="4" t="s">
        <v>47</v>
      </c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</row>
    <row r="35" spans="1:57" ht="15.75" customHeight="1">
      <c r="A35" s="12"/>
      <c r="B35" s="7" t="s">
        <v>44</v>
      </c>
      <c r="C35" s="39"/>
      <c r="D35" s="32"/>
      <c r="E35" s="11" t="str">
        <f t="shared" si="0"/>
        <v/>
      </c>
      <c r="F35" s="11" t="str">
        <f t="shared" si="1"/>
        <v/>
      </c>
      <c r="G35" s="7"/>
      <c r="H35" s="7">
        <v>100</v>
      </c>
      <c r="I35" s="2"/>
      <c r="J35" s="2"/>
      <c r="K35" s="2"/>
      <c r="L35" s="2"/>
      <c r="M35" s="2"/>
      <c r="N35" s="4" t="s">
        <v>20</v>
      </c>
      <c r="O35" s="19"/>
      <c r="P35" s="4" t="s">
        <v>19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2"/>
      <c r="AC35" s="4" t="s">
        <v>47</v>
      </c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</row>
    <row r="36" spans="1:57" ht="15.75" customHeight="1">
      <c r="A36" s="12"/>
      <c r="B36" s="7" t="s">
        <v>44</v>
      </c>
      <c r="C36" s="39"/>
      <c r="D36" s="32"/>
      <c r="E36" s="11" t="str">
        <f t="shared" si="0"/>
        <v/>
      </c>
      <c r="F36" s="11" t="str">
        <f t="shared" si="1"/>
        <v/>
      </c>
      <c r="G36" s="15"/>
      <c r="H36" s="7">
        <v>100</v>
      </c>
      <c r="I36" s="2"/>
      <c r="J36" s="2"/>
      <c r="K36" s="2"/>
      <c r="L36" s="2"/>
      <c r="M36" s="2"/>
      <c r="N36" s="7"/>
      <c r="O36" s="19"/>
      <c r="P36" s="7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2"/>
      <c r="AC36" s="4" t="s">
        <v>47</v>
      </c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</row>
    <row r="37" spans="1:57" ht="15.75" customHeight="1">
      <c r="A37" s="12"/>
      <c r="B37" s="7" t="s">
        <v>44</v>
      </c>
      <c r="C37" s="28"/>
      <c r="D37" s="32"/>
      <c r="E37" s="11" t="str">
        <f t="shared" si="0"/>
        <v/>
      </c>
      <c r="F37" s="11" t="str">
        <f t="shared" si="1"/>
        <v/>
      </c>
      <c r="G37" s="15"/>
      <c r="H37" s="7">
        <v>100</v>
      </c>
      <c r="I37" s="2"/>
      <c r="J37" s="2"/>
      <c r="K37" s="2"/>
      <c r="L37" s="2"/>
      <c r="M37" s="2"/>
      <c r="N37" s="7"/>
      <c r="O37" s="6"/>
      <c r="P37" s="7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2"/>
      <c r="AC37" s="4" t="s">
        <v>47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</row>
    <row r="38" spans="1:57" ht="15.75" customHeight="1">
      <c r="A38" s="12"/>
      <c r="B38" s="7" t="s">
        <v>44</v>
      </c>
      <c r="C38" s="28"/>
      <c r="D38" s="32"/>
      <c r="E38" s="11" t="str">
        <f t="shared" si="0"/>
        <v/>
      </c>
      <c r="F38" s="11" t="str">
        <f t="shared" si="1"/>
        <v/>
      </c>
      <c r="G38" s="7"/>
      <c r="H38" s="7">
        <v>100</v>
      </c>
      <c r="I38" s="2"/>
      <c r="J38" s="2"/>
      <c r="K38" s="2"/>
      <c r="L38" s="2"/>
      <c r="M38" s="2"/>
      <c r="N38" s="7"/>
      <c r="O38" s="19"/>
      <c r="P38" s="7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2"/>
      <c r="AC38" s="4" t="s">
        <v>47</v>
      </c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</row>
    <row r="39" spans="1:57" ht="15.75" customHeight="1">
      <c r="A39" s="12"/>
      <c r="B39" s="7" t="s">
        <v>44</v>
      </c>
      <c r="C39" s="28"/>
      <c r="D39" s="32"/>
      <c r="E39" s="11" t="str">
        <f t="shared" si="0"/>
        <v/>
      </c>
      <c r="F39" s="11" t="str">
        <f t="shared" si="1"/>
        <v/>
      </c>
      <c r="G39" s="7"/>
      <c r="H39" s="7">
        <v>100</v>
      </c>
      <c r="I39" s="2"/>
      <c r="J39" s="2"/>
      <c r="K39" s="2"/>
      <c r="L39" s="2"/>
      <c r="M39" s="2"/>
      <c r="N39" s="7"/>
      <c r="O39" s="6"/>
      <c r="P39" s="7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2"/>
      <c r="AC39" s="4" t="s">
        <v>47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</row>
    <row r="40" spans="1:57" ht="15.75" customHeight="1">
      <c r="A40" s="12"/>
      <c r="B40" s="7" t="s">
        <v>44</v>
      </c>
      <c r="C40" s="28"/>
      <c r="D40" s="32"/>
      <c r="E40" s="11" t="str">
        <f t="shared" si="0"/>
        <v/>
      </c>
      <c r="F40" s="11" t="str">
        <f t="shared" si="1"/>
        <v/>
      </c>
      <c r="G40" s="7"/>
      <c r="H40" s="7">
        <v>100</v>
      </c>
      <c r="I40" s="2"/>
      <c r="J40" s="2"/>
      <c r="K40" s="2"/>
      <c r="L40" s="2"/>
      <c r="M40" s="2"/>
      <c r="N40" s="7"/>
      <c r="O40" s="19"/>
      <c r="P40" s="7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2"/>
      <c r="AC40" s="4" t="s">
        <v>47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</row>
    <row r="41" spans="1:57" ht="15.75" customHeight="1">
      <c r="A41" s="12"/>
      <c r="B41" s="7" t="s">
        <v>44</v>
      </c>
      <c r="C41" s="28"/>
      <c r="D41" s="32"/>
      <c r="E41" s="11" t="str">
        <f t="shared" si="0"/>
        <v/>
      </c>
      <c r="F41" s="11" t="str">
        <f t="shared" si="1"/>
        <v/>
      </c>
      <c r="G41" s="7"/>
      <c r="H41" s="7">
        <v>100</v>
      </c>
      <c r="I41" s="2"/>
      <c r="J41" s="2"/>
      <c r="K41" s="2"/>
      <c r="L41" s="2"/>
      <c r="M41" s="2"/>
      <c r="N41" s="7"/>
      <c r="O41" s="6"/>
      <c r="P41" s="7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2"/>
      <c r="AC41" s="4" t="s">
        <v>47</v>
      </c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</row>
    <row r="42" spans="1:57" ht="15.75" customHeight="1">
      <c r="A42" s="12"/>
      <c r="B42" s="7" t="s">
        <v>44</v>
      </c>
      <c r="C42" s="46"/>
      <c r="D42" s="32"/>
      <c r="E42" s="11" t="str">
        <f t="shared" si="0"/>
        <v/>
      </c>
      <c r="F42" s="11" t="str">
        <f t="shared" si="1"/>
        <v/>
      </c>
      <c r="G42" s="7"/>
      <c r="H42" s="7">
        <v>100</v>
      </c>
      <c r="I42" s="2"/>
      <c r="J42" s="2"/>
      <c r="K42" s="2"/>
      <c r="L42" s="2"/>
      <c r="M42" s="2"/>
      <c r="N42" s="7"/>
      <c r="O42" s="19"/>
      <c r="P42" s="7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2"/>
      <c r="AC42" s="4" t="s">
        <v>47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</row>
    <row r="43" spans="1:57" ht="15.75" customHeight="1">
      <c r="A43" s="12"/>
      <c r="B43" s="7" t="s">
        <v>44</v>
      </c>
      <c r="C43" s="28"/>
      <c r="D43" s="32"/>
      <c r="E43" s="11" t="str">
        <f t="shared" si="0"/>
        <v/>
      </c>
      <c r="F43" s="11" t="str">
        <f t="shared" si="1"/>
        <v/>
      </c>
      <c r="G43" s="7"/>
      <c r="H43" s="7">
        <v>100</v>
      </c>
      <c r="I43" s="2"/>
      <c r="J43" s="2"/>
      <c r="K43" s="2"/>
      <c r="L43" s="2"/>
      <c r="M43" s="2"/>
      <c r="N43" s="7"/>
      <c r="O43" s="19"/>
      <c r="P43" s="7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2"/>
      <c r="AC43" s="4" t="s">
        <v>47</v>
      </c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</row>
    <row r="44" spans="1:57" ht="15.75" customHeight="1">
      <c r="A44" s="47"/>
      <c r="B44" s="47" t="s">
        <v>44</v>
      </c>
      <c r="C44" s="28"/>
      <c r="D44" s="32"/>
      <c r="E44" s="47" t="str">
        <f t="shared" ref="E44:E62" si="2">IFERROR(TRIM(LEFT(D44,LEN(D44)-4)),"")</f>
        <v/>
      </c>
      <c r="F44" s="47" t="str">
        <f t="shared" si="1"/>
        <v/>
      </c>
      <c r="G44" s="15"/>
      <c r="H44" s="7">
        <v>100</v>
      </c>
      <c r="I44" s="47"/>
      <c r="J44" s="47"/>
      <c r="K44" s="47"/>
      <c r="L44" s="47"/>
      <c r="M44" s="47"/>
      <c r="N44" s="47"/>
      <c r="O44" s="48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9" t="s">
        <v>47</v>
      </c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21"/>
      <c r="BB44" s="21"/>
      <c r="BC44" s="21"/>
      <c r="BD44" s="21"/>
      <c r="BE44" s="21"/>
    </row>
    <row r="45" spans="1:57" ht="15.75" customHeight="1">
      <c r="A45" s="50"/>
      <c r="B45" s="50" t="s">
        <v>44</v>
      </c>
      <c r="C45" s="28"/>
      <c r="D45" s="32"/>
      <c r="E45" s="50" t="str">
        <f t="shared" si="2"/>
        <v/>
      </c>
      <c r="F45" s="50" t="str">
        <f t="shared" si="1"/>
        <v/>
      </c>
      <c r="G45" s="51"/>
      <c r="H45" s="7">
        <v>100</v>
      </c>
      <c r="I45" s="50"/>
      <c r="J45" s="50"/>
      <c r="K45" s="50"/>
      <c r="L45" s="50"/>
      <c r="M45" s="50"/>
      <c r="N45" s="50"/>
      <c r="O45" s="51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 t="s">
        <v>47</v>
      </c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21"/>
      <c r="BB45" s="21"/>
      <c r="BC45" s="21"/>
      <c r="BD45" s="21"/>
      <c r="BE45" s="21"/>
    </row>
    <row r="46" spans="1:57" ht="15.75" customHeight="1">
      <c r="A46" s="50"/>
      <c r="B46" s="50" t="s">
        <v>44</v>
      </c>
      <c r="C46" s="28"/>
      <c r="D46" s="25"/>
      <c r="E46" s="50" t="str">
        <f t="shared" si="2"/>
        <v/>
      </c>
      <c r="F46" s="50" t="str">
        <f t="shared" si="1"/>
        <v/>
      </c>
      <c r="G46" s="51"/>
      <c r="H46" s="7">
        <v>100</v>
      </c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 t="s">
        <v>47</v>
      </c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21"/>
      <c r="BB46" s="21"/>
      <c r="BC46" s="21"/>
      <c r="BD46" s="21"/>
      <c r="BE46" s="21"/>
    </row>
    <row r="47" spans="1:57" ht="15.75" customHeight="1">
      <c r="A47" s="50"/>
      <c r="B47" s="50" t="s">
        <v>44</v>
      </c>
      <c r="C47" s="28"/>
      <c r="D47" s="32"/>
      <c r="E47" s="50" t="str">
        <f t="shared" si="2"/>
        <v/>
      </c>
      <c r="F47" s="50" t="str">
        <f t="shared" si="1"/>
        <v/>
      </c>
      <c r="G47" s="15"/>
      <c r="H47" s="7">
        <v>100</v>
      </c>
      <c r="I47" s="50"/>
      <c r="J47" s="50"/>
      <c r="K47" s="50"/>
      <c r="L47" s="50"/>
      <c r="M47" s="50"/>
      <c r="N47" s="50"/>
      <c r="O47" s="51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 t="s">
        <v>47</v>
      </c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21"/>
      <c r="BB47" s="21"/>
      <c r="BC47" s="21"/>
      <c r="BD47" s="21"/>
      <c r="BE47" s="21"/>
    </row>
    <row r="48" spans="1:57" ht="15.75" customHeight="1">
      <c r="A48" s="50"/>
      <c r="B48" s="50" t="s">
        <v>44</v>
      </c>
      <c r="C48" s="28"/>
      <c r="D48" s="32"/>
      <c r="E48" s="50" t="str">
        <f t="shared" si="2"/>
        <v/>
      </c>
      <c r="F48" s="50" t="str">
        <f t="shared" si="1"/>
        <v/>
      </c>
      <c r="G48" s="51"/>
      <c r="H48" s="7">
        <v>100</v>
      </c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 t="s">
        <v>47</v>
      </c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21"/>
      <c r="BB48" s="21"/>
      <c r="BC48" s="21"/>
      <c r="BD48" s="21"/>
      <c r="BE48" s="21"/>
    </row>
    <row r="49" spans="1:57" ht="15.75" customHeight="1">
      <c r="A49" s="50"/>
      <c r="B49" s="50" t="s">
        <v>44</v>
      </c>
      <c r="C49" s="39"/>
      <c r="D49" s="32"/>
      <c r="E49" s="50" t="str">
        <f t="shared" si="2"/>
        <v/>
      </c>
      <c r="F49" s="50" t="str">
        <f t="shared" si="1"/>
        <v/>
      </c>
      <c r="G49" s="15"/>
      <c r="H49" s="7">
        <v>100</v>
      </c>
      <c r="I49" s="50"/>
      <c r="J49" s="50"/>
      <c r="K49" s="50"/>
      <c r="L49" s="50"/>
      <c r="M49" s="50"/>
      <c r="N49" s="50"/>
      <c r="O49" s="51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 t="s">
        <v>47</v>
      </c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21"/>
      <c r="BB49" s="21"/>
      <c r="BC49" s="21"/>
      <c r="BD49" s="21"/>
      <c r="BE49" s="21"/>
    </row>
    <row r="50" spans="1:57" ht="15.75" customHeight="1">
      <c r="A50" s="50"/>
      <c r="B50" s="50" t="s">
        <v>44</v>
      </c>
      <c r="C50" s="39"/>
      <c r="D50" s="32"/>
      <c r="E50" s="50" t="str">
        <f t="shared" si="2"/>
        <v/>
      </c>
      <c r="F50" s="50" t="str">
        <f t="shared" si="1"/>
        <v/>
      </c>
      <c r="G50" s="15"/>
      <c r="H50" s="7">
        <v>100</v>
      </c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 t="s">
        <v>47</v>
      </c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21"/>
      <c r="BB50" s="21"/>
      <c r="BC50" s="21"/>
      <c r="BD50" s="21"/>
      <c r="BE50" s="21"/>
    </row>
    <row r="51" spans="1:57" ht="15.75" customHeight="1">
      <c r="A51" s="50"/>
      <c r="B51" s="50" t="s">
        <v>44</v>
      </c>
      <c r="C51" s="28"/>
      <c r="D51" s="25"/>
      <c r="E51" s="50" t="str">
        <f t="shared" si="2"/>
        <v/>
      </c>
      <c r="F51" s="50" t="str">
        <f t="shared" si="1"/>
        <v/>
      </c>
      <c r="G51" s="51"/>
      <c r="H51" s="7">
        <v>100</v>
      </c>
      <c r="I51" s="50"/>
      <c r="J51" s="50"/>
      <c r="K51" s="50"/>
      <c r="L51" s="50"/>
      <c r="M51" s="50"/>
      <c r="N51" s="50"/>
      <c r="O51" s="51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 t="s">
        <v>47</v>
      </c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21"/>
      <c r="BB51" s="21"/>
      <c r="BC51" s="21"/>
      <c r="BD51" s="21"/>
      <c r="BE51" s="21"/>
    </row>
    <row r="52" spans="1:57" ht="15.75" customHeight="1">
      <c r="A52" s="50"/>
      <c r="B52" s="50" t="s">
        <v>44</v>
      </c>
      <c r="C52" s="28"/>
      <c r="D52" s="32"/>
      <c r="E52" s="50" t="str">
        <f t="shared" si="2"/>
        <v/>
      </c>
      <c r="F52" s="50" t="str">
        <f t="shared" si="1"/>
        <v/>
      </c>
      <c r="G52" s="51"/>
      <c r="H52" s="7">
        <v>100</v>
      </c>
      <c r="I52" s="50"/>
      <c r="J52" s="50"/>
      <c r="K52" s="50"/>
      <c r="L52" s="50"/>
      <c r="M52" s="50"/>
      <c r="N52" s="50"/>
      <c r="O52" s="51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 t="s">
        <v>47</v>
      </c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21"/>
      <c r="BB52" s="21"/>
      <c r="BC52" s="21"/>
      <c r="BD52" s="21"/>
      <c r="BE52" s="21"/>
    </row>
    <row r="53" spans="1:57" ht="15.75" customHeight="1">
      <c r="A53" s="50"/>
      <c r="B53" s="50" t="s">
        <v>44</v>
      </c>
      <c r="C53" s="28"/>
      <c r="D53" s="25"/>
      <c r="E53" s="50" t="str">
        <f t="shared" si="2"/>
        <v/>
      </c>
      <c r="F53" s="50" t="str">
        <f t="shared" si="1"/>
        <v/>
      </c>
      <c r="G53" s="15"/>
      <c r="H53" s="7">
        <v>100</v>
      </c>
      <c r="I53" s="50"/>
      <c r="J53" s="50"/>
      <c r="K53" s="50"/>
      <c r="L53" s="50"/>
      <c r="M53" s="50"/>
      <c r="N53" s="50"/>
      <c r="O53" s="51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 t="s">
        <v>47</v>
      </c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21"/>
      <c r="BB53" s="21"/>
      <c r="BC53" s="21"/>
      <c r="BD53" s="21"/>
      <c r="BE53" s="21"/>
    </row>
    <row r="54" spans="1:57" ht="15.75" customHeight="1">
      <c r="A54" s="50"/>
      <c r="B54" s="50" t="s">
        <v>44</v>
      </c>
      <c r="C54" s="28"/>
      <c r="D54" s="32"/>
      <c r="E54" s="50" t="str">
        <f t="shared" si="2"/>
        <v/>
      </c>
      <c r="F54" s="50" t="str">
        <f t="shared" si="1"/>
        <v/>
      </c>
      <c r="G54" s="51"/>
      <c r="H54" s="7">
        <v>100</v>
      </c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 t="s">
        <v>47</v>
      </c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21"/>
      <c r="BB54" s="21"/>
      <c r="BC54" s="21"/>
      <c r="BD54" s="21"/>
      <c r="BE54" s="21"/>
    </row>
    <row r="55" spans="1:57" ht="15.75" customHeight="1">
      <c r="A55" s="50"/>
      <c r="B55" s="50" t="s">
        <v>44</v>
      </c>
      <c r="C55" s="39"/>
      <c r="D55" s="50"/>
      <c r="E55" s="50" t="str">
        <f t="shared" si="2"/>
        <v/>
      </c>
      <c r="F55" s="50" t="str">
        <f t="shared" si="1"/>
        <v/>
      </c>
      <c r="G55" s="50"/>
      <c r="H55" s="7">
        <v>100</v>
      </c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 t="s">
        <v>47</v>
      </c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21"/>
      <c r="BB55" s="21"/>
      <c r="BC55" s="21"/>
      <c r="BD55" s="21"/>
      <c r="BE55" s="21"/>
    </row>
    <row r="56" spans="1:57" ht="15.75" customHeight="1">
      <c r="A56" s="50"/>
      <c r="B56" s="50" t="s">
        <v>44</v>
      </c>
      <c r="C56" s="39"/>
      <c r="D56" s="50"/>
      <c r="E56" s="50" t="str">
        <f t="shared" si="2"/>
        <v/>
      </c>
      <c r="F56" s="50" t="str">
        <f t="shared" si="1"/>
        <v/>
      </c>
      <c r="G56" s="50"/>
      <c r="H56" s="7">
        <v>100</v>
      </c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 t="s">
        <v>47</v>
      </c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21"/>
      <c r="BB56" s="21"/>
      <c r="BC56" s="21"/>
      <c r="BD56" s="21"/>
      <c r="BE56" s="21"/>
    </row>
    <row r="57" spans="1:57" ht="15.75" customHeight="1">
      <c r="A57" s="50"/>
      <c r="B57" s="50" t="s">
        <v>44</v>
      </c>
      <c r="C57" s="39"/>
      <c r="D57" s="50"/>
      <c r="E57" s="50" t="str">
        <f t="shared" si="2"/>
        <v/>
      </c>
      <c r="F57" s="50" t="str">
        <f t="shared" si="1"/>
        <v/>
      </c>
      <c r="G57" s="50"/>
      <c r="H57" s="7">
        <v>100</v>
      </c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 t="s">
        <v>47</v>
      </c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21"/>
      <c r="BB57" s="21"/>
      <c r="BC57" s="21"/>
      <c r="BD57" s="21"/>
      <c r="BE57" s="21"/>
    </row>
    <row r="58" spans="1:57" ht="15.75" customHeight="1">
      <c r="A58" s="50"/>
      <c r="B58" s="50" t="s">
        <v>44</v>
      </c>
      <c r="C58" s="39"/>
      <c r="D58" s="50"/>
      <c r="E58" s="50" t="str">
        <f t="shared" si="2"/>
        <v/>
      </c>
      <c r="F58" s="50" t="str">
        <f t="shared" si="1"/>
        <v/>
      </c>
      <c r="G58" s="50"/>
      <c r="H58" s="7">
        <v>100</v>
      </c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 t="s">
        <v>47</v>
      </c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21"/>
      <c r="BB58" s="21"/>
      <c r="BC58" s="21"/>
      <c r="BD58" s="21"/>
      <c r="BE58" s="21"/>
    </row>
    <row r="59" spans="1:57" ht="15.75" customHeight="1">
      <c r="A59" s="50"/>
      <c r="B59" s="50" t="s">
        <v>44</v>
      </c>
      <c r="C59" s="39"/>
      <c r="D59" s="50"/>
      <c r="E59" s="50" t="str">
        <f t="shared" si="2"/>
        <v/>
      </c>
      <c r="F59" s="50" t="str">
        <f t="shared" si="1"/>
        <v/>
      </c>
      <c r="G59" s="50"/>
      <c r="H59" s="7">
        <v>100</v>
      </c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 t="s">
        <v>47</v>
      </c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21"/>
      <c r="BB59" s="21"/>
      <c r="BC59" s="21"/>
      <c r="BD59" s="21"/>
      <c r="BE59" s="21"/>
    </row>
    <row r="60" spans="1:57" ht="15.75" customHeight="1">
      <c r="A60" s="50"/>
      <c r="B60" s="50" t="s">
        <v>44</v>
      </c>
      <c r="C60" s="39"/>
      <c r="D60" s="50"/>
      <c r="E60" s="50" t="str">
        <f t="shared" si="2"/>
        <v/>
      </c>
      <c r="F60" s="50" t="str">
        <f t="shared" si="1"/>
        <v/>
      </c>
      <c r="G60" s="50"/>
      <c r="H60" s="7">
        <v>100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 t="s">
        <v>47</v>
      </c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21"/>
      <c r="BB60" s="21"/>
      <c r="BC60" s="21"/>
      <c r="BD60" s="21"/>
      <c r="BE60" s="21"/>
    </row>
    <row r="61" spans="1:57" ht="15.75" customHeight="1">
      <c r="A61" s="50"/>
      <c r="B61" s="50" t="s">
        <v>44</v>
      </c>
      <c r="C61" s="39"/>
      <c r="D61" s="50"/>
      <c r="E61" s="50" t="str">
        <f t="shared" si="2"/>
        <v/>
      </c>
      <c r="F61" s="50" t="str">
        <f t="shared" si="1"/>
        <v/>
      </c>
      <c r="G61" s="50"/>
      <c r="H61" s="7">
        <v>100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 t="s">
        <v>47</v>
      </c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21"/>
      <c r="BB61" s="21"/>
      <c r="BC61" s="21"/>
      <c r="BD61" s="21"/>
      <c r="BE61" s="21"/>
    </row>
    <row r="62" spans="1:57" ht="15.75" customHeight="1">
      <c r="A62" s="50"/>
      <c r="B62" s="50" t="s">
        <v>44</v>
      </c>
      <c r="C62" s="39"/>
      <c r="D62" s="50"/>
      <c r="E62" s="50" t="str">
        <f t="shared" si="2"/>
        <v/>
      </c>
      <c r="F62" s="50" t="str">
        <f t="shared" si="1"/>
        <v/>
      </c>
      <c r="G62" s="50"/>
      <c r="H62" s="7">
        <v>100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 t="s">
        <v>47</v>
      </c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21"/>
      <c r="BB62" s="21"/>
      <c r="BC62" s="21"/>
      <c r="BD62" s="21"/>
      <c r="BE62" s="21"/>
    </row>
    <row r="63" spans="1:57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</row>
    <row r="64" spans="1:57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</row>
    <row r="65" spans="1:57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</row>
    <row r="66" spans="1:57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</row>
    <row r="67" spans="1:5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</row>
    <row r="68" spans="1:57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</row>
    <row r="69" spans="1:57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</row>
    <row r="70" spans="1:57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</row>
    <row r="71" spans="1:57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</row>
    <row r="72" spans="1:57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</row>
    <row r="73" spans="1:57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</row>
    <row r="74" spans="1:57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</row>
    <row r="75" spans="1:57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</row>
    <row r="76" spans="1:57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</row>
    <row r="77" spans="1:5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</row>
    <row r="78" spans="1:57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</row>
    <row r="79" spans="1:57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</row>
    <row r="80" spans="1:57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</row>
    <row r="81" spans="1:57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</row>
    <row r="82" spans="1:57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</row>
    <row r="83" spans="1:57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</row>
    <row r="84" spans="1:57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</row>
    <row r="85" spans="1:57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</row>
    <row r="86" spans="1:57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</row>
    <row r="87" spans="1:5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</row>
    <row r="88" spans="1:57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</row>
    <row r="89" spans="1:57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</row>
    <row r="90" spans="1:57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</row>
    <row r="91" spans="1:57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</row>
    <row r="92" spans="1:57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</row>
    <row r="93" spans="1:57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</row>
    <row r="94" spans="1:57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</row>
    <row r="95" spans="1:57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</row>
    <row r="96" spans="1:57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</row>
    <row r="97" spans="1:5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</row>
    <row r="98" spans="1:57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</row>
    <row r="99" spans="1:57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</row>
    <row r="100" spans="1:57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</row>
    <row r="101" spans="1:57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</row>
    <row r="102" spans="1:57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</row>
    <row r="103" spans="1:57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</row>
    <row r="104" spans="1:57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</row>
    <row r="105" spans="1:57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</row>
    <row r="106" spans="1:57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</row>
    <row r="107" spans="1:5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</row>
    <row r="108" spans="1:57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</row>
    <row r="109" spans="1:57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</row>
    <row r="110" spans="1:57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</row>
    <row r="111" spans="1:57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</row>
    <row r="112" spans="1:57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</row>
    <row r="113" spans="1:57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</row>
    <row r="114" spans="1:57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</row>
    <row r="115" spans="1:57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</row>
    <row r="116" spans="1:57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</row>
    <row r="117" spans="1:5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</row>
    <row r="118" spans="1:57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</row>
    <row r="119" spans="1:57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</row>
    <row r="120" spans="1:57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</row>
    <row r="121" spans="1:57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</row>
    <row r="122" spans="1:57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</row>
    <row r="123" spans="1:57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</row>
    <row r="124" spans="1:57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</row>
    <row r="125" spans="1:57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</row>
    <row r="126" spans="1:57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</row>
    <row r="127" spans="1:5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</row>
    <row r="128" spans="1:57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</row>
    <row r="129" spans="1:57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</row>
    <row r="130" spans="1:57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</row>
    <row r="131" spans="1:57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</row>
    <row r="132" spans="1:57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</row>
    <row r="133" spans="1:57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</row>
    <row r="134" spans="1:57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</row>
    <row r="135" spans="1:57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</row>
    <row r="136" spans="1:57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</row>
    <row r="137" spans="1:5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</row>
    <row r="138" spans="1:57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</row>
    <row r="139" spans="1:57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</row>
    <row r="140" spans="1:57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</row>
    <row r="141" spans="1:57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</row>
    <row r="142" spans="1:57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</row>
    <row r="143" spans="1:57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</row>
    <row r="144" spans="1:57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</row>
    <row r="145" spans="1:57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</row>
    <row r="146" spans="1:57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</row>
    <row r="147" spans="1:5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</row>
    <row r="148" spans="1:57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</row>
    <row r="149" spans="1:57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</row>
    <row r="150" spans="1:57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</row>
    <row r="151" spans="1:57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</row>
    <row r="152" spans="1:57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</row>
    <row r="153" spans="1:57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</row>
    <row r="154" spans="1:57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</row>
    <row r="155" spans="1:57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</row>
    <row r="156" spans="1:57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</row>
    <row r="157" spans="1: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</row>
    <row r="158" spans="1:57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</row>
    <row r="159" spans="1:57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</row>
    <row r="160" spans="1:57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</row>
    <row r="161" spans="1:57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</row>
    <row r="162" spans="1:57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</row>
    <row r="163" spans="1:57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</row>
    <row r="164" spans="1:57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</row>
    <row r="165" spans="1:57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</row>
    <row r="166" spans="1:57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</row>
    <row r="167" spans="1:5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</row>
    <row r="168" spans="1:57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</row>
    <row r="169" spans="1:57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</row>
    <row r="170" spans="1:57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</row>
    <row r="171" spans="1:57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</row>
    <row r="172" spans="1:57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</row>
    <row r="173" spans="1:57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</row>
    <row r="174" spans="1:57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</row>
    <row r="175" spans="1:57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</row>
    <row r="176" spans="1:57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</row>
    <row r="177" spans="1:5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</row>
    <row r="178" spans="1:57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</row>
    <row r="179" spans="1:57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</row>
    <row r="180" spans="1:57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</row>
    <row r="181" spans="1:57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</row>
    <row r="182" spans="1:57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</row>
    <row r="183" spans="1:57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</row>
    <row r="184" spans="1:57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</row>
    <row r="185" spans="1:57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</row>
    <row r="186" spans="1:57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</row>
    <row r="187" spans="1:5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</row>
    <row r="188" spans="1:57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</row>
    <row r="189" spans="1:57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</row>
    <row r="190" spans="1:57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</row>
    <row r="191" spans="1:57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</row>
    <row r="192" spans="1:57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</row>
    <row r="193" spans="1:57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</row>
    <row r="194" spans="1:57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</row>
    <row r="195" spans="1:57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</row>
    <row r="196" spans="1:57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</row>
    <row r="197" spans="1:5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</row>
    <row r="198" spans="1:57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</row>
    <row r="199" spans="1:57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</row>
    <row r="200" spans="1:57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</row>
    <row r="201" spans="1:57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</row>
    <row r="202" spans="1:57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</row>
    <row r="203" spans="1:57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</row>
    <row r="204" spans="1:57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</row>
    <row r="205" spans="1:57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</row>
    <row r="206" spans="1:57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</row>
    <row r="207" spans="1:5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</row>
    <row r="208" spans="1:57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</row>
    <row r="209" spans="1:57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</row>
    <row r="210" spans="1:57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</row>
    <row r="211" spans="1:57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</row>
    <row r="212" spans="1:57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</row>
    <row r="213" spans="1:57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</row>
    <row r="214" spans="1:57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</row>
    <row r="215" spans="1:57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</row>
    <row r="216" spans="1:57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</row>
    <row r="217" spans="1:5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</row>
    <row r="218" spans="1:57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</row>
    <row r="219" spans="1:57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</row>
    <row r="220" spans="1:57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</row>
    <row r="221" spans="1:57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</row>
    <row r="222" spans="1:57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</row>
    <row r="223" spans="1:57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</row>
    <row r="224" spans="1:57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</row>
    <row r="225" spans="1:57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</row>
    <row r="226" spans="1:57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</row>
    <row r="227" spans="1:5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</row>
    <row r="228" spans="1:57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</row>
    <row r="229" spans="1:57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</row>
    <row r="230" spans="1:57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</row>
    <row r="231" spans="1:57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</row>
    <row r="232" spans="1:57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</row>
    <row r="233" spans="1:57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</row>
    <row r="234" spans="1:57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</row>
    <row r="235" spans="1:57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</row>
    <row r="236" spans="1:57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</row>
    <row r="237" spans="1:5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</row>
    <row r="238" spans="1:57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</row>
    <row r="239" spans="1:57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</row>
    <row r="240" spans="1:57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</row>
    <row r="241" spans="1:57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</row>
    <row r="242" spans="1:57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</row>
    <row r="243" spans="1:57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</row>
    <row r="244" spans="1:57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</row>
    <row r="245" spans="1:57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</row>
    <row r="246" spans="1:57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</row>
    <row r="247" spans="1:5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</row>
    <row r="248" spans="1:57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</row>
    <row r="249" spans="1:57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</row>
    <row r="250" spans="1:57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</row>
    <row r="251" spans="1:57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</row>
    <row r="252" spans="1:57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</row>
    <row r="253" spans="1:57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</row>
    <row r="254" spans="1:57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</row>
    <row r="255" spans="1:57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</row>
    <row r="256" spans="1:57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</row>
    <row r="257" spans="1: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</row>
    <row r="258" spans="1:57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</row>
    <row r="259" spans="1:57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</row>
    <row r="260" spans="1:57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</row>
    <row r="261" spans="1:57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</row>
    <row r="262" spans="1:57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</row>
    <row r="263" spans="1:57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</row>
    <row r="264" spans="1:57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</row>
    <row r="265" spans="1:57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</row>
    <row r="266" spans="1:57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</row>
    <row r="267" spans="1:5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</row>
    <row r="268" spans="1:57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</row>
    <row r="269" spans="1:57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</row>
    <row r="270" spans="1:57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</row>
    <row r="271" spans="1:57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</row>
    <row r="272" spans="1:57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</row>
    <row r="273" spans="1:57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</row>
    <row r="274" spans="1:57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</row>
    <row r="275" spans="1:57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</row>
    <row r="276" spans="1:57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</row>
    <row r="277" spans="1:5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</row>
    <row r="278" spans="1:57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</row>
    <row r="279" spans="1:57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</row>
    <row r="280" spans="1:57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</row>
    <row r="281" spans="1:57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</row>
    <row r="282" spans="1:57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</row>
    <row r="283" spans="1:57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</row>
    <row r="284" spans="1:57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</row>
    <row r="285" spans="1:57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</row>
    <row r="286" spans="1:57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</row>
    <row r="287" spans="1:5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</row>
    <row r="288" spans="1:57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</row>
    <row r="289" spans="1:57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</row>
    <row r="290" spans="1:57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</row>
    <row r="291" spans="1:57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</row>
    <row r="292" spans="1:57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</row>
    <row r="293" spans="1:57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</row>
    <row r="294" spans="1:57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</row>
    <row r="295" spans="1:57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</row>
    <row r="296" spans="1:57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</row>
    <row r="297" spans="1:5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</row>
    <row r="298" spans="1:57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</row>
    <row r="299" spans="1:57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</row>
    <row r="300" spans="1:57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</row>
    <row r="301" spans="1:57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</row>
    <row r="302" spans="1:57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</row>
    <row r="303" spans="1:57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</row>
    <row r="304" spans="1:57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</row>
    <row r="305" spans="1:57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</row>
    <row r="306" spans="1:57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</row>
    <row r="307" spans="1:5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</row>
    <row r="308" spans="1:57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</row>
    <row r="309" spans="1:57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</row>
    <row r="310" spans="1:57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</row>
    <row r="311" spans="1:57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</row>
    <row r="312" spans="1:57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</row>
    <row r="313" spans="1:57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</row>
    <row r="314" spans="1:57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</row>
    <row r="315" spans="1:57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</row>
    <row r="316" spans="1:57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</row>
    <row r="317" spans="1:5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</row>
    <row r="318" spans="1:57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</row>
    <row r="319" spans="1:57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</row>
    <row r="320" spans="1:57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</row>
    <row r="321" spans="1:57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</row>
    <row r="322" spans="1:57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</row>
    <row r="323" spans="1:57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</row>
    <row r="324" spans="1:57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</row>
    <row r="325" spans="1:57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</row>
    <row r="326" spans="1:57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</row>
    <row r="327" spans="1:5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</row>
    <row r="328" spans="1:57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</row>
    <row r="329" spans="1:57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</row>
    <row r="330" spans="1:57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</row>
    <row r="331" spans="1:57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</row>
    <row r="332" spans="1:57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</row>
    <row r="333" spans="1:57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</row>
    <row r="334" spans="1:57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</row>
    <row r="335" spans="1:57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</row>
    <row r="336" spans="1:57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</row>
    <row r="337" spans="1:5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</row>
    <row r="338" spans="1:57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</row>
    <row r="339" spans="1:57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</row>
    <row r="340" spans="1:57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</row>
    <row r="341" spans="1:57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</row>
    <row r="342" spans="1:57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</row>
    <row r="343" spans="1:57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</row>
    <row r="344" spans="1:57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</row>
    <row r="345" spans="1:57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</row>
    <row r="346" spans="1:57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</row>
    <row r="347" spans="1:5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</row>
    <row r="348" spans="1:57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</row>
    <row r="349" spans="1:57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</row>
    <row r="350" spans="1:57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</row>
    <row r="351" spans="1:57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</row>
    <row r="352" spans="1:57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</row>
    <row r="353" spans="1:57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</row>
    <row r="354" spans="1:57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</row>
    <row r="355" spans="1:57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</row>
    <row r="356" spans="1:57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</row>
    <row r="357" spans="1: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</row>
    <row r="358" spans="1:57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</row>
    <row r="359" spans="1:57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</row>
    <row r="360" spans="1:57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</row>
    <row r="361" spans="1:57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</row>
    <row r="362" spans="1:57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</row>
    <row r="363" spans="1:57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</row>
    <row r="364" spans="1:57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</row>
    <row r="365" spans="1:57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</row>
    <row r="366" spans="1:57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</row>
    <row r="367" spans="1:5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</row>
    <row r="368" spans="1:57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</row>
    <row r="369" spans="1:57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</row>
    <row r="370" spans="1:57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</row>
    <row r="371" spans="1:57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</row>
    <row r="372" spans="1:57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</row>
    <row r="373" spans="1:57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</row>
    <row r="374" spans="1:57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</row>
    <row r="375" spans="1:57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</row>
    <row r="376" spans="1:57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</row>
    <row r="377" spans="1:5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</row>
    <row r="378" spans="1:57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</row>
    <row r="379" spans="1:57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</row>
    <row r="380" spans="1:57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</row>
    <row r="381" spans="1:57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</row>
    <row r="382" spans="1:57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</row>
    <row r="383" spans="1:57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</row>
    <row r="384" spans="1:57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</row>
    <row r="385" spans="1:57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</row>
    <row r="386" spans="1:57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</row>
    <row r="387" spans="1:5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</row>
    <row r="388" spans="1:57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</row>
    <row r="389" spans="1:57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</row>
    <row r="390" spans="1:57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</row>
    <row r="391" spans="1:57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</row>
    <row r="392" spans="1:57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</row>
    <row r="393" spans="1:57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</row>
    <row r="394" spans="1:57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</row>
    <row r="395" spans="1:57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</row>
    <row r="396" spans="1:57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</row>
    <row r="397" spans="1:5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</row>
    <row r="398" spans="1:57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</row>
    <row r="399" spans="1:57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</row>
    <row r="400" spans="1:57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</row>
    <row r="401" spans="1:57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</row>
    <row r="402" spans="1:57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</row>
    <row r="403" spans="1:57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</row>
    <row r="404" spans="1:57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</row>
    <row r="405" spans="1:57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</row>
    <row r="406" spans="1:57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</row>
    <row r="407" spans="1:5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</row>
    <row r="408" spans="1:57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</row>
    <row r="409" spans="1:57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</row>
    <row r="410" spans="1:57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</row>
    <row r="411" spans="1:57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</row>
    <row r="412" spans="1:57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</row>
    <row r="413" spans="1:57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</row>
    <row r="414" spans="1:57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</row>
    <row r="415" spans="1:57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</row>
    <row r="416" spans="1:57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</row>
    <row r="417" spans="1:5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</row>
    <row r="418" spans="1:57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</row>
    <row r="419" spans="1:57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</row>
    <row r="420" spans="1:57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</row>
    <row r="421" spans="1:57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</row>
    <row r="422" spans="1:57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</row>
    <row r="423" spans="1:57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</row>
    <row r="424" spans="1:57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</row>
    <row r="425" spans="1:57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</row>
    <row r="426" spans="1:57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</row>
    <row r="427" spans="1:5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</row>
    <row r="428" spans="1:57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</row>
    <row r="429" spans="1:57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</row>
    <row r="430" spans="1:57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</row>
    <row r="431" spans="1:57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</row>
    <row r="432" spans="1:57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</row>
    <row r="433" spans="1:57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</row>
    <row r="434" spans="1:57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</row>
    <row r="435" spans="1:57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</row>
    <row r="436" spans="1:57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</row>
    <row r="437" spans="1:5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</row>
    <row r="438" spans="1:57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</row>
    <row r="439" spans="1:57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</row>
    <row r="440" spans="1:57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</row>
    <row r="441" spans="1:57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</row>
    <row r="442" spans="1:57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</row>
    <row r="443" spans="1:57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</row>
    <row r="444" spans="1:57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</row>
    <row r="445" spans="1:57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</row>
    <row r="446" spans="1:57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</row>
    <row r="447" spans="1:5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</row>
    <row r="448" spans="1:57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</row>
    <row r="449" spans="1:57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</row>
    <row r="450" spans="1:57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</row>
    <row r="451" spans="1:57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</row>
    <row r="452" spans="1:57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</row>
    <row r="453" spans="1:57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</row>
    <row r="454" spans="1:57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</row>
    <row r="455" spans="1:57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</row>
    <row r="456" spans="1:57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</row>
    <row r="457" spans="1: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</row>
    <row r="458" spans="1:57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</row>
    <row r="459" spans="1:57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</row>
    <row r="460" spans="1:57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</row>
    <row r="461" spans="1:57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</row>
    <row r="462" spans="1:57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</row>
    <row r="463" spans="1:57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</row>
    <row r="464" spans="1:57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</row>
    <row r="465" spans="1:57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</row>
    <row r="466" spans="1:57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</row>
    <row r="467" spans="1:5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</row>
    <row r="468" spans="1:57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</row>
    <row r="469" spans="1:57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</row>
    <row r="470" spans="1:57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</row>
    <row r="471" spans="1:57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</row>
    <row r="472" spans="1:57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</row>
    <row r="473" spans="1:57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</row>
    <row r="474" spans="1:57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</row>
    <row r="475" spans="1:57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</row>
    <row r="476" spans="1:57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</row>
    <row r="477" spans="1:5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</row>
    <row r="478" spans="1:57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</row>
    <row r="479" spans="1:57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</row>
    <row r="480" spans="1:57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</row>
    <row r="481" spans="1:57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</row>
    <row r="482" spans="1:57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</row>
    <row r="483" spans="1:57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</row>
    <row r="484" spans="1:57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</row>
    <row r="485" spans="1:57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</row>
    <row r="486" spans="1:57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</row>
    <row r="487" spans="1:5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</row>
    <row r="488" spans="1:57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</row>
    <row r="489" spans="1:57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</row>
    <row r="490" spans="1:57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</row>
    <row r="491" spans="1:57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</row>
    <row r="492" spans="1:57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</row>
    <row r="493" spans="1:57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</row>
    <row r="494" spans="1:57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</row>
    <row r="495" spans="1:57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</row>
    <row r="496" spans="1:57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</row>
    <row r="497" spans="1:5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</row>
    <row r="498" spans="1:57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</row>
    <row r="499" spans="1:57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</row>
    <row r="500" spans="1:57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</row>
    <row r="501" spans="1:57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</row>
    <row r="502" spans="1:57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</row>
    <row r="503" spans="1:57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</row>
    <row r="504" spans="1:57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</row>
    <row r="505" spans="1:57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</row>
    <row r="506" spans="1:57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</row>
    <row r="507" spans="1:5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</row>
    <row r="508" spans="1:57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</row>
    <row r="509" spans="1:57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</row>
    <row r="510" spans="1:57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</row>
    <row r="511" spans="1:57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</row>
    <row r="512" spans="1:57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</row>
    <row r="513" spans="1:57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</row>
    <row r="514" spans="1:57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</row>
    <row r="515" spans="1:57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</row>
    <row r="516" spans="1:57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</row>
    <row r="517" spans="1:5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</row>
    <row r="518" spans="1:57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</row>
    <row r="519" spans="1:57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</row>
    <row r="520" spans="1:57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</row>
    <row r="521" spans="1:57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</row>
    <row r="522" spans="1:57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</row>
    <row r="523" spans="1:57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</row>
    <row r="524" spans="1:57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</row>
    <row r="525" spans="1:57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</row>
    <row r="526" spans="1:57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</row>
    <row r="527" spans="1:5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</row>
    <row r="528" spans="1:57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</row>
    <row r="529" spans="1:57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</row>
    <row r="530" spans="1:57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</row>
    <row r="531" spans="1:57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</row>
    <row r="532" spans="1:57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</row>
    <row r="533" spans="1:57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</row>
    <row r="534" spans="1:57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</row>
    <row r="535" spans="1:57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</row>
    <row r="536" spans="1:57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</row>
    <row r="537" spans="1:5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</row>
    <row r="538" spans="1:57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</row>
    <row r="539" spans="1:57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</row>
    <row r="540" spans="1:57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</row>
    <row r="541" spans="1:57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</row>
    <row r="542" spans="1:57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</row>
    <row r="543" spans="1:57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</row>
    <row r="544" spans="1:57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</row>
    <row r="545" spans="1:57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</row>
    <row r="546" spans="1:57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</row>
    <row r="547" spans="1:5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</row>
    <row r="548" spans="1:57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</row>
    <row r="549" spans="1:57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</row>
    <row r="550" spans="1:57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</row>
    <row r="551" spans="1:57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</row>
    <row r="552" spans="1:57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</row>
    <row r="553" spans="1:57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</row>
    <row r="554" spans="1:57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</row>
    <row r="555" spans="1:57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</row>
    <row r="556" spans="1:57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</row>
    <row r="557" spans="1: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</row>
    <row r="558" spans="1:57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</row>
    <row r="559" spans="1:57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</row>
    <row r="560" spans="1:57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</row>
    <row r="561" spans="1:57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</row>
    <row r="562" spans="1:57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</row>
    <row r="563" spans="1:57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</row>
    <row r="564" spans="1:57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</row>
    <row r="565" spans="1:57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</row>
    <row r="566" spans="1:57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</row>
    <row r="567" spans="1:5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</row>
    <row r="568" spans="1:57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</row>
    <row r="569" spans="1:57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</row>
    <row r="570" spans="1:57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</row>
    <row r="571" spans="1:57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</row>
    <row r="572" spans="1:57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</row>
    <row r="573" spans="1:57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</row>
    <row r="574" spans="1:57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</row>
    <row r="575" spans="1:57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</row>
    <row r="576" spans="1:57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</row>
    <row r="577" spans="1:5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</row>
    <row r="578" spans="1:57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</row>
    <row r="579" spans="1:57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</row>
    <row r="580" spans="1:57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</row>
    <row r="581" spans="1:57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</row>
    <row r="582" spans="1:57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</row>
    <row r="583" spans="1:57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</row>
    <row r="584" spans="1:57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</row>
    <row r="585" spans="1:57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</row>
    <row r="586" spans="1:57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</row>
    <row r="587" spans="1:5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</row>
    <row r="588" spans="1:57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</row>
    <row r="589" spans="1:57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</row>
    <row r="590" spans="1:57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</row>
    <row r="591" spans="1:57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</row>
    <row r="592" spans="1:57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</row>
    <row r="593" spans="1:57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</row>
    <row r="594" spans="1:57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</row>
    <row r="595" spans="1:57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</row>
    <row r="596" spans="1:57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</row>
    <row r="597" spans="1:5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</row>
    <row r="598" spans="1:57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</row>
    <row r="599" spans="1:57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</row>
    <row r="600" spans="1:57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</row>
    <row r="601" spans="1:57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</row>
    <row r="602" spans="1:57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</row>
    <row r="603" spans="1:57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</row>
    <row r="604" spans="1:57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</row>
    <row r="605" spans="1:57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</row>
    <row r="606" spans="1:57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</row>
    <row r="607" spans="1:5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</row>
    <row r="608" spans="1:57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</row>
    <row r="609" spans="1:57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</row>
    <row r="610" spans="1:57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</row>
    <row r="611" spans="1:57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</row>
    <row r="612" spans="1:57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</row>
    <row r="613" spans="1:57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</row>
    <row r="614" spans="1:57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</row>
    <row r="615" spans="1:57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</row>
    <row r="616" spans="1:57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</row>
    <row r="617" spans="1:5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</row>
    <row r="618" spans="1:57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</row>
    <row r="619" spans="1:57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</row>
    <row r="620" spans="1:57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</row>
    <row r="621" spans="1:57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</row>
    <row r="622" spans="1:57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</row>
    <row r="623" spans="1:57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</row>
    <row r="624" spans="1:57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</row>
    <row r="625" spans="1:57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</row>
    <row r="626" spans="1:57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</row>
    <row r="627" spans="1:5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</row>
    <row r="628" spans="1:57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</row>
    <row r="629" spans="1:57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</row>
    <row r="630" spans="1:57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</row>
    <row r="631" spans="1:57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</row>
    <row r="632" spans="1:57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</row>
    <row r="633" spans="1:57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</row>
    <row r="634" spans="1:57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</row>
    <row r="635" spans="1:57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</row>
    <row r="636" spans="1:57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</row>
    <row r="637" spans="1:5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</row>
    <row r="638" spans="1:57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</row>
    <row r="639" spans="1:57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</row>
    <row r="640" spans="1:57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</row>
    <row r="641" spans="1:57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</row>
    <row r="642" spans="1:57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</row>
    <row r="643" spans="1:57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</row>
    <row r="644" spans="1:57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</row>
    <row r="645" spans="1:57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</row>
    <row r="646" spans="1:57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</row>
    <row r="647" spans="1:5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</row>
    <row r="648" spans="1:57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</row>
    <row r="649" spans="1:57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</row>
    <row r="650" spans="1:57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</row>
    <row r="651" spans="1:57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</row>
    <row r="652" spans="1:57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</row>
    <row r="653" spans="1:57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</row>
    <row r="654" spans="1:57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</row>
    <row r="655" spans="1:57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</row>
    <row r="656" spans="1:57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</row>
    <row r="657" spans="1: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</row>
    <row r="658" spans="1:57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</row>
    <row r="659" spans="1:57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</row>
    <row r="660" spans="1:57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</row>
    <row r="661" spans="1:57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</row>
    <row r="662" spans="1:57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</row>
    <row r="663" spans="1:57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</row>
    <row r="664" spans="1:57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</row>
    <row r="665" spans="1:57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</row>
    <row r="666" spans="1:57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</row>
    <row r="667" spans="1:5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</row>
    <row r="668" spans="1:57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</row>
    <row r="669" spans="1:57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</row>
    <row r="670" spans="1:57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</row>
    <row r="671" spans="1:57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</row>
    <row r="672" spans="1:57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</row>
    <row r="673" spans="1:57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</row>
    <row r="674" spans="1:57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</row>
    <row r="675" spans="1:57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</row>
    <row r="676" spans="1:57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</row>
    <row r="677" spans="1:5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</row>
    <row r="678" spans="1:57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</row>
    <row r="679" spans="1:57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</row>
    <row r="680" spans="1:57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</row>
    <row r="681" spans="1:57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</row>
    <row r="682" spans="1:57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</row>
    <row r="683" spans="1:57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</row>
    <row r="684" spans="1:57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</row>
    <row r="685" spans="1:57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</row>
    <row r="686" spans="1:57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</row>
    <row r="687" spans="1:5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</row>
    <row r="688" spans="1:57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</row>
    <row r="689" spans="1:57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</row>
    <row r="690" spans="1:57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</row>
    <row r="691" spans="1:57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</row>
    <row r="692" spans="1:57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</row>
    <row r="693" spans="1:57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</row>
    <row r="694" spans="1:57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</row>
    <row r="695" spans="1:57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</row>
    <row r="696" spans="1:57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</row>
    <row r="697" spans="1:5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</row>
    <row r="698" spans="1:57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</row>
    <row r="699" spans="1:57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</row>
    <row r="700" spans="1:57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</row>
    <row r="701" spans="1:57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</row>
    <row r="702" spans="1:57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</row>
    <row r="703" spans="1:57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</row>
    <row r="704" spans="1:57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</row>
    <row r="705" spans="1:57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</row>
    <row r="706" spans="1:57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</row>
    <row r="707" spans="1:5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</row>
    <row r="708" spans="1:57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</row>
    <row r="709" spans="1:57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</row>
    <row r="710" spans="1:57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</row>
    <row r="711" spans="1:57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</row>
    <row r="712" spans="1:57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</row>
    <row r="713" spans="1:57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</row>
    <row r="714" spans="1:57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</row>
    <row r="715" spans="1:57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</row>
    <row r="716" spans="1:57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</row>
    <row r="717" spans="1:5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</row>
    <row r="718" spans="1:57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</row>
    <row r="719" spans="1:57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</row>
    <row r="720" spans="1:57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</row>
    <row r="721" spans="1:57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</row>
    <row r="722" spans="1:57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</row>
    <row r="723" spans="1:57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</row>
    <row r="724" spans="1:57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</row>
    <row r="725" spans="1:57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</row>
    <row r="726" spans="1:57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</row>
    <row r="727" spans="1:5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</row>
    <row r="728" spans="1:57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</row>
    <row r="729" spans="1:57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</row>
    <row r="730" spans="1:57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</row>
    <row r="731" spans="1:57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</row>
    <row r="732" spans="1:57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</row>
    <row r="733" spans="1:57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</row>
    <row r="734" spans="1:57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</row>
    <row r="735" spans="1:57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</row>
    <row r="736" spans="1:57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</row>
    <row r="737" spans="1:5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</row>
    <row r="738" spans="1:57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</row>
    <row r="739" spans="1:57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</row>
    <row r="740" spans="1:57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</row>
    <row r="741" spans="1:57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</row>
    <row r="742" spans="1:57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</row>
    <row r="743" spans="1:57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</row>
    <row r="744" spans="1:57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</row>
    <row r="745" spans="1:57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</row>
    <row r="746" spans="1:57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</row>
    <row r="747" spans="1:5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</row>
    <row r="748" spans="1:57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</row>
    <row r="749" spans="1:57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</row>
    <row r="750" spans="1:57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</row>
    <row r="751" spans="1:57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</row>
    <row r="752" spans="1:57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</row>
    <row r="753" spans="1:57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</row>
    <row r="754" spans="1:57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</row>
    <row r="755" spans="1:57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</row>
    <row r="756" spans="1:57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</row>
    <row r="757" spans="1: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</row>
    <row r="758" spans="1:57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</row>
    <row r="759" spans="1:57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</row>
    <row r="760" spans="1:57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</row>
    <row r="761" spans="1:57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</row>
    <row r="762" spans="1:57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</row>
    <row r="763" spans="1:57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</row>
    <row r="764" spans="1:57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</row>
    <row r="765" spans="1:57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</row>
    <row r="766" spans="1:57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</row>
    <row r="767" spans="1:5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</row>
    <row r="768" spans="1:57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</row>
    <row r="769" spans="1:57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</row>
    <row r="770" spans="1:57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</row>
    <row r="771" spans="1:57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</row>
    <row r="772" spans="1:57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</row>
    <row r="773" spans="1:57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</row>
    <row r="774" spans="1:57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</row>
    <row r="775" spans="1:57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</row>
    <row r="776" spans="1:57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</row>
    <row r="777" spans="1:5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</row>
    <row r="778" spans="1:57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</row>
    <row r="779" spans="1:57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</row>
    <row r="780" spans="1:57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</row>
    <row r="781" spans="1:57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</row>
    <row r="782" spans="1:57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</row>
    <row r="783" spans="1:57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</row>
    <row r="784" spans="1:57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</row>
    <row r="785" spans="1:57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</row>
    <row r="786" spans="1:57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</row>
    <row r="787" spans="1:5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</row>
    <row r="788" spans="1:57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</row>
    <row r="789" spans="1:57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</row>
    <row r="790" spans="1:57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</row>
    <row r="791" spans="1:57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</row>
    <row r="792" spans="1:57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</row>
    <row r="793" spans="1:57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</row>
    <row r="794" spans="1:57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</row>
    <row r="795" spans="1:57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</row>
    <row r="796" spans="1:57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</row>
    <row r="797" spans="1:5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</row>
    <row r="798" spans="1:57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</row>
    <row r="799" spans="1:57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</row>
    <row r="800" spans="1:57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</row>
    <row r="801" spans="1:57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</row>
    <row r="802" spans="1:57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</row>
    <row r="803" spans="1:57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</row>
    <row r="804" spans="1:57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</row>
    <row r="805" spans="1:57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</row>
    <row r="806" spans="1:57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</row>
    <row r="807" spans="1:5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</row>
    <row r="808" spans="1:57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</row>
    <row r="809" spans="1:57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</row>
    <row r="810" spans="1:57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</row>
    <row r="811" spans="1:57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</row>
    <row r="812" spans="1:57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</row>
    <row r="813" spans="1:57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</row>
    <row r="814" spans="1:57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</row>
    <row r="815" spans="1:57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</row>
    <row r="816" spans="1:57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</row>
    <row r="817" spans="1:5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</row>
    <row r="818" spans="1:57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</row>
    <row r="819" spans="1:57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</row>
    <row r="820" spans="1:57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</row>
    <row r="821" spans="1:57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</row>
    <row r="822" spans="1:57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</row>
    <row r="823" spans="1:57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</row>
    <row r="824" spans="1:57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</row>
    <row r="825" spans="1:57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</row>
    <row r="826" spans="1:57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</row>
    <row r="827" spans="1:5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</row>
    <row r="828" spans="1:57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</row>
    <row r="829" spans="1:57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</row>
    <row r="830" spans="1:57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</row>
    <row r="831" spans="1:57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</row>
    <row r="832" spans="1:57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</row>
    <row r="833" spans="1:57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</row>
    <row r="834" spans="1:57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</row>
    <row r="835" spans="1:57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</row>
    <row r="836" spans="1:57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</row>
    <row r="837" spans="1:5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</row>
    <row r="838" spans="1:57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</row>
    <row r="839" spans="1:57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</row>
    <row r="840" spans="1:57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</row>
    <row r="841" spans="1:57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</row>
    <row r="842" spans="1:57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</row>
    <row r="843" spans="1:57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</row>
    <row r="844" spans="1:57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</row>
    <row r="845" spans="1:57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</row>
    <row r="846" spans="1:57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</row>
    <row r="847" spans="1:5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</row>
    <row r="848" spans="1:57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</row>
    <row r="849" spans="1:57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</row>
    <row r="850" spans="1:57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</row>
    <row r="851" spans="1:57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</row>
    <row r="852" spans="1:57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</row>
    <row r="853" spans="1:57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</row>
    <row r="854" spans="1:57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</row>
    <row r="855" spans="1:57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</row>
    <row r="856" spans="1:57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</row>
    <row r="857" spans="1: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</row>
    <row r="858" spans="1:57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</row>
    <row r="859" spans="1:57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</row>
    <row r="860" spans="1:57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</row>
    <row r="861" spans="1:57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</row>
    <row r="862" spans="1:57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</row>
    <row r="863" spans="1:57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</row>
    <row r="864" spans="1:57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</row>
    <row r="865" spans="1:57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</row>
    <row r="866" spans="1:57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</row>
    <row r="867" spans="1:5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</row>
    <row r="868" spans="1:57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</row>
    <row r="869" spans="1:57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</row>
    <row r="870" spans="1:57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</row>
    <row r="871" spans="1:57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</row>
    <row r="872" spans="1:57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</row>
    <row r="873" spans="1:57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</row>
    <row r="874" spans="1:57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</row>
    <row r="875" spans="1:57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</row>
    <row r="876" spans="1:57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</row>
    <row r="877" spans="1:5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</row>
    <row r="878" spans="1:57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</row>
    <row r="879" spans="1:57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</row>
    <row r="880" spans="1:57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</row>
    <row r="881" spans="1:57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</row>
    <row r="882" spans="1:57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</row>
    <row r="883" spans="1:57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</row>
    <row r="884" spans="1:57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</row>
    <row r="885" spans="1:57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</row>
    <row r="886" spans="1:57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</row>
    <row r="887" spans="1:5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</row>
    <row r="888" spans="1:57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</row>
    <row r="889" spans="1:57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</row>
    <row r="890" spans="1:57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</row>
    <row r="891" spans="1:57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</row>
    <row r="892" spans="1:57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</row>
    <row r="893" spans="1:57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</row>
    <row r="894" spans="1:57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</row>
    <row r="895" spans="1:57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</row>
    <row r="896" spans="1:57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</row>
    <row r="897" spans="1:5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</row>
    <row r="898" spans="1:57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</row>
    <row r="899" spans="1:57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</row>
    <row r="900" spans="1:57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</row>
    <row r="901" spans="1:57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</row>
    <row r="902" spans="1:57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</row>
    <row r="903" spans="1:57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</row>
    <row r="904" spans="1:57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</row>
    <row r="905" spans="1:57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</row>
    <row r="906" spans="1:57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</row>
    <row r="907" spans="1:5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</row>
    <row r="908" spans="1:57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</row>
    <row r="909" spans="1:57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</row>
    <row r="910" spans="1:57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</row>
    <row r="911" spans="1:57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</row>
    <row r="912" spans="1:57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</row>
    <row r="913" spans="1:57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</row>
    <row r="914" spans="1:57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</row>
    <row r="915" spans="1:57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</row>
    <row r="916" spans="1:57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</row>
    <row r="917" spans="1:5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</row>
    <row r="918" spans="1:57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</row>
    <row r="919" spans="1:57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</row>
    <row r="920" spans="1:57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</row>
    <row r="921" spans="1:57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</row>
    <row r="922" spans="1:57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</row>
    <row r="923" spans="1:57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</row>
    <row r="924" spans="1:57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</row>
    <row r="925" spans="1:57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</row>
    <row r="926" spans="1:57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</row>
    <row r="927" spans="1:5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</row>
    <row r="928" spans="1:57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</row>
    <row r="929" spans="1:57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</row>
    <row r="930" spans="1:57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</row>
    <row r="931" spans="1:57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</row>
    <row r="932" spans="1:57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</row>
    <row r="933" spans="1:57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</row>
    <row r="934" spans="1:57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</row>
    <row r="935" spans="1:57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</row>
    <row r="936" spans="1:57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</row>
    <row r="937" spans="1:5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</row>
    <row r="938" spans="1:57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</row>
    <row r="939" spans="1:57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</row>
    <row r="940" spans="1:57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</row>
    <row r="941" spans="1:57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</row>
    <row r="942" spans="1:57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</row>
    <row r="943" spans="1:57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</row>
    <row r="944" spans="1:57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</row>
    <row r="945" spans="1:57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</row>
    <row r="946" spans="1:57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</row>
    <row r="947" spans="1:5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</row>
    <row r="948" spans="1:57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</row>
    <row r="949" spans="1:57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</row>
    <row r="950" spans="1:57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</row>
    <row r="951" spans="1:57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</row>
    <row r="952" spans="1:57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</row>
    <row r="953" spans="1:57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</row>
    <row r="954" spans="1:57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</row>
    <row r="955" spans="1:57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</row>
    <row r="956" spans="1:57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</row>
    <row r="957" spans="1: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</row>
    <row r="958" spans="1:57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</row>
    <row r="959" spans="1:57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</row>
    <row r="960" spans="1:57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</row>
    <row r="961" spans="1:57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</row>
    <row r="962" spans="1:57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</row>
    <row r="963" spans="1:57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</row>
    <row r="964" spans="1:57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</row>
    <row r="965" spans="1:57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</row>
    <row r="966" spans="1:57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</row>
    <row r="967" spans="1:5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</row>
    <row r="968" spans="1:57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</row>
    <row r="969" spans="1:57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</row>
    <row r="970" spans="1:57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</row>
    <row r="971" spans="1:57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</row>
    <row r="972" spans="1:57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</row>
    <row r="973" spans="1:57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</row>
    <row r="974" spans="1:57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</row>
    <row r="975" spans="1:57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</row>
    <row r="976" spans="1:57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</row>
    <row r="977" spans="1:5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</row>
    <row r="978" spans="1:57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</row>
    <row r="979" spans="1:57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</row>
    <row r="980" spans="1:57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</row>
    <row r="981" spans="1:57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</row>
    <row r="982" spans="1:57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</row>
    <row r="983" spans="1:57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</row>
    <row r="984" spans="1:57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</row>
    <row r="985" spans="1:57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</row>
    <row r="986" spans="1:57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</row>
    <row r="987" spans="1:5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</row>
    <row r="988" spans="1:57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</row>
    <row r="989" spans="1:57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</row>
    <row r="990" spans="1:57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</row>
    <row r="991" spans="1:57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</row>
    <row r="992" spans="1:57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</row>
    <row r="993" spans="1:57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</row>
    <row r="994" spans="1:57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</row>
    <row r="995" spans="1:57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</row>
    <row r="996" spans="1:57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</row>
    <row r="997" spans="1:5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</row>
    <row r="998" spans="1:57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</row>
  </sheetData>
  <hyperlinks>
    <hyperlink ref="C2" r:id="rId1" xr:uid="{00000000-0004-0000-0200-000000000000}"/>
    <hyperlink ref="C3" r:id="rId2" xr:uid="{00000000-0004-0000-0200-000001000000}"/>
    <hyperlink ref="C4" r:id="rId3" xr:uid="{00000000-0004-0000-0200-000002000000}"/>
    <hyperlink ref="C5" r:id="rId4" xr:uid="{00000000-0004-0000-0200-000003000000}"/>
    <hyperlink ref="C6" r:id="rId5" xr:uid="{00000000-0004-0000-0200-000004000000}"/>
    <hyperlink ref="C7" r:id="rId6" xr:uid="{00000000-0004-0000-0200-000005000000}"/>
  </hyperlinks>
  <pageMargins left="0.7" right="0.7" top="0.75" bottom="0.75" header="0.3" footer="0.3"/>
  <tableParts count="1"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M902"/>
  <sheetViews>
    <sheetView topLeftCell="G1"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7.5" hidden="1" customWidth="1"/>
    <col min="2" max="6" width="3.83203125" hidden="1" customWidth="1"/>
    <col min="7" max="7" width="3.83203125" customWidth="1"/>
    <col min="8" max="8" width="5.6640625" customWidth="1"/>
    <col min="9" max="10" width="10.33203125" customWidth="1"/>
    <col min="11" max="11" width="20" customWidth="1"/>
    <col min="12" max="12" width="9.33203125" customWidth="1"/>
    <col min="13" max="13" width="10.83203125" customWidth="1"/>
    <col min="14" max="14" width="8" customWidth="1"/>
    <col min="15" max="17" width="8.5" customWidth="1"/>
    <col min="18" max="19" width="4.5" customWidth="1"/>
    <col min="20" max="20" width="13.83203125" customWidth="1"/>
    <col min="21" max="21" width="10.5" customWidth="1"/>
    <col min="22" max="22" width="7.33203125" customWidth="1"/>
    <col min="23" max="23" width="9.33203125" customWidth="1"/>
    <col min="24" max="24" width="8.1640625" customWidth="1"/>
    <col min="25" max="25" width="7.6640625" customWidth="1"/>
    <col min="26" max="26" width="8" customWidth="1"/>
    <col min="27" max="27" width="7.5" customWidth="1"/>
    <col min="28" max="28" width="9.1640625" customWidth="1"/>
    <col min="29" max="30" width="4.6640625" customWidth="1"/>
    <col min="31" max="33" width="5.83203125" customWidth="1"/>
    <col min="34" max="34" width="8.5" customWidth="1"/>
    <col min="35" max="38" width="14.5" customWidth="1"/>
    <col min="39" max="39" width="15.5" customWidth="1"/>
  </cols>
  <sheetData>
    <row r="1" spans="1:65" ht="15.75" customHeight="1">
      <c r="A1" s="14" t="s">
        <v>51</v>
      </c>
      <c r="B1" s="14"/>
      <c r="C1" s="14" t="s">
        <v>52</v>
      </c>
      <c r="D1" s="14" t="s">
        <v>53</v>
      </c>
      <c r="E1" s="14" t="s">
        <v>54</v>
      </c>
      <c r="F1" s="14"/>
      <c r="G1" s="2" t="s">
        <v>56</v>
      </c>
      <c r="H1" s="16" t="s">
        <v>6</v>
      </c>
      <c r="I1" s="17" t="s">
        <v>7</v>
      </c>
      <c r="J1" s="17" t="s">
        <v>14</v>
      </c>
      <c r="K1" s="16" t="s">
        <v>15</v>
      </c>
      <c r="L1" s="16" t="s">
        <v>16</v>
      </c>
      <c r="M1" s="16" t="s">
        <v>17</v>
      </c>
      <c r="N1" s="16" t="s">
        <v>18</v>
      </c>
      <c r="O1" s="16" t="s">
        <v>38</v>
      </c>
      <c r="P1" s="16" t="s">
        <v>19</v>
      </c>
      <c r="Q1" s="16" t="s">
        <v>20</v>
      </c>
      <c r="R1" s="16" t="s">
        <v>21</v>
      </c>
      <c r="S1" s="16" t="s">
        <v>22</v>
      </c>
      <c r="T1" s="16" t="s">
        <v>23</v>
      </c>
      <c r="U1" s="16" t="s">
        <v>26</v>
      </c>
      <c r="V1" s="16" t="s">
        <v>24</v>
      </c>
      <c r="W1" s="18" t="s">
        <v>25</v>
      </c>
      <c r="X1" s="16" t="s">
        <v>27</v>
      </c>
      <c r="Y1" s="16" t="s">
        <v>28</v>
      </c>
      <c r="Z1" s="16" t="s">
        <v>29</v>
      </c>
      <c r="AA1" s="16" t="s">
        <v>30</v>
      </c>
      <c r="AB1" s="16" t="s">
        <v>31</v>
      </c>
      <c r="AC1" s="16" t="s">
        <v>32</v>
      </c>
      <c r="AD1" s="16" t="s">
        <v>33</v>
      </c>
      <c r="AE1" s="16" t="s">
        <v>34</v>
      </c>
      <c r="AF1" s="16" t="s">
        <v>35</v>
      </c>
      <c r="AG1" s="16" t="s">
        <v>36</v>
      </c>
      <c r="AH1" s="16" t="s">
        <v>37</v>
      </c>
      <c r="AI1" s="20" t="s">
        <v>39</v>
      </c>
      <c r="AJ1" s="16" t="s">
        <v>40</v>
      </c>
      <c r="AK1" s="16" t="s">
        <v>41</v>
      </c>
      <c r="AL1" s="16" t="s">
        <v>42</v>
      </c>
      <c r="AM1" s="16" t="s">
        <v>43</v>
      </c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2"/>
      <c r="BG1" s="21"/>
      <c r="BH1" s="21"/>
      <c r="BI1" s="21"/>
      <c r="BJ1" s="21"/>
      <c r="BK1" s="21"/>
      <c r="BL1" s="21"/>
      <c r="BM1" s="21"/>
    </row>
    <row r="2" spans="1:65" ht="15.75" customHeight="1">
      <c r="A2" s="22">
        <f t="shared" ref="A2:A316" si="0">N2-AI2</f>
        <v>-25</v>
      </c>
      <c r="B2" s="22" t="str">
        <f>D2&amp;". $"&amp;O2&amp;"M "&amp;N2&amp;" TPE "&amp;E2&amp;" ["&amp;U2&amp;"] "&amp;K2&amp;" - "&amp;L2&amp;" ("&amp;I2&amp;")"</f>
        <v>291. $10M 1768 TPE :rangers: [S1] Kevin Biggio - CF (kckolbe)</v>
      </c>
      <c r="C2" s="22" t="str">
        <f t="shared" ref="C2:C279" si="1">D2&amp;". "&amp;N2&amp;" TPE "&amp;E2&amp;" ["&amp;U2&amp;"] "&amp;K2&amp;" - "&amp;L2&amp;" ("&amp;I2&amp;")"</f>
        <v>291. 1768 TPE :rangers: [S1] Kevin Biggio - CF (kckolbe)</v>
      </c>
      <c r="D2" s="23">
        <f t="shared" ref="D2:D316" si="2">RANK(A2,$A$2:$A$316,FALSE)</f>
        <v>291</v>
      </c>
      <c r="E2" s="22" t="str">
        <f>VLOOKUP(H2,Analysis!$A$24:$B$33,2,FALSE)</f>
        <v>:rangers:</v>
      </c>
      <c r="F2" s="22"/>
      <c r="G2" s="26" t="s">
        <v>63</v>
      </c>
      <c r="H2" s="27" t="s">
        <v>9</v>
      </c>
      <c r="I2" s="29" t="s">
        <v>64</v>
      </c>
      <c r="J2" s="29" t="s">
        <v>65</v>
      </c>
      <c r="K2" s="27" t="s">
        <v>66</v>
      </c>
      <c r="L2" s="27" t="s">
        <v>67</v>
      </c>
      <c r="M2" s="27" t="s">
        <v>68</v>
      </c>
      <c r="N2" s="27">
        <v>1768</v>
      </c>
      <c r="O2" s="30">
        <v>10</v>
      </c>
      <c r="P2" s="30">
        <v>10</v>
      </c>
      <c r="Q2" s="30"/>
      <c r="R2" s="30"/>
      <c r="S2" s="30"/>
      <c r="T2" s="31" t="s">
        <v>69</v>
      </c>
      <c r="U2" s="27" t="s">
        <v>70</v>
      </c>
      <c r="V2" s="27" t="s">
        <v>70</v>
      </c>
      <c r="W2" s="27">
        <v>10</v>
      </c>
      <c r="X2" s="27"/>
      <c r="Y2" s="27"/>
      <c r="Z2" s="27"/>
      <c r="AA2" s="27"/>
      <c r="AB2" s="27">
        <v>3.5</v>
      </c>
      <c r="AC2" s="27">
        <v>6</v>
      </c>
      <c r="AD2" s="27">
        <v>6</v>
      </c>
      <c r="AE2" s="27">
        <v>10</v>
      </c>
      <c r="AF2" s="27">
        <v>8</v>
      </c>
      <c r="AG2" s="27">
        <v>8.25</v>
      </c>
      <c r="AH2" s="30">
        <v>5</v>
      </c>
      <c r="AI2" s="27">
        <v>1793</v>
      </c>
      <c r="AJ2" s="27">
        <v>625</v>
      </c>
      <c r="AK2" s="27">
        <v>602</v>
      </c>
      <c r="AL2" s="27">
        <v>593</v>
      </c>
      <c r="AM2" s="27">
        <v>569</v>
      </c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</row>
    <row r="3" spans="1:65" ht="15.75" customHeight="1">
      <c r="A3" s="22">
        <f t="shared" si="0"/>
        <v>196</v>
      </c>
      <c r="B3" s="22" t="str">
        <f>D3&amp;". Gained TPE: "&amp;A3&amp;" TPE - " &amp;N3&amp;" Current TPE "&amp;E3&amp;" ["&amp;U3&amp;"] "&amp;K3&amp;" - "&amp;L3&amp;" ("&amp;I3&amp;")"</f>
        <v>12. Gained TPE: 196 TPE - 1741 Current TPE :crabs: [S2] Eduardo Dinero - SS (timeconsumer)</v>
      </c>
      <c r="C3" s="22" t="str">
        <f t="shared" si="1"/>
        <v>12. 1741 TPE :crabs: [S2] Eduardo Dinero - SS (timeconsumer)</v>
      </c>
      <c r="D3" s="23">
        <f t="shared" si="2"/>
        <v>12</v>
      </c>
      <c r="E3" s="22" t="str">
        <f>VLOOKUP(H3,Analysis!$A$24:$B$33,2,FALSE)</f>
        <v>:crabs:</v>
      </c>
      <c r="F3" s="22"/>
      <c r="G3" s="22" t="s">
        <v>71</v>
      </c>
      <c r="H3" s="33" t="s">
        <v>3</v>
      </c>
      <c r="I3" s="34" t="s">
        <v>72</v>
      </c>
      <c r="J3" s="34" t="s">
        <v>73</v>
      </c>
      <c r="K3" s="33" t="s">
        <v>74</v>
      </c>
      <c r="L3" s="33" t="s">
        <v>75</v>
      </c>
      <c r="M3" s="33" t="s">
        <v>76</v>
      </c>
      <c r="N3" s="35">
        <v>1741</v>
      </c>
      <c r="O3" s="36">
        <v>10</v>
      </c>
      <c r="P3" s="36">
        <v>10</v>
      </c>
      <c r="Q3" s="36"/>
      <c r="R3" s="36"/>
      <c r="S3" s="36"/>
      <c r="T3" s="37" t="s">
        <v>77</v>
      </c>
      <c r="U3" s="33" t="s">
        <v>78</v>
      </c>
      <c r="V3" s="33" t="s">
        <v>78</v>
      </c>
      <c r="W3" s="35">
        <v>15</v>
      </c>
      <c r="X3" s="33"/>
      <c r="Y3" s="33"/>
      <c r="Z3" s="33"/>
      <c r="AA3" s="33"/>
      <c r="AB3" s="33">
        <v>3</v>
      </c>
      <c r="AC3" s="33">
        <v>3</v>
      </c>
      <c r="AD3" s="35">
        <v>13</v>
      </c>
      <c r="AE3" s="35">
        <v>13</v>
      </c>
      <c r="AF3" s="33">
        <v>13</v>
      </c>
      <c r="AG3" s="33">
        <v>13</v>
      </c>
      <c r="AH3" s="36">
        <v>13</v>
      </c>
      <c r="AI3" s="33">
        <v>1545</v>
      </c>
      <c r="AJ3" s="33">
        <v>416</v>
      </c>
      <c r="AK3" s="33">
        <v>398</v>
      </c>
      <c r="AL3" s="33">
        <v>395</v>
      </c>
      <c r="AM3" s="33">
        <v>360</v>
      </c>
      <c r="AN3" s="38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21"/>
      <c r="BG3" s="21"/>
      <c r="BH3" s="21"/>
      <c r="BI3" s="21"/>
      <c r="BJ3" s="21"/>
      <c r="BK3" s="21"/>
      <c r="BL3" s="21"/>
      <c r="BM3" s="21"/>
    </row>
    <row r="4" spans="1:65" ht="15.75" customHeight="1">
      <c r="A4" s="22">
        <f t="shared" si="0"/>
        <v>-26</v>
      </c>
      <c r="B4" s="22" t="str">
        <f>D4&amp;". $"&amp;O4&amp;"M "&amp;N4&amp;" TPE "&amp;E4&amp;" ["&amp;U4&amp;"] "&amp;K4&amp;" - "&amp;L4&amp;" ("&amp;I4&amp;")"</f>
        <v>292. $10M 1733 TPE :aviators: [S1] Connor Macdonald - 2B (Rabidsponge21)</v>
      </c>
      <c r="C4" s="22" t="str">
        <f t="shared" si="1"/>
        <v>292. 1733 TPE :aviators: [S1] Connor Macdonald - 2B (Rabidsponge21)</v>
      </c>
      <c r="D4" s="23">
        <f t="shared" si="2"/>
        <v>292</v>
      </c>
      <c r="E4" s="22" t="str">
        <f>VLOOKUP(H4,Analysis!$A$24:$B$33,2,FALSE)</f>
        <v>:aviators:</v>
      </c>
      <c r="F4" s="22"/>
      <c r="G4" s="22" t="s">
        <v>79</v>
      </c>
      <c r="H4" s="40" t="s">
        <v>5</v>
      </c>
      <c r="I4" s="41" t="s">
        <v>80</v>
      </c>
      <c r="J4" s="41" t="s">
        <v>81</v>
      </c>
      <c r="K4" s="40" t="s">
        <v>82</v>
      </c>
      <c r="L4" s="40" t="s">
        <v>83</v>
      </c>
      <c r="M4" s="40" t="s">
        <v>84</v>
      </c>
      <c r="N4" s="42">
        <v>1733</v>
      </c>
      <c r="O4" s="43">
        <v>10</v>
      </c>
      <c r="P4" s="43"/>
      <c r="Q4" s="43"/>
      <c r="R4" s="43"/>
      <c r="S4" s="43"/>
      <c r="T4" s="40" t="s">
        <v>85</v>
      </c>
      <c r="U4" s="40" t="s">
        <v>70</v>
      </c>
      <c r="V4" s="40" t="s">
        <v>70</v>
      </c>
      <c r="W4" s="42">
        <v>5</v>
      </c>
      <c r="X4" s="40"/>
      <c r="Y4" s="40"/>
      <c r="Z4" s="40"/>
      <c r="AA4" s="40"/>
      <c r="AB4" s="40"/>
      <c r="AC4" s="40">
        <v>10</v>
      </c>
      <c r="AD4" s="42">
        <v>4</v>
      </c>
      <c r="AE4" s="42">
        <v>4</v>
      </c>
      <c r="AF4" s="42">
        <v>10</v>
      </c>
      <c r="AG4" s="40">
        <v>12</v>
      </c>
      <c r="AH4" s="44">
        <v>9.5</v>
      </c>
      <c r="AI4" s="40">
        <v>1759</v>
      </c>
      <c r="AJ4" s="40">
        <v>614</v>
      </c>
      <c r="AK4" s="40">
        <v>596</v>
      </c>
      <c r="AL4" s="40">
        <v>582</v>
      </c>
      <c r="AM4" s="40">
        <v>561</v>
      </c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21"/>
      <c r="BG4" s="21"/>
      <c r="BH4" s="21"/>
      <c r="BI4" s="21"/>
      <c r="BJ4" s="21"/>
      <c r="BK4" s="21"/>
      <c r="BL4" s="21"/>
      <c r="BM4" s="21"/>
    </row>
    <row r="5" spans="1:65" ht="15.75" customHeight="1">
      <c r="A5" s="22">
        <f t="shared" si="0"/>
        <v>198</v>
      </c>
      <c r="B5" s="22" t="str">
        <f>D5&amp;". Gained TPE: "&amp;A5&amp;" TPE - " &amp;N5&amp;" Current TPE "&amp;E5&amp;" ["&amp;U5&amp;"] "&amp;K5&amp;" - "&amp;L5&amp;" ("&amp;I5&amp;")"</f>
        <v>10. Gained TPE: 198 TPE - 1719 Current TPE :rangers: [S2] Greg Steiner - SP (Asawisemansaid)</v>
      </c>
      <c r="C5" s="22" t="str">
        <f t="shared" si="1"/>
        <v>10. 1719 TPE :rangers: [S2] Greg Steiner - SP (Asawisemansaid)</v>
      </c>
      <c r="D5" s="23">
        <f t="shared" si="2"/>
        <v>10</v>
      </c>
      <c r="E5" s="22" t="str">
        <f>VLOOKUP(H5,Analysis!$A$24:$B$33,2,FALSE)</f>
        <v>:rangers:</v>
      </c>
      <c r="F5" s="22"/>
      <c r="G5" s="22" t="s">
        <v>86</v>
      </c>
      <c r="H5" s="33" t="s">
        <v>9</v>
      </c>
      <c r="I5" s="34" t="s">
        <v>87</v>
      </c>
      <c r="J5" s="34" t="s">
        <v>88</v>
      </c>
      <c r="K5" s="33" t="s">
        <v>89</v>
      </c>
      <c r="L5" s="33" t="s">
        <v>90</v>
      </c>
      <c r="M5" s="33" t="s">
        <v>55</v>
      </c>
      <c r="N5" s="35">
        <v>1719</v>
      </c>
      <c r="O5" s="45">
        <v>10</v>
      </c>
      <c r="P5" s="45">
        <v>15</v>
      </c>
      <c r="Q5" s="36"/>
      <c r="R5" s="36"/>
      <c r="S5" s="36"/>
      <c r="T5" s="33"/>
      <c r="U5" s="33" t="s">
        <v>78</v>
      </c>
      <c r="V5" s="33" t="s">
        <v>78</v>
      </c>
      <c r="W5" s="35">
        <v>10</v>
      </c>
      <c r="X5" s="33"/>
      <c r="Y5" s="33"/>
      <c r="Z5" s="33"/>
      <c r="AA5" s="33"/>
      <c r="AB5" s="33">
        <v>2</v>
      </c>
      <c r="AC5" s="33">
        <v>2</v>
      </c>
      <c r="AD5" s="33">
        <v>12</v>
      </c>
      <c r="AE5" s="33">
        <v>8</v>
      </c>
      <c r="AF5" s="33">
        <v>404</v>
      </c>
      <c r="AG5" s="33">
        <v>4</v>
      </c>
      <c r="AH5" s="45">
        <v>4.625</v>
      </c>
      <c r="AI5" s="35">
        <v>1521</v>
      </c>
      <c r="AJ5" s="36">
        <v>20</v>
      </c>
      <c r="AK5" s="33">
        <v>386</v>
      </c>
      <c r="AL5" s="33">
        <v>320</v>
      </c>
      <c r="AM5" s="33">
        <v>320</v>
      </c>
      <c r="AN5" s="33"/>
      <c r="AO5" s="33" t="s">
        <v>91</v>
      </c>
      <c r="AP5" s="33" t="s">
        <v>92</v>
      </c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21"/>
      <c r="BG5" s="21"/>
      <c r="BH5" s="21"/>
      <c r="BI5" s="21"/>
      <c r="BJ5" s="21"/>
      <c r="BK5" s="21"/>
      <c r="BL5" s="21"/>
      <c r="BM5" s="21"/>
    </row>
    <row r="6" spans="1:65" ht="15.75" customHeight="1">
      <c r="A6" s="22">
        <f t="shared" si="0"/>
        <v>-44</v>
      </c>
      <c r="B6" s="22" t="str">
        <f t="shared" ref="B6:B9" si="3">D6&amp;". $"&amp;O6&amp;"M "&amp;N6&amp;" TPE "&amp;E6&amp;" ["&amp;U6&amp;"] "&amp;K6&amp;" - "&amp;L6&amp;" ("&amp;I6&amp;")"</f>
        <v>298. $9.75M 1685 TPE :scorpions: [S1] Ozamataz Buckshank - SS (Mavfatha)</v>
      </c>
      <c r="C6" s="22" t="str">
        <f t="shared" si="1"/>
        <v>298. 1685 TPE :scorpions: [S1] Ozamataz Buckshank - SS (Mavfatha)</v>
      </c>
      <c r="D6" s="23">
        <f t="shared" si="2"/>
        <v>298</v>
      </c>
      <c r="E6" s="22" t="str">
        <f>VLOOKUP(H6,Analysis!$A$24:$B$33,2,FALSE)</f>
        <v>:scorpions:</v>
      </c>
      <c r="F6" s="22"/>
      <c r="G6" s="22" t="s">
        <v>93</v>
      </c>
      <c r="H6" s="40" t="s">
        <v>10</v>
      </c>
      <c r="I6" s="41" t="s">
        <v>94</v>
      </c>
      <c r="J6" s="41" t="s">
        <v>95</v>
      </c>
      <c r="K6" s="40" t="s">
        <v>96</v>
      </c>
      <c r="L6" s="40" t="s">
        <v>75</v>
      </c>
      <c r="M6" s="40" t="s">
        <v>97</v>
      </c>
      <c r="N6" s="42">
        <v>1685</v>
      </c>
      <c r="O6" s="44">
        <v>9.75</v>
      </c>
      <c r="P6" s="44"/>
      <c r="Q6" s="44"/>
      <c r="R6" s="43"/>
      <c r="S6" s="43"/>
      <c r="T6" s="40" t="s">
        <v>98</v>
      </c>
      <c r="U6" s="40" t="s">
        <v>70</v>
      </c>
      <c r="V6" s="40" t="s">
        <v>70</v>
      </c>
      <c r="W6" s="42">
        <v>40</v>
      </c>
      <c r="X6" s="40"/>
      <c r="Y6" s="40"/>
      <c r="Z6" s="40"/>
      <c r="AA6" s="40"/>
      <c r="AB6" s="42">
        <v>3.5</v>
      </c>
      <c r="AC6" s="42">
        <v>5</v>
      </c>
      <c r="AD6" s="42">
        <v>5.75</v>
      </c>
      <c r="AE6" s="42">
        <v>7.25</v>
      </c>
      <c r="AF6" s="42">
        <v>8</v>
      </c>
      <c r="AG6" s="42">
        <v>9</v>
      </c>
      <c r="AH6" s="44">
        <v>9.25</v>
      </c>
      <c r="AI6" s="40">
        <v>1729</v>
      </c>
      <c r="AJ6" s="42">
        <v>569</v>
      </c>
      <c r="AK6" s="42">
        <v>549</v>
      </c>
      <c r="AL6" s="42">
        <v>531</v>
      </c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21"/>
      <c r="BG6" s="21"/>
      <c r="BH6" s="21"/>
      <c r="BI6" s="21"/>
      <c r="BJ6" s="21"/>
      <c r="BK6" s="21"/>
      <c r="BL6" s="21"/>
      <c r="BM6" s="21"/>
    </row>
    <row r="7" spans="1:65" ht="15.75" customHeight="1">
      <c r="A7" s="22">
        <f t="shared" si="0"/>
        <v>-58</v>
      </c>
      <c r="B7" s="22" t="str">
        <f t="shared" si="3"/>
        <v>303. $9.75M 1653 TPE :sloths: [S1] Julian O'Sullivan - C (JuOSu)</v>
      </c>
      <c r="C7" s="22" t="str">
        <f t="shared" si="1"/>
        <v>303. 1653 TPE :sloths: [S1] Julian O'Sullivan - C (JuOSu)</v>
      </c>
      <c r="D7" s="23">
        <f t="shared" si="2"/>
        <v>303</v>
      </c>
      <c r="E7" s="22" t="str">
        <f>VLOOKUP(H7,Analysis!$A$24:$B$33,2,FALSE)</f>
        <v>:sloths:</v>
      </c>
      <c r="F7" s="22"/>
      <c r="G7" s="22" t="s">
        <v>99</v>
      </c>
      <c r="H7" s="33" t="s">
        <v>11</v>
      </c>
      <c r="I7" s="34" t="s">
        <v>100</v>
      </c>
      <c r="J7" s="52" t="s">
        <v>101</v>
      </c>
      <c r="K7" s="33" t="s">
        <v>102</v>
      </c>
      <c r="L7" s="33" t="s">
        <v>103</v>
      </c>
      <c r="M7" s="33" t="s">
        <v>104</v>
      </c>
      <c r="N7" s="35">
        <v>1653</v>
      </c>
      <c r="O7" s="45">
        <v>9.75</v>
      </c>
      <c r="P7" s="36"/>
      <c r="Q7" s="36"/>
      <c r="R7" s="36"/>
      <c r="S7" s="36"/>
      <c r="T7" s="33" t="s">
        <v>98</v>
      </c>
      <c r="U7" s="33" t="s">
        <v>70</v>
      </c>
      <c r="V7" s="33" t="s">
        <v>70</v>
      </c>
      <c r="W7" s="35">
        <v>2</v>
      </c>
      <c r="X7" s="33"/>
      <c r="Y7" s="33"/>
      <c r="Z7" s="33"/>
      <c r="AA7" s="33"/>
      <c r="AB7" s="33"/>
      <c r="AC7" s="33">
        <v>3</v>
      </c>
      <c r="AD7" s="33">
        <v>5</v>
      </c>
      <c r="AE7" s="33">
        <v>6.5</v>
      </c>
      <c r="AF7" s="33">
        <v>7.25</v>
      </c>
      <c r="AG7" s="35">
        <v>8.5</v>
      </c>
      <c r="AH7" s="45">
        <v>9</v>
      </c>
      <c r="AI7" s="33">
        <v>1711</v>
      </c>
      <c r="AJ7" s="33">
        <v>622</v>
      </c>
      <c r="AK7" s="33">
        <v>604</v>
      </c>
      <c r="AL7" s="33">
        <v>590</v>
      </c>
      <c r="AM7" s="33">
        <v>566</v>
      </c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21"/>
      <c r="BG7" s="21"/>
      <c r="BH7" s="21"/>
      <c r="BI7" s="21"/>
      <c r="BJ7" s="21"/>
      <c r="BK7" s="21"/>
      <c r="BL7" s="21"/>
      <c r="BM7" s="21"/>
    </row>
    <row r="8" spans="1:65" ht="15.75" customHeight="1">
      <c r="A8" s="22">
        <f t="shared" si="0"/>
        <v>-38</v>
      </c>
      <c r="B8" s="22" t="str">
        <f t="shared" si="3"/>
        <v>297. $10M 1635 TPE :rangers: [S1] Penny Kowers - SP (JKortesi81)</v>
      </c>
      <c r="C8" s="22" t="str">
        <f t="shared" si="1"/>
        <v>297. 1635 TPE :rangers: [S1] Penny Kowers - SP (JKortesi81)</v>
      </c>
      <c r="D8" s="23">
        <f t="shared" si="2"/>
        <v>297</v>
      </c>
      <c r="E8" s="22" t="str">
        <f>VLOOKUP(H8,Analysis!$A$24:$B$33,2,FALSE)</f>
        <v>:rangers:</v>
      </c>
      <c r="F8" s="22"/>
      <c r="G8" s="26" t="s">
        <v>105</v>
      </c>
      <c r="H8" s="27" t="s">
        <v>9</v>
      </c>
      <c r="I8" s="29" t="s">
        <v>106</v>
      </c>
      <c r="J8" s="29" t="s">
        <v>107</v>
      </c>
      <c r="K8" s="27" t="s">
        <v>108</v>
      </c>
      <c r="L8" s="27" t="s">
        <v>90</v>
      </c>
      <c r="M8" s="27" t="s">
        <v>109</v>
      </c>
      <c r="N8" s="27">
        <v>1635</v>
      </c>
      <c r="O8" s="30">
        <v>10</v>
      </c>
      <c r="P8" s="30"/>
      <c r="Q8" s="30"/>
      <c r="R8" s="30"/>
      <c r="S8" s="30"/>
      <c r="T8" s="27" t="s">
        <v>110</v>
      </c>
      <c r="U8" s="27" t="s">
        <v>70</v>
      </c>
      <c r="V8" s="27" t="s">
        <v>70</v>
      </c>
      <c r="W8" s="27">
        <v>48</v>
      </c>
      <c r="X8" s="27"/>
      <c r="Y8" s="27"/>
      <c r="Z8" s="27"/>
      <c r="AA8" s="27"/>
      <c r="AB8" s="27">
        <v>12</v>
      </c>
      <c r="AC8" s="27">
        <v>1.5</v>
      </c>
      <c r="AD8" s="27">
        <v>10</v>
      </c>
      <c r="AE8" s="27">
        <v>8</v>
      </c>
      <c r="AF8" s="27">
        <v>9</v>
      </c>
      <c r="AG8" s="27">
        <v>586</v>
      </c>
      <c r="AH8" s="30">
        <v>26.5</v>
      </c>
      <c r="AI8" s="27">
        <v>1673</v>
      </c>
      <c r="AJ8" s="27">
        <v>10</v>
      </c>
      <c r="AK8" s="27">
        <v>572</v>
      </c>
      <c r="AL8" s="27">
        <v>558</v>
      </c>
      <c r="AM8" s="27">
        <v>534</v>
      </c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</row>
    <row r="9" spans="1:65" ht="15.75" customHeight="1">
      <c r="A9" s="22">
        <f t="shared" si="0"/>
        <v>-161</v>
      </c>
      <c r="B9" s="22" t="str">
        <f t="shared" si="3"/>
        <v>315. $10M 1630 TPE :scorpions: [S1] Victoria Secret - SP (Evok)</v>
      </c>
      <c r="C9" s="22" t="str">
        <f t="shared" si="1"/>
        <v>315. 1630 TPE :scorpions: [S1] Victoria Secret - SP (Evok)</v>
      </c>
      <c r="D9" s="23">
        <f t="shared" si="2"/>
        <v>315</v>
      </c>
      <c r="E9" s="22" t="str">
        <f>VLOOKUP(H9,Analysis!$A$24:$B$33,2,FALSE)</f>
        <v>:scorpions:</v>
      </c>
      <c r="F9" s="22"/>
      <c r="G9" s="53" t="s">
        <v>111</v>
      </c>
      <c r="H9" s="54" t="s">
        <v>10</v>
      </c>
      <c r="I9" s="55" t="s">
        <v>112</v>
      </c>
      <c r="J9" s="55" t="s">
        <v>113</v>
      </c>
      <c r="K9" s="56" t="str">
        <f>TRIM(LEFT(J9,LEN(J9)-4))</f>
        <v>Victoria Secret</v>
      </c>
      <c r="L9" s="54" t="s">
        <v>90</v>
      </c>
      <c r="M9" s="57" t="s">
        <v>114</v>
      </c>
      <c r="N9" s="58">
        <v>1630</v>
      </c>
      <c r="O9" s="59">
        <v>10</v>
      </c>
      <c r="P9" s="59">
        <v>10</v>
      </c>
      <c r="Q9" s="60"/>
      <c r="R9" s="60"/>
      <c r="S9" s="60"/>
      <c r="T9" s="58" t="s">
        <v>115</v>
      </c>
      <c r="U9" s="54" t="s">
        <v>70</v>
      </c>
      <c r="V9" s="54" t="s">
        <v>70</v>
      </c>
      <c r="W9" s="54">
        <v>3</v>
      </c>
      <c r="X9" s="54"/>
      <c r="Y9" s="54"/>
      <c r="Z9" s="54"/>
      <c r="AA9" s="56"/>
      <c r="AB9" s="54">
        <v>3</v>
      </c>
      <c r="AC9" s="54">
        <v>8</v>
      </c>
      <c r="AD9" s="54">
        <v>7</v>
      </c>
      <c r="AE9" s="54">
        <v>3.75</v>
      </c>
      <c r="AF9" s="54">
        <v>9.25</v>
      </c>
      <c r="AG9" s="54">
        <v>9.5</v>
      </c>
      <c r="AH9" s="61">
        <v>10</v>
      </c>
      <c r="AI9" s="58">
        <v>1791</v>
      </c>
      <c r="AJ9" s="54">
        <v>603</v>
      </c>
      <c r="AK9" s="54">
        <v>589</v>
      </c>
      <c r="AL9" s="54">
        <v>565</v>
      </c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12"/>
      <c r="BG9" s="12"/>
      <c r="BH9" s="12"/>
      <c r="BI9" s="12"/>
      <c r="BJ9" s="12"/>
      <c r="BK9" s="12"/>
      <c r="BL9" s="12"/>
      <c r="BM9" s="12"/>
    </row>
    <row r="10" spans="1:65" ht="15.75" customHeight="1">
      <c r="A10" s="22">
        <f t="shared" si="0"/>
        <v>164</v>
      </c>
      <c r="B10" s="22" t="str">
        <f t="shared" ref="B10:B12" si="4">D10&amp;". Gained TPE: "&amp;A10&amp;" TPE - " &amp;N10&amp;" Current TPE "&amp;E10&amp;" ["&amp;U10&amp;"] "&amp;K10&amp;" - "&amp;L10&amp;" ("&amp;I10&amp;")"</f>
        <v>31. Gained TPE: 164 TPE - 1609 Current TPE :aviators: [S2] Phillip Thompson - SP (LGM2018)</v>
      </c>
      <c r="C10" s="22" t="str">
        <f t="shared" si="1"/>
        <v>31. 1609 TPE :aviators: [S2] Phillip Thompson - SP (LGM2018)</v>
      </c>
      <c r="D10" s="23">
        <f t="shared" si="2"/>
        <v>31</v>
      </c>
      <c r="E10" s="22" t="str">
        <f>VLOOKUP(H10,Analysis!$A$24:$B$33,2,FALSE)</f>
        <v>:aviators:</v>
      </c>
      <c r="F10" s="22"/>
      <c r="G10" s="22" t="s">
        <v>116</v>
      </c>
      <c r="H10" s="40" t="s">
        <v>5</v>
      </c>
      <c r="I10" s="41" t="s">
        <v>117</v>
      </c>
      <c r="J10" s="41" t="s">
        <v>118</v>
      </c>
      <c r="K10" s="40" t="s">
        <v>119</v>
      </c>
      <c r="L10" s="40" t="s">
        <v>90</v>
      </c>
      <c r="M10" s="40" t="s">
        <v>120</v>
      </c>
      <c r="N10" s="42">
        <v>1609</v>
      </c>
      <c r="O10" s="43">
        <v>9.25</v>
      </c>
      <c r="P10" s="43">
        <v>9.5</v>
      </c>
      <c r="Q10" s="43">
        <v>9.75</v>
      </c>
      <c r="R10" s="43">
        <v>10</v>
      </c>
      <c r="S10" s="43">
        <v>10</v>
      </c>
      <c r="T10" s="40" t="s">
        <v>121</v>
      </c>
      <c r="U10" s="40" t="s">
        <v>78</v>
      </c>
      <c r="V10" s="40" t="s">
        <v>78</v>
      </c>
      <c r="W10" s="40">
        <v>16</v>
      </c>
      <c r="X10" s="40"/>
      <c r="Y10" s="40"/>
      <c r="Z10" s="40"/>
      <c r="AA10" s="40"/>
      <c r="AB10" s="40">
        <v>2</v>
      </c>
      <c r="AC10" s="42">
        <v>2</v>
      </c>
      <c r="AD10" s="42">
        <v>6.5</v>
      </c>
      <c r="AE10" s="42">
        <v>7.25</v>
      </c>
      <c r="AF10" s="42">
        <v>408</v>
      </c>
      <c r="AG10" s="40">
        <v>5</v>
      </c>
      <c r="AH10" s="44">
        <v>8.5</v>
      </c>
      <c r="AI10" s="42">
        <v>1445</v>
      </c>
      <c r="AJ10" s="42">
        <v>389</v>
      </c>
      <c r="AK10" s="42">
        <v>351</v>
      </c>
      <c r="AL10" s="42">
        <v>351</v>
      </c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21"/>
      <c r="BG10" s="21"/>
      <c r="BH10" s="21"/>
      <c r="BI10" s="21"/>
      <c r="BJ10" s="21"/>
      <c r="BK10" s="21"/>
      <c r="BL10" s="21"/>
      <c r="BM10" s="21"/>
    </row>
    <row r="11" spans="1:65" ht="15.75" customHeight="1">
      <c r="A11" s="22">
        <f t="shared" si="0"/>
        <v>187</v>
      </c>
      <c r="B11" s="22" t="str">
        <f t="shared" si="4"/>
        <v>17. Gained TPE: 187 TPE - 1595 Current TPE :rangers: [S2] D'Aroldis Borkman - SP (bovo)</v>
      </c>
      <c r="C11" s="22" t="str">
        <f t="shared" si="1"/>
        <v>17. 1595 TPE :rangers: [S2] D'Aroldis Borkman - SP (bovo)</v>
      </c>
      <c r="D11" s="23">
        <f t="shared" si="2"/>
        <v>17</v>
      </c>
      <c r="E11" s="22" t="str">
        <f>VLOOKUP(H11,Analysis!$A$24:$B$33,2,FALSE)</f>
        <v>:rangers:</v>
      </c>
      <c r="F11" s="22"/>
      <c r="G11" s="22" t="s">
        <v>122</v>
      </c>
      <c r="H11" s="33" t="s">
        <v>9</v>
      </c>
      <c r="I11" s="34" t="s">
        <v>123</v>
      </c>
      <c r="J11" s="34" t="s">
        <v>124</v>
      </c>
      <c r="K11" s="33" t="s">
        <v>125</v>
      </c>
      <c r="L11" s="33" t="s">
        <v>90</v>
      </c>
      <c r="M11" s="33" t="s">
        <v>55</v>
      </c>
      <c r="N11" s="35">
        <v>1595</v>
      </c>
      <c r="O11" s="45">
        <v>9.75</v>
      </c>
      <c r="P11" s="45"/>
      <c r="Q11" s="36"/>
      <c r="R11" s="36"/>
      <c r="S11" s="36"/>
      <c r="T11" s="33"/>
      <c r="U11" s="33" t="s">
        <v>78</v>
      </c>
      <c r="V11" s="33" t="s">
        <v>126</v>
      </c>
      <c r="W11" s="35">
        <v>3</v>
      </c>
      <c r="X11" s="33"/>
      <c r="Y11" s="33"/>
      <c r="Z11" s="33"/>
      <c r="AA11" s="33"/>
      <c r="AB11" s="33">
        <v>3</v>
      </c>
      <c r="AC11" s="33">
        <v>3</v>
      </c>
      <c r="AD11" s="33">
        <v>3</v>
      </c>
      <c r="AE11" s="33">
        <v>6.5</v>
      </c>
      <c r="AF11" s="33">
        <v>354</v>
      </c>
      <c r="AG11" s="33">
        <v>12</v>
      </c>
      <c r="AH11" s="45">
        <v>9.25</v>
      </c>
      <c r="AI11" s="35">
        <v>1408</v>
      </c>
      <c r="AJ11" s="33">
        <v>15</v>
      </c>
      <c r="AK11" s="33">
        <v>306</v>
      </c>
      <c r="AL11" s="33">
        <v>306</v>
      </c>
      <c r="AM11" s="33">
        <v>270</v>
      </c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21"/>
      <c r="BG11" s="21"/>
      <c r="BH11" s="21"/>
      <c r="BI11" s="21"/>
      <c r="BJ11" s="21"/>
      <c r="BK11" s="21"/>
      <c r="BL11" s="21"/>
      <c r="BM11" s="21"/>
    </row>
    <row r="12" spans="1:65" ht="15.75" customHeight="1">
      <c r="A12" s="22">
        <f t="shared" si="0"/>
        <v>201</v>
      </c>
      <c r="B12" s="22" t="str">
        <f t="shared" si="4"/>
        <v>8. Gained TPE: 201 TPE - 1594 Current TPE :scorpions: [S3] Paulo Di Stephano - RF (majesiu)</v>
      </c>
      <c r="C12" s="22" t="str">
        <f t="shared" si="1"/>
        <v>8. 1594 TPE :scorpions: [S3] Paulo Di Stephano - RF (majesiu)</v>
      </c>
      <c r="D12" s="23">
        <f t="shared" si="2"/>
        <v>8</v>
      </c>
      <c r="E12" s="22" t="str">
        <f>VLOOKUP(H12,Analysis!$A$24:$B$33,2,FALSE)</f>
        <v>:scorpions:</v>
      </c>
      <c r="F12" s="22"/>
      <c r="G12" s="22" t="s">
        <v>127</v>
      </c>
      <c r="H12" s="40" t="s">
        <v>10</v>
      </c>
      <c r="I12" s="41" t="s">
        <v>128</v>
      </c>
      <c r="J12" s="41" t="s">
        <v>129</v>
      </c>
      <c r="K12" s="40" t="s">
        <v>130</v>
      </c>
      <c r="L12" s="40" t="s">
        <v>131</v>
      </c>
      <c r="M12" s="40" t="s">
        <v>132</v>
      </c>
      <c r="N12" s="42">
        <v>1594</v>
      </c>
      <c r="O12" s="44">
        <v>9.25</v>
      </c>
      <c r="P12" s="44">
        <v>9.5</v>
      </c>
      <c r="Q12" s="44">
        <v>10</v>
      </c>
      <c r="R12" s="43">
        <v>10</v>
      </c>
      <c r="S12" s="43">
        <v>10</v>
      </c>
      <c r="T12" s="40" t="s">
        <v>133</v>
      </c>
      <c r="U12" s="40" t="s">
        <v>126</v>
      </c>
      <c r="V12" s="40" t="s">
        <v>126</v>
      </c>
      <c r="W12" s="42">
        <v>5</v>
      </c>
      <c r="X12" s="40"/>
      <c r="Y12" s="40"/>
      <c r="Z12" s="40"/>
      <c r="AA12" s="40"/>
      <c r="AB12" s="42">
        <v>3</v>
      </c>
      <c r="AC12" s="42">
        <v>4</v>
      </c>
      <c r="AD12" s="42">
        <v>8.75</v>
      </c>
      <c r="AE12" s="42">
        <v>1</v>
      </c>
      <c r="AF12" s="42">
        <v>6.5</v>
      </c>
      <c r="AG12" s="42">
        <v>8</v>
      </c>
      <c r="AH12" s="44">
        <v>8.5</v>
      </c>
      <c r="AI12" s="40">
        <v>1393</v>
      </c>
      <c r="AJ12" s="42">
        <v>208</v>
      </c>
      <c r="AK12" s="42">
        <v>194</v>
      </c>
      <c r="AL12" s="42">
        <v>170</v>
      </c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21"/>
      <c r="BG12" s="21"/>
      <c r="BH12" s="21"/>
      <c r="BI12" s="21"/>
      <c r="BJ12" s="21"/>
      <c r="BK12" s="21"/>
      <c r="BL12" s="21"/>
      <c r="BM12" s="21"/>
    </row>
    <row r="13" spans="1:65" ht="15.75" customHeight="1">
      <c r="A13" s="22">
        <f t="shared" si="0"/>
        <v>-24</v>
      </c>
      <c r="B13" s="22" t="str">
        <f t="shared" ref="B13:B14" si="5">D13&amp;". $"&amp;O13&amp;"M "&amp;N13&amp;" TPE "&amp;E13&amp;" ["&amp;U13&amp;"] "&amp;K13&amp;" - "&amp;L13&amp;" ("&amp;I13&amp;")"</f>
        <v>290. $11.5M 1588 TPE :rangers: [S1] Esteban Rodriguez - SP (iamslm22)</v>
      </c>
      <c r="C13" s="22" t="str">
        <f t="shared" si="1"/>
        <v>290. 1588 TPE :rangers: [S1] Esteban Rodriguez - SP (iamslm22)</v>
      </c>
      <c r="D13" s="23">
        <f t="shared" si="2"/>
        <v>290</v>
      </c>
      <c r="E13" s="22" t="str">
        <f>VLOOKUP(H13,Analysis!$A$24:$B$33,2,FALSE)</f>
        <v>:rangers:</v>
      </c>
      <c r="F13" s="22"/>
      <c r="G13" s="22" t="s">
        <v>135</v>
      </c>
      <c r="H13" s="33" t="s">
        <v>9</v>
      </c>
      <c r="I13" s="34" t="s">
        <v>136</v>
      </c>
      <c r="J13" s="34" t="s">
        <v>138</v>
      </c>
      <c r="K13" s="33" t="s">
        <v>140</v>
      </c>
      <c r="L13" s="33" t="s">
        <v>90</v>
      </c>
      <c r="M13" s="33" t="s">
        <v>55</v>
      </c>
      <c r="N13" s="35">
        <v>1588</v>
      </c>
      <c r="O13" s="36">
        <v>11.5</v>
      </c>
      <c r="P13" s="36">
        <v>8</v>
      </c>
      <c r="Q13" s="36"/>
      <c r="R13" s="36"/>
      <c r="S13" s="36"/>
      <c r="T13" s="33"/>
      <c r="U13" s="33" t="s">
        <v>70</v>
      </c>
      <c r="V13" s="33" t="s">
        <v>70</v>
      </c>
      <c r="W13" s="35" t="s">
        <v>141</v>
      </c>
      <c r="X13" s="33"/>
      <c r="Y13" s="33"/>
      <c r="Z13" s="33"/>
      <c r="AA13" s="33"/>
      <c r="AB13" s="33">
        <v>2</v>
      </c>
      <c r="AC13" s="33">
        <v>5</v>
      </c>
      <c r="AD13" s="35">
        <v>6.5</v>
      </c>
      <c r="AE13" s="33">
        <v>10.75</v>
      </c>
      <c r="AF13" s="33">
        <v>9</v>
      </c>
      <c r="AG13" s="33">
        <v>4.75</v>
      </c>
      <c r="AH13" s="36">
        <v>9.75</v>
      </c>
      <c r="AI13" s="33">
        <v>1612</v>
      </c>
      <c r="AJ13" s="36">
        <v>606</v>
      </c>
      <c r="AK13" s="33">
        <v>588</v>
      </c>
      <c r="AL13" s="35">
        <v>564</v>
      </c>
      <c r="AM13" s="35">
        <v>544</v>
      </c>
      <c r="AN13" s="38"/>
      <c r="AO13" s="33" t="s">
        <v>91</v>
      </c>
      <c r="AP13" s="33" t="s">
        <v>145</v>
      </c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21"/>
      <c r="BG13" s="21"/>
      <c r="BH13" s="21"/>
      <c r="BI13" s="21"/>
      <c r="BJ13" s="21"/>
      <c r="BK13" s="21"/>
      <c r="BL13" s="21"/>
      <c r="BM13" s="21"/>
    </row>
    <row r="14" spans="1:65" ht="15.75" customHeight="1">
      <c r="A14" s="22">
        <f t="shared" si="0"/>
        <v>4</v>
      </c>
      <c r="B14" s="22" t="str">
        <f t="shared" si="5"/>
        <v>131. $9.75M 1568 TPE :rangers: [S1] Johnny Runakiwi - SS (Jonstradamus)</v>
      </c>
      <c r="C14" s="22" t="str">
        <f t="shared" si="1"/>
        <v>131. 1568 TPE :rangers: [S1] Johnny Runakiwi - SS (Jonstradamus)</v>
      </c>
      <c r="D14" s="23">
        <f t="shared" si="2"/>
        <v>131</v>
      </c>
      <c r="E14" s="22" t="str">
        <f>VLOOKUP(H14,Analysis!$A$24:$B$33,2,FALSE)</f>
        <v>:rangers:</v>
      </c>
      <c r="F14" s="22"/>
      <c r="G14" s="22" t="s">
        <v>146</v>
      </c>
      <c r="H14" s="40" t="s">
        <v>9</v>
      </c>
      <c r="I14" s="41" t="s">
        <v>147</v>
      </c>
      <c r="J14" s="41" t="s">
        <v>148</v>
      </c>
      <c r="K14" s="40" t="s">
        <v>150</v>
      </c>
      <c r="L14" s="40" t="s">
        <v>75</v>
      </c>
      <c r="M14" s="40" t="s">
        <v>151</v>
      </c>
      <c r="N14" s="42">
        <v>1568</v>
      </c>
      <c r="O14" s="43">
        <v>9.75</v>
      </c>
      <c r="P14" s="43"/>
      <c r="Q14" s="43"/>
      <c r="R14" s="43"/>
      <c r="S14" s="43"/>
      <c r="T14" s="40" t="s">
        <v>152</v>
      </c>
      <c r="U14" s="40" t="s">
        <v>70</v>
      </c>
      <c r="V14" s="40" t="s">
        <v>70</v>
      </c>
      <c r="W14" s="42">
        <v>58</v>
      </c>
      <c r="X14" s="40"/>
      <c r="Y14" s="40"/>
      <c r="Z14" s="40"/>
      <c r="AA14" s="40"/>
      <c r="AB14" s="40">
        <v>4</v>
      </c>
      <c r="AC14" s="42">
        <v>5</v>
      </c>
      <c r="AD14" s="40">
        <v>6.5</v>
      </c>
      <c r="AE14" s="40">
        <v>7.25</v>
      </c>
      <c r="AF14" s="40">
        <v>9</v>
      </c>
      <c r="AG14" s="40">
        <v>9.5</v>
      </c>
      <c r="AH14" s="43">
        <v>9.75</v>
      </c>
      <c r="AI14" s="40">
        <v>1564</v>
      </c>
      <c r="AJ14" s="43">
        <v>599</v>
      </c>
      <c r="AK14" s="42">
        <v>585</v>
      </c>
      <c r="AL14" s="42">
        <v>571</v>
      </c>
      <c r="AM14" s="40">
        <v>547</v>
      </c>
      <c r="AN14" s="73"/>
      <c r="AO14" s="40" t="s">
        <v>91</v>
      </c>
      <c r="AP14" s="40" t="s">
        <v>153</v>
      </c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21"/>
      <c r="BG14" s="21"/>
      <c r="BH14" s="21"/>
      <c r="BI14" s="21"/>
      <c r="BJ14" s="21"/>
      <c r="BK14" s="21"/>
      <c r="BL14" s="21"/>
      <c r="BM14" s="21"/>
    </row>
    <row r="15" spans="1:65" ht="15.75" customHeight="1">
      <c r="A15" s="22">
        <f t="shared" si="0"/>
        <v>188</v>
      </c>
      <c r="B15" s="22" t="str">
        <f>D15&amp;". Gained TPE: "&amp;A15&amp;" TPE - " &amp;N15&amp;" Current TPE "&amp;E15&amp;" ["&amp;U15&amp;"] "&amp;K15&amp;" - "&amp;L15&amp;" ("&amp;I15&amp;")"</f>
        <v>15. Gained TPE: 188 TPE - 1539 Current TPE :aviators: [S2] Jake Stennett - RF (MrStennett)</v>
      </c>
      <c r="C15" s="22" t="str">
        <f t="shared" si="1"/>
        <v>15. 1539 TPE :aviators: [S2] Jake Stennett - RF (MrStennett)</v>
      </c>
      <c r="D15" s="23">
        <f t="shared" si="2"/>
        <v>15</v>
      </c>
      <c r="E15" s="22" t="str">
        <f>VLOOKUP(H15,Analysis!$A$24:$B$33,2,FALSE)</f>
        <v>:aviators:</v>
      </c>
      <c r="F15" s="22"/>
      <c r="G15" s="22" t="s">
        <v>154</v>
      </c>
      <c r="H15" s="33" t="s">
        <v>5</v>
      </c>
      <c r="I15" s="34" t="s">
        <v>156</v>
      </c>
      <c r="J15" s="34" t="s">
        <v>157</v>
      </c>
      <c r="K15" s="33" t="s">
        <v>158</v>
      </c>
      <c r="L15" s="33" t="s">
        <v>131</v>
      </c>
      <c r="M15" s="33" t="s">
        <v>159</v>
      </c>
      <c r="N15" s="35">
        <v>1539</v>
      </c>
      <c r="O15" s="45">
        <v>9.25</v>
      </c>
      <c r="P15" s="36"/>
      <c r="Q15" s="36"/>
      <c r="R15" s="36"/>
      <c r="S15" s="36"/>
      <c r="T15" s="33"/>
      <c r="U15" s="33" t="s">
        <v>78</v>
      </c>
      <c r="V15" s="33" t="s">
        <v>78</v>
      </c>
      <c r="W15" s="35">
        <v>17</v>
      </c>
      <c r="X15" s="33"/>
      <c r="Y15" s="33"/>
      <c r="Z15" s="33"/>
      <c r="AA15" s="33"/>
      <c r="AB15" s="33"/>
      <c r="AC15" s="33">
        <v>3</v>
      </c>
      <c r="AD15" s="33">
        <v>3</v>
      </c>
      <c r="AE15" s="33">
        <v>7</v>
      </c>
      <c r="AF15" s="33">
        <v>5.5</v>
      </c>
      <c r="AG15" s="35">
        <v>3</v>
      </c>
      <c r="AH15" s="45">
        <v>8</v>
      </c>
      <c r="AI15" s="33">
        <v>1351</v>
      </c>
      <c r="AJ15" s="33">
        <v>303</v>
      </c>
      <c r="AK15" s="33">
        <v>289</v>
      </c>
      <c r="AL15" s="33">
        <v>276</v>
      </c>
      <c r="AM15" s="33">
        <v>248</v>
      </c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21"/>
      <c r="BG15" s="21"/>
      <c r="BH15" s="21"/>
      <c r="BI15" s="21"/>
      <c r="BJ15" s="21"/>
      <c r="BK15" s="21"/>
      <c r="BL15" s="21"/>
      <c r="BM15" s="21"/>
    </row>
    <row r="16" spans="1:65" ht="15.75" customHeight="1">
      <c r="A16" s="22">
        <f t="shared" si="0"/>
        <v>22</v>
      </c>
      <c r="B16" s="22" t="str">
        <f>D16&amp;". $"&amp;O16&amp;"M "&amp;N16&amp;" TPE "&amp;E16&amp;" ["&amp;U16&amp;"] "&amp;K16&amp;" - "&amp;L16&amp;" ("&amp;I16&amp;")"</f>
        <v>114. $10M 1534 TPE :sloths: [S1] Sophia Bennett - RF (goilers)</v>
      </c>
      <c r="C16" s="22" t="str">
        <f t="shared" si="1"/>
        <v>114. 1534 TPE :sloths: [S1] Sophia Bennett - RF (goilers)</v>
      </c>
      <c r="D16" s="23">
        <f t="shared" si="2"/>
        <v>114</v>
      </c>
      <c r="E16" s="22" t="str">
        <f>VLOOKUP(H16,Analysis!$A$24:$B$33,2,FALSE)</f>
        <v>:sloths:</v>
      </c>
      <c r="F16" s="22"/>
      <c r="G16" s="22" t="s">
        <v>161</v>
      </c>
      <c r="H16" s="40" t="s">
        <v>11</v>
      </c>
      <c r="I16" s="41" t="s">
        <v>163</v>
      </c>
      <c r="J16" s="41" t="s">
        <v>164</v>
      </c>
      <c r="K16" s="40" t="s">
        <v>165</v>
      </c>
      <c r="L16" s="40" t="s">
        <v>131</v>
      </c>
      <c r="M16" s="40" t="s">
        <v>166</v>
      </c>
      <c r="N16" s="42">
        <v>1534</v>
      </c>
      <c r="O16" s="43">
        <v>10</v>
      </c>
      <c r="P16" s="43">
        <v>10</v>
      </c>
      <c r="Q16" s="43"/>
      <c r="R16" s="43"/>
      <c r="S16" s="43"/>
      <c r="T16" s="40" t="s">
        <v>115</v>
      </c>
      <c r="U16" s="40" t="s">
        <v>70</v>
      </c>
      <c r="V16" s="40" t="s">
        <v>70</v>
      </c>
      <c r="W16" s="42">
        <v>16</v>
      </c>
      <c r="X16" s="40"/>
      <c r="Y16" s="40"/>
      <c r="Z16" s="40"/>
      <c r="AA16" s="40"/>
      <c r="AB16" s="40"/>
      <c r="AC16" s="42">
        <v>4</v>
      </c>
      <c r="AD16" s="42">
        <v>6</v>
      </c>
      <c r="AE16" s="42">
        <v>6</v>
      </c>
      <c r="AF16" s="42">
        <v>6.5</v>
      </c>
      <c r="AG16" s="42">
        <v>8</v>
      </c>
      <c r="AH16" s="44">
        <v>8.5</v>
      </c>
      <c r="AI16" s="42">
        <v>1512</v>
      </c>
      <c r="AJ16" s="42">
        <v>524</v>
      </c>
      <c r="AK16" s="42">
        <v>503</v>
      </c>
      <c r="AL16" s="42">
        <v>492</v>
      </c>
      <c r="AM16" s="40">
        <v>468</v>
      </c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21"/>
      <c r="BG16" s="21"/>
      <c r="BH16" s="21"/>
      <c r="BI16" s="21"/>
      <c r="BJ16" s="21"/>
      <c r="BK16" s="21"/>
      <c r="BL16" s="21"/>
      <c r="BM16" s="21"/>
    </row>
    <row r="17" spans="1:65" ht="15.75" customHeight="1">
      <c r="A17" s="22">
        <f t="shared" si="0"/>
        <v>-73</v>
      </c>
      <c r="B17" s="22"/>
      <c r="C17" s="22" t="str">
        <f t="shared" si="1"/>
        <v>307. 1524 TPE :sloths: [S1] Vick Thunder - LF (PigSnout)</v>
      </c>
      <c r="D17" s="23">
        <f t="shared" si="2"/>
        <v>307</v>
      </c>
      <c r="E17" s="22" t="str">
        <f>VLOOKUP(H17,Analysis!$A$24:$B$33,2,FALSE)</f>
        <v>:sloths:</v>
      </c>
      <c r="F17" s="22"/>
      <c r="G17" s="22" t="s">
        <v>176</v>
      </c>
      <c r="H17" s="33" t="s">
        <v>11</v>
      </c>
      <c r="I17" s="34" t="s">
        <v>177</v>
      </c>
      <c r="J17" s="34" t="s">
        <v>178</v>
      </c>
      <c r="K17" s="33" t="s">
        <v>179</v>
      </c>
      <c r="L17" s="33" t="s">
        <v>180</v>
      </c>
      <c r="M17" s="33" t="s">
        <v>181</v>
      </c>
      <c r="N17" s="35">
        <v>1524</v>
      </c>
      <c r="O17" s="36">
        <v>7</v>
      </c>
      <c r="P17" s="36">
        <v>10</v>
      </c>
      <c r="Q17" s="36">
        <v>10</v>
      </c>
      <c r="R17" s="36">
        <v>10</v>
      </c>
      <c r="S17" s="36">
        <v>10</v>
      </c>
      <c r="T17" s="33" t="s">
        <v>182</v>
      </c>
      <c r="U17" s="33" t="s">
        <v>70</v>
      </c>
      <c r="V17" s="33" t="s">
        <v>70</v>
      </c>
      <c r="W17" s="35">
        <v>15</v>
      </c>
      <c r="X17" s="33"/>
      <c r="Y17" s="35"/>
      <c r="Z17" s="35"/>
      <c r="AA17" s="33"/>
      <c r="AB17" s="33">
        <v>1.5</v>
      </c>
      <c r="AC17" s="33">
        <v>8</v>
      </c>
      <c r="AD17" s="33">
        <v>3.5</v>
      </c>
      <c r="AE17" s="33">
        <v>7.25</v>
      </c>
      <c r="AF17" s="35">
        <v>8.5</v>
      </c>
      <c r="AG17" s="35">
        <v>9</v>
      </c>
      <c r="AH17" s="45">
        <v>9</v>
      </c>
      <c r="AI17" s="33">
        <v>1597</v>
      </c>
      <c r="AJ17" s="33">
        <v>587</v>
      </c>
      <c r="AK17" s="33">
        <v>559</v>
      </c>
      <c r="AL17" s="33">
        <v>513</v>
      </c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21"/>
      <c r="BG17" s="21"/>
      <c r="BH17" s="21"/>
      <c r="BI17" s="21"/>
      <c r="BJ17" s="21"/>
      <c r="BK17" s="21"/>
      <c r="BL17" s="21"/>
      <c r="BM17" s="21"/>
    </row>
    <row r="18" spans="1:65" ht="15.75" customHeight="1">
      <c r="A18" s="22">
        <f t="shared" si="0"/>
        <v>-58</v>
      </c>
      <c r="B18" s="22" t="str">
        <f t="shared" ref="B18:B21" si="6">D18&amp;". $"&amp;O18&amp;"M "&amp;N18&amp;" TPE "&amp;E18&amp;" ["&amp;U18&amp;"] "&amp;K18&amp;" - "&amp;L18&amp;" ("&amp;I18&amp;")"</f>
        <v>303. $13M 1451 TPE :sloths: [S1] Shooty McLish - 1B (manicmav36)</v>
      </c>
      <c r="C18" s="22" t="str">
        <f t="shared" si="1"/>
        <v>303. 1451 TPE :sloths: [S1] Shooty McLish - 1B (manicmav36)</v>
      </c>
      <c r="D18" s="23">
        <f t="shared" si="2"/>
        <v>303</v>
      </c>
      <c r="E18" s="22" t="str">
        <f>VLOOKUP(H18,Analysis!$A$24:$B$33,2,FALSE)</f>
        <v>:sloths:</v>
      </c>
      <c r="F18" s="22"/>
      <c r="G18" s="22" t="s">
        <v>183</v>
      </c>
      <c r="H18" s="40" t="s">
        <v>11</v>
      </c>
      <c r="I18" s="41" t="s">
        <v>184</v>
      </c>
      <c r="J18" s="41" t="s">
        <v>185</v>
      </c>
      <c r="K18" s="40" t="s">
        <v>186</v>
      </c>
      <c r="L18" s="40" t="s">
        <v>187</v>
      </c>
      <c r="M18" s="40" t="s">
        <v>151</v>
      </c>
      <c r="N18" s="42">
        <v>1451</v>
      </c>
      <c r="O18" s="43">
        <v>13</v>
      </c>
      <c r="P18" s="43">
        <v>13</v>
      </c>
      <c r="Q18" s="43">
        <v>10</v>
      </c>
      <c r="R18" s="43"/>
      <c r="S18" s="43"/>
      <c r="T18" s="40"/>
      <c r="U18" s="40" t="s">
        <v>70</v>
      </c>
      <c r="V18" s="40" t="s">
        <v>70</v>
      </c>
      <c r="W18" s="42">
        <v>72</v>
      </c>
      <c r="X18" s="40"/>
      <c r="Y18" s="40"/>
      <c r="Z18" s="40"/>
      <c r="AA18" s="40"/>
      <c r="AB18" s="40"/>
      <c r="AC18" s="42">
        <v>2</v>
      </c>
      <c r="AD18" s="42">
        <v>12</v>
      </c>
      <c r="AE18" s="42">
        <v>13.5</v>
      </c>
      <c r="AF18" s="42">
        <v>15</v>
      </c>
      <c r="AG18" s="40">
        <v>13</v>
      </c>
      <c r="AH18" s="43">
        <v>13</v>
      </c>
      <c r="AI18" s="42">
        <v>1509</v>
      </c>
      <c r="AJ18" s="40">
        <v>531</v>
      </c>
      <c r="AK18" s="40">
        <v>512</v>
      </c>
      <c r="AL18" s="40">
        <v>482</v>
      </c>
      <c r="AM18" s="40">
        <v>456</v>
      </c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21"/>
      <c r="BG18" s="21"/>
      <c r="BH18" s="21"/>
      <c r="BI18" s="21"/>
      <c r="BJ18" s="21"/>
      <c r="BK18" s="21"/>
      <c r="BL18" s="21"/>
      <c r="BM18" s="21"/>
    </row>
    <row r="19" spans="1:65" ht="15.75" customHeight="1">
      <c r="A19" s="22">
        <f t="shared" si="0"/>
        <v>-45</v>
      </c>
      <c r="B19" s="22" t="str">
        <f t="shared" si="6"/>
        <v>299. $9.75M 1425 TPE :scorpions: [S1] Do Min-joon - 2B (Beaver)</v>
      </c>
      <c r="C19" s="22" t="str">
        <f t="shared" si="1"/>
        <v>299. 1425 TPE :scorpions: [S1] Do Min-joon - 2B (Beaver)</v>
      </c>
      <c r="D19" s="23">
        <f t="shared" si="2"/>
        <v>299</v>
      </c>
      <c r="E19" s="22" t="str">
        <f>VLOOKUP(H19,Analysis!$A$24:$B$33,2,FALSE)</f>
        <v>:scorpions:</v>
      </c>
      <c r="F19" s="22"/>
      <c r="G19" s="22" t="s">
        <v>188</v>
      </c>
      <c r="H19" s="33" t="s">
        <v>10</v>
      </c>
      <c r="I19" s="34" t="s">
        <v>189</v>
      </c>
      <c r="J19" s="34" t="s">
        <v>190</v>
      </c>
      <c r="K19" s="33" t="s">
        <v>191</v>
      </c>
      <c r="L19" s="33" t="s">
        <v>83</v>
      </c>
      <c r="M19" s="33" t="s">
        <v>192</v>
      </c>
      <c r="N19" s="35">
        <v>1425</v>
      </c>
      <c r="O19" s="45">
        <v>9.75</v>
      </c>
      <c r="P19" s="36">
        <v>10</v>
      </c>
      <c r="Q19" s="36">
        <v>10</v>
      </c>
      <c r="R19" s="36"/>
      <c r="S19" s="36"/>
      <c r="T19" s="33" t="s">
        <v>193</v>
      </c>
      <c r="U19" s="33" t="s">
        <v>70</v>
      </c>
      <c r="V19" s="33" t="s">
        <v>70</v>
      </c>
      <c r="W19" s="35">
        <v>33</v>
      </c>
      <c r="X19" s="33"/>
      <c r="Y19" s="33"/>
      <c r="Z19" s="33"/>
      <c r="AA19" s="33"/>
      <c r="AB19" s="33">
        <v>3.5</v>
      </c>
      <c r="AC19" s="33">
        <v>5</v>
      </c>
      <c r="AD19" s="33">
        <v>5</v>
      </c>
      <c r="AE19" s="33">
        <v>458</v>
      </c>
      <c r="AF19" s="33">
        <v>8</v>
      </c>
      <c r="AG19" s="35">
        <v>9</v>
      </c>
      <c r="AH19" s="45">
        <v>9.25</v>
      </c>
      <c r="AI19" s="33">
        <v>1470</v>
      </c>
      <c r="AJ19" s="33">
        <v>440</v>
      </c>
      <c r="AK19" s="33">
        <v>426</v>
      </c>
      <c r="AL19" s="33">
        <v>362</v>
      </c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21"/>
      <c r="BG19" s="21"/>
      <c r="BH19" s="21"/>
      <c r="BI19" s="21"/>
      <c r="BJ19" s="21"/>
      <c r="BK19" s="21"/>
      <c r="BL19" s="21"/>
      <c r="BM19" s="21"/>
    </row>
    <row r="20" spans="1:65" ht="15.75" customHeight="1">
      <c r="A20" s="22">
        <f t="shared" si="0"/>
        <v>-45</v>
      </c>
      <c r="B20" s="22" t="str">
        <f t="shared" si="6"/>
        <v>299. $9.75M 1400 TPE :crabs: [S1] Jarrod Stanton - 2B (Leafer)</v>
      </c>
      <c r="C20" s="22" t="str">
        <f t="shared" si="1"/>
        <v>299. 1400 TPE :crabs: [S1] Jarrod Stanton - 2B (Leafer)</v>
      </c>
      <c r="D20" s="23">
        <f t="shared" si="2"/>
        <v>299</v>
      </c>
      <c r="E20" s="22" t="str">
        <f>VLOOKUP(H20,Analysis!$A$24:$B$33,2,FALSE)</f>
        <v>:crabs:</v>
      </c>
      <c r="F20" s="22"/>
      <c r="G20" s="26" t="s">
        <v>194</v>
      </c>
      <c r="H20" s="27" t="s">
        <v>3</v>
      </c>
      <c r="I20" s="29" t="s">
        <v>50</v>
      </c>
      <c r="J20" s="29" t="s">
        <v>195</v>
      </c>
      <c r="K20" s="27" t="s">
        <v>196</v>
      </c>
      <c r="L20" s="27" t="s">
        <v>83</v>
      </c>
      <c r="M20" s="27" t="s">
        <v>132</v>
      </c>
      <c r="N20" s="27">
        <v>1400</v>
      </c>
      <c r="O20" s="30">
        <v>9.75</v>
      </c>
      <c r="P20" s="30">
        <v>10</v>
      </c>
      <c r="Q20" s="30">
        <v>10</v>
      </c>
      <c r="R20" s="30"/>
      <c r="S20" s="30"/>
      <c r="T20" s="27" t="s">
        <v>197</v>
      </c>
      <c r="U20" s="27" t="s">
        <v>70</v>
      </c>
      <c r="V20" s="27" t="s">
        <v>78</v>
      </c>
      <c r="W20" s="27">
        <v>1</v>
      </c>
      <c r="X20" s="27"/>
      <c r="Y20" s="27"/>
      <c r="Z20" s="27"/>
      <c r="AA20" s="27"/>
      <c r="AB20" s="27">
        <v>5</v>
      </c>
      <c r="AC20" s="27">
        <v>5</v>
      </c>
      <c r="AD20" s="27">
        <v>6.5</v>
      </c>
      <c r="AE20" s="27">
        <v>8.5</v>
      </c>
      <c r="AF20" s="27">
        <v>9</v>
      </c>
      <c r="AG20" s="27">
        <v>9</v>
      </c>
      <c r="AH20" s="30">
        <v>9.5</v>
      </c>
      <c r="AI20" s="27">
        <v>1445</v>
      </c>
      <c r="AJ20" s="27">
        <v>540</v>
      </c>
      <c r="AK20" s="27">
        <v>522</v>
      </c>
      <c r="AL20" s="27">
        <v>508</v>
      </c>
      <c r="AM20" s="27">
        <v>464</v>
      </c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</row>
    <row r="21" spans="1:65" ht="15.75" customHeight="1">
      <c r="A21" s="22">
        <f t="shared" si="0"/>
        <v>33</v>
      </c>
      <c r="B21" s="22" t="str">
        <f t="shared" si="6"/>
        <v>107. $11M 1388 TPE :scorpions: [S1] Elston Sinclair - SP (Shadowz)</v>
      </c>
      <c r="C21" s="22" t="str">
        <f t="shared" si="1"/>
        <v>107. 1388 TPE :scorpions: [S1] Elston Sinclair - SP (Shadowz)</v>
      </c>
      <c r="D21" s="23">
        <f t="shared" si="2"/>
        <v>107</v>
      </c>
      <c r="E21" s="22" t="str">
        <f>VLOOKUP(H21,Analysis!$A$24:$B$33,2,FALSE)</f>
        <v>:scorpions:</v>
      </c>
      <c r="F21" s="22"/>
      <c r="G21" s="22" t="s">
        <v>198</v>
      </c>
      <c r="H21" s="79" t="s">
        <v>10</v>
      </c>
      <c r="I21" s="34" t="s">
        <v>199</v>
      </c>
      <c r="J21" s="34" t="s">
        <v>200</v>
      </c>
      <c r="K21" s="33" t="s">
        <v>201</v>
      </c>
      <c r="L21" s="33" t="s">
        <v>90</v>
      </c>
      <c r="M21" s="33" t="s">
        <v>55</v>
      </c>
      <c r="N21" s="80">
        <v>1388</v>
      </c>
      <c r="O21" s="36">
        <v>11</v>
      </c>
      <c r="P21" s="36"/>
      <c r="Q21" s="36"/>
      <c r="R21" s="36"/>
      <c r="S21" s="36"/>
      <c r="T21" s="33" t="s">
        <v>202</v>
      </c>
      <c r="U21" s="33" t="s">
        <v>70</v>
      </c>
      <c r="V21" s="33" t="s">
        <v>70</v>
      </c>
      <c r="W21" s="35" t="s">
        <v>141</v>
      </c>
      <c r="X21" s="33"/>
      <c r="Y21" s="33"/>
      <c r="Z21" s="33"/>
      <c r="AA21" s="33"/>
      <c r="AB21" s="33"/>
      <c r="AC21" s="33">
        <v>2</v>
      </c>
      <c r="AD21" s="33">
        <v>5</v>
      </c>
      <c r="AE21" s="35">
        <v>6.5</v>
      </c>
      <c r="AF21" s="35">
        <v>7.25</v>
      </c>
      <c r="AG21" s="35">
        <v>6.5</v>
      </c>
      <c r="AH21" s="36">
        <v>8.5</v>
      </c>
      <c r="AI21" s="33">
        <v>1355</v>
      </c>
      <c r="AJ21" s="33">
        <v>575</v>
      </c>
      <c r="AK21" s="33">
        <v>575</v>
      </c>
      <c r="AL21" s="33">
        <v>558</v>
      </c>
      <c r="AN21" s="33">
        <v>520</v>
      </c>
      <c r="AO21" s="33" t="s">
        <v>203</v>
      </c>
      <c r="AP21" s="33" t="s">
        <v>204</v>
      </c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21"/>
      <c r="BG21" s="21"/>
      <c r="BH21" s="21"/>
      <c r="BI21" s="21"/>
      <c r="BJ21" s="21"/>
      <c r="BK21" s="21"/>
      <c r="BL21" s="21"/>
      <c r="BM21" s="21"/>
    </row>
    <row r="22" spans="1:65" ht="15.75" customHeight="1">
      <c r="A22" s="22">
        <f t="shared" si="0"/>
        <v>-13</v>
      </c>
      <c r="B22" s="22"/>
      <c r="C22" s="22" t="str">
        <f t="shared" si="1"/>
        <v>285. 1355 TPE :aviators: [S1] Kenny McCormick - SS (ckroyal92)</v>
      </c>
      <c r="D22" s="23">
        <f t="shared" si="2"/>
        <v>285</v>
      </c>
      <c r="E22" s="22" t="str">
        <f>VLOOKUP(H22,Analysis!$A$24:$B$33,2,FALSE)</f>
        <v>:aviators:</v>
      </c>
      <c r="F22" s="22"/>
      <c r="G22" s="26" t="s">
        <v>205</v>
      </c>
      <c r="H22" s="27" t="s">
        <v>5</v>
      </c>
      <c r="I22" s="29" t="s">
        <v>206</v>
      </c>
      <c r="J22" s="29" t="s">
        <v>207</v>
      </c>
      <c r="K22" s="27" t="s">
        <v>208</v>
      </c>
      <c r="L22" s="65" t="s">
        <v>75</v>
      </c>
      <c r="M22" s="27" t="s">
        <v>151</v>
      </c>
      <c r="N22" s="27">
        <v>1355</v>
      </c>
      <c r="O22" s="30">
        <v>9.25</v>
      </c>
      <c r="P22" s="30"/>
      <c r="Q22" s="30"/>
      <c r="R22" s="30"/>
      <c r="S22" s="30"/>
      <c r="T22" s="27"/>
      <c r="U22" s="27" t="s">
        <v>70</v>
      </c>
      <c r="V22" s="27" t="s">
        <v>70</v>
      </c>
      <c r="W22" s="27"/>
      <c r="X22" s="27"/>
      <c r="Y22" s="27"/>
      <c r="Z22" s="27"/>
      <c r="AA22" s="27"/>
      <c r="AB22" s="27"/>
      <c r="AC22" s="27">
        <v>2</v>
      </c>
      <c r="AD22" s="27">
        <v>4</v>
      </c>
      <c r="AE22" s="27">
        <v>8.25</v>
      </c>
      <c r="AF22" s="27">
        <v>5.5</v>
      </c>
      <c r="AG22" s="27">
        <v>5</v>
      </c>
      <c r="AH22" s="30">
        <v>8</v>
      </c>
      <c r="AI22" s="27">
        <v>1368</v>
      </c>
      <c r="AJ22" s="27">
        <v>427</v>
      </c>
      <c r="AK22" s="27">
        <v>419</v>
      </c>
      <c r="AL22" s="27">
        <v>402</v>
      </c>
      <c r="AM22" s="27">
        <v>372</v>
      </c>
      <c r="AO22" s="27" t="s">
        <v>209</v>
      </c>
      <c r="AP22" s="27" t="s">
        <v>210</v>
      </c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</row>
    <row r="23" spans="1:65" ht="15.75" customHeight="1">
      <c r="A23" s="22">
        <f t="shared" si="0"/>
        <v>127</v>
      </c>
      <c r="B23" s="22" t="str">
        <f t="shared" ref="B23:B26" si="7">D23&amp;". Gained TPE: "&amp;A23&amp;" TPE - " &amp;N23&amp;" Current TPE "&amp;E23&amp;" ["&amp;U23&amp;"] "&amp;K23&amp;" - "&amp;L23&amp;" ("&amp;I23&amp;")"</f>
        <v>47. Gained TPE: 127 TPE - 1351 Current TPE :sloths: [S2] Simon Hans - 3B (vasolinetigers)</v>
      </c>
      <c r="C23" s="22" t="str">
        <f t="shared" si="1"/>
        <v>47. 1351 TPE :sloths: [S2] Simon Hans - 3B (vasolinetigers)</v>
      </c>
      <c r="D23" s="23">
        <f t="shared" si="2"/>
        <v>47</v>
      </c>
      <c r="E23" s="22" t="str">
        <f>VLOOKUP(H23,Analysis!$A$24:$B$33,2,FALSE)</f>
        <v>:sloths:</v>
      </c>
      <c r="F23" s="22"/>
      <c r="G23" s="22" t="s">
        <v>211</v>
      </c>
      <c r="H23" s="33" t="s">
        <v>11</v>
      </c>
      <c r="I23" s="34" t="s">
        <v>212</v>
      </c>
      <c r="J23" s="34" t="s">
        <v>213</v>
      </c>
      <c r="K23" s="33" t="s">
        <v>214</v>
      </c>
      <c r="L23" s="33" t="s">
        <v>215</v>
      </c>
      <c r="M23" s="33" t="s">
        <v>97</v>
      </c>
      <c r="N23" s="35">
        <v>1351</v>
      </c>
      <c r="O23" s="36">
        <v>9.25</v>
      </c>
      <c r="P23" s="36">
        <v>9.75</v>
      </c>
      <c r="Q23" s="36">
        <v>10</v>
      </c>
      <c r="R23" s="36"/>
      <c r="S23" s="36"/>
      <c r="T23" s="33" t="s">
        <v>216</v>
      </c>
      <c r="U23" s="33" t="s">
        <v>78</v>
      </c>
      <c r="V23" s="33" t="s">
        <v>78</v>
      </c>
      <c r="W23" s="35">
        <v>38</v>
      </c>
      <c r="X23" s="33"/>
      <c r="Y23" s="33"/>
      <c r="Z23" s="33"/>
      <c r="AA23" s="33"/>
      <c r="AB23" s="33"/>
      <c r="AC23" s="33">
        <v>3</v>
      </c>
      <c r="AD23" s="33">
        <v>3.5</v>
      </c>
      <c r="AE23" s="33">
        <v>5</v>
      </c>
      <c r="AF23" s="35">
        <v>5.75</v>
      </c>
      <c r="AG23" s="35">
        <v>7.25</v>
      </c>
      <c r="AH23" s="45">
        <v>8</v>
      </c>
      <c r="AI23" s="33">
        <v>1224</v>
      </c>
      <c r="AJ23" s="33">
        <v>354</v>
      </c>
      <c r="AK23" s="33">
        <v>328</v>
      </c>
      <c r="AL23" s="33">
        <v>306</v>
      </c>
      <c r="AM23" s="33">
        <v>282</v>
      </c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21"/>
      <c r="BG23" s="21"/>
      <c r="BH23" s="21"/>
      <c r="BI23" s="21"/>
      <c r="BJ23" s="21"/>
      <c r="BK23" s="21"/>
      <c r="BL23" s="21"/>
      <c r="BM23" s="21"/>
    </row>
    <row r="24" spans="1:65" ht="15.75" customHeight="1">
      <c r="A24" s="22">
        <f t="shared" si="0"/>
        <v>182</v>
      </c>
      <c r="B24" s="22" t="str">
        <f t="shared" si="7"/>
        <v>22. Gained TPE: 182 TPE - 1277 Current TPE :sloths: [S4] Clem Johnson - SS (Moosecop)</v>
      </c>
      <c r="C24" s="22" t="str">
        <f t="shared" si="1"/>
        <v>22. 1277 TPE :sloths: [S4] Clem Johnson - SS (Moosecop)</v>
      </c>
      <c r="D24" s="23">
        <f t="shared" si="2"/>
        <v>22</v>
      </c>
      <c r="E24" s="22" t="str">
        <f>VLOOKUP(H24,Analysis!$A$24:$B$33,2,FALSE)</f>
        <v>:sloths:</v>
      </c>
      <c r="F24" s="22"/>
      <c r="G24" s="92" t="s">
        <v>217</v>
      </c>
      <c r="H24" s="40" t="s">
        <v>11</v>
      </c>
      <c r="I24" s="41" t="s">
        <v>218</v>
      </c>
      <c r="J24" s="41" t="s">
        <v>219</v>
      </c>
      <c r="K24" s="40" t="s">
        <v>221</v>
      </c>
      <c r="L24" s="40" t="s">
        <v>75</v>
      </c>
      <c r="M24" s="40" t="s">
        <v>151</v>
      </c>
      <c r="N24" s="42">
        <v>1277</v>
      </c>
      <c r="O24" s="43">
        <v>4.25</v>
      </c>
      <c r="P24" s="43">
        <v>6.75</v>
      </c>
      <c r="Q24" s="43">
        <v>9.5</v>
      </c>
      <c r="R24" s="43"/>
      <c r="S24" s="43"/>
      <c r="T24" s="40" t="s">
        <v>223</v>
      </c>
      <c r="U24" s="40" t="s">
        <v>32</v>
      </c>
      <c r="V24" s="40" t="s">
        <v>32</v>
      </c>
      <c r="W24" s="40">
        <v>3</v>
      </c>
      <c r="X24" s="40"/>
      <c r="Y24" s="40"/>
      <c r="Z24" s="40"/>
      <c r="AA24" s="40"/>
      <c r="AB24" s="40"/>
      <c r="AC24" s="40"/>
      <c r="AD24" s="40">
        <v>5</v>
      </c>
      <c r="AE24" s="40">
        <v>5</v>
      </c>
      <c r="AF24" s="40">
        <v>4.5</v>
      </c>
      <c r="AG24" s="40">
        <v>4.5</v>
      </c>
      <c r="AH24" s="43">
        <v>6.5</v>
      </c>
      <c r="AI24" s="40">
        <v>1095</v>
      </c>
      <c r="AK24" s="40">
        <v>100</v>
      </c>
      <c r="AL24" s="40">
        <v>100</v>
      </c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21"/>
      <c r="BG24" s="21"/>
      <c r="BH24" s="21"/>
      <c r="BI24" s="21"/>
      <c r="BJ24" s="21"/>
      <c r="BK24" s="21"/>
      <c r="BL24" s="21"/>
      <c r="BM24" s="21"/>
    </row>
    <row r="25" spans="1:65" ht="15.75" customHeight="1">
      <c r="A25" s="22">
        <f t="shared" si="0"/>
        <v>163</v>
      </c>
      <c r="B25" s="22" t="str">
        <f t="shared" si="7"/>
        <v>32. Gained TPE: 163 TPE - 1249 Current TPE :aviators: [S4] Mookie Banks - SP (Bayley)</v>
      </c>
      <c r="C25" s="22" t="str">
        <f t="shared" si="1"/>
        <v>32. 1249 TPE :aviators: [S4] Mookie Banks - SP (Bayley)</v>
      </c>
      <c r="D25" s="23">
        <f t="shared" si="2"/>
        <v>32</v>
      </c>
      <c r="E25" s="22" t="str">
        <f>VLOOKUP(H25,Analysis!$A$24:$B$33,2,FALSE)</f>
        <v>:aviators:</v>
      </c>
      <c r="F25" s="22"/>
      <c r="G25" s="22" t="s">
        <v>228</v>
      </c>
      <c r="H25" s="33" t="s">
        <v>5</v>
      </c>
      <c r="I25" s="34" t="s">
        <v>230</v>
      </c>
      <c r="J25" s="34" t="s">
        <v>232</v>
      </c>
      <c r="K25" s="33" t="s">
        <v>233</v>
      </c>
      <c r="L25" s="33" t="s">
        <v>90</v>
      </c>
      <c r="M25" s="33" t="s">
        <v>55</v>
      </c>
      <c r="N25" s="35">
        <v>1249</v>
      </c>
      <c r="O25" s="36">
        <v>5</v>
      </c>
      <c r="P25" s="36">
        <v>5</v>
      </c>
      <c r="Q25" s="36">
        <v>5</v>
      </c>
      <c r="R25" s="36"/>
      <c r="S25" s="36"/>
      <c r="T25" s="33"/>
      <c r="U25" s="33" t="s">
        <v>32</v>
      </c>
      <c r="V25" s="33" t="s">
        <v>33</v>
      </c>
      <c r="W25" s="35">
        <v>3</v>
      </c>
      <c r="X25" s="33"/>
      <c r="Y25" s="33"/>
      <c r="Z25" s="33"/>
      <c r="AA25" s="33"/>
      <c r="AB25" s="33"/>
      <c r="AC25" s="35"/>
      <c r="AD25" s="35">
        <v>3</v>
      </c>
      <c r="AE25" s="35">
        <v>6</v>
      </c>
      <c r="AF25" s="35">
        <v>3</v>
      </c>
      <c r="AG25" s="33">
        <v>19.25</v>
      </c>
      <c r="AH25" s="36">
        <v>5</v>
      </c>
      <c r="AI25" s="35">
        <v>1086</v>
      </c>
      <c r="AK25" s="35"/>
      <c r="AL25" s="35"/>
      <c r="AM25" s="35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21"/>
      <c r="BG25" s="21"/>
      <c r="BH25" s="21"/>
      <c r="BI25" s="21"/>
      <c r="BJ25" s="21"/>
      <c r="BK25" s="21"/>
      <c r="BL25" s="21"/>
      <c r="BM25" s="21"/>
    </row>
    <row r="26" spans="1:65" ht="15.75" customHeight="1">
      <c r="A26" s="22">
        <f t="shared" si="0"/>
        <v>185</v>
      </c>
      <c r="B26" s="22" t="str">
        <f t="shared" si="7"/>
        <v>18. Gained TPE: 185 TPE - 1240 Current TPE :voyagers: [S4] Phillip J Fry - RF (pazuzu)</v>
      </c>
      <c r="C26" s="22" t="str">
        <f t="shared" si="1"/>
        <v>18. 1240 TPE :voyagers: [S4] Phillip J Fry - RF (pazuzu)</v>
      </c>
      <c r="D26" s="23">
        <f t="shared" si="2"/>
        <v>18</v>
      </c>
      <c r="E26" s="22" t="str">
        <f>VLOOKUP(H26,Analysis!$A$24:$B$33,2,FALSE)</f>
        <v>:voyagers:</v>
      </c>
      <c r="F26" s="22"/>
      <c r="G26" s="26" t="s">
        <v>237</v>
      </c>
      <c r="H26" s="27" t="s">
        <v>8</v>
      </c>
      <c r="I26" s="29" t="s">
        <v>239</v>
      </c>
      <c r="J26" s="29" t="s">
        <v>240</v>
      </c>
      <c r="K26" s="27" t="s">
        <v>243</v>
      </c>
      <c r="L26" s="27" t="s">
        <v>131</v>
      </c>
      <c r="M26" s="27" t="s">
        <v>159</v>
      </c>
      <c r="N26" s="27">
        <v>1240</v>
      </c>
      <c r="O26" s="30">
        <v>9.5</v>
      </c>
      <c r="P26" s="30">
        <v>9.25</v>
      </c>
      <c r="Q26" s="30">
        <v>9.5</v>
      </c>
      <c r="R26" s="30">
        <v>10</v>
      </c>
      <c r="S26" s="30"/>
      <c r="T26" s="27"/>
      <c r="U26" s="27" t="s">
        <v>32</v>
      </c>
      <c r="V26" s="27" t="s">
        <v>32</v>
      </c>
      <c r="W26" s="27">
        <v>9</v>
      </c>
      <c r="X26" s="27"/>
      <c r="Y26" s="27"/>
      <c r="Z26" s="27"/>
      <c r="AA26" s="27"/>
      <c r="AB26" s="27"/>
      <c r="AC26" s="27"/>
      <c r="AD26" s="27">
        <v>5</v>
      </c>
      <c r="AE26" s="27">
        <v>5</v>
      </c>
      <c r="AF26" s="27">
        <v>5</v>
      </c>
      <c r="AG26" s="27">
        <v>5.5</v>
      </c>
      <c r="AH26" s="27">
        <v>5.25</v>
      </c>
      <c r="AI26" s="27">
        <v>1055</v>
      </c>
      <c r="AJ26" s="27">
        <v>100</v>
      </c>
      <c r="AK26" s="27">
        <v>100</v>
      </c>
      <c r="AL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</row>
    <row r="27" spans="1:65" ht="15.75" customHeight="1">
      <c r="A27" s="22">
        <f t="shared" si="0"/>
        <v>8</v>
      </c>
      <c r="B27" s="22"/>
      <c r="C27" s="22" t="str">
        <f t="shared" si="1"/>
        <v>124. 1233 TPE :crabs: [S1] Randy Koufax - SP (tlk742)</v>
      </c>
      <c r="D27" s="23">
        <f t="shared" si="2"/>
        <v>124</v>
      </c>
      <c r="E27" s="22" t="str">
        <f>VLOOKUP(H27,Analysis!$A$24:$B$33,2,FALSE)</f>
        <v>:crabs:</v>
      </c>
      <c r="F27" s="22"/>
      <c r="G27" s="22" t="s">
        <v>246</v>
      </c>
      <c r="H27" s="33" t="s">
        <v>3</v>
      </c>
      <c r="I27" s="34" t="s">
        <v>248</v>
      </c>
      <c r="J27" s="34" t="s">
        <v>250</v>
      </c>
      <c r="K27" s="33" t="s">
        <v>251</v>
      </c>
      <c r="L27" s="33" t="s">
        <v>90</v>
      </c>
      <c r="M27" s="33" t="s">
        <v>109</v>
      </c>
      <c r="N27" s="35">
        <v>1233</v>
      </c>
      <c r="O27" s="45">
        <v>9</v>
      </c>
      <c r="P27" s="45"/>
      <c r="Q27" s="36"/>
      <c r="R27" s="36"/>
      <c r="S27" s="36"/>
      <c r="T27" s="33" t="s">
        <v>202</v>
      </c>
      <c r="U27" s="33" t="s">
        <v>70</v>
      </c>
      <c r="V27" s="33" t="s">
        <v>70</v>
      </c>
      <c r="W27" s="35" t="s">
        <v>141</v>
      </c>
      <c r="X27" s="33"/>
      <c r="Y27" s="33"/>
      <c r="Z27" s="33"/>
      <c r="AA27" s="33"/>
      <c r="AB27" s="35">
        <v>2</v>
      </c>
      <c r="AC27" s="35">
        <v>4</v>
      </c>
      <c r="AD27" s="35">
        <v>5.75</v>
      </c>
      <c r="AE27" s="35">
        <v>6.5</v>
      </c>
      <c r="AF27" s="35">
        <v>8.5</v>
      </c>
      <c r="AG27" s="35">
        <v>9.25</v>
      </c>
      <c r="AH27" s="45">
        <v>9.5</v>
      </c>
      <c r="AI27" s="35">
        <v>1225</v>
      </c>
      <c r="AJ27" s="35">
        <v>538</v>
      </c>
      <c r="AK27" s="35">
        <v>514</v>
      </c>
      <c r="AL27" s="35">
        <v>492</v>
      </c>
      <c r="AM27" s="33">
        <v>463</v>
      </c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21"/>
      <c r="BG27" s="21"/>
      <c r="BH27" s="21"/>
      <c r="BI27" s="21"/>
      <c r="BJ27" s="21"/>
      <c r="BK27" s="21"/>
      <c r="BL27" s="21"/>
      <c r="BM27" s="21"/>
    </row>
    <row r="28" spans="1:65" ht="15.75" customHeight="1">
      <c r="A28" s="22">
        <f t="shared" si="0"/>
        <v>-30</v>
      </c>
      <c r="B28" s="22"/>
      <c r="C28" s="22" t="str">
        <f t="shared" si="1"/>
        <v>293. 1209 TPE :scorpions: [S1] Ziggy Coffey - 1B (CDub2)</v>
      </c>
      <c r="D28" s="23">
        <f t="shared" si="2"/>
        <v>293</v>
      </c>
      <c r="E28" s="22" t="str">
        <f>VLOOKUP(H28,Analysis!$A$24:$B$33,2,FALSE)</f>
        <v>:scorpions:</v>
      </c>
      <c r="F28" s="22"/>
      <c r="G28" s="22" t="s">
        <v>220</v>
      </c>
      <c r="H28" s="40" t="s">
        <v>10</v>
      </c>
      <c r="I28" s="41" t="s">
        <v>222</v>
      </c>
      <c r="J28" s="41" t="s">
        <v>224</v>
      </c>
      <c r="K28" s="40" t="s">
        <v>256</v>
      </c>
      <c r="L28" s="40" t="s">
        <v>187</v>
      </c>
      <c r="M28" s="40" t="s">
        <v>225</v>
      </c>
      <c r="N28" s="42">
        <v>1209</v>
      </c>
      <c r="O28" s="44">
        <v>9.25</v>
      </c>
      <c r="P28" s="44">
        <v>9.25</v>
      </c>
      <c r="Q28" s="44">
        <v>9.25</v>
      </c>
      <c r="R28" s="43"/>
      <c r="S28" s="43"/>
      <c r="T28" s="40" t="s">
        <v>226</v>
      </c>
      <c r="U28" s="40" t="s">
        <v>70</v>
      </c>
      <c r="V28" s="40" t="s">
        <v>78</v>
      </c>
      <c r="W28" s="42">
        <v>9</v>
      </c>
      <c r="X28" s="40"/>
      <c r="Y28" s="40"/>
      <c r="Z28" s="40"/>
      <c r="AA28" s="40"/>
      <c r="AB28" s="40">
        <v>3.5</v>
      </c>
      <c r="AC28" s="40">
        <v>3.5</v>
      </c>
      <c r="AD28" s="42">
        <v>7</v>
      </c>
      <c r="AE28" s="42">
        <v>7</v>
      </c>
      <c r="AF28" s="42">
        <v>7</v>
      </c>
      <c r="AG28" s="42">
        <v>7</v>
      </c>
      <c r="AH28" s="44">
        <v>7</v>
      </c>
      <c r="AI28" s="40">
        <v>1239</v>
      </c>
      <c r="AJ28" s="40">
        <v>406</v>
      </c>
      <c r="AK28" s="40">
        <v>372</v>
      </c>
      <c r="AL28" s="40">
        <v>372</v>
      </c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21"/>
      <c r="BG28" s="21"/>
      <c r="BH28" s="21"/>
      <c r="BI28" s="21"/>
      <c r="BJ28" s="21"/>
      <c r="BK28" s="21"/>
      <c r="BL28" s="21"/>
      <c r="BM28" s="21"/>
    </row>
    <row r="29" spans="1:65" ht="15.75" customHeight="1">
      <c r="A29" s="22">
        <f t="shared" si="0"/>
        <v>197</v>
      </c>
      <c r="B29" s="22" t="str">
        <f t="shared" ref="B29:B30" si="8">D29&amp;". Gained TPE: "&amp;A29&amp;" TPE - " &amp;N29&amp;" Current TPE "&amp;E29&amp;" ["&amp;U29&amp;"] "&amp;K29&amp;" - "&amp;L29&amp;" ("&amp;I29&amp;")"</f>
        <v>11. Gained TPE: 197 TPE - 1196 Current TPE :scorpions: [S5] Jimmy Dong - CF (Trautner)</v>
      </c>
      <c r="C29" s="22" t="str">
        <f t="shared" si="1"/>
        <v>11. 1196 TPE :scorpions: [S5] Jimmy Dong - CF (Trautner)</v>
      </c>
      <c r="D29" s="23">
        <f t="shared" si="2"/>
        <v>11</v>
      </c>
      <c r="E29" s="22" t="str">
        <f>VLOOKUP(H29,Analysis!$A$24:$B$33,2,FALSE)</f>
        <v>:scorpions:</v>
      </c>
      <c r="F29" s="22"/>
      <c r="G29" s="22" t="s">
        <v>227</v>
      </c>
      <c r="H29" s="33" t="s">
        <v>10</v>
      </c>
      <c r="I29" s="34" t="s">
        <v>229</v>
      </c>
      <c r="J29" s="34" t="s">
        <v>231</v>
      </c>
      <c r="K29" s="33" t="s">
        <v>262</v>
      </c>
      <c r="L29" s="33" t="s">
        <v>67</v>
      </c>
      <c r="M29" s="33" t="s">
        <v>97</v>
      </c>
      <c r="N29" s="35">
        <v>1196</v>
      </c>
      <c r="O29" s="45">
        <v>7.25</v>
      </c>
      <c r="P29" s="36">
        <v>8.5</v>
      </c>
      <c r="Q29" s="36"/>
      <c r="R29" s="36"/>
      <c r="S29" s="36"/>
      <c r="T29" s="33" t="s">
        <v>234</v>
      </c>
      <c r="U29" s="33" t="s">
        <v>33</v>
      </c>
      <c r="V29" s="33" t="s">
        <v>33</v>
      </c>
      <c r="W29" s="35">
        <v>9</v>
      </c>
      <c r="X29" s="33"/>
      <c r="Y29" s="33"/>
      <c r="Z29" s="33"/>
      <c r="AA29" s="33"/>
      <c r="AB29" s="33"/>
      <c r="AC29" s="33"/>
      <c r="AD29" s="33">
        <v>4</v>
      </c>
      <c r="AE29" s="33">
        <v>4</v>
      </c>
      <c r="AF29" s="33">
        <v>4</v>
      </c>
      <c r="AG29" s="33">
        <v>5</v>
      </c>
      <c r="AH29" s="45">
        <v>6.5</v>
      </c>
      <c r="AI29" s="33">
        <v>999</v>
      </c>
      <c r="AJ29" s="33"/>
      <c r="AK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21"/>
      <c r="BG29" s="21"/>
      <c r="BH29" s="21"/>
      <c r="BI29" s="21"/>
      <c r="BJ29" s="21"/>
      <c r="BK29" s="21"/>
      <c r="BL29" s="21"/>
      <c r="BM29" s="21"/>
    </row>
    <row r="30" spans="1:65" ht="15.75" customHeight="1">
      <c r="A30" s="22">
        <f t="shared" si="0"/>
        <v>159</v>
      </c>
      <c r="B30" s="22" t="str">
        <f t="shared" si="8"/>
        <v>38. Gained TPE: 159 TPE - 1196 Current TPE :voyagers: [S4] Weldon Borthwell - 3B (BWIII)</v>
      </c>
      <c r="C30" s="22" t="str">
        <f t="shared" si="1"/>
        <v>38. 1196 TPE :voyagers: [S4] Weldon Borthwell - 3B (BWIII)</v>
      </c>
      <c r="D30" s="23">
        <f t="shared" si="2"/>
        <v>38</v>
      </c>
      <c r="E30" s="22" t="str">
        <f>VLOOKUP(H30,Analysis!$A$24:$B$33,2,FALSE)</f>
        <v>:voyagers:</v>
      </c>
      <c r="F30" s="22"/>
      <c r="G30" s="26" t="s">
        <v>267</v>
      </c>
      <c r="H30" s="27" t="s">
        <v>8</v>
      </c>
      <c r="I30" s="29" t="s">
        <v>269</v>
      </c>
      <c r="J30" s="29" t="s">
        <v>271</v>
      </c>
      <c r="K30" s="27" t="s">
        <v>272</v>
      </c>
      <c r="L30" s="27" t="s">
        <v>215</v>
      </c>
      <c r="M30" s="27" t="s">
        <v>97</v>
      </c>
      <c r="N30" s="27">
        <v>1196</v>
      </c>
      <c r="O30" s="30">
        <v>7</v>
      </c>
      <c r="P30" s="30"/>
      <c r="Q30" s="30"/>
      <c r="R30" s="30"/>
      <c r="S30" s="30"/>
      <c r="T30" s="27"/>
      <c r="U30" s="27" t="s">
        <v>32</v>
      </c>
      <c r="V30" s="27" t="s">
        <v>33</v>
      </c>
      <c r="W30" s="27">
        <v>1</v>
      </c>
      <c r="X30" s="27"/>
      <c r="Y30" s="27"/>
      <c r="Z30" s="27"/>
      <c r="AA30" s="27"/>
      <c r="AB30" s="27"/>
      <c r="AC30" s="27"/>
      <c r="AD30" s="27">
        <v>1</v>
      </c>
      <c r="AE30" s="27">
        <v>5</v>
      </c>
      <c r="AF30" s="27">
        <v>5</v>
      </c>
      <c r="AG30" s="27">
        <v>5</v>
      </c>
      <c r="AH30" s="27">
        <v>7</v>
      </c>
      <c r="AI30" s="27">
        <v>1037</v>
      </c>
      <c r="AJ30" s="27"/>
      <c r="AK30" s="27"/>
      <c r="AL30" s="27"/>
      <c r="AM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</row>
    <row r="31" spans="1:65" ht="15.75" customHeight="1">
      <c r="A31" s="22">
        <f t="shared" si="0"/>
        <v>106</v>
      </c>
      <c r="B31" s="22"/>
      <c r="C31" s="22" t="str">
        <f t="shared" si="1"/>
        <v>57. 1087 TPE :sloths: [S2] Roger Baton - 2B (yoye)</v>
      </c>
      <c r="D31" s="23">
        <f t="shared" si="2"/>
        <v>57</v>
      </c>
      <c r="E31" s="22" t="str">
        <f>VLOOKUP(H31,Analysis!$A$24:$B$33,2,FALSE)</f>
        <v>:sloths:</v>
      </c>
      <c r="F31" s="22"/>
      <c r="G31" s="22" t="s">
        <v>276</v>
      </c>
      <c r="H31" s="33" t="s">
        <v>11</v>
      </c>
      <c r="I31" s="34" t="s">
        <v>278</v>
      </c>
      <c r="J31" s="34" t="s">
        <v>280</v>
      </c>
      <c r="K31" s="33" t="s">
        <v>282</v>
      </c>
      <c r="L31" s="33" t="s">
        <v>83</v>
      </c>
      <c r="M31" s="33" t="s">
        <v>97</v>
      </c>
      <c r="N31" s="35">
        <v>1087</v>
      </c>
      <c r="O31" s="36">
        <v>8.5</v>
      </c>
      <c r="P31" s="36">
        <v>9.25</v>
      </c>
      <c r="Q31" s="36">
        <v>9.5</v>
      </c>
      <c r="R31" s="36"/>
      <c r="S31" s="36"/>
      <c r="T31" s="33"/>
      <c r="U31" s="33" t="s">
        <v>78</v>
      </c>
      <c r="V31" s="33" t="s">
        <v>78</v>
      </c>
      <c r="W31" s="35">
        <v>32</v>
      </c>
      <c r="X31" s="33"/>
      <c r="Y31" s="33"/>
      <c r="Z31" s="33"/>
      <c r="AA31" s="33"/>
      <c r="AB31" s="33"/>
      <c r="AC31" s="35">
        <v>3</v>
      </c>
      <c r="AD31" s="35">
        <v>4</v>
      </c>
      <c r="AE31" s="35">
        <v>5</v>
      </c>
      <c r="AF31" s="35">
        <v>5.75</v>
      </c>
      <c r="AG31" s="35">
        <v>6.5</v>
      </c>
      <c r="AH31" s="45">
        <v>6.5</v>
      </c>
      <c r="AI31" s="35">
        <v>981</v>
      </c>
      <c r="AJ31" s="35">
        <v>329</v>
      </c>
      <c r="AK31" s="35">
        <v>314</v>
      </c>
      <c r="AL31" s="35">
        <v>300</v>
      </c>
      <c r="AM31" s="33">
        <v>276</v>
      </c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21"/>
      <c r="BG31" s="21"/>
      <c r="BH31" s="21"/>
      <c r="BI31" s="21"/>
      <c r="BJ31" s="21"/>
      <c r="BK31" s="21"/>
      <c r="BL31" s="21"/>
      <c r="BM31" s="21"/>
    </row>
    <row r="32" spans="1:65" ht="15.75" customHeight="1">
      <c r="A32" s="22">
        <f t="shared" si="0"/>
        <v>160</v>
      </c>
      <c r="B32" s="22" t="str">
        <f>D32&amp;". Gained TPE: "&amp;A32&amp;" TPE - " &amp;N32&amp;" Current TPE "&amp;E32&amp;" ["&amp;U32&amp;"] "&amp;K32&amp;" - "&amp;L32&amp;" ("&amp;I32&amp;")"</f>
        <v>35. Gained TPE: 160 TPE - 1086 Current TPE :aviators: [S5] Billy Benson - C (cpetrella)</v>
      </c>
      <c r="C32" s="22" t="str">
        <f t="shared" si="1"/>
        <v>35. 1086 TPE :aviators: [S5] Billy Benson - C (cpetrella)</v>
      </c>
      <c r="D32" s="23">
        <f t="shared" si="2"/>
        <v>35</v>
      </c>
      <c r="E32" s="22" t="str">
        <f>VLOOKUP(H32,Analysis!$A$24:$B$33,2,FALSE)</f>
        <v>:aviators:</v>
      </c>
      <c r="F32" s="22"/>
      <c r="G32" s="22" t="s">
        <v>287</v>
      </c>
      <c r="H32" s="40" t="s">
        <v>5</v>
      </c>
      <c r="I32" s="41" t="s">
        <v>289</v>
      </c>
      <c r="J32" s="104" t="s">
        <v>291</v>
      </c>
      <c r="K32" s="40" t="s">
        <v>293</v>
      </c>
      <c r="L32" s="40" t="s">
        <v>103</v>
      </c>
      <c r="M32" s="40" t="s">
        <v>294</v>
      </c>
      <c r="N32" s="42">
        <v>1086</v>
      </c>
      <c r="O32" s="43">
        <v>4.25</v>
      </c>
      <c r="P32" s="43"/>
      <c r="Q32" s="43"/>
      <c r="R32" s="43"/>
      <c r="S32" s="43"/>
      <c r="T32" s="40"/>
      <c r="U32" s="40" t="s">
        <v>33</v>
      </c>
      <c r="V32" s="40" t="s">
        <v>33</v>
      </c>
      <c r="W32" s="42">
        <v>8</v>
      </c>
      <c r="X32" s="40"/>
      <c r="Y32" s="40"/>
      <c r="Z32" s="40"/>
      <c r="AA32" s="40"/>
      <c r="AB32" s="40"/>
      <c r="AC32" s="40"/>
      <c r="AD32" s="40"/>
      <c r="AE32" s="40">
        <v>6</v>
      </c>
      <c r="AF32" s="40">
        <v>3</v>
      </c>
      <c r="AG32" s="40">
        <v>10</v>
      </c>
      <c r="AH32" s="42">
        <v>4.25</v>
      </c>
      <c r="AI32" s="40">
        <v>926</v>
      </c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21"/>
      <c r="BG32" s="21"/>
      <c r="BH32" s="21"/>
      <c r="BI32" s="21"/>
      <c r="BJ32" s="21"/>
      <c r="BK32" s="21"/>
      <c r="BL32" s="21"/>
      <c r="BM32" s="21"/>
    </row>
    <row r="33" spans="1:65" ht="15.75" customHeight="1">
      <c r="A33" s="22">
        <f t="shared" si="0"/>
        <v>-88</v>
      </c>
      <c r="B33" s="22"/>
      <c r="C33" s="22" t="str">
        <f t="shared" si="1"/>
        <v>309. 1019 TPE :scorpions: [S1] Toshihiro Ishikawa - C (Bzerkap)</v>
      </c>
      <c r="D33" s="23">
        <f t="shared" si="2"/>
        <v>309</v>
      </c>
      <c r="E33" s="22" t="str">
        <f>VLOOKUP(H33,Analysis!$A$24:$B$33,2,FALSE)</f>
        <v>:scorpions:</v>
      </c>
      <c r="F33" s="22"/>
      <c r="G33" s="22" t="s">
        <v>297</v>
      </c>
      <c r="H33" s="33" t="s">
        <v>10</v>
      </c>
      <c r="I33" s="34" t="s">
        <v>299</v>
      </c>
      <c r="J33" s="34" t="s">
        <v>301</v>
      </c>
      <c r="K33" s="33" t="s">
        <v>303</v>
      </c>
      <c r="L33" s="79" t="s">
        <v>103</v>
      </c>
      <c r="M33" s="33" t="s">
        <v>294</v>
      </c>
      <c r="N33" s="35">
        <v>1019</v>
      </c>
      <c r="O33" s="36">
        <v>9</v>
      </c>
      <c r="P33" s="36">
        <v>9</v>
      </c>
      <c r="Q33" s="36"/>
      <c r="R33" s="36"/>
      <c r="S33" s="36"/>
      <c r="T33" s="33" t="s">
        <v>115</v>
      </c>
      <c r="U33" s="33" t="s">
        <v>70</v>
      </c>
      <c r="V33" s="33" t="s">
        <v>70</v>
      </c>
      <c r="W33" s="35">
        <v>38</v>
      </c>
      <c r="X33" s="33"/>
      <c r="Y33" s="33"/>
      <c r="Z33" s="33"/>
      <c r="AA33" s="33"/>
      <c r="AB33" s="33">
        <v>3</v>
      </c>
      <c r="AC33" s="33">
        <v>8</v>
      </c>
      <c r="AD33" s="33">
        <v>7</v>
      </c>
      <c r="AE33" s="33">
        <v>3.75</v>
      </c>
      <c r="AF33" s="33">
        <v>12</v>
      </c>
      <c r="AG33" s="33">
        <v>12</v>
      </c>
      <c r="AH33" s="36">
        <v>9</v>
      </c>
      <c r="AI33" s="35">
        <v>1107</v>
      </c>
      <c r="AJ33" s="33">
        <v>505</v>
      </c>
      <c r="AK33" s="33">
        <v>492</v>
      </c>
      <c r="AL33" s="35">
        <v>468</v>
      </c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21"/>
      <c r="BG33" s="21"/>
      <c r="BH33" s="21"/>
      <c r="BI33" s="21"/>
      <c r="BJ33" s="21"/>
      <c r="BK33" s="21"/>
      <c r="BL33" s="21"/>
      <c r="BM33" s="21"/>
    </row>
    <row r="34" spans="1:65" ht="15.75" customHeight="1">
      <c r="A34" s="22">
        <f t="shared" si="0"/>
        <v>199</v>
      </c>
      <c r="B34" s="22" t="str">
        <f>D34&amp;". Gained TPE: "&amp;A34&amp;" TPE - " &amp;N34&amp;" Current TPE "&amp;E34&amp;" ["&amp;U34&amp;"] "&amp;K34&amp;" - "&amp;L34&amp;" ("&amp;I34&amp;")"</f>
        <v>9. Gained TPE: 199 TPE - 1003 Current TPE :scorpions: [S5] Guy Walker - SP (Halfygar)</v>
      </c>
      <c r="C34" s="22" t="str">
        <f t="shared" si="1"/>
        <v>9. 1003 TPE :scorpions: [S5] Guy Walker - SP (Halfygar)</v>
      </c>
      <c r="D34" s="23">
        <f t="shared" si="2"/>
        <v>9</v>
      </c>
      <c r="E34" s="22" t="str">
        <f>VLOOKUP(H34,Analysis!$A$24:$B$33,2,FALSE)</f>
        <v>:scorpions:</v>
      </c>
      <c r="F34" s="22"/>
      <c r="G34" s="22" t="s">
        <v>235</v>
      </c>
      <c r="H34" s="40" t="s">
        <v>10</v>
      </c>
      <c r="I34" s="41" t="s">
        <v>236</v>
      </c>
      <c r="J34" s="41" t="s">
        <v>238</v>
      </c>
      <c r="K34" s="40" t="s">
        <v>305</v>
      </c>
      <c r="L34" s="40" t="s">
        <v>90</v>
      </c>
      <c r="M34" s="40" t="s">
        <v>55</v>
      </c>
      <c r="N34" s="42">
        <v>1003</v>
      </c>
      <c r="O34" s="43">
        <v>8</v>
      </c>
      <c r="P34" s="43">
        <v>8</v>
      </c>
      <c r="Q34" s="43">
        <v>8.25</v>
      </c>
      <c r="R34" s="43"/>
      <c r="S34" s="43"/>
      <c r="T34" s="40"/>
      <c r="U34" s="40" t="s">
        <v>33</v>
      </c>
      <c r="V34" s="40" t="s">
        <v>33</v>
      </c>
      <c r="W34" s="42">
        <v>21</v>
      </c>
      <c r="X34" s="40"/>
      <c r="Y34" s="40"/>
      <c r="Z34" s="40"/>
      <c r="AA34" s="40"/>
      <c r="AB34" s="40"/>
      <c r="AC34" s="40"/>
      <c r="AD34" s="40">
        <v>4</v>
      </c>
      <c r="AE34" s="40">
        <v>4</v>
      </c>
      <c r="AF34" s="40">
        <v>3</v>
      </c>
      <c r="AG34" s="40">
        <v>5</v>
      </c>
      <c r="AH34" s="43">
        <v>5.75</v>
      </c>
      <c r="AI34" s="42">
        <v>804</v>
      </c>
      <c r="AJ34" s="40"/>
      <c r="AK34" s="40"/>
      <c r="AL34" s="42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21"/>
      <c r="BG34" s="21"/>
      <c r="BH34" s="21"/>
      <c r="BI34" s="21"/>
      <c r="BJ34" s="21"/>
      <c r="BK34" s="21"/>
      <c r="BL34" s="21"/>
      <c r="BM34" s="21"/>
    </row>
    <row r="35" spans="1:65" ht="15.75" customHeight="1">
      <c r="A35" s="22">
        <f t="shared" si="0"/>
        <v>97</v>
      </c>
      <c r="B35" s="22"/>
      <c r="C35" s="22" t="str">
        <f t="shared" si="1"/>
        <v>63. 982 TPE :aviators: [S5] Ludwig Groetzinger - SP (AndrewWarren13)</v>
      </c>
      <c r="D35" s="23">
        <f t="shared" si="2"/>
        <v>63</v>
      </c>
      <c r="E35" s="22" t="str">
        <f>VLOOKUP(H35,Analysis!$A$24:$B$33,2,FALSE)</f>
        <v>:aviators:</v>
      </c>
      <c r="F35" s="22"/>
      <c r="G35" s="22" t="s">
        <v>308</v>
      </c>
      <c r="H35" s="33" t="s">
        <v>5</v>
      </c>
      <c r="I35" s="34" t="s">
        <v>310</v>
      </c>
      <c r="J35" s="34" t="s">
        <v>312</v>
      </c>
      <c r="K35" s="33" t="s">
        <v>314</v>
      </c>
      <c r="L35" s="33" t="s">
        <v>90</v>
      </c>
      <c r="M35" s="33" t="s">
        <v>55</v>
      </c>
      <c r="N35" s="35">
        <v>982</v>
      </c>
      <c r="O35" s="36">
        <v>6</v>
      </c>
      <c r="P35" s="36"/>
      <c r="Q35" s="36"/>
      <c r="R35" s="36"/>
      <c r="S35" s="36"/>
      <c r="T35" s="33"/>
      <c r="U35" s="33" t="s">
        <v>33</v>
      </c>
      <c r="V35" s="33" t="s">
        <v>33</v>
      </c>
      <c r="W35" s="35">
        <v>13</v>
      </c>
      <c r="X35" s="33"/>
      <c r="Y35" s="33"/>
      <c r="Z35" s="33"/>
      <c r="AA35" s="33"/>
      <c r="AB35" s="33"/>
      <c r="AC35" s="35"/>
      <c r="AD35" s="33"/>
      <c r="AE35" s="33">
        <v>4</v>
      </c>
      <c r="AF35" s="33">
        <v>2</v>
      </c>
      <c r="AG35" s="33">
        <v>1.5</v>
      </c>
      <c r="AH35" s="36">
        <v>10.25</v>
      </c>
      <c r="AI35" s="33">
        <v>885</v>
      </c>
      <c r="AK35" s="35"/>
      <c r="AL35" s="35"/>
      <c r="AM35" s="33"/>
      <c r="AN35" s="38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21"/>
      <c r="BG35" s="21"/>
      <c r="BH35" s="21"/>
      <c r="BI35" s="21"/>
      <c r="BJ35" s="21"/>
      <c r="BK35" s="21"/>
      <c r="BL35" s="21"/>
      <c r="BM35" s="21"/>
    </row>
    <row r="36" spans="1:65" ht="15.75" customHeight="1">
      <c r="A36" s="22">
        <f t="shared" si="0"/>
        <v>0</v>
      </c>
      <c r="B36" s="22" t="str">
        <f>D36&amp;". $"&amp;O36&amp;"M "&amp;N36&amp;" TPE "&amp;E36&amp;" ["&amp;U36&amp;"] "&amp;K36&amp;" - "&amp;L36&amp;" ("&amp;I36&amp;")"</f>
        <v>134. $18.25M 977 TPE :aviators: [S4] Connor Tanner - CF (Keygan)</v>
      </c>
      <c r="C36" s="22" t="str">
        <f t="shared" si="1"/>
        <v>134. 977 TPE :aviators: [S4] Connor Tanner - CF (Keygan)</v>
      </c>
      <c r="D36" s="23">
        <f t="shared" si="2"/>
        <v>134</v>
      </c>
      <c r="E36" s="22" t="str">
        <f>VLOOKUP(H36,Analysis!$A$24:$B$33,2,FALSE)</f>
        <v>:aviators:</v>
      </c>
      <c r="F36" s="22"/>
      <c r="G36" s="22" t="s">
        <v>316</v>
      </c>
      <c r="H36" s="40" t="s">
        <v>5</v>
      </c>
      <c r="I36" s="41" t="s">
        <v>318</v>
      </c>
      <c r="J36" s="41" t="s">
        <v>320</v>
      </c>
      <c r="K36" s="40" t="s">
        <v>321</v>
      </c>
      <c r="L36" s="121" t="s">
        <v>67</v>
      </c>
      <c r="M36" s="40" t="s">
        <v>192</v>
      </c>
      <c r="N36" s="42">
        <v>977</v>
      </c>
      <c r="O36" s="43">
        <v>18.25</v>
      </c>
      <c r="P36" s="43">
        <v>4</v>
      </c>
      <c r="Q36" s="43">
        <v>4</v>
      </c>
      <c r="R36" s="43"/>
      <c r="S36" s="43"/>
      <c r="T36" s="40"/>
      <c r="U36" s="40" t="s">
        <v>32</v>
      </c>
      <c r="V36" s="40" t="s">
        <v>32</v>
      </c>
      <c r="W36" s="42">
        <v>2</v>
      </c>
      <c r="X36" s="40"/>
      <c r="Y36" s="40"/>
      <c r="Z36" s="40"/>
      <c r="AA36" s="40"/>
      <c r="AB36" s="40"/>
      <c r="AC36" s="42"/>
      <c r="AD36" s="40">
        <v>10</v>
      </c>
      <c r="AE36" s="40">
        <v>1</v>
      </c>
      <c r="AF36" s="40">
        <v>10</v>
      </c>
      <c r="AG36" s="40">
        <v>4</v>
      </c>
      <c r="AH36" s="43">
        <v>4.25</v>
      </c>
      <c r="AI36" s="40">
        <v>977</v>
      </c>
      <c r="AJ36" s="42">
        <v>100</v>
      </c>
      <c r="AK36" s="42">
        <v>100</v>
      </c>
      <c r="AM36" s="40"/>
      <c r="AN36" s="73"/>
      <c r="AO36" s="40" t="s">
        <v>209</v>
      </c>
      <c r="AP36" s="40" t="s">
        <v>322</v>
      </c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21"/>
      <c r="BG36" s="21"/>
      <c r="BH36" s="21"/>
      <c r="BI36" s="21"/>
      <c r="BJ36" s="21"/>
      <c r="BK36" s="21"/>
      <c r="BL36" s="21"/>
      <c r="BM36" s="21"/>
    </row>
    <row r="37" spans="1:65" ht="15.75" customHeight="1">
      <c r="A37" s="22">
        <f t="shared" si="0"/>
        <v>113</v>
      </c>
      <c r="B37" s="22"/>
      <c r="C37" s="22" t="str">
        <f t="shared" si="1"/>
        <v>52. 928 TPE :scorpions: [S5] Speedy Boi - LF (caltroit_red_flames)</v>
      </c>
      <c r="D37" s="23">
        <f t="shared" si="2"/>
        <v>52</v>
      </c>
      <c r="E37" s="22" t="str">
        <f>VLOOKUP(H37,Analysis!$A$24:$B$33,2,FALSE)</f>
        <v>:scorpions:</v>
      </c>
      <c r="F37" s="22"/>
      <c r="G37" s="22" t="s">
        <v>241</v>
      </c>
      <c r="H37" s="33" t="s">
        <v>10</v>
      </c>
      <c r="I37" s="34" t="s">
        <v>242</v>
      </c>
      <c r="J37" s="34" t="s">
        <v>244</v>
      </c>
      <c r="K37" s="33" t="s">
        <v>325</v>
      </c>
      <c r="L37" s="33" t="s">
        <v>180</v>
      </c>
      <c r="M37" s="33" t="s">
        <v>68</v>
      </c>
      <c r="N37" s="35">
        <v>928</v>
      </c>
      <c r="O37" s="45">
        <v>7.75</v>
      </c>
      <c r="P37" s="36">
        <v>7.75</v>
      </c>
      <c r="Q37" s="36"/>
      <c r="R37" s="36"/>
      <c r="S37" s="36"/>
      <c r="T37" s="33"/>
      <c r="U37" s="33" t="s">
        <v>33</v>
      </c>
      <c r="V37" s="33" t="s">
        <v>34</v>
      </c>
      <c r="W37" s="35">
        <v>1</v>
      </c>
      <c r="X37" s="33"/>
      <c r="Y37" s="33"/>
      <c r="Z37" s="33"/>
      <c r="AA37" s="33"/>
      <c r="AB37" s="33"/>
      <c r="AC37" s="35"/>
      <c r="AD37" s="35"/>
      <c r="AE37" s="35">
        <v>7</v>
      </c>
      <c r="AF37" s="35">
        <v>2</v>
      </c>
      <c r="AG37" s="35">
        <v>3</v>
      </c>
      <c r="AH37" s="45">
        <v>7.75</v>
      </c>
      <c r="AI37" s="35">
        <v>815</v>
      </c>
      <c r="AJ37" s="35"/>
      <c r="AK37" s="35"/>
      <c r="AL37" s="35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21"/>
      <c r="BG37" s="21"/>
      <c r="BH37" s="21"/>
      <c r="BI37" s="21"/>
      <c r="BJ37" s="21"/>
      <c r="BK37" s="21"/>
      <c r="BL37" s="21"/>
      <c r="BM37" s="21"/>
    </row>
    <row r="38" spans="1:65" ht="15.75" customHeight="1">
      <c r="A38" s="22">
        <f t="shared" si="0"/>
        <v>64</v>
      </c>
      <c r="B38" s="22"/>
      <c r="C38" s="22" t="str">
        <f t="shared" si="1"/>
        <v>84. 927 TPE :sloths: [S2] Khamati Kahn - SP (Kahn)</v>
      </c>
      <c r="D38" s="23">
        <f t="shared" si="2"/>
        <v>84</v>
      </c>
      <c r="E38" s="22" t="str">
        <f>VLOOKUP(H38,Analysis!$A$24:$B$33,2,FALSE)</f>
        <v>:sloths:</v>
      </c>
      <c r="F38" s="22"/>
      <c r="G38" s="22" t="s">
        <v>328</v>
      </c>
      <c r="H38" s="40" t="s">
        <v>11</v>
      </c>
      <c r="I38" s="41" t="s">
        <v>330</v>
      </c>
      <c r="J38" s="41" t="s">
        <v>331</v>
      </c>
      <c r="K38" s="40" t="s">
        <v>333</v>
      </c>
      <c r="L38" s="40" t="s">
        <v>90</v>
      </c>
      <c r="M38" s="40" t="s">
        <v>114</v>
      </c>
      <c r="N38" s="42">
        <v>927</v>
      </c>
      <c r="O38" s="44">
        <v>7.25</v>
      </c>
      <c r="P38" s="44"/>
      <c r="Q38" s="43"/>
      <c r="R38" s="43"/>
      <c r="S38" s="43"/>
      <c r="T38" s="40"/>
      <c r="U38" s="40" t="s">
        <v>78</v>
      </c>
      <c r="V38" s="40" t="s">
        <v>78</v>
      </c>
      <c r="W38" s="42">
        <v>21</v>
      </c>
      <c r="X38" s="40"/>
      <c r="Y38" s="40"/>
      <c r="Z38" s="40"/>
      <c r="AA38" s="40"/>
      <c r="AB38" s="40"/>
      <c r="AC38" s="40">
        <v>3</v>
      </c>
      <c r="AD38" s="40">
        <v>3</v>
      </c>
      <c r="AE38" s="40">
        <v>3</v>
      </c>
      <c r="AF38" s="40">
        <v>4</v>
      </c>
      <c r="AG38" s="40">
        <v>5</v>
      </c>
      <c r="AH38" s="44">
        <v>6.5</v>
      </c>
      <c r="AI38" s="40">
        <v>863</v>
      </c>
      <c r="AJ38" s="40">
        <v>285</v>
      </c>
      <c r="AK38" s="40">
        <v>273</v>
      </c>
      <c r="AL38" s="40">
        <v>256</v>
      </c>
      <c r="AN38" s="40">
        <v>240</v>
      </c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21"/>
      <c r="BG38" s="21"/>
      <c r="BH38" s="21"/>
      <c r="BI38" s="21"/>
      <c r="BJ38" s="21"/>
      <c r="BK38" s="21"/>
      <c r="BL38" s="21"/>
      <c r="BM38" s="21"/>
    </row>
    <row r="39" spans="1:65" ht="15.75" customHeight="1">
      <c r="A39" s="22">
        <f t="shared" si="0"/>
        <v>132</v>
      </c>
      <c r="B39" s="22" t="str">
        <f t="shared" ref="B39:B40" si="9">D39&amp;". Gained TPE: "&amp;A39&amp;" TPE - " &amp;N39&amp;" Current TPE "&amp;E39&amp;" ["&amp;U39&amp;"] "&amp;K39&amp;" - "&amp;L39&amp;" ("&amp;I39&amp;")"</f>
        <v>46. Gained TPE: 132 TPE - 914 Current TPE :voyagers: [S5] Ryan Stryker - SP (Ryan0413)</v>
      </c>
      <c r="C39" s="22" t="str">
        <f t="shared" si="1"/>
        <v>46. 914 TPE :voyagers: [S5] Ryan Stryker - SP (Ryan0413)</v>
      </c>
      <c r="D39" s="23">
        <f t="shared" si="2"/>
        <v>46</v>
      </c>
      <c r="E39" s="22" t="str">
        <f>VLOOKUP(H39,Analysis!$A$24:$B$33,2,FALSE)</f>
        <v>:voyagers:</v>
      </c>
      <c r="F39" s="22"/>
      <c r="G39" s="22" t="s">
        <v>337</v>
      </c>
      <c r="H39" s="33" t="s">
        <v>8</v>
      </c>
      <c r="I39" s="34" t="s">
        <v>339</v>
      </c>
      <c r="J39" s="34" t="s">
        <v>341</v>
      </c>
      <c r="K39" s="33" t="s">
        <v>342</v>
      </c>
      <c r="L39" s="33" t="s">
        <v>90</v>
      </c>
      <c r="M39" s="33" t="s">
        <v>55</v>
      </c>
      <c r="N39" s="35">
        <v>914</v>
      </c>
      <c r="O39" s="45">
        <v>5</v>
      </c>
      <c r="P39" s="36"/>
      <c r="Q39" s="36"/>
      <c r="R39" s="36"/>
      <c r="S39" s="36"/>
      <c r="T39" s="33"/>
      <c r="U39" s="33" t="s">
        <v>33</v>
      </c>
      <c r="V39" s="33" t="s">
        <v>33</v>
      </c>
      <c r="W39" s="35">
        <v>7</v>
      </c>
      <c r="X39" s="33"/>
      <c r="Y39" s="33"/>
      <c r="Z39" s="33"/>
      <c r="AA39" s="33"/>
      <c r="AB39" s="33"/>
      <c r="AC39" s="33"/>
      <c r="AD39" s="33"/>
      <c r="AE39" s="33">
        <v>5</v>
      </c>
      <c r="AF39" s="33">
        <v>4</v>
      </c>
      <c r="AG39" s="33">
        <v>4</v>
      </c>
      <c r="AH39" s="45">
        <v>8</v>
      </c>
      <c r="AI39" s="33">
        <v>782</v>
      </c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21"/>
      <c r="BG39" s="21"/>
      <c r="BH39" s="21"/>
      <c r="BI39" s="21"/>
      <c r="BJ39" s="21"/>
      <c r="BK39" s="21"/>
      <c r="BL39" s="21"/>
      <c r="BM39" s="21"/>
    </row>
    <row r="40" spans="1:65" ht="15.75" customHeight="1">
      <c r="A40" s="22">
        <f t="shared" si="0"/>
        <v>159</v>
      </c>
      <c r="B40" s="22" t="str">
        <f t="shared" si="9"/>
        <v>38. Gained TPE: 159 TPE - 890 Current TPE :vandals: [S5] Godfrey Bowman - RF (Frozen Rope)</v>
      </c>
      <c r="C40" s="22" t="str">
        <f t="shared" si="1"/>
        <v>38. 890 TPE :vandals: [S5] Godfrey Bowman - RF (Frozen Rope)</v>
      </c>
      <c r="D40" s="23">
        <f t="shared" si="2"/>
        <v>38</v>
      </c>
      <c r="E40" s="22" t="str">
        <f>VLOOKUP(H40,Analysis!$A$24:$B$33,2,FALSE)</f>
        <v>:vandals:</v>
      </c>
      <c r="F40" s="22"/>
      <c r="G40" s="22" t="s">
        <v>346</v>
      </c>
      <c r="H40" s="40" t="s">
        <v>12</v>
      </c>
      <c r="I40" s="41" t="s">
        <v>349</v>
      </c>
      <c r="J40" s="41" t="s">
        <v>351</v>
      </c>
      <c r="K40" s="40" t="s">
        <v>352</v>
      </c>
      <c r="L40" s="40" t="s">
        <v>131</v>
      </c>
      <c r="M40" s="40" t="s">
        <v>166</v>
      </c>
      <c r="N40" s="42">
        <v>890</v>
      </c>
      <c r="O40" s="43">
        <v>8</v>
      </c>
      <c r="P40" s="43">
        <v>9</v>
      </c>
      <c r="Q40" s="43"/>
      <c r="R40" s="43"/>
      <c r="S40" s="43"/>
      <c r="T40" s="40" t="s">
        <v>273</v>
      </c>
      <c r="U40" s="40" t="s">
        <v>33</v>
      </c>
      <c r="V40" s="40" t="s">
        <v>33</v>
      </c>
      <c r="W40" s="42">
        <v>12</v>
      </c>
      <c r="X40" s="40"/>
      <c r="Y40" s="40"/>
      <c r="Z40" s="40"/>
      <c r="AA40" s="40"/>
      <c r="AB40" s="40"/>
      <c r="AC40" s="40"/>
      <c r="AD40" s="40">
        <v>2</v>
      </c>
      <c r="AE40" s="40">
        <v>2</v>
      </c>
      <c r="AF40" s="42">
        <v>2</v>
      </c>
      <c r="AG40" s="42">
        <v>5.75</v>
      </c>
      <c r="AH40" s="44">
        <v>6.5</v>
      </c>
      <c r="AI40" s="42">
        <v>731</v>
      </c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21"/>
      <c r="BG40" s="21"/>
      <c r="BH40" s="21"/>
      <c r="BI40" s="21"/>
      <c r="BJ40" s="21"/>
      <c r="BK40" s="21"/>
      <c r="BL40" s="21"/>
      <c r="BM40" s="21"/>
    </row>
    <row r="41" spans="1:65" ht="15.75" customHeight="1">
      <c r="A41" s="22">
        <f t="shared" si="0"/>
        <v>-35</v>
      </c>
      <c r="B41" s="22"/>
      <c r="C41" s="22" t="str">
        <f t="shared" si="1"/>
        <v>294. 883 TPE :rangers: [S1] Sebastian Musgrave-Smythe - CL (OnceAndFutureKing)</v>
      </c>
      <c r="D41" s="23">
        <f t="shared" si="2"/>
        <v>294</v>
      </c>
      <c r="E41" s="22" t="str">
        <f>VLOOKUP(H41,Analysis!$A$24:$B$33,2,FALSE)</f>
        <v>:rangers:</v>
      </c>
      <c r="F41" s="22"/>
      <c r="G41" s="22" t="s">
        <v>353</v>
      </c>
      <c r="H41" s="33" t="s">
        <v>9</v>
      </c>
      <c r="I41" s="34" t="s">
        <v>354</v>
      </c>
      <c r="J41" s="34" t="s">
        <v>355</v>
      </c>
      <c r="K41" s="33" t="s">
        <v>356</v>
      </c>
      <c r="L41" s="33" t="s">
        <v>336</v>
      </c>
      <c r="M41" s="33" t="s">
        <v>114</v>
      </c>
      <c r="N41" s="35">
        <v>883</v>
      </c>
      <c r="O41" s="36">
        <v>8</v>
      </c>
      <c r="P41" s="36">
        <v>8</v>
      </c>
      <c r="Q41" s="36"/>
      <c r="R41" s="36"/>
      <c r="S41" s="36"/>
      <c r="T41" s="33"/>
      <c r="U41" s="33" t="s">
        <v>70</v>
      </c>
      <c r="V41" s="33" t="s">
        <v>70</v>
      </c>
      <c r="W41" s="35">
        <v>52</v>
      </c>
      <c r="X41" s="33"/>
      <c r="Y41" s="33"/>
      <c r="Z41" s="33"/>
      <c r="AA41" s="33"/>
      <c r="AB41" s="33">
        <v>3.5</v>
      </c>
      <c r="AC41" s="33">
        <v>3.5</v>
      </c>
      <c r="AD41" s="33">
        <v>3.5</v>
      </c>
      <c r="AE41" s="33">
        <v>5</v>
      </c>
      <c r="AF41" s="33">
        <v>5</v>
      </c>
      <c r="AG41" s="33">
        <v>6.25</v>
      </c>
      <c r="AH41" s="36">
        <v>6.5</v>
      </c>
      <c r="AI41" s="33">
        <v>918</v>
      </c>
      <c r="AJ41" s="33">
        <v>304</v>
      </c>
      <c r="AK41" s="35">
        <v>304</v>
      </c>
      <c r="AL41" s="35">
        <v>289</v>
      </c>
      <c r="AM41" s="33">
        <v>289</v>
      </c>
      <c r="AN41" s="38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21"/>
      <c r="BG41" s="21"/>
      <c r="BH41" s="21"/>
      <c r="BI41" s="21"/>
      <c r="BJ41" s="21"/>
      <c r="BK41" s="21"/>
      <c r="BL41" s="21"/>
      <c r="BM41" s="21"/>
    </row>
    <row r="42" spans="1:65" ht="15.75" customHeight="1">
      <c r="A42" s="22">
        <f t="shared" si="0"/>
        <v>38</v>
      </c>
      <c r="B42" s="22"/>
      <c r="C42" s="22" t="str">
        <f t="shared" si="1"/>
        <v>103. 857 TPE :crabs: [S3] Pete Rose - CL (Tindomul)</v>
      </c>
      <c r="D42" s="23">
        <f t="shared" si="2"/>
        <v>103</v>
      </c>
      <c r="E42" s="22" t="str">
        <f>VLOOKUP(H42,Analysis!$A$24:$B$33,2,FALSE)</f>
        <v>:crabs:</v>
      </c>
      <c r="F42" s="22"/>
      <c r="G42" s="22" t="s">
        <v>357</v>
      </c>
      <c r="H42" s="40" t="s">
        <v>3</v>
      </c>
      <c r="I42" s="41" t="s">
        <v>358</v>
      </c>
      <c r="J42" s="41" t="s">
        <v>359</v>
      </c>
      <c r="K42" s="40" t="s">
        <v>360</v>
      </c>
      <c r="L42" s="40" t="s">
        <v>336</v>
      </c>
      <c r="M42" s="40" t="s">
        <v>109</v>
      </c>
      <c r="N42" s="42">
        <v>857</v>
      </c>
      <c r="O42" s="43">
        <v>7.25</v>
      </c>
      <c r="P42" s="43"/>
      <c r="Q42" s="43"/>
      <c r="R42" s="43"/>
      <c r="S42" s="43"/>
      <c r="T42" s="40"/>
      <c r="U42" s="40" t="s">
        <v>126</v>
      </c>
      <c r="V42" s="40" t="s">
        <v>126</v>
      </c>
      <c r="W42" s="42">
        <v>10</v>
      </c>
      <c r="X42" s="40"/>
      <c r="Y42" s="40"/>
      <c r="Z42" s="40"/>
      <c r="AA42" s="40"/>
      <c r="AB42" s="40">
        <v>7</v>
      </c>
      <c r="AC42" s="40">
        <v>1</v>
      </c>
      <c r="AD42" s="40">
        <v>1</v>
      </c>
      <c r="AE42" s="40">
        <v>4</v>
      </c>
      <c r="AF42" s="40">
        <v>5</v>
      </c>
      <c r="AG42" s="40">
        <v>6.5</v>
      </c>
      <c r="AH42" s="43">
        <v>6.5</v>
      </c>
      <c r="AI42" s="40">
        <v>819</v>
      </c>
      <c r="AJ42" s="40">
        <v>175</v>
      </c>
      <c r="AK42" s="40">
        <v>165</v>
      </c>
      <c r="AL42" s="40">
        <v>154</v>
      </c>
      <c r="AM42" s="40">
        <v>130</v>
      </c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21"/>
      <c r="BG42" s="21"/>
      <c r="BH42" s="21"/>
      <c r="BI42" s="21"/>
      <c r="BJ42" s="21"/>
      <c r="BK42" s="21"/>
      <c r="BL42" s="21"/>
      <c r="BM42" s="21"/>
    </row>
    <row r="43" spans="1:65" ht="15.75" customHeight="1">
      <c r="A43" s="22">
        <f t="shared" si="0"/>
        <v>-113</v>
      </c>
      <c r="B43" s="22"/>
      <c r="C43" s="22" t="str">
        <f t="shared" si="1"/>
        <v>314. 830 TPE :sloths: [S1] Eijun Wozy - SP (TheWoZy)</v>
      </c>
      <c r="D43" s="23">
        <f t="shared" si="2"/>
        <v>314</v>
      </c>
      <c r="E43" s="22" t="str">
        <f>VLOOKUP(H43,Analysis!$A$24:$B$33,2,FALSE)</f>
        <v>:sloths:</v>
      </c>
      <c r="F43" s="22"/>
      <c r="G43" s="22" t="s">
        <v>361</v>
      </c>
      <c r="H43" s="33" t="s">
        <v>11</v>
      </c>
      <c r="I43" s="34" t="s">
        <v>362</v>
      </c>
      <c r="J43" s="34" t="s">
        <v>363</v>
      </c>
      <c r="K43" s="33" t="s">
        <v>364</v>
      </c>
      <c r="L43" s="33" t="s">
        <v>90</v>
      </c>
      <c r="M43" s="33" t="s">
        <v>114</v>
      </c>
      <c r="N43" s="35">
        <v>830</v>
      </c>
      <c r="O43" s="45">
        <v>8</v>
      </c>
      <c r="P43" s="45"/>
      <c r="Q43" s="36"/>
      <c r="R43" s="36"/>
      <c r="S43" s="36"/>
      <c r="T43" s="33"/>
      <c r="U43" s="33" t="s">
        <v>70</v>
      </c>
      <c r="V43" s="33" t="s">
        <v>70</v>
      </c>
      <c r="W43" s="35">
        <v>8</v>
      </c>
      <c r="X43" s="33"/>
      <c r="Y43" s="33"/>
      <c r="Z43" s="33"/>
      <c r="AA43" s="33"/>
      <c r="AB43" s="33">
        <v>4</v>
      </c>
      <c r="AC43" s="33">
        <v>4</v>
      </c>
      <c r="AD43" s="33">
        <v>5</v>
      </c>
      <c r="AE43" s="33">
        <v>6.5</v>
      </c>
      <c r="AF43" s="33">
        <v>464</v>
      </c>
      <c r="AG43" s="35">
        <v>16</v>
      </c>
      <c r="AH43" s="45">
        <v>12</v>
      </c>
      <c r="AI43" s="33">
        <v>943</v>
      </c>
      <c r="AJ43" s="33">
        <v>452</v>
      </c>
      <c r="AK43" s="33">
        <v>418</v>
      </c>
      <c r="AL43" s="33">
        <v>346</v>
      </c>
      <c r="AM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21"/>
      <c r="BG43" s="21"/>
      <c r="BH43" s="21"/>
      <c r="BI43" s="21"/>
      <c r="BJ43" s="21"/>
      <c r="BK43" s="21"/>
      <c r="BL43" s="21"/>
      <c r="BM43" s="21"/>
    </row>
    <row r="44" spans="1:65" ht="15.75" customHeight="1">
      <c r="A44" s="22">
        <f t="shared" si="0"/>
        <v>-111</v>
      </c>
      <c r="B44" s="22"/>
      <c r="C44" s="22" t="str">
        <f t="shared" si="1"/>
        <v>313. 822 TPE :sloths: [S1] Chaz LaLocke - SP (loneDigger)</v>
      </c>
      <c r="D44" s="23">
        <f t="shared" si="2"/>
        <v>313</v>
      </c>
      <c r="E44" s="22" t="str">
        <f>VLOOKUP(H44,Analysis!$A$24:$B$33,2,FALSE)</f>
        <v>:sloths:</v>
      </c>
      <c r="F44" s="22"/>
      <c r="G44" s="22" t="s">
        <v>365</v>
      </c>
      <c r="H44" s="40" t="s">
        <v>11</v>
      </c>
      <c r="I44" s="41" t="s">
        <v>366</v>
      </c>
      <c r="J44" s="41" t="s">
        <v>367</v>
      </c>
      <c r="K44" s="40" t="s">
        <v>368</v>
      </c>
      <c r="L44" s="40" t="s">
        <v>90</v>
      </c>
      <c r="M44" s="40" t="s">
        <v>114</v>
      </c>
      <c r="N44" s="42">
        <v>822</v>
      </c>
      <c r="O44" s="44">
        <v>8</v>
      </c>
      <c r="P44" s="44"/>
      <c r="Q44" s="44"/>
      <c r="R44" s="43"/>
      <c r="S44" s="43"/>
      <c r="T44" s="40"/>
      <c r="U44" s="40" t="s">
        <v>70</v>
      </c>
      <c r="V44" s="40" t="s">
        <v>70</v>
      </c>
      <c r="W44" s="42">
        <v>1</v>
      </c>
      <c r="X44" s="40"/>
      <c r="Y44" s="40"/>
      <c r="Z44" s="40"/>
      <c r="AA44" s="40"/>
      <c r="AB44" s="42"/>
      <c r="AC44" s="42">
        <v>5</v>
      </c>
      <c r="AD44" s="42">
        <v>6.95</v>
      </c>
      <c r="AE44" s="42">
        <v>10.35</v>
      </c>
      <c r="AF44" s="42">
        <v>8.5500000000000007</v>
      </c>
      <c r="AG44" s="42">
        <v>8</v>
      </c>
      <c r="AH44" s="44">
        <v>8</v>
      </c>
      <c r="AI44" s="42">
        <v>933</v>
      </c>
      <c r="AJ44" s="42">
        <v>587</v>
      </c>
      <c r="AK44" s="42">
        <v>575</v>
      </c>
      <c r="AL44" s="40">
        <v>532</v>
      </c>
      <c r="AM44" s="40">
        <v>501</v>
      </c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21"/>
      <c r="BG44" s="21"/>
      <c r="BH44" s="21"/>
      <c r="BI44" s="21"/>
      <c r="BJ44" s="21"/>
      <c r="BK44" s="21"/>
      <c r="BL44" s="21"/>
      <c r="BM44" s="21"/>
    </row>
    <row r="45" spans="1:65" ht="15.75" customHeight="1">
      <c r="A45" s="22">
        <f t="shared" si="0"/>
        <v>175</v>
      </c>
      <c r="B45" s="22" t="str">
        <f>D45&amp;". Gained TPE: "&amp;A45&amp;" TPE - " &amp;N45&amp;" Current TPE "&amp;E45&amp;" ["&amp;U45&amp;"] "&amp;K45&amp;" - "&amp;L45&amp;" ("&amp;I45&amp;")"</f>
        <v>27. Gained TPE: 175 TPE - 775 Current TPE :voyagers: [S6] Louis Storm - 2B (StormZ_23)</v>
      </c>
      <c r="C45" s="22" t="str">
        <f t="shared" si="1"/>
        <v>27. 775 TPE :voyagers: [S6] Louis Storm - 2B (StormZ_23)</v>
      </c>
      <c r="D45" s="23">
        <f t="shared" si="2"/>
        <v>27</v>
      </c>
      <c r="E45" s="22" t="str">
        <f>VLOOKUP(H45,Analysis!$A$24:$B$33,2,FALSE)</f>
        <v>:voyagers:</v>
      </c>
      <c r="F45" s="22"/>
      <c r="G45" s="22" t="s">
        <v>369</v>
      </c>
      <c r="H45" s="33" t="s">
        <v>8</v>
      </c>
      <c r="I45" s="34" t="s">
        <v>370</v>
      </c>
      <c r="J45" s="34" t="s">
        <v>371</v>
      </c>
      <c r="K45" s="33" t="s">
        <v>372</v>
      </c>
      <c r="L45" s="33" t="s">
        <v>83</v>
      </c>
      <c r="M45" s="33" t="s">
        <v>151</v>
      </c>
      <c r="N45" s="35">
        <v>775</v>
      </c>
      <c r="O45" s="36">
        <v>6</v>
      </c>
      <c r="P45" s="36">
        <v>5</v>
      </c>
      <c r="Q45" s="36">
        <v>4</v>
      </c>
      <c r="R45" s="36"/>
      <c r="S45" s="36"/>
      <c r="T45" s="33" t="s">
        <v>373</v>
      </c>
      <c r="U45" s="33" t="s">
        <v>34</v>
      </c>
      <c r="V45" s="33" t="s">
        <v>34</v>
      </c>
      <c r="W45" s="35">
        <v>16</v>
      </c>
      <c r="X45" s="33" t="s">
        <v>374</v>
      </c>
      <c r="Y45" s="33">
        <v>6</v>
      </c>
      <c r="Z45" s="33">
        <v>12</v>
      </c>
      <c r="AA45" s="33" t="s">
        <v>375</v>
      </c>
      <c r="AB45" s="35"/>
      <c r="AC45" s="35"/>
      <c r="AD45" s="35"/>
      <c r="AE45" s="35"/>
      <c r="AF45" s="35">
        <v>2.5</v>
      </c>
      <c r="AG45" s="35">
        <v>2.5</v>
      </c>
      <c r="AH45" s="36">
        <v>2.5</v>
      </c>
      <c r="AI45" s="35">
        <v>600</v>
      </c>
      <c r="AK45" s="35"/>
      <c r="AL45" s="35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21"/>
      <c r="BG45" s="21"/>
      <c r="BH45" s="21"/>
      <c r="BI45" s="21"/>
      <c r="BJ45" s="21"/>
      <c r="BK45" s="21"/>
      <c r="BL45" s="21"/>
      <c r="BM45" s="21"/>
    </row>
    <row r="46" spans="1:65" ht="15.75" customHeight="1">
      <c r="A46" s="22">
        <f t="shared" si="0"/>
        <v>69</v>
      </c>
      <c r="B46" s="22"/>
      <c r="C46" s="22" t="str">
        <f t="shared" si="1"/>
        <v>81. 775 TPE :voyagers: [S1] Laddy McBantershire - C (Raven)</v>
      </c>
      <c r="D46" s="23">
        <f t="shared" si="2"/>
        <v>81</v>
      </c>
      <c r="E46" s="22" t="str">
        <f>VLOOKUP(H46,Analysis!$A$24:$B$33,2,FALSE)</f>
        <v>:voyagers:</v>
      </c>
      <c r="F46" s="22"/>
      <c r="G46" s="22" t="s">
        <v>376</v>
      </c>
      <c r="H46" s="40" t="s">
        <v>8</v>
      </c>
      <c r="I46" s="41" t="s">
        <v>377</v>
      </c>
      <c r="J46" s="41" t="s">
        <v>378</v>
      </c>
      <c r="K46" s="40" t="s">
        <v>379</v>
      </c>
      <c r="L46" s="40" t="s">
        <v>103</v>
      </c>
      <c r="M46" s="40" t="s">
        <v>294</v>
      </c>
      <c r="N46" s="42">
        <v>775</v>
      </c>
      <c r="O46" s="43">
        <v>6.5</v>
      </c>
      <c r="P46" s="43"/>
      <c r="Q46" s="43"/>
      <c r="R46" s="43"/>
      <c r="S46" s="43"/>
      <c r="T46" s="135" t="s">
        <v>380</v>
      </c>
      <c r="U46" s="40" t="s">
        <v>70</v>
      </c>
      <c r="V46" s="40" t="s">
        <v>70</v>
      </c>
      <c r="W46" s="42">
        <v>12</v>
      </c>
      <c r="X46" s="40"/>
      <c r="Y46" s="42"/>
      <c r="Z46" s="42"/>
      <c r="AA46" s="40"/>
      <c r="AB46" s="40"/>
      <c r="AC46" s="40">
        <v>2</v>
      </c>
      <c r="AD46" s="40">
        <v>3</v>
      </c>
      <c r="AE46" s="42">
        <v>4</v>
      </c>
      <c r="AF46" s="42">
        <v>5.75</v>
      </c>
      <c r="AG46" s="42">
        <v>6.25</v>
      </c>
      <c r="AH46" s="44">
        <v>6</v>
      </c>
      <c r="AI46" s="40">
        <v>706</v>
      </c>
      <c r="AJ46" s="40">
        <v>360</v>
      </c>
      <c r="AK46" s="40">
        <v>352</v>
      </c>
      <c r="AL46" s="40">
        <v>344</v>
      </c>
      <c r="AM46" s="40">
        <v>314</v>
      </c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21"/>
      <c r="BG46" s="21"/>
      <c r="BH46" s="21"/>
      <c r="BI46" s="21"/>
      <c r="BJ46" s="21"/>
      <c r="BK46" s="21"/>
      <c r="BL46" s="21"/>
      <c r="BM46" s="21"/>
    </row>
    <row r="47" spans="1:65" ht="15.75" customHeight="1">
      <c r="A47" s="22">
        <f t="shared" si="0"/>
        <v>-106</v>
      </c>
      <c r="B47" s="22"/>
      <c r="C47" s="22" t="str">
        <f t="shared" si="1"/>
        <v>312. 775 TPE :voyagers: [S1] Pepe Alazar - CF (FTR)</v>
      </c>
      <c r="D47" s="23">
        <f t="shared" si="2"/>
        <v>312</v>
      </c>
      <c r="E47" s="22" t="str">
        <f>VLOOKUP(H47,Analysis!$A$24:$B$33,2,FALSE)</f>
        <v>:voyagers:</v>
      </c>
      <c r="F47" s="22"/>
      <c r="G47" s="22" t="s">
        <v>381</v>
      </c>
      <c r="H47" s="33" t="s">
        <v>8</v>
      </c>
      <c r="I47" s="34" t="s">
        <v>382</v>
      </c>
      <c r="J47" s="34" t="s">
        <v>383</v>
      </c>
      <c r="K47" s="33" t="s">
        <v>384</v>
      </c>
      <c r="L47" s="79" t="s">
        <v>67</v>
      </c>
      <c r="M47" s="33" t="s">
        <v>166</v>
      </c>
      <c r="N47" s="35">
        <v>775</v>
      </c>
      <c r="O47" s="36">
        <v>7.25</v>
      </c>
      <c r="P47" s="36"/>
      <c r="Q47" s="36"/>
      <c r="R47" s="36"/>
      <c r="S47" s="36"/>
      <c r="T47" s="33"/>
      <c r="U47" s="33" t="s">
        <v>70</v>
      </c>
      <c r="V47" s="33" t="s">
        <v>70</v>
      </c>
      <c r="W47" s="35">
        <v>49</v>
      </c>
      <c r="X47" s="33"/>
      <c r="Y47" s="35"/>
      <c r="Z47" s="35"/>
      <c r="AA47" s="33"/>
      <c r="AB47" s="33"/>
      <c r="AC47" s="33">
        <v>14</v>
      </c>
      <c r="AD47" s="33">
        <v>4</v>
      </c>
      <c r="AE47" s="35">
        <v>6.5</v>
      </c>
      <c r="AF47" s="35">
        <v>14.5</v>
      </c>
      <c r="AG47" s="35">
        <v>7.25</v>
      </c>
      <c r="AH47" s="45">
        <v>7.25</v>
      </c>
      <c r="AI47" s="33">
        <v>881</v>
      </c>
      <c r="AJ47" s="33">
        <v>595</v>
      </c>
      <c r="AK47" s="33">
        <v>577</v>
      </c>
      <c r="AL47" s="33">
        <v>563</v>
      </c>
      <c r="AM47" s="33">
        <v>539</v>
      </c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21"/>
      <c r="BG47" s="21"/>
      <c r="BH47" s="21"/>
      <c r="BI47" s="21"/>
      <c r="BJ47" s="21"/>
      <c r="BK47" s="21"/>
      <c r="BL47" s="21"/>
      <c r="BM47" s="21"/>
    </row>
    <row r="48" spans="1:65" ht="15.75" customHeight="1">
      <c r="A48" s="22">
        <f t="shared" si="0"/>
        <v>103</v>
      </c>
      <c r="B48" s="22"/>
      <c r="C48" s="22" t="str">
        <f t="shared" si="1"/>
        <v>59. 768 TPE :sloths: [S6] Bobby Hill - SP (Whatistheinternet)</v>
      </c>
      <c r="D48" s="23">
        <f t="shared" si="2"/>
        <v>59</v>
      </c>
      <c r="E48" s="22" t="str">
        <f>VLOOKUP(H48,Analysis!$A$24:$B$33,2,FALSE)</f>
        <v>:sloths:</v>
      </c>
      <c r="F48" s="22"/>
      <c r="G48" s="22" t="s">
        <v>385</v>
      </c>
      <c r="H48" s="40" t="s">
        <v>11</v>
      </c>
      <c r="I48" s="41" t="s">
        <v>386</v>
      </c>
      <c r="J48" s="41" t="s">
        <v>387</v>
      </c>
      <c r="K48" s="40" t="s">
        <v>388</v>
      </c>
      <c r="L48" s="40" t="s">
        <v>90</v>
      </c>
      <c r="M48" s="40" t="s">
        <v>55</v>
      </c>
      <c r="N48" s="42">
        <v>768</v>
      </c>
      <c r="O48" s="44">
        <v>8.74</v>
      </c>
      <c r="P48" s="44">
        <v>10</v>
      </c>
      <c r="Q48" s="44">
        <v>12</v>
      </c>
      <c r="R48" s="43"/>
      <c r="S48" s="43"/>
      <c r="T48" s="40"/>
      <c r="U48" s="40" t="s">
        <v>34</v>
      </c>
      <c r="V48" s="40" t="s">
        <v>34</v>
      </c>
      <c r="W48" s="42">
        <v>9</v>
      </c>
      <c r="X48" s="40" t="s">
        <v>374</v>
      </c>
      <c r="Y48" s="40">
        <v>6</v>
      </c>
      <c r="Z48" s="40">
        <v>2</v>
      </c>
      <c r="AA48" s="40"/>
      <c r="AB48" s="42"/>
      <c r="AC48" s="42"/>
      <c r="AD48" s="42"/>
      <c r="AE48" s="42"/>
      <c r="AF48" s="42">
        <v>2.5</v>
      </c>
      <c r="AG48" s="42">
        <v>3.5</v>
      </c>
      <c r="AH48" s="44">
        <v>4</v>
      </c>
      <c r="AI48" s="42">
        <v>665</v>
      </c>
      <c r="AJ48" s="42"/>
      <c r="AK48" s="42"/>
      <c r="AL48" s="40"/>
      <c r="AM48" s="40"/>
      <c r="AO48" s="40" t="s">
        <v>389</v>
      </c>
      <c r="AP48" s="40" t="s">
        <v>390</v>
      </c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21"/>
      <c r="BG48" s="21"/>
      <c r="BH48" s="21"/>
      <c r="BI48" s="21"/>
      <c r="BJ48" s="21"/>
      <c r="BK48" s="21"/>
      <c r="BL48" s="21"/>
      <c r="BM48" s="21"/>
    </row>
    <row r="49" spans="1:65" ht="15.75" customHeight="1">
      <c r="A49" s="22">
        <f t="shared" si="0"/>
        <v>-104</v>
      </c>
      <c r="B49" s="22"/>
      <c r="C49" s="22" t="str">
        <f t="shared" si="1"/>
        <v>311. 764 TPE :crabs: [S1] Mike Boss - 1B (Boss)</v>
      </c>
      <c r="D49" s="23">
        <f t="shared" si="2"/>
        <v>311</v>
      </c>
      <c r="E49" s="22" t="str">
        <f>VLOOKUP(H49,Analysis!$A$24:$B$33,2,FALSE)</f>
        <v>:crabs:</v>
      </c>
      <c r="F49" s="22"/>
      <c r="G49" s="22" t="s">
        <v>391</v>
      </c>
      <c r="H49" s="33" t="s">
        <v>3</v>
      </c>
      <c r="I49" s="34" t="s">
        <v>57</v>
      </c>
      <c r="J49" s="34" t="s">
        <v>392</v>
      </c>
      <c r="K49" s="33" t="s">
        <v>393</v>
      </c>
      <c r="L49" s="33" t="s">
        <v>187</v>
      </c>
      <c r="M49" s="33" t="s">
        <v>192</v>
      </c>
      <c r="N49" s="35">
        <v>764</v>
      </c>
      <c r="O49" s="36">
        <v>7.25</v>
      </c>
      <c r="P49" s="36"/>
      <c r="Q49" s="36"/>
      <c r="R49" s="36"/>
      <c r="S49" s="36"/>
      <c r="T49" s="33"/>
      <c r="U49" s="33" t="s">
        <v>70</v>
      </c>
      <c r="V49" s="33" t="s">
        <v>70</v>
      </c>
      <c r="W49" s="35">
        <v>17</v>
      </c>
      <c r="X49" s="33"/>
      <c r="Y49" s="33"/>
      <c r="Z49" s="33"/>
      <c r="AA49" s="33"/>
      <c r="AB49" s="35">
        <v>4</v>
      </c>
      <c r="AC49" s="35">
        <v>5</v>
      </c>
      <c r="AD49" s="35">
        <v>6.5</v>
      </c>
      <c r="AE49" s="35">
        <v>7.25</v>
      </c>
      <c r="AF49" s="35">
        <v>7.5</v>
      </c>
      <c r="AG49" s="35">
        <v>7.25</v>
      </c>
      <c r="AH49" s="45">
        <v>7.25</v>
      </c>
      <c r="AI49" s="35">
        <v>868</v>
      </c>
      <c r="AJ49" s="35">
        <v>544</v>
      </c>
      <c r="AK49" s="35">
        <v>525</v>
      </c>
      <c r="AL49" s="35">
        <v>511</v>
      </c>
      <c r="AM49" s="33">
        <v>487</v>
      </c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21"/>
      <c r="BG49" s="21"/>
      <c r="BH49" s="21"/>
      <c r="BI49" s="21"/>
      <c r="BJ49" s="21"/>
      <c r="BK49" s="21"/>
      <c r="BL49" s="21"/>
      <c r="BM49" s="21"/>
    </row>
    <row r="50" spans="1:65" ht="15.75" customHeight="1">
      <c r="A50" s="22">
        <f t="shared" si="0"/>
        <v>41</v>
      </c>
      <c r="B50" s="22"/>
      <c r="C50" s="22" t="str">
        <f t="shared" si="1"/>
        <v>100. 763 TPE :crabs: [S1] Matthew Valentine - CF (Unicorn)</v>
      </c>
      <c r="D50" s="23">
        <f t="shared" si="2"/>
        <v>100</v>
      </c>
      <c r="E50" s="22" t="str">
        <f>VLOOKUP(H50,Analysis!$A$24:$B$33,2,FALSE)</f>
        <v>:crabs:</v>
      </c>
      <c r="F50" s="22"/>
      <c r="G50" s="22" t="s">
        <v>394</v>
      </c>
      <c r="H50" s="40" t="s">
        <v>3</v>
      </c>
      <c r="I50" s="41" t="s">
        <v>395</v>
      </c>
      <c r="J50" s="41" t="s">
        <v>396</v>
      </c>
      <c r="K50" s="40" t="s">
        <v>397</v>
      </c>
      <c r="L50" s="40" t="s">
        <v>67</v>
      </c>
      <c r="M50" s="40" t="s">
        <v>398</v>
      </c>
      <c r="N50" s="42">
        <v>763</v>
      </c>
      <c r="O50" s="43">
        <v>7.25</v>
      </c>
      <c r="P50" s="43"/>
      <c r="Q50" s="43"/>
      <c r="R50" s="43"/>
      <c r="S50" s="43"/>
      <c r="T50" s="40" t="s">
        <v>350</v>
      </c>
      <c r="U50" s="40" t="s">
        <v>70</v>
      </c>
      <c r="V50" s="40" t="s">
        <v>70</v>
      </c>
      <c r="W50" s="42">
        <v>53</v>
      </c>
      <c r="X50" s="40"/>
      <c r="Y50" s="40"/>
      <c r="Z50" s="40"/>
      <c r="AA50" s="40"/>
      <c r="AB50" s="40">
        <v>3</v>
      </c>
      <c r="AC50" s="40">
        <v>4</v>
      </c>
      <c r="AD50" s="42">
        <v>5</v>
      </c>
      <c r="AE50" s="42">
        <v>5.75</v>
      </c>
      <c r="AF50" s="42">
        <v>5</v>
      </c>
      <c r="AG50" s="40">
        <v>6.5</v>
      </c>
      <c r="AH50" s="43">
        <v>7.25</v>
      </c>
      <c r="AI50" s="40">
        <v>722</v>
      </c>
      <c r="AJ50" s="40">
        <v>427</v>
      </c>
      <c r="AK50" s="40">
        <v>408</v>
      </c>
      <c r="AL50" s="40">
        <v>408</v>
      </c>
      <c r="AM50" s="40">
        <v>390</v>
      </c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21"/>
      <c r="BG50" s="21"/>
      <c r="BH50" s="21"/>
      <c r="BI50" s="21"/>
      <c r="BJ50" s="21"/>
      <c r="BK50" s="21"/>
      <c r="BL50" s="21"/>
      <c r="BM50" s="21"/>
    </row>
    <row r="51" spans="1:65" ht="15.75" customHeight="1">
      <c r="A51" s="22">
        <f t="shared" si="0"/>
        <v>-101</v>
      </c>
      <c r="B51" s="22"/>
      <c r="C51" s="22" t="str">
        <f t="shared" si="1"/>
        <v>310. 742 TPE :crabs: [S1] Jackson Jackson - C (4D Chess)</v>
      </c>
      <c r="D51" s="23">
        <f t="shared" si="2"/>
        <v>310</v>
      </c>
      <c r="E51" s="22" t="str">
        <f>VLOOKUP(H51,Analysis!$A$24:$B$33,2,FALSE)</f>
        <v>:crabs:</v>
      </c>
      <c r="F51" s="22"/>
      <c r="G51" s="22" t="s">
        <v>399</v>
      </c>
      <c r="H51" s="33" t="s">
        <v>3</v>
      </c>
      <c r="I51" s="34" t="s">
        <v>400</v>
      </c>
      <c r="J51" s="34" t="s">
        <v>401</v>
      </c>
      <c r="K51" s="33" t="s">
        <v>402</v>
      </c>
      <c r="L51" s="33" t="s">
        <v>103</v>
      </c>
      <c r="M51" s="33" t="s">
        <v>159</v>
      </c>
      <c r="N51" s="35">
        <v>742</v>
      </c>
      <c r="O51" s="36">
        <v>8</v>
      </c>
      <c r="P51" s="36"/>
      <c r="Q51" s="36"/>
      <c r="R51" s="36"/>
      <c r="S51" s="36"/>
      <c r="T51" s="33" t="s">
        <v>202</v>
      </c>
      <c r="U51" s="33" t="s">
        <v>70</v>
      </c>
      <c r="V51" s="33" t="s">
        <v>70</v>
      </c>
      <c r="W51" s="35" t="s">
        <v>141</v>
      </c>
      <c r="X51" s="33"/>
      <c r="Y51" s="33"/>
      <c r="Z51" s="33"/>
      <c r="AA51" s="33"/>
      <c r="AB51" s="33">
        <v>2</v>
      </c>
      <c r="AC51" s="33">
        <v>3</v>
      </c>
      <c r="AD51" s="33">
        <v>3</v>
      </c>
      <c r="AE51" s="33">
        <v>3</v>
      </c>
      <c r="AF51" s="33">
        <v>5</v>
      </c>
      <c r="AG51" s="33">
        <v>5.75</v>
      </c>
      <c r="AH51" s="36">
        <v>7.25</v>
      </c>
      <c r="AI51" s="33">
        <v>843</v>
      </c>
      <c r="AJ51" s="33">
        <v>373</v>
      </c>
      <c r="AK51" s="33">
        <v>373</v>
      </c>
      <c r="AL51" s="35">
        <v>373</v>
      </c>
      <c r="AM51" s="35">
        <v>373</v>
      </c>
      <c r="AN51" s="38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21"/>
      <c r="BG51" s="21"/>
      <c r="BH51" s="21"/>
      <c r="BI51" s="21"/>
      <c r="BJ51" s="21"/>
      <c r="BK51" s="21"/>
      <c r="BL51" s="21"/>
      <c r="BM51" s="21"/>
    </row>
    <row r="52" spans="1:65" ht="15.75" customHeight="1">
      <c r="A52" s="22">
        <f t="shared" si="0"/>
        <v>123</v>
      </c>
      <c r="B52" s="22" t="str">
        <f>D52&amp;". Gained TPE: "&amp;A52&amp;" TPE - " &amp;N52&amp;" Current TPE "&amp;E52&amp;" ["&amp;U52&amp;"] "&amp;K52&amp;" - "&amp;L52&amp;" ("&amp;I52&amp;")"</f>
        <v>48. Gained TPE: 123 TPE - 739 Current TPE :rangers: [S5] Nate Piazza - C (NamelessNate)</v>
      </c>
      <c r="C52" s="22" t="str">
        <f t="shared" si="1"/>
        <v>48. 739 TPE :rangers: [S5] Nate Piazza - C (NamelessNate)</v>
      </c>
      <c r="D52" s="23">
        <f t="shared" si="2"/>
        <v>48</v>
      </c>
      <c r="E52" s="22" t="str">
        <f>VLOOKUP(H52,Analysis!$A$24:$B$33,2,FALSE)</f>
        <v>:rangers:</v>
      </c>
      <c r="F52" s="22"/>
      <c r="G52" s="22" t="s">
        <v>403</v>
      </c>
      <c r="H52" s="40" t="s">
        <v>9</v>
      </c>
      <c r="I52" s="41" t="s">
        <v>404</v>
      </c>
      <c r="J52" s="41" t="s">
        <v>405</v>
      </c>
      <c r="K52" s="40" t="s">
        <v>406</v>
      </c>
      <c r="L52" s="40" t="s">
        <v>103</v>
      </c>
      <c r="M52" s="40" t="s">
        <v>46</v>
      </c>
      <c r="N52" s="42">
        <v>739</v>
      </c>
      <c r="O52" s="43">
        <v>5.75</v>
      </c>
      <c r="P52" s="43">
        <v>6.5</v>
      </c>
      <c r="Q52" s="43"/>
      <c r="R52" s="43"/>
      <c r="S52" s="43"/>
      <c r="T52" s="135" t="s">
        <v>407</v>
      </c>
      <c r="U52" s="40" t="s">
        <v>33</v>
      </c>
      <c r="V52" s="40" t="s">
        <v>33</v>
      </c>
      <c r="W52" s="42">
        <v>5</v>
      </c>
      <c r="X52" s="40"/>
      <c r="Y52" s="40"/>
      <c r="Z52" s="40"/>
      <c r="AA52" s="40"/>
      <c r="AB52" s="42"/>
      <c r="AC52" s="42"/>
      <c r="AD52" s="42"/>
      <c r="AE52" s="42">
        <v>5</v>
      </c>
      <c r="AF52" s="42">
        <v>5</v>
      </c>
      <c r="AG52" s="42">
        <v>12</v>
      </c>
      <c r="AH52" s="44">
        <v>5.75</v>
      </c>
      <c r="AI52" s="42">
        <v>616</v>
      </c>
      <c r="AJ52" s="42">
        <v>6.5</v>
      </c>
      <c r="AK52" s="42"/>
      <c r="AL52" s="42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21"/>
      <c r="BG52" s="21"/>
      <c r="BH52" s="21"/>
      <c r="BI52" s="21"/>
      <c r="BJ52" s="21"/>
      <c r="BK52" s="21"/>
      <c r="BL52" s="21"/>
      <c r="BM52" s="21"/>
    </row>
    <row r="53" spans="1:65" ht="15.75" customHeight="1">
      <c r="A53" s="22">
        <f t="shared" si="0"/>
        <v>54</v>
      </c>
      <c r="B53" s="22"/>
      <c r="C53" s="22" t="str">
        <f t="shared" si="1"/>
        <v>93. 738 TPE :rangers: [S4] Hawk Russell - LF (adam2552)</v>
      </c>
      <c r="D53" s="23">
        <f t="shared" si="2"/>
        <v>93</v>
      </c>
      <c r="E53" s="22" t="str">
        <f>VLOOKUP(H53,Analysis!$A$24:$B$33,2,FALSE)</f>
        <v>:rangers:</v>
      </c>
      <c r="F53" s="22"/>
      <c r="G53" s="26" t="s">
        <v>408</v>
      </c>
      <c r="H53" s="56" t="s">
        <v>9</v>
      </c>
      <c r="I53" s="136" t="s">
        <v>409</v>
      </c>
      <c r="J53" s="136" t="s">
        <v>410</v>
      </c>
      <c r="K53" s="56" t="s">
        <v>411</v>
      </c>
      <c r="L53" s="56" t="s">
        <v>180</v>
      </c>
      <c r="M53" s="56" t="s">
        <v>192</v>
      </c>
      <c r="N53" s="56">
        <v>738</v>
      </c>
      <c r="O53" s="60">
        <v>6.5</v>
      </c>
      <c r="P53" s="60"/>
      <c r="Q53" s="60"/>
      <c r="R53" s="60"/>
      <c r="S53" s="60"/>
      <c r="T53" s="56"/>
      <c r="U53" s="56" t="s">
        <v>32</v>
      </c>
      <c r="V53" s="56" t="s">
        <v>32</v>
      </c>
      <c r="W53" s="56">
        <v>7</v>
      </c>
      <c r="X53" s="56"/>
      <c r="Y53" s="56"/>
      <c r="Z53" s="56"/>
      <c r="AA53" s="56"/>
      <c r="AB53" s="56"/>
      <c r="AC53" s="56"/>
      <c r="AD53" s="56">
        <v>4</v>
      </c>
      <c r="AE53" s="56">
        <v>3</v>
      </c>
      <c r="AF53" s="56">
        <v>8.5</v>
      </c>
      <c r="AG53" s="56">
        <v>10</v>
      </c>
      <c r="AH53" s="60">
        <v>5.75</v>
      </c>
      <c r="AI53" s="56">
        <v>684</v>
      </c>
      <c r="AJ53" s="60">
        <v>5</v>
      </c>
      <c r="AK53" s="56">
        <v>100</v>
      </c>
      <c r="AL53" s="56" t="e">
        <v>#REF!</v>
      </c>
      <c r="AM53" s="56"/>
      <c r="AN53" s="56"/>
      <c r="AO53" s="56" t="s">
        <v>91</v>
      </c>
      <c r="AP53" s="56" t="s">
        <v>412</v>
      </c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</row>
    <row r="54" spans="1:65" ht="15.75" customHeight="1">
      <c r="A54" s="22">
        <f t="shared" si="0"/>
        <v>183</v>
      </c>
      <c r="B54" s="22" t="str">
        <f>D54&amp;". Gained TPE: "&amp;A54&amp;" TPE - " &amp;N54&amp;" Current TPE "&amp;E54&amp;" ["&amp;U54&amp;"] "&amp;K54&amp;" - "&amp;L54&amp;" ("&amp;I54&amp;")"</f>
        <v>20. Gained TPE: 183 TPE - 725 Current TPE :aviators: [S7] Johnathon Livingston - CL (PSanchez55)</v>
      </c>
      <c r="C54" s="22" t="str">
        <f t="shared" si="1"/>
        <v>20. 725 TPE :aviators: [S7] Johnathon Livingston - CL (PSanchez55)</v>
      </c>
      <c r="D54" s="23">
        <f t="shared" si="2"/>
        <v>20</v>
      </c>
      <c r="E54" s="22" t="str">
        <f>VLOOKUP(H54,Analysis!$A$24:$B$33,2,FALSE)</f>
        <v>:aviators:</v>
      </c>
      <c r="F54" s="22"/>
      <c r="G54" s="22" t="s">
        <v>413</v>
      </c>
      <c r="H54" s="40" t="s">
        <v>5</v>
      </c>
      <c r="I54" s="41" t="s">
        <v>414</v>
      </c>
      <c r="J54" s="41" t="s">
        <v>415</v>
      </c>
      <c r="K54" s="40" t="s">
        <v>416</v>
      </c>
      <c r="L54" s="40" t="s">
        <v>336</v>
      </c>
      <c r="M54" s="40" t="s">
        <v>55</v>
      </c>
      <c r="N54" s="42">
        <v>725</v>
      </c>
      <c r="O54" s="44">
        <v>3</v>
      </c>
      <c r="P54" s="43"/>
      <c r="Q54" s="43"/>
      <c r="R54" s="43"/>
      <c r="S54" s="43"/>
      <c r="T54" s="40" t="s">
        <v>417</v>
      </c>
      <c r="U54" s="40" t="s">
        <v>35</v>
      </c>
      <c r="V54" s="40" t="s">
        <v>35</v>
      </c>
      <c r="W54" s="42">
        <v>9</v>
      </c>
      <c r="X54" s="40"/>
      <c r="Y54" s="40"/>
      <c r="Z54" s="40"/>
      <c r="AA54" s="40"/>
      <c r="AB54" s="40"/>
      <c r="AC54" s="42"/>
      <c r="AD54" s="42"/>
      <c r="AE54" s="42"/>
      <c r="AF54" s="42"/>
      <c r="AG54" s="42" t="s">
        <v>257</v>
      </c>
      <c r="AH54" s="44">
        <v>3</v>
      </c>
      <c r="AI54" s="40">
        <v>542</v>
      </c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21"/>
      <c r="BG54" s="21"/>
      <c r="BH54" s="21"/>
      <c r="BI54" s="21"/>
      <c r="BJ54" s="21"/>
      <c r="BK54" s="21"/>
      <c r="BL54" s="21"/>
      <c r="BM54" s="21"/>
    </row>
    <row r="55" spans="1:65" ht="15.75" customHeight="1">
      <c r="A55" s="22">
        <f t="shared" si="0"/>
        <v>93</v>
      </c>
      <c r="B55" s="22"/>
      <c r="C55" s="22" t="str">
        <f t="shared" si="1"/>
        <v>65. 718 TPE :aviators: [S6] Jordan von Matt - LF (JVMjrDOT)</v>
      </c>
      <c r="D55" s="23">
        <f t="shared" si="2"/>
        <v>65</v>
      </c>
      <c r="E55" s="22" t="str">
        <f>VLOOKUP(H55,Analysis!$A$24:$B$33,2,FALSE)</f>
        <v>:aviators:</v>
      </c>
      <c r="F55" s="22"/>
      <c r="G55" s="26" t="s">
        <v>418</v>
      </c>
      <c r="H55" s="56" t="s">
        <v>5</v>
      </c>
      <c r="I55" s="136" t="s">
        <v>419</v>
      </c>
      <c r="J55" s="136" t="s">
        <v>420</v>
      </c>
      <c r="K55" s="56" t="s">
        <v>421</v>
      </c>
      <c r="L55" s="56" t="s">
        <v>180</v>
      </c>
      <c r="M55" s="56" t="s">
        <v>192</v>
      </c>
      <c r="N55" s="56">
        <v>718</v>
      </c>
      <c r="O55" s="60">
        <v>6</v>
      </c>
      <c r="P55" s="60">
        <v>7</v>
      </c>
      <c r="Q55" s="60"/>
      <c r="R55" s="60"/>
      <c r="S55" s="60"/>
      <c r="T55" s="56"/>
      <c r="U55" s="56" t="s">
        <v>34</v>
      </c>
      <c r="V55" s="56" t="s">
        <v>34</v>
      </c>
      <c r="W55" s="56">
        <v>19</v>
      </c>
      <c r="X55" s="56"/>
      <c r="Y55" s="56"/>
      <c r="Z55" s="56"/>
      <c r="AA55" s="56"/>
      <c r="AB55" s="56"/>
      <c r="AC55" s="56"/>
      <c r="AD55" s="56"/>
      <c r="AE55" s="56"/>
      <c r="AF55" s="56">
        <v>2</v>
      </c>
      <c r="AG55" s="56">
        <v>2</v>
      </c>
      <c r="AH55" s="56">
        <v>2</v>
      </c>
      <c r="AI55" s="56">
        <v>625</v>
      </c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</row>
    <row r="56" spans="1:65" ht="15.75" customHeight="1">
      <c r="A56" s="22">
        <f t="shared" si="0"/>
        <v>173</v>
      </c>
      <c r="B56" s="22" t="str">
        <f t="shared" ref="B56:B57" si="10">D56&amp;". Gained TPE: "&amp;A56&amp;" TPE - " &amp;N56&amp;" Current TPE "&amp;E56&amp;" ["&amp;U56&amp;"] "&amp;K56&amp;" - "&amp;L56&amp;" ("&amp;I56&amp;")"</f>
        <v>28. Gained TPE: 173 TPE - 717 Current TPE :aviators: [S7] JJ Windsor - CL (BigTittySmitty)</v>
      </c>
      <c r="C56" s="22" t="str">
        <f t="shared" si="1"/>
        <v>28. 717 TPE :aviators: [S7] JJ Windsor - CL (BigTittySmitty)</v>
      </c>
      <c r="D56" s="23">
        <f t="shared" si="2"/>
        <v>28</v>
      </c>
      <c r="E56" s="22" t="str">
        <f>VLOOKUP(H56,Analysis!$A$24:$B$33,2,FALSE)</f>
        <v>:aviators:</v>
      </c>
      <c r="F56" s="22"/>
      <c r="G56" s="22" t="s">
        <v>422</v>
      </c>
      <c r="H56" s="40" t="s">
        <v>5</v>
      </c>
      <c r="I56" s="41" t="s">
        <v>423</v>
      </c>
      <c r="J56" s="41" t="s">
        <v>424</v>
      </c>
      <c r="K56" s="40" t="s">
        <v>425</v>
      </c>
      <c r="L56" s="40" t="s">
        <v>336</v>
      </c>
      <c r="M56" s="40" t="s">
        <v>109</v>
      </c>
      <c r="N56" s="42">
        <v>717</v>
      </c>
      <c r="O56" s="43">
        <v>4.5</v>
      </c>
      <c r="P56" s="43"/>
      <c r="Q56" s="43"/>
      <c r="R56" s="43"/>
      <c r="S56" s="43"/>
      <c r="T56" s="40" t="s">
        <v>417</v>
      </c>
      <c r="U56" s="40" t="s">
        <v>35</v>
      </c>
      <c r="V56" s="40" t="s">
        <v>35</v>
      </c>
      <c r="W56" s="42">
        <v>7</v>
      </c>
      <c r="X56" s="40"/>
      <c r="Y56" s="40"/>
      <c r="Z56" s="40"/>
      <c r="AA56" s="40"/>
      <c r="AB56" s="40"/>
      <c r="AC56" s="40"/>
      <c r="AD56" s="40"/>
      <c r="AE56" s="42"/>
      <c r="AF56" s="42"/>
      <c r="AG56" s="40" t="s">
        <v>257</v>
      </c>
      <c r="AH56" s="40">
        <v>3.5</v>
      </c>
      <c r="AI56" s="121">
        <v>544</v>
      </c>
      <c r="AK56" s="40"/>
      <c r="AL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21"/>
      <c r="BG56" s="21"/>
      <c r="BH56" s="21"/>
      <c r="BI56" s="21"/>
      <c r="BJ56" s="21"/>
      <c r="BK56" s="21"/>
      <c r="BL56" s="21"/>
      <c r="BM56" s="21"/>
    </row>
    <row r="57" spans="1:65" ht="15.75" customHeight="1">
      <c r="A57" s="22">
        <f t="shared" si="0"/>
        <v>113</v>
      </c>
      <c r="B57" s="22" t="str">
        <f t="shared" si="10"/>
        <v>52. Gained TPE: 113 TPE - 717 Current TPE :vandals: [S6] Huki Hawaii - C (rog)</v>
      </c>
      <c r="C57" s="22" t="str">
        <f t="shared" si="1"/>
        <v>52. 717 TPE :vandals: [S6] Huki Hawaii - C (rog)</v>
      </c>
      <c r="D57" s="23">
        <f t="shared" si="2"/>
        <v>52</v>
      </c>
      <c r="E57" s="22" t="str">
        <f>VLOOKUP(H57,Analysis!$A$24:$B$33,2,FALSE)</f>
        <v>:vandals:</v>
      </c>
      <c r="F57" s="22"/>
      <c r="G57" s="22" t="s">
        <v>426</v>
      </c>
      <c r="H57" s="33" t="s">
        <v>12</v>
      </c>
      <c r="I57" s="34" t="s">
        <v>427</v>
      </c>
      <c r="J57" s="34" t="s">
        <v>428</v>
      </c>
      <c r="K57" s="33" t="s">
        <v>429</v>
      </c>
      <c r="L57" s="33" t="s">
        <v>103</v>
      </c>
      <c r="M57" s="33" t="s">
        <v>159</v>
      </c>
      <c r="N57" s="35">
        <v>717</v>
      </c>
      <c r="O57" s="36">
        <v>15</v>
      </c>
      <c r="P57" s="36">
        <v>15</v>
      </c>
      <c r="Q57" s="36">
        <v>10</v>
      </c>
      <c r="R57" s="36">
        <v>10</v>
      </c>
      <c r="S57" s="36"/>
      <c r="T57" s="33"/>
      <c r="U57" s="33" t="s">
        <v>34</v>
      </c>
      <c r="V57" s="33" t="s">
        <v>34</v>
      </c>
      <c r="W57" s="35">
        <v>2</v>
      </c>
      <c r="X57" s="33" t="s">
        <v>374</v>
      </c>
      <c r="Y57" s="33">
        <v>6</v>
      </c>
      <c r="Z57" s="33">
        <v>6</v>
      </c>
      <c r="AA57" s="33"/>
      <c r="AB57" s="33"/>
      <c r="AC57" s="33"/>
      <c r="AD57" s="33"/>
      <c r="AE57" s="35">
        <v>3</v>
      </c>
      <c r="AF57" s="35">
        <v>3</v>
      </c>
      <c r="AG57" s="35">
        <v>3</v>
      </c>
      <c r="AH57" s="45">
        <v>3</v>
      </c>
      <c r="AI57" s="35">
        <v>604</v>
      </c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21"/>
      <c r="BG57" s="21"/>
      <c r="BH57" s="21"/>
      <c r="BI57" s="21"/>
      <c r="BJ57" s="21"/>
      <c r="BK57" s="21"/>
      <c r="BL57" s="21"/>
      <c r="BM57" s="21"/>
    </row>
    <row r="58" spans="1:65" ht="15.75" customHeight="1">
      <c r="A58" s="22">
        <f t="shared" si="0"/>
        <v>86</v>
      </c>
      <c r="B58" s="22"/>
      <c r="C58" s="22" t="str">
        <f t="shared" si="1"/>
        <v>70. 712 TPE :aviators: [S6] Kellan Buchanan - 3B (CactusLeague)</v>
      </c>
      <c r="D58" s="23">
        <f t="shared" si="2"/>
        <v>70</v>
      </c>
      <c r="E58" s="22" t="str">
        <f>VLOOKUP(H58,Analysis!$A$24:$B$33,2,FALSE)</f>
        <v>:aviators:</v>
      </c>
      <c r="F58" s="22"/>
      <c r="G58" s="26" t="s">
        <v>430</v>
      </c>
      <c r="H58" s="27" t="s">
        <v>5</v>
      </c>
      <c r="I58" s="29" t="s">
        <v>431</v>
      </c>
      <c r="J58" s="29" t="s">
        <v>432</v>
      </c>
      <c r="K58" s="27" t="s">
        <v>433</v>
      </c>
      <c r="L58" s="65" t="s">
        <v>215</v>
      </c>
      <c r="M58" s="27" t="s">
        <v>97</v>
      </c>
      <c r="N58" s="27">
        <v>712</v>
      </c>
      <c r="O58" s="30">
        <v>5.75</v>
      </c>
      <c r="P58" s="30"/>
      <c r="Q58" s="30"/>
      <c r="R58" s="30"/>
      <c r="S58" s="30"/>
      <c r="T58" s="31" t="s">
        <v>434</v>
      </c>
      <c r="U58" s="27" t="s">
        <v>34</v>
      </c>
      <c r="V58" s="27" t="s">
        <v>34</v>
      </c>
      <c r="W58" s="27">
        <v>13</v>
      </c>
      <c r="X58" s="27"/>
      <c r="Y58" s="27"/>
      <c r="Z58" s="27"/>
      <c r="AA58" s="27"/>
      <c r="AB58" s="27"/>
      <c r="AC58" s="27"/>
      <c r="AD58" s="27"/>
      <c r="AE58" s="27"/>
      <c r="AF58" s="27">
        <v>1.5</v>
      </c>
      <c r="AG58" s="27">
        <v>1.5</v>
      </c>
      <c r="AH58" s="30">
        <v>1.5</v>
      </c>
      <c r="AI58" s="27">
        <v>626</v>
      </c>
      <c r="AK58" s="27"/>
      <c r="AL58" s="27"/>
      <c r="AM58" s="27"/>
      <c r="AN58" s="27"/>
      <c r="AO58" s="27" t="s">
        <v>209</v>
      </c>
      <c r="AP58" s="27" t="s">
        <v>435</v>
      </c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</row>
    <row r="59" spans="1:65" ht="15.75" customHeight="1">
      <c r="A59" s="22">
        <f t="shared" si="0"/>
        <v>0</v>
      </c>
      <c r="B59" s="22"/>
      <c r="C59" s="22" t="str">
        <f t="shared" si="1"/>
        <v>134. 701 TPE :utah: [S5] Tyler Oles - SP (to12143)</v>
      </c>
      <c r="D59" s="23">
        <f t="shared" si="2"/>
        <v>134</v>
      </c>
      <c r="E59" s="22" t="str">
        <f>VLOOKUP(H59,Analysis!$A$24:$B$33,2,FALSE)</f>
        <v>:utah:</v>
      </c>
      <c r="F59" s="22"/>
      <c r="G59" s="22" t="s">
        <v>436</v>
      </c>
      <c r="H59" s="33" t="s">
        <v>13</v>
      </c>
      <c r="I59" s="34" t="s">
        <v>437</v>
      </c>
      <c r="J59" s="34" t="s">
        <v>438</v>
      </c>
      <c r="K59" s="33" t="s">
        <v>439</v>
      </c>
      <c r="L59" s="33" t="s">
        <v>90</v>
      </c>
      <c r="M59" s="33" t="s">
        <v>55</v>
      </c>
      <c r="N59" s="35">
        <v>701</v>
      </c>
      <c r="O59" s="45">
        <v>4</v>
      </c>
      <c r="P59" s="36">
        <v>4</v>
      </c>
      <c r="Q59" s="36"/>
      <c r="R59" s="36"/>
      <c r="S59" s="36"/>
      <c r="T59" s="33"/>
      <c r="U59" s="33" t="s">
        <v>33</v>
      </c>
      <c r="V59" s="33" t="s">
        <v>33</v>
      </c>
      <c r="W59" s="35">
        <v>4</v>
      </c>
      <c r="X59" s="33"/>
      <c r="Y59" s="33"/>
      <c r="Z59" s="33"/>
      <c r="AA59" s="33"/>
      <c r="AB59" s="33"/>
      <c r="AC59" s="33"/>
      <c r="AD59" s="33">
        <v>3</v>
      </c>
      <c r="AE59" s="33">
        <v>3</v>
      </c>
      <c r="AF59" s="33">
        <v>5</v>
      </c>
      <c r="AG59" s="33"/>
      <c r="AH59" s="45">
        <v>10</v>
      </c>
      <c r="AI59" s="35">
        <v>701</v>
      </c>
      <c r="AJ59" s="33">
        <v>2.5</v>
      </c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21"/>
      <c r="BG59" s="21"/>
      <c r="BH59" s="21"/>
      <c r="BI59" s="21"/>
      <c r="BJ59" s="21"/>
      <c r="BK59" s="21"/>
      <c r="BL59" s="21"/>
      <c r="BM59" s="21"/>
    </row>
    <row r="60" spans="1:65" ht="15.75" customHeight="1">
      <c r="A60" s="22">
        <f t="shared" si="0"/>
        <v>229</v>
      </c>
      <c r="B60" s="22" t="str">
        <f>D60&amp;". Gained TPE: "&amp;A60&amp;" TPE - " &amp;N60&amp;" Current TPE "&amp;E60&amp;" ["&amp;U60&amp;"] "&amp;K60&amp;" - "&amp;L60&amp;" ("&amp;I60&amp;")"</f>
        <v>1. Gained TPE: 229 TPE - 696 Current TPE :scorpions: [S5] Anderson Pooper - SP (Anderson Pooper)</v>
      </c>
      <c r="C60" s="22" t="str">
        <f t="shared" si="1"/>
        <v>1. 696 TPE :scorpions: [S5] Anderson Pooper - SP (Anderson Pooper)</v>
      </c>
      <c r="D60" s="23">
        <f t="shared" si="2"/>
        <v>1</v>
      </c>
      <c r="E60" s="22" t="str">
        <f>VLOOKUP(H60,Analysis!$A$24:$B$33,2,FALSE)</f>
        <v>:scorpions:</v>
      </c>
      <c r="F60" s="22"/>
      <c r="G60" s="22" t="s">
        <v>245</v>
      </c>
      <c r="H60" s="40" t="s">
        <v>10</v>
      </c>
      <c r="I60" s="41" t="s">
        <v>247</v>
      </c>
      <c r="J60" s="41" t="s">
        <v>249</v>
      </c>
      <c r="K60" s="40" t="s">
        <v>247</v>
      </c>
      <c r="L60" s="40" t="s">
        <v>90</v>
      </c>
      <c r="M60" s="40" t="s">
        <v>109</v>
      </c>
      <c r="N60" s="42">
        <v>696</v>
      </c>
      <c r="O60" s="43">
        <v>6</v>
      </c>
      <c r="P60" s="43">
        <v>5</v>
      </c>
      <c r="Q60" s="43"/>
      <c r="R60" s="43"/>
      <c r="S60" s="43"/>
      <c r="T60" s="40"/>
      <c r="U60" s="40" t="s">
        <v>33</v>
      </c>
      <c r="V60" s="40" t="s">
        <v>33</v>
      </c>
      <c r="W60" s="42">
        <v>29</v>
      </c>
      <c r="X60" s="40"/>
      <c r="Y60" s="40"/>
      <c r="Z60" s="40"/>
      <c r="AA60" s="40"/>
      <c r="AB60" s="40"/>
      <c r="AC60" s="42"/>
      <c r="AD60" s="42"/>
      <c r="AE60" s="42">
        <v>2</v>
      </c>
      <c r="AF60" s="42">
        <v>2</v>
      </c>
      <c r="AG60" s="42">
        <v>3.4</v>
      </c>
      <c r="AH60" s="43">
        <v>15.49</v>
      </c>
      <c r="AI60" s="42">
        <v>467</v>
      </c>
      <c r="AJ60" s="42"/>
      <c r="AK60" s="42"/>
      <c r="AL60" s="42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21"/>
      <c r="BG60" s="21"/>
      <c r="BH60" s="21"/>
      <c r="BI60" s="21"/>
      <c r="BJ60" s="21"/>
      <c r="BK60" s="21"/>
      <c r="BL60" s="21"/>
      <c r="BM60" s="21"/>
    </row>
    <row r="61" spans="1:65" ht="15.75" customHeight="1">
      <c r="A61" s="22">
        <f t="shared" si="0"/>
        <v>-60</v>
      </c>
      <c r="B61" s="22"/>
      <c r="C61" s="22" t="str">
        <f t="shared" si="1"/>
        <v>305. 689 TPE :utah: [S1] Marcos Gonzalez - CF (Symmetrik)</v>
      </c>
      <c r="D61" s="23">
        <f t="shared" si="2"/>
        <v>305</v>
      </c>
      <c r="E61" s="22" t="str">
        <f>VLOOKUP(H61,Analysis!$A$24:$B$33,2,FALSE)</f>
        <v>:utah:</v>
      </c>
      <c r="F61" s="22"/>
      <c r="G61" s="22" t="s">
        <v>442</v>
      </c>
      <c r="H61" s="33" t="s">
        <v>13</v>
      </c>
      <c r="I61" s="34" t="s">
        <v>443</v>
      </c>
      <c r="J61" s="34" t="s">
        <v>444</v>
      </c>
      <c r="K61" s="33" t="s">
        <v>445</v>
      </c>
      <c r="L61" s="33" t="s">
        <v>67</v>
      </c>
      <c r="M61" s="33" t="s">
        <v>181</v>
      </c>
      <c r="N61" s="35">
        <v>689</v>
      </c>
      <c r="O61" s="36">
        <v>6.5</v>
      </c>
      <c r="P61" s="36"/>
      <c r="Q61" s="36"/>
      <c r="R61" s="36"/>
      <c r="S61" s="36"/>
      <c r="T61" s="33"/>
      <c r="U61" s="33" t="s">
        <v>70</v>
      </c>
      <c r="V61" s="33" t="s">
        <v>70</v>
      </c>
      <c r="W61" s="35">
        <v>69</v>
      </c>
      <c r="X61" s="33"/>
      <c r="Y61" s="33"/>
      <c r="Z61" s="33"/>
      <c r="AA61" s="33"/>
      <c r="AB61" s="33">
        <v>3</v>
      </c>
      <c r="AC61" s="35">
        <v>5</v>
      </c>
      <c r="AD61" s="35">
        <v>5</v>
      </c>
      <c r="AE61" s="33">
        <v>5</v>
      </c>
      <c r="AF61" s="33">
        <v>5.75</v>
      </c>
      <c r="AG61" s="33">
        <v>7.25</v>
      </c>
      <c r="AH61" s="36">
        <v>8</v>
      </c>
      <c r="AI61" s="33">
        <v>749</v>
      </c>
      <c r="AJ61" s="35">
        <v>302</v>
      </c>
      <c r="AK61" s="35">
        <v>270</v>
      </c>
      <c r="AL61" s="35">
        <v>270</v>
      </c>
      <c r="AM61" s="35">
        <v>270</v>
      </c>
      <c r="AN61" s="38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21"/>
      <c r="BG61" s="21"/>
      <c r="BH61" s="21"/>
      <c r="BI61" s="21"/>
      <c r="BJ61" s="21"/>
      <c r="BK61" s="21"/>
      <c r="BL61" s="21"/>
      <c r="BM61" s="21"/>
    </row>
    <row r="62" spans="1:65" ht="15.75" customHeight="1">
      <c r="A62" s="22">
        <f t="shared" si="0"/>
        <v>120</v>
      </c>
      <c r="B62" s="22" t="str">
        <f>D62&amp;". Gained TPE: "&amp;A62&amp;" TPE - " &amp;N62&amp;" Current TPE "&amp;E62&amp;" ["&amp;U62&amp;"] "&amp;K62&amp;" - "&amp;L62&amp;" ("&amp;I62&amp;")"</f>
        <v>49. Gained TPE: 120 TPE - 685 Current TPE :rangers: [S6] Jax Hunter - CL (Daybe)</v>
      </c>
      <c r="C62" s="22" t="str">
        <f t="shared" si="1"/>
        <v>49. 685 TPE :rangers: [S6] Jax Hunter - CL (Daybe)</v>
      </c>
      <c r="D62" s="23">
        <f t="shared" si="2"/>
        <v>49</v>
      </c>
      <c r="E62" s="22" t="str">
        <f>VLOOKUP(H62,Analysis!$A$24:$B$33,2,FALSE)</f>
        <v>:rangers:</v>
      </c>
      <c r="F62" s="22"/>
      <c r="G62" s="22" t="s">
        <v>446</v>
      </c>
      <c r="H62" s="40" t="s">
        <v>9</v>
      </c>
      <c r="I62" s="41" t="s">
        <v>447</v>
      </c>
      <c r="J62" s="41" t="s">
        <v>448</v>
      </c>
      <c r="K62" s="40" t="s">
        <v>449</v>
      </c>
      <c r="L62" s="40" t="s">
        <v>336</v>
      </c>
      <c r="M62" s="40" t="s">
        <v>55</v>
      </c>
      <c r="N62" s="42">
        <v>685</v>
      </c>
      <c r="O62" s="43">
        <v>5</v>
      </c>
      <c r="P62" s="43"/>
      <c r="Q62" s="43"/>
      <c r="R62" s="43"/>
      <c r="S62" s="43"/>
      <c r="T62" s="40"/>
      <c r="U62" s="40" t="s">
        <v>34</v>
      </c>
      <c r="V62" s="40" t="s">
        <v>34</v>
      </c>
      <c r="W62" s="42">
        <v>31</v>
      </c>
      <c r="X62" s="40" t="s">
        <v>266</v>
      </c>
      <c r="Y62" s="40">
        <v>6</v>
      </c>
      <c r="Z62" s="40">
        <v>5</v>
      </c>
      <c r="AA62" s="40" t="s">
        <v>375</v>
      </c>
      <c r="AB62" s="40"/>
      <c r="AC62" s="40"/>
      <c r="AD62" s="40"/>
      <c r="AE62" s="40"/>
      <c r="AF62" s="40">
        <v>1.5</v>
      </c>
      <c r="AG62" s="40">
        <v>7</v>
      </c>
      <c r="AH62" s="43">
        <v>8</v>
      </c>
      <c r="AI62" s="40">
        <v>565</v>
      </c>
      <c r="AJ62" s="40">
        <v>0.75</v>
      </c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21"/>
      <c r="BG62" s="21"/>
      <c r="BH62" s="21"/>
      <c r="BI62" s="21"/>
      <c r="BJ62" s="21"/>
      <c r="BK62" s="21"/>
      <c r="BL62" s="21"/>
      <c r="BM62" s="21"/>
    </row>
    <row r="63" spans="1:65" ht="15.75" customHeight="1">
      <c r="A63" s="22">
        <f t="shared" si="0"/>
        <v>-15</v>
      </c>
      <c r="B63" s="22"/>
      <c r="C63" s="22" t="str">
        <f t="shared" si="1"/>
        <v>286. 660 TPE :sloths: [S1] Chuck Gamble - CL (HalfEatenOnionBagel)</v>
      </c>
      <c r="D63" s="23">
        <f t="shared" si="2"/>
        <v>286</v>
      </c>
      <c r="E63" s="22" t="str">
        <f>VLOOKUP(H63,Analysis!$A$24:$B$33,2,FALSE)</f>
        <v>:sloths:</v>
      </c>
      <c r="F63" s="22"/>
      <c r="G63" s="22" t="s">
        <v>450</v>
      </c>
      <c r="H63" s="33" t="s">
        <v>11</v>
      </c>
      <c r="I63" s="34" t="s">
        <v>451</v>
      </c>
      <c r="J63" s="34" t="s">
        <v>452</v>
      </c>
      <c r="K63" s="33" t="s">
        <v>453</v>
      </c>
      <c r="L63" s="33" t="s">
        <v>336</v>
      </c>
      <c r="M63" s="33" t="s">
        <v>109</v>
      </c>
      <c r="N63" s="35">
        <v>660</v>
      </c>
      <c r="O63" s="45">
        <v>7.5</v>
      </c>
      <c r="P63" s="36"/>
      <c r="Q63" s="36"/>
      <c r="R63" s="36"/>
      <c r="S63" s="36"/>
      <c r="T63" s="33"/>
      <c r="U63" s="33" t="s">
        <v>70</v>
      </c>
      <c r="V63" s="33" t="s">
        <v>78</v>
      </c>
      <c r="W63" s="33">
        <v>4</v>
      </c>
      <c r="X63" s="33"/>
      <c r="Y63" s="33"/>
      <c r="Z63" s="33"/>
      <c r="AA63" s="33"/>
      <c r="AB63" s="35">
        <v>3</v>
      </c>
      <c r="AC63" s="35">
        <v>4</v>
      </c>
      <c r="AD63" s="35">
        <v>4</v>
      </c>
      <c r="AE63" s="35">
        <v>5.75</v>
      </c>
      <c r="AF63" s="35">
        <v>8</v>
      </c>
      <c r="AG63" s="35">
        <v>8</v>
      </c>
      <c r="AH63" s="45">
        <v>422</v>
      </c>
      <c r="AI63" s="35">
        <v>675</v>
      </c>
      <c r="AJ63" s="35">
        <v>404</v>
      </c>
      <c r="AK63" s="35">
        <v>392</v>
      </c>
      <c r="AL63" s="33">
        <v>351</v>
      </c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21"/>
      <c r="BG63" s="21"/>
      <c r="BH63" s="21"/>
      <c r="BI63" s="21"/>
      <c r="BJ63" s="21"/>
      <c r="BK63" s="21"/>
      <c r="BL63" s="21"/>
      <c r="BM63" s="21"/>
    </row>
    <row r="64" spans="1:65" ht="15.75" customHeight="1">
      <c r="A64" s="22">
        <f t="shared" si="0"/>
        <v>160</v>
      </c>
      <c r="B64" s="22" t="str">
        <f t="shared" ref="B64:B65" si="11">D64&amp;". Gained TPE: "&amp;A64&amp;" TPE - " &amp;N64&amp;" Current TPE "&amp;E64&amp;" ["&amp;U64&amp;"] "&amp;K64&amp;" - "&amp;L64&amp;" ("&amp;I64&amp;")"</f>
        <v>35. Gained TPE: 160 TPE - 658 Current TPE :vandals: [S7] Barry Keller - SP (StamkosFan)</v>
      </c>
      <c r="C64" s="22" t="str">
        <f t="shared" si="1"/>
        <v>35. 658 TPE :vandals: [S7] Barry Keller - SP (StamkosFan)</v>
      </c>
      <c r="D64" s="23">
        <f t="shared" si="2"/>
        <v>35</v>
      </c>
      <c r="E64" s="22" t="str">
        <f>VLOOKUP(H64,Analysis!$A$24:$B$33,2,FALSE)</f>
        <v>:vandals:</v>
      </c>
      <c r="F64" s="22"/>
      <c r="G64" s="22" t="s">
        <v>454</v>
      </c>
      <c r="H64" s="40" t="s">
        <v>12</v>
      </c>
      <c r="I64" s="41" t="s">
        <v>455</v>
      </c>
      <c r="J64" s="41" t="s">
        <v>456</v>
      </c>
      <c r="K64" s="40" t="s">
        <v>457</v>
      </c>
      <c r="L64" s="40" t="s">
        <v>90</v>
      </c>
      <c r="M64" s="40" t="s">
        <v>458</v>
      </c>
      <c r="N64" s="42">
        <v>658</v>
      </c>
      <c r="O64" s="44">
        <v>6</v>
      </c>
      <c r="P64" s="44">
        <v>7</v>
      </c>
      <c r="Q64" s="43"/>
      <c r="R64" s="43"/>
      <c r="S64" s="43"/>
      <c r="T64" s="40" t="s">
        <v>459</v>
      </c>
      <c r="U64" s="121" t="s">
        <v>35</v>
      </c>
      <c r="V64" s="40" t="s">
        <v>36</v>
      </c>
      <c r="W64" s="42">
        <v>1</v>
      </c>
      <c r="X64" s="40"/>
      <c r="Y64" s="40"/>
      <c r="Z64" s="40"/>
      <c r="AA64" s="40"/>
      <c r="AB64" s="40"/>
      <c r="AC64" s="40"/>
      <c r="AD64" s="40"/>
      <c r="AE64" s="40"/>
      <c r="AF64" s="40"/>
      <c r="AG64" s="42">
        <v>0</v>
      </c>
      <c r="AH64" s="44">
        <v>5</v>
      </c>
      <c r="AI64" s="40">
        <v>498</v>
      </c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21"/>
      <c r="BG64" s="21"/>
      <c r="BH64" s="21"/>
      <c r="BI64" s="21"/>
      <c r="BJ64" s="21"/>
      <c r="BK64" s="21"/>
      <c r="BL64" s="21"/>
      <c r="BM64" s="21"/>
    </row>
    <row r="65" spans="1:65" ht="15.75" customHeight="1">
      <c r="A65" s="22">
        <f t="shared" si="0"/>
        <v>162</v>
      </c>
      <c r="B65" s="22" t="str">
        <f t="shared" si="11"/>
        <v>33. Gained TPE: 162 TPE - 655 Current TPE :vandals: [S7] Arbin Asipi Jr - SS (DeathOnReddit)</v>
      </c>
      <c r="C65" s="22" t="str">
        <f t="shared" si="1"/>
        <v>33. 655 TPE :vandals: [S7] Arbin Asipi Jr - SS (DeathOnReddit)</v>
      </c>
      <c r="D65" s="23">
        <f t="shared" si="2"/>
        <v>33</v>
      </c>
      <c r="E65" s="22" t="str">
        <f>VLOOKUP(H65,Analysis!$A$24:$B$33,2,FALSE)</f>
        <v>:vandals:</v>
      </c>
      <c r="F65" s="22"/>
      <c r="G65" s="22" t="s">
        <v>460</v>
      </c>
      <c r="H65" s="33" t="s">
        <v>12</v>
      </c>
      <c r="I65" s="34" t="s">
        <v>461</v>
      </c>
      <c r="J65" s="34" t="s">
        <v>462</v>
      </c>
      <c r="K65" s="33" t="s">
        <v>463</v>
      </c>
      <c r="L65" s="33" t="s">
        <v>75</v>
      </c>
      <c r="M65" s="33" t="s">
        <v>151</v>
      </c>
      <c r="N65" s="35">
        <v>655</v>
      </c>
      <c r="O65" s="36">
        <v>6</v>
      </c>
      <c r="P65" s="36">
        <v>6</v>
      </c>
      <c r="Q65" s="36"/>
      <c r="R65" s="36"/>
      <c r="S65" s="36"/>
      <c r="T65" s="33" t="s">
        <v>459</v>
      </c>
      <c r="U65" s="33" t="s">
        <v>35</v>
      </c>
      <c r="V65" s="33" t="s">
        <v>36</v>
      </c>
      <c r="W65" s="35">
        <v>9</v>
      </c>
      <c r="X65" s="33"/>
      <c r="Y65" s="33"/>
      <c r="Z65" s="33"/>
      <c r="AA65" s="33"/>
      <c r="AB65" s="33"/>
      <c r="AC65" s="35"/>
      <c r="AD65" s="33"/>
      <c r="AE65" s="33"/>
      <c r="AF65" s="33"/>
      <c r="AG65" s="33">
        <v>0</v>
      </c>
      <c r="AH65" s="36">
        <v>6</v>
      </c>
      <c r="AI65" s="33">
        <v>493</v>
      </c>
      <c r="AJ65" s="35"/>
      <c r="AK65" s="35"/>
      <c r="AL65" s="35"/>
      <c r="AM65" s="35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21"/>
      <c r="BG65" s="21"/>
      <c r="BH65" s="21"/>
      <c r="BI65" s="21"/>
      <c r="BJ65" s="21"/>
      <c r="BK65" s="21"/>
      <c r="BL65" s="21"/>
      <c r="BM65" s="21"/>
    </row>
    <row r="66" spans="1:65" ht="15.75" customHeight="1">
      <c r="A66" s="22">
        <f t="shared" si="0"/>
        <v>0</v>
      </c>
      <c r="B66" s="22"/>
      <c r="C66" s="22" t="str">
        <f t="shared" si="1"/>
        <v>134. 647 TPE :aviators: [S5] Kimetrius Webster - 1B (Rindiee)</v>
      </c>
      <c r="D66" s="23">
        <f t="shared" si="2"/>
        <v>134</v>
      </c>
      <c r="E66" s="22" t="str">
        <f>VLOOKUP(H66,Analysis!$A$24:$B$33,2,FALSE)</f>
        <v>:aviators:</v>
      </c>
      <c r="F66" s="22"/>
      <c r="G66" s="22" t="s">
        <v>464</v>
      </c>
      <c r="H66" s="40" t="s">
        <v>5</v>
      </c>
      <c r="I66" s="41" t="s">
        <v>465</v>
      </c>
      <c r="J66" s="41" t="s">
        <v>466</v>
      </c>
      <c r="K66" s="40" t="s">
        <v>467</v>
      </c>
      <c r="L66" s="40" t="s">
        <v>187</v>
      </c>
      <c r="M66" s="40" t="s">
        <v>132</v>
      </c>
      <c r="N66" s="42">
        <v>647</v>
      </c>
      <c r="O66" s="43">
        <v>5.75</v>
      </c>
      <c r="P66" s="43"/>
      <c r="Q66" s="43"/>
      <c r="R66" s="43"/>
      <c r="S66" s="43"/>
      <c r="T66" s="40"/>
      <c r="U66" s="40" t="s">
        <v>33</v>
      </c>
      <c r="V66" s="40" t="s">
        <v>33</v>
      </c>
      <c r="W66" s="42">
        <v>20</v>
      </c>
      <c r="X66" s="40"/>
      <c r="Y66" s="40"/>
      <c r="Z66" s="40"/>
      <c r="AA66" s="40"/>
      <c r="AB66" s="40"/>
      <c r="AC66" s="42"/>
      <c r="AD66" s="42"/>
      <c r="AE66" s="42">
        <v>6</v>
      </c>
      <c r="AF66" s="42">
        <v>3</v>
      </c>
      <c r="AG66" s="42">
        <v>3</v>
      </c>
      <c r="AH66" s="44">
        <v>5</v>
      </c>
      <c r="AI66" s="42">
        <v>647</v>
      </c>
      <c r="AK66" s="42"/>
      <c r="AL66" s="42"/>
      <c r="AM66" s="42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21"/>
      <c r="BG66" s="21"/>
      <c r="BH66" s="21"/>
      <c r="BI66" s="21"/>
      <c r="BJ66" s="21"/>
      <c r="BK66" s="21"/>
      <c r="BL66" s="21"/>
      <c r="BM66" s="21"/>
    </row>
    <row r="67" spans="1:65" ht="15.75" customHeight="1">
      <c r="A67" s="22">
        <f t="shared" si="0"/>
        <v>0</v>
      </c>
      <c r="B67" s="22"/>
      <c r="C67" s="22" t="str">
        <f t="shared" si="1"/>
        <v>134. 646 TPE :sloths: [S3] Matthew Auston - SP (Dweaves08)</v>
      </c>
      <c r="D67" s="23">
        <f t="shared" si="2"/>
        <v>134</v>
      </c>
      <c r="E67" s="22" t="str">
        <f>VLOOKUP(H67,Analysis!$A$24:$B$33,2,FALSE)</f>
        <v>:sloths:</v>
      </c>
      <c r="F67" s="22"/>
      <c r="G67" s="22" t="s">
        <v>468</v>
      </c>
      <c r="H67" s="33" t="s">
        <v>11</v>
      </c>
      <c r="I67" s="34" t="s">
        <v>469</v>
      </c>
      <c r="J67" s="34" t="s">
        <v>470</v>
      </c>
      <c r="K67" s="33" t="s">
        <v>471</v>
      </c>
      <c r="L67" s="33" t="s">
        <v>90</v>
      </c>
      <c r="M67" s="33" t="s">
        <v>55</v>
      </c>
      <c r="N67" s="35">
        <v>646</v>
      </c>
      <c r="O67" s="36">
        <v>7.25</v>
      </c>
      <c r="P67" s="36"/>
      <c r="Q67" s="36"/>
      <c r="R67" s="36"/>
      <c r="S67" s="36"/>
      <c r="T67" s="33"/>
      <c r="U67" s="33" t="s">
        <v>126</v>
      </c>
      <c r="V67" s="33" t="s">
        <v>32</v>
      </c>
      <c r="W67" s="35">
        <v>5</v>
      </c>
      <c r="X67" s="33"/>
      <c r="Y67" s="33"/>
      <c r="Z67" s="33"/>
      <c r="AA67" s="33"/>
      <c r="AB67" s="35"/>
      <c r="AC67" s="35">
        <v>1</v>
      </c>
      <c r="AD67" s="35">
        <v>5</v>
      </c>
      <c r="AE67" s="35">
        <v>5</v>
      </c>
      <c r="AF67" s="35">
        <v>5</v>
      </c>
      <c r="AG67" s="35">
        <v>4</v>
      </c>
      <c r="AH67" s="45">
        <v>5</v>
      </c>
      <c r="AI67" s="35">
        <v>646</v>
      </c>
      <c r="AJ67" s="35">
        <v>150</v>
      </c>
      <c r="AK67" s="35">
        <v>140</v>
      </c>
      <c r="AL67" s="33">
        <v>129</v>
      </c>
      <c r="AM67" s="33">
        <v>108</v>
      </c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21"/>
      <c r="BG67" s="21"/>
      <c r="BH67" s="21"/>
      <c r="BI67" s="21"/>
      <c r="BJ67" s="21"/>
      <c r="BK67" s="21"/>
      <c r="BL67" s="21"/>
      <c r="BM67" s="21"/>
    </row>
    <row r="68" spans="1:65" ht="15.75" customHeight="1">
      <c r="A68" s="22">
        <f t="shared" si="0"/>
        <v>134</v>
      </c>
      <c r="B68" s="22" t="str">
        <f t="shared" ref="B68:B70" si="12">D68&amp;". Gained TPE: "&amp;A68&amp;" TPE - " &amp;N68&amp;" Current TPE "&amp;E68&amp;" ["&amp;U68&amp;"] "&amp;K68&amp;" - "&amp;L68&amp;" ("&amp;I68&amp;")"</f>
        <v>45. Gained TPE: 134 TPE - 642 Current TPE :rangers: [S6] George McBash - 1B (Isaac)</v>
      </c>
      <c r="C68" s="22" t="str">
        <f t="shared" si="1"/>
        <v>45. 642 TPE :rangers: [S6] George McBash - 1B (Isaac)</v>
      </c>
      <c r="D68" s="23">
        <f t="shared" si="2"/>
        <v>45</v>
      </c>
      <c r="E68" s="22" t="str">
        <f>VLOOKUP(H68,Analysis!$A$24:$B$33,2,FALSE)</f>
        <v>:rangers:</v>
      </c>
      <c r="F68" s="22"/>
      <c r="G68" s="22" t="s">
        <v>472</v>
      </c>
      <c r="H68" s="40" t="s">
        <v>9</v>
      </c>
      <c r="I68" s="41" t="s">
        <v>473</v>
      </c>
      <c r="J68" s="41" t="s">
        <v>474</v>
      </c>
      <c r="K68" s="40" t="s">
        <v>476</v>
      </c>
      <c r="L68" s="121" t="s">
        <v>187</v>
      </c>
      <c r="M68" s="40" t="s">
        <v>132</v>
      </c>
      <c r="N68" s="42">
        <v>642</v>
      </c>
      <c r="O68" s="43">
        <v>6</v>
      </c>
      <c r="P68" s="43">
        <v>6</v>
      </c>
      <c r="Q68" s="43">
        <v>7.5</v>
      </c>
      <c r="R68" s="43"/>
      <c r="S68" s="43"/>
      <c r="T68" s="40"/>
      <c r="U68" s="40" t="s">
        <v>34</v>
      </c>
      <c r="V68" s="40" t="s">
        <v>34</v>
      </c>
      <c r="W68" s="42">
        <v>8</v>
      </c>
      <c r="X68" s="40"/>
      <c r="Y68" s="40"/>
      <c r="Z68" s="40"/>
      <c r="AA68" s="40"/>
      <c r="AB68" s="42"/>
      <c r="AC68" s="42"/>
      <c r="AD68" s="42"/>
      <c r="AE68" s="42"/>
      <c r="AF68" s="42">
        <v>3.5</v>
      </c>
      <c r="AG68" s="42">
        <v>3.5</v>
      </c>
      <c r="AH68" s="44">
        <v>3.5</v>
      </c>
      <c r="AI68" s="42">
        <v>508</v>
      </c>
      <c r="AJ68" s="44">
        <v>10</v>
      </c>
      <c r="AK68" s="42"/>
      <c r="AL68" s="42"/>
      <c r="AM68" s="40"/>
      <c r="AN68" s="40"/>
      <c r="AO68" s="40" t="s">
        <v>91</v>
      </c>
      <c r="AP68" s="40" t="s">
        <v>478</v>
      </c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21"/>
      <c r="BG68" s="21"/>
      <c r="BH68" s="21"/>
      <c r="BI68" s="21"/>
      <c r="BJ68" s="21"/>
      <c r="BK68" s="21"/>
      <c r="BL68" s="21"/>
      <c r="BM68" s="21"/>
    </row>
    <row r="69" spans="1:65" ht="15.75" customHeight="1">
      <c r="A69" s="22">
        <f t="shared" si="0"/>
        <v>216</v>
      </c>
      <c r="B69" s="22" t="str">
        <f t="shared" si="12"/>
        <v>2. Gained TPE: 216 TPE - 596 Current TPE :sloths: [S8] Patrick Kelley - SS (Patdatass)</v>
      </c>
      <c r="C69" s="22" t="str">
        <f t="shared" si="1"/>
        <v>2. 596 TPE :sloths: [S8] Patrick Kelley - SS (Patdatass)</v>
      </c>
      <c r="D69" s="23">
        <f t="shared" si="2"/>
        <v>2</v>
      </c>
      <c r="E69" s="22" t="str">
        <f>VLOOKUP(H69,Analysis!$A$24:$B$33,2,FALSE)</f>
        <v>:sloths:</v>
      </c>
      <c r="F69" s="22"/>
      <c r="G69" s="22" t="s">
        <v>475</v>
      </c>
      <c r="H69" s="33" t="s">
        <v>11</v>
      </c>
      <c r="I69" s="34" t="s">
        <v>477</v>
      </c>
      <c r="J69" s="34" t="s">
        <v>479</v>
      </c>
      <c r="K69" s="33" t="s">
        <v>483</v>
      </c>
      <c r="L69" s="33" t="s">
        <v>75</v>
      </c>
      <c r="M69" s="33" t="s">
        <v>97</v>
      </c>
      <c r="N69" s="35">
        <v>596</v>
      </c>
      <c r="O69" s="45">
        <v>3</v>
      </c>
      <c r="P69" s="36">
        <v>3</v>
      </c>
      <c r="Q69" s="36"/>
      <c r="R69" s="36"/>
      <c r="S69" s="36"/>
      <c r="T69" s="33" t="s">
        <v>459</v>
      </c>
      <c r="U69" s="33" t="s">
        <v>36</v>
      </c>
      <c r="V69" s="33" t="s">
        <v>36</v>
      </c>
      <c r="W69" s="35">
        <v>18</v>
      </c>
      <c r="X69" s="33"/>
      <c r="Y69" s="33"/>
      <c r="Z69" s="33"/>
      <c r="AA69" s="33"/>
      <c r="AB69" s="33"/>
      <c r="AC69" s="33"/>
      <c r="AD69" s="33"/>
      <c r="AE69" s="33"/>
      <c r="AF69" s="33"/>
      <c r="AG69" s="35"/>
      <c r="AH69" s="45">
        <v>0</v>
      </c>
      <c r="AI69" s="33">
        <v>380</v>
      </c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21"/>
      <c r="BG69" s="21"/>
      <c r="BH69" s="21"/>
      <c r="BI69" s="21"/>
      <c r="BJ69" s="21"/>
      <c r="BK69" s="21"/>
      <c r="BL69" s="21"/>
      <c r="BM69" s="21"/>
    </row>
    <row r="70" spans="1:65" ht="15.75" customHeight="1">
      <c r="A70" s="22">
        <f t="shared" si="0"/>
        <v>196</v>
      </c>
      <c r="B70" s="22" t="str">
        <f t="shared" si="12"/>
        <v>12. Gained TPE: 196 TPE - 592 Current TPE :vandals: [S8] Hunter Harrison - 3B (speculadora)</v>
      </c>
      <c r="C70" s="22" t="str">
        <f t="shared" si="1"/>
        <v>12. 592 TPE :vandals: [S8] Hunter Harrison - 3B (speculadora)</v>
      </c>
      <c r="D70" s="23">
        <f t="shared" si="2"/>
        <v>12</v>
      </c>
      <c r="E70" s="22" t="str">
        <f>VLOOKUP(H70,Analysis!$A$24:$B$33,2,FALSE)</f>
        <v>:vandals:</v>
      </c>
      <c r="F70" s="22"/>
      <c r="G70" s="22" t="s">
        <v>486</v>
      </c>
      <c r="H70" s="40" t="s">
        <v>12</v>
      </c>
      <c r="I70" s="41" t="s">
        <v>488</v>
      </c>
      <c r="J70" s="41" t="s">
        <v>489</v>
      </c>
      <c r="K70" s="40" t="s">
        <v>490</v>
      </c>
      <c r="L70" s="40" t="s">
        <v>215</v>
      </c>
      <c r="M70" s="40" t="s">
        <v>298</v>
      </c>
      <c r="N70" s="42">
        <v>592</v>
      </c>
      <c r="O70" s="43">
        <v>6</v>
      </c>
      <c r="P70" s="43">
        <v>7</v>
      </c>
      <c r="Q70" s="43"/>
      <c r="R70" s="43"/>
      <c r="S70" s="43"/>
      <c r="T70" s="40" t="s">
        <v>273</v>
      </c>
      <c r="U70" s="40" t="s">
        <v>36</v>
      </c>
      <c r="V70" s="40" t="s">
        <v>36</v>
      </c>
      <c r="W70" s="42">
        <v>8</v>
      </c>
      <c r="X70" s="40"/>
      <c r="Y70" s="40"/>
      <c r="Z70" s="40"/>
      <c r="AA70" s="40"/>
      <c r="AB70" s="40"/>
      <c r="AC70" s="42"/>
      <c r="AD70" s="42"/>
      <c r="AE70" s="42"/>
      <c r="AF70" s="42"/>
      <c r="AG70" s="42">
        <v>0</v>
      </c>
      <c r="AH70" s="44">
        <v>5</v>
      </c>
      <c r="AI70" s="42">
        <v>396</v>
      </c>
      <c r="AJ70" s="42"/>
      <c r="AK70" s="42"/>
      <c r="AL70" s="42"/>
      <c r="AM70" s="42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21"/>
      <c r="BG70" s="21"/>
      <c r="BH70" s="21"/>
      <c r="BI70" s="21"/>
      <c r="BJ70" s="21"/>
      <c r="BK70" s="21"/>
      <c r="BL70" s="21"/>
      <c r="BM70" s="21"/>
    </row>
    <row r="71" spans="1:65" ht="15.75" customHeight="1">
      <c r="A71" s="22">
        <f t="shared" si="0"/>
        <v>22</v>
      </c>
      <c r="B71" s="22"/>
      <c r="C71" s="22" t="str">
        <f t="shared" si="1"/>
        <v>114. 586 TPE :utah: [S1] Austin Dye - SS (ADwyer87)</v>
      </c>
      <c r="D71" s="23">
        <f t="shared" si="2"/>
        <v>114</v>
      </c>
      <c r="E71" s="22" t="str">
        <f>VLOOKUP(H71,Analysis!$A$24:$B$33,2,FALSE)</f>
        <v>:utah:</v>
      </c>
      <c r="F71" s="22"/>
      <c r="G71" s="22" t="s">
        <v>493</v>
      </c>
      <c r="H71" s="33" t="s">
        <v>13</v>
      </c>
      <c r="I71" s="34" t="s">
        <v>495</v>
      </c>
      <c r="J71" s="34" t="s">
        <v>497</v>
      </c>
      <c r="K71" s="33" t="s">
        <v>499</v>
      </c>
      <c r="L71" s="33" t="s">
        <v>75</v>
      </c>
      <c r="M71" s="33" t="s">
        <v>500</v>
      </c>
      <c r="N71" s="35">
        <v>586</v>
      </c>
      <c r="O71" s="45">
        <v>5</v>
      </c>
      <c r="P71" s="36"/>
      <c r="Q71" s="36"/>
      <c r="R71" s="36"/>
      <c r="S71" s="36"/>
      <c r="T71" s="33"/>
      <c r="U71" s="33" t="s">
        <v>70</v>
      </c>
      <c r="V71" s="33" t="s">
        <v>70</v>
      </c>
      <c r="W71" s="35" t="s">
        <v>141</v>
      </c>
      <c r="X71" s="33"/>
      <c r="Y71" s="33"/>
      <c r="Z71" s="33"/>
      <c r="AA71" s="33"/>
      <c r="AB71" s="33"/>
      <c r="AC71" s="33">
        <v>2</v>
      </c>
      <c r="AD71" s="33"/>
      <c r="AE71" s="33">
        <v>2</v>
      </c>
      <c r="AF71" s="33">
        <v>4</v>
      </c>
      <c r="AG71" s="35">
        <v>6</v>
      </c>
      <c r="AH71" s="45">
        <v>8</v>
      </c>
      <c r="AI71" s="33">
        <v>564</v>
      </c>
      <c r="AJ71" s="33"/>
      <c r="AK71" s="33"/>
      <c r="AL71" s="33">
        <v>261</v>
      </c>
      <c r="AM71" s="33">
        <v>261</v>
      </c>
      <c r="AN71" s="33"/>
      <c r="AO71" s="33" t="s">
        <v>502</v>
      </c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21"/>
      <c r="BG71" s="21"/>
      <c r="BH71" s="21"/>
      <c r="BI71" s="21"/>
      <c r="BJ71" s="21"/>
      <c r="BK71" s="21"/>
      <c r="BL71" s="21"/>
      <c r="BM71" s="21"/>
    </row>
    <row r="72" spans="1:65" ht="15.75" customHeight="1">
      <c r="A72" s="22">
        <f t="shared" si="0"/>
        <v>182</v>
      </c>
      <c r="B72" s="22" t="str">
        <f>D72&amp;". Gained TPE: "&amp;A72&amp;" TPE - " &amp;N72&amp;" Current TPE "&amp;E72&amp;" ["&amp;U72&amp;"] "&amp;K72&amp;" - "&amp;L72&amp;" ("&amp;I72&amp;")"</f>
        <v>22. Gained TPE: 182 TPE - 585 Current TPE :utah: [S7] Mikhail Burgen - SP (Muford)</v>
      </c>
      <c r="C72" s="22" t="str">
        <f t="shared" si="1"/>
        <v>22. 585 TPE :utah: [S7] Mikhail Burgen - SP (Muford)</v>
      </c>
      <c r="D72" s="23">
        <f t="shared" si="2"/>
        <v>22</v>
      </c>
      <c r="E72" s="22" t="str">
        <f>VLOOKUP(H72,Analysis!$A$24:$B$33,2,FALSE)</f>
        <v>:utah:</v>
      </c>
      <c r="F72" s="22"/>
      <c r="G72" s="22" t="s">
        <v>504</v>
      </c>
      <c r="H72" s="40" t="s">
        <v>13</v>
      </c>
      <c r="I72" s="41" t="s">
        <v>506</v>
      </c>
      <c r="J72" s="41" t="s">
        <v>507</v>
      </c>
      <c r="K72" s="40" t="s">
        <v>509</v>
      </c>
      <c r="L72" s="40" t="s">
        <v>90</v>
      </c>
      <c r="M72" s="40" t="s">
        <v>55</v>
      </c>
      <c r="N72" s="42">
        <v>585</v>
      </c>
      <c r="O72" s="43">
        <v>15</v>
      </c>
      <c r="P72" s="43"/>
      <c r="Q72" s="43"/>
      <c r="R72" s="43"/>
      <c r="S72" s="43"/>
      <c r="T72" s="40" t="s">
        <v>417</v>
      </c>
      <c r="U72" s="40" t="s">
        <v>35</v>
      </c>
      <c r="V72" s="40" t="s">
        <v>35</v>
      </c>
      <c r="W72" s="42">
        <v>12</v>
      </c>
      <c r="X72" s="40"/>
      <c r="Y72" s="40"/>
      <c r="Z72" s="40"/>
      <c r="AA72" s="40"/>
      <c r="AB72" s="40"/>
      <c r="AC72" s="40"/>
      <c r="AD72" s="40"/>
      <c r="AE72" s="40"/>
      <c r="AF72" s="40"/>
      <c r="AG72" s="40" t="s">
        <v>257</v>
      </c>
      <c r="AH72" s="44">
        <v>3</v>
      </c>
      <c r="AI72" s="42">
        <v>403</v>
      </c>
      <c r="AJ72" s="40">
        <v>3</v>
      </c>
      <c r="AK72" s="40"/>
      <c r="AL72" s="40"/>
      <c r="AM72" s="40"/>
      <c r="AN72" s="40"/>
      <c r="AO72" s="40" t="s">
        <v>510</v>
      </c>
      <c r="AP72" s="40" t="s">
        <v>511</v>
      </c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21"/>
      <c r="BG72" s="21"/>
      <c r="BH72" s="21"/>
      <c r="BI72" s="21"/>
      <c r="BJ72" s="21"/>
      <c r="BK72" s="21"/>
      <c r="BL72" s="21"/>
      <c r="BM72" s="21"/>
    </row>
    <row r="73" spans="1:65" ht="15.75" customHeight="1">
      <c r="A73" s="22">
        <f t="shared" si="0"/>
        <v>106</v>
      </c>
      <c r="B73" s="22"/>
      <c r="C73" s="22" t="str">
        <f t="shared" si="1"/>
        <v>57. 584 TPE :scorpions: [S7] Amp Bogart - 3B (Blastmeaway)</v>
      </c>
      <c r="D73" s="23">
        <f t="shared" si="2"/>
        <v>57</v>
      </c>
      <c r="E73" s="22" t="str">
        <f>VLOOKUP(H73,Analysis!$A$24:$B$33,2,FALSE)</f>
        <v>:scorpions:</v>
      </c>
      <c r="F73" s="22"/>
      <c r="G73" s="22" t="s">
        <v>252</v>
      </c>
      <c r="H73" s="33" t="s">
        <v>10</v>
      </c>
      <c r="I73" s="34" t="s">
        <v>253</v>
      </c>
      <c r="J73" s="34" t="s">
        <v>254</v>
      </c>
      <c r="K73" s="33" t="s">
        <v>515</v>
      </c>
      <c r="L73" s="79" t="s">
        <v>215</v>
      </c>
      <c r="M73" s="33" t="s">
        <v>132</v>
      </c>
      <c r="N73" s="35">
        <v>584</v>
      </c>
      <c r="O73" s="45">
        <v>4.5</v>
      </c>
      <c r="P73" s="36"/>
      <c r="Q73" s="36"/>
      <c r="R73" s="36"/>
      <c r="S73" s="36"/>
      <c r="T73" s="33" t="s">
        <v>516</v>
      </c>
      <c r="U73" s="33" t="s">
        <v>35</v>
      </c>
      <c r="V73" s="33" t="s">
        <v>35</v>
      </c>
      <c r="W73" s="35">
        <v>1</v>
      </c>
      <c r="X73" s="33"/>
      <c r="Y73" s="33"/>
      <c r="Z73" s="33"/>
      <c r="AA73" s="33"/>
      <c r="AB73" s="33"/>
      <c r="AC73" s="33"/>
      <c r="AD73" s="35"/>
      <c r="AE73" s="35"/>
      <c r="AF73" s="35" t="s">
        <v>257</v>
      </c>
      <c r="AG73" s="35">
        <v>5</v>
      </c>
      <c r="AH73" s="45">
        <v>4</v>
      </c>
      <c r="AI73" s="33">
        <v>478</v>
      </c>
      <c r="AJ73" s="33"/>
      <c r="AK73" s="33"/>
      <c r="AL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21"/>
      <c r="BG73" s="21"/>
      <c r="BH73" s="21"/>
      <c r="BI73" s="21"/>
      <c r="BJ73" s="21"/>
      <c r="BK73" s="21"/>
      <c r="BL73" s="21"/>
      <c r="BM73" s="21"/>
    </row>
    <row r="74" spans="1:65" ht="15.75" customHeight="1">
      <c r="A74" s="22">
        <f t="shared" si="0"/>
        <v>185</v>
      </c>
      <c r="B74" s="22" t="str">
        <f>D74&amp;". Gained TPE: "&amp;A74&amp;" TPE - " &amp;N74&amp;" Current TPE "&amp;E74&amp;" ["&amp;U74&amp;"] "&amp;K74&amp;" - "&amp;L74&amp;" ("&amp;I74&amp;")"</f>
        <v>18. Gained TPE: 185 TPE - 580 Current TPE :scorpions: [S8] Frederick Birdington - SP (kentuckycolonel)</v>
      </c>
      <c r="C74" s="22" t="str">
        <f t="shared" si="1"/>
        <v>18. 580 TPE :scorpions: [S8] Frederick Birdington - SP (kentuckycolonel)</v>
      </c>
      <c r="D74" s="23">
        <f t="shared" si="2"/>
        <v>18</v>
      </c>
      <c r="E74" s="22" t="str">
        <f>VLOOKUP(H74,Analysis!$A$24:$B$33,2,FALSE)</f>
        <v>:scorpions:</v>
      </c>
      <c r="F74" s="22"/>
      <c r="G74" s="22" t="s">
        <v>258</v>
      </c>
      <c r="H74" s="40" t="s">
        <v>10</v>
      </c>
      <c r="I74" s="41" t="s">
        <v>259</v>
      </c>
      <c r="J74" s="41" t="s">
        <v>260</v>
      </c>
      <c r="K74" s="40" t="s">
        <v>522</v>
      </c>
      <c r="L74" s="121" t="s">
        <v>90</v>
      </c>
      <c r="M74" s="40" t="s">
        <v>109</v>
      </c>
      <c r="N74" s="42">
        <v>580</v>
      </c>
      <c r="O74" s="44">
        <v>4</v>
      </c>
      <c r="P74" s="44"/>
      <c r="Q74" s="43"/>
      <c r="R74" s="43"/>
      <c r="S74" s="43"/>
      <c r="T74" s="40" t="s">
        <v>523</v>
      </c>
      <c r="U74" s="40" t="s">
        <v>36</v>
      </c>
      <c r="V74" s="40" t="s">
        <v>36</v>
      </c>
      <c r="W74" s="42">
        <v>4</v>
      </c>
      <c r="X74" s="40"/>
      <c r="Y74" s="40"/>
      <c r="Z74" s="40"/>
      <c r="AA74" s="40"/>
      <c r="AB74" s="40"/>
      <c r="AC74" s="42"/>
      <c r="AD74" s="42"/>
      <c r="AE74" s="42"/>
      <c r="AF74" s="42"/>
      <c r="AG74" s="42">
        <v>0</v>
      </c>
      <c r="AH74" s="44">
        <v>4</v>
      </c>
      <c r="AI74" s="42">
        <v>395</v>
      </c>
      <c r="AJ74" s="42"/>
      <c r="AK74" s="42"/>
      <c r="AL74" s="42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21"/>
      <c r="BG74" s="21"/>
      <c r="BH74" s="21"/>
      <c r="BI74" s="21"/>
      <c r="BJ74" s="21"/>
      <c r="BK74" s="21"/>
      <c r="BL74" s="21"/>
      <c r="BM74" s="21"/>
    </row>
    <row r="75" spans="1:65" ht="15.75" customHeight="1">
      <c r="A75" s="22">
        <f t="shared" si="0"/>
        <v>102</v>
      </c>
      <c r="B75" s="22"/>
      <c r="C75" s="22" t="str">
        <f t="shared" si="1"/>
        <v>60. 575 TPE :scorpions: [S6] Catolo Kittone - C (andybj)</v>
      </c>
      <c r="D75" s="23">
        <f t="shared" si="2"/>
        <v>60</v>
      </c>
      <c r="E75" s="22" t="str">
        <f>VLOOKUP(H75,Analysis!$A$24:$B$33,2,FALSE)</f>
        <v>:scorpions:</v>
      </c>
      <c r="F75" s="22"/>
      <c r="G75" s="22" t="s">
        <v>261</v>
      </c>
      <c r="H75" s="33" t="s">
        <v>10</v>
      </c>
      <c r="I75" s="34" t="s">
        <v>263</v>
      </c>
      <c r="J75" s="34" t="s">
        <v>264</v>
      </c>
      <c r="K75" s="33" t="s">
        <v>528</v>
      </c>
      <c r="L75" s="33" t="s">
        <v>103</v>
      </c>
      <c r="M75" s="33" t="s">
        <v>265</v>
      </c>
      <c r="N75" s="35">
        <v>575</v>
      </c>
      <c r="O75" s="36">
        <v>4.75</v>
      </c>
      <c r="P75" s="36">
        <v>5</v>
      </c>
      <c r="Q75" s="36"/>
      <c r="R75" s="36"/>
      <c r="S75" s="36"/>
      <c r="T75" s="33"/>
      <c r="U75" s="33" t="s">
        <v>34</v>
      </c>
      <c r="V75" s="33" t="s">
        <v>34</v>
      </c>
      <c r="W75" s="35">
        <v>11</v>
      </c>
      <c r="X75" s="33" t="s">
        <v>266</v>
      </c>
      <c r="Y75" s="33">
        <v>6</v>
      </c>
      <c r="Z75" s="33">
        <v>4</v>
      </c>
      <c r="AA75" s="33"/>
      <c r="AB75" s="33"/>
      <c r="AC75" s="35"/>
      <c r="AD75" s="35"/>
      <c r="AE75" s="35">
        <v>2</v>
      </c>
      <c r="AF75" s="35">
        <v>2</v>
      </c>
      <c r="AG75" s="33">
        <v>2</v>
      </c>
      <c r="AH75" s="36">
        <v>2</v>
      </c>
      <c r="AI75" s="35">
        <v>473</v>
      </c>
      <c r="AK75" s="35"/>
      <c r="AL75" s="35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21"/>
      <c r="BG75" s="21"/>
      <c r="BH75" s="21"/>
      <c r="BI75" s="21"/>
      <c r="BJ75" s="21"/>
      <c r="BK75" s="21"/>
      <c r="BL75" s="21"/>
      <c r="BM75" s="21"/>
    </row>
    <row r="76" spans="1:65" ht="15.75" customHeight="1">
      <c r="A76" s="22">
        <f t="shared" si="0"/>
        <v>94</v>
      </c>
      <c r="B76" s="22"/>
      <c r="C76" s="22" t="str">
        <f t="shared" si="1"/>
        <v>64. 548 TPE :rangers: [S4] Trent Boult - SP (Neb)</v>
      </c>
      <c r="D76" s="23">
        <f t="shared" si="2"/>
        <v>64</v>
      </c>
      <c r="E76" s="22" t="str">
        <f>VLOOKUP(H76,Analysis!$A$24:$B$33,2,FALSE)</f>
        <v>:rangers:</v>
      </c>
      <c r="F76" s="22"/>
      <c r="G76" s="22" t="s">
        <v>530</v>
      </c>
      <c r="H76" s="40" t="s">
        <v>9</v>
      </c>
      <c r="I76" s="41" t="s">
        <v>532</v>
      </c>
      <c r="J76" s="41" t="s">
        <v>533</v>
      </c>
      <c r="K76" s="40" t="s">
        <v>534</v>
      </c>
      <c r="L76" s="40" t="s">
        <v>90</v>
      </c>
      <c r="M76" s="40" t="s">
        <v>55</v>
      </c>
      <c r="N76" s="42">
        <v>548</v>
      </c>
      <c r="O76" s="44">
        <v>4</v>
      </c>
      <c r="P76" s="44"/>
      <c r="Q76" s="44"/>
      <c r="R76" s="43"/>
      <c r="S76" s="43"/>
      <c r="T76" s="135" t="s">
        <v>535</v>
      </c>
      <c r="U76" s="40" t="s">
        <v>32</v>
      </c>
      <c r="V76" s="40" t="s">
        <v>32</v>
      </c>
      <c r="W76" s="42">
        <v>13</v>
      </c>
      <c r="X76" s="40"/>
      <c r="Y76" s="40"/>
      <c r="Z76" s="40"/>
      <c r="AA76" s="40"/>
      <c r="AB76" s="40"/>
      <c r="AC76" s="40"/>
      <c r="AD76" s="42">
        <v>3</v>
      </c>
      <c r="AE76" s="42">
        <v>3</v>
      </c>
      <c r="AF76" s="42">
        <v>3</v>
      </c>
      <c r="AG76" s="42">
        <v>2</v>
      </c>
      <c r="AH76" s="44">
        <v>5</v>
      </c>
      <c r="AI76" s="42">
        <v>454</v>
      </c>
      <c r="AJ76" s="42">
        <v>4</v>
      </c>
      <c r="AK76" s="42">
        <v>100</v>
      </c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21"/>
      <c r="BG76" s="21"/>
      <c r="BH76" s="21"/>
      <c r="BI76" s="21"/>
      <c r="BJ76" s="21"/>
      <c r="BK76" s="21"/>
      <c r="BL76" s="21"/>
      <c r="BM76" s="21"/>
    </row>
    <row r="77" spans="1:65" ht="15.75" customHeight="1">
      <c r="A77" s="22">
        <f t="shared" si="0"/>
        <v>69</v>
      </c>
      <c r="B77" s="22"/>
      <c r="C77" s="22" t="str">
        <f t="shared" si="1"/>
        <v>81. 542 TPE :vandals: [S7] Coreys Brother - SP (J.G.10)</v>
      </c>
      <c r="D77" s="23">
        <f t="shared" si="2"/>
        <v>81</v>
      </c>
      <c r="E77" s="22" t="str">
        <f>VLOOKUP(H77,Analysis!$A$24:$B$33,2,FALSE)</f>
        <v>:vandals:</v>
      </c>
      <c r="F77" s="22"/>
      <c r="G77" s="22" t="s">
        <v>536</v>
      </c>
      <c r="H77" s="33" t="s">
        <v>12</v>
      </c>
      <c r="I77" s="34" t="s">
        <v>537</v>
      </c>
      <c r="J77" s="34" t="s">
        <v>538</v>
      </c>
      <c r="K77" s="33" t="s">
        <v>539</v>
      </c>
      <c r="L77" s="33" t="s">
        <v>90</v>
      </c>
      <c r="M77" s="33" t="s">
        <v>55</v>
      </c>
      <c r="N77" s="35">
        <v>542</v>
      </c>
      <c r="O77" s="36">
        <v>3</v>
      </c>
      <c r="P77" s="36"/>
      <c r="Q77" s="36"/>
      <c r="R77" s="36"/>
      <c r="S77" s="36"/>
      <c r="T77" s="33" t="s">
        <v>540</v>
      </c>
      <c r="U77" s="33" t="s">
        <v>35</v>
      </c>
      <c r="V77" s="33" t="s">
        <v>35</v>
      </c>
      <c r="W77" s="33">
        <v>3</v>
      </c>
      <c r="X77" s="33"/>
      <c r="Y77" s="33"/>
      <c r="Z77" s="33"/>
      <c r="AA77" s="33"/>
      <c r="AB77" s="33"/>
      <c r="AC77" s="35"/>
      <c r="AD77" s="33"/>
      <c r="AE77" s="33"/>
      <c r="AF77" s="33" t="s">
        <v>257</v>
      </c>
      <c r="AG77" s="33">
        <v>3</v>
      </c>
      <c r="AH77" s="36">
        <v>3</v>
      </c>
      <c r="AI77" s="33">
        <v>473</v>
      </c>
      <c r="AJ77" s="35"/>
      <c r="AK77" s="35"/>
      <c r="AL77" s="35"/>
      <c r="AM77" s="35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21"/>
      <c r="BG77" s="21"/>
      <c r="BH77" s="21"/>
      <c r="BI77" s="21"/>
      <c r="BJ77" s="21"/>
      <c r="BK77" s="21"/>
      <c r="BL77" s="21"/>
      <c r="BM77" s="21"/>
    </row>
    <row r="78" spans="1:65" ht="15.75" customHeight="1">
      <c r="A78" s="22">
        <f t="shared" si="0"/>
        <v>166</v>
      </c>
      <c r="B78" s="22" t="str">
        <f>D78&amp;". Gained TPE: "&amp;A78&amp;" TPE - " &amp;N78&amp;" Current TPE "&amp;E78&amp;" ["&amp;U78&amp;"] "&amp;K78&amp;" - "&amp;L78&amp;" ("&amp;I78&amp;")"</f>
        <v>30. Gained TPE: 166 TPE - 540 Current TPE :vandals: [S8] Isidore Fox - CF (McWolf)</v>
      </c>
      <c r="C78" s="22" t="str">
        <f t="shared" si="1"/>
        <v>30. 540 TPE :vandals: [S8] Isidore Fox - CF (McWolf)</v>
      </c>
      <c r="D78" s="23">
        <f t="shared" si="2"/>
        <v>30</v>
      </c>
      <c r="E78" s="22" t="str">
        <f>VLOOKUP(H78,Analysis!$A$24:$B$33,2,FALSE)</f>
        <v>:vandals:</v>
      </c>
      <c r="F78" s="22"/>
      <c r="G78" s="22" t="s">
        <v>541</v>
      </c>
      <c r="H78" s="40" t="s">
        <v>12</v>
      </c>
      <c r="I78" s="41" t="s">
        <v>542</v>
      </c>
      <c r="J78" s="41" t="s">
        <v>543</v>
      </c>
      <c r="K78" s="40" t="s">
        <v>544</v>
      </c>
      <c r="L78" s="121" t="s">
        <v>67</v>
      </c>
      <c r="M78" s="40" t="s">
        <v>62</v>
      </c>
      <c r="N78" s="42">
        <v>540</v>
      </c>
      <c r="O78" s="43">
        <v>3</v>
      </c>
      <c r="P78" s="43"/>
      <c r="Q78" s="43"/>
      <c r="R78" s="43"/>
      <c r="S78" s="43"/>
      <c r="T78" s="40" t="s">
        <v>545</v>
      </c>
      <c r="U78" s="40" t="s">
        <v>36</v>
      </c>
      <c r="V78" s="40" t="s">
        <v>36</v>
      </c>
      <c r="W78" s="42">
        <v>10</v>
      </c>
      <c r="X78" s="40"/>
      <c r="Y78" s="40"/>
      <c r="Z78" s="40"/>
      <c r="AA78" s="40"/>
      <c r="AB78" s="40"/>
      <c r="AC78" s="42"/>
      <c r="AD78" s="42"/>
      <c r="AE78" s="42"/>
      <c r="AF78" s="42"/>
      <c r="AG78" s="42">
        <v>0</v>
      </c>
      <c r="AH78" s="44">
        <v>3</v>
      </c>
      <c r="AI78" s="42">
        <v>374</v>
      </c>
      <c r="AJ78" s="42"/>
      <c r="AK78" s="42"/>
      <c r="AL78" s="42"/>
      <c r="AM78" s="42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21"/>
      <c r="BG78" s="21"/>
      <c r="BH78" s="21"/>
      <c r="BI78" s="21"/>
      <c r="BJ78" s="21"/>
      <c r="BK78" s="21"/>
      <c r="BL78" s="21"/>
      <c r="BM78" s="21"/>
    </row>
    <row r="79" spans="1:65" ht="15.75" customHeight="1">
      <c r="A79" s="22">
        <f t="shared" si="0"/>
        <v>-73</v>
      </c>
      <c r="B79" s="22"/>
      <c r="C79" s="22" t="str">
        <f t="shared" si="1"/>
        <v>307. 538 TPE :vandals: [S1] Robert Phelps - LF (DrunkenTeddy)</v>
      </c>
      <c r="D79" s="23">
        <f t="shared" si="2"/>
        <v>307</v>
      </c>
      <c r="E79" s="22" t="str">
        <f>VLOOKUP(H79,Analysis!$A$24:$B$33,2,FALSE)</f>
        <v>:vandals:</v>
      </c>
      <c r="F79" s="22"/>
      <c r="G79" s="22" t="s">
        <v>546</v>
      </c>
      <c r="H79" s="33" t="s">
        <v>12</v>
      </c>
      <c r="I79" s="34" t="s">
        <v>547</v>
      </c>
      <c r="J79" s="34" t="s">
        <v>548</v>
      </c>
      <c r="K79" s="33" t="s">
        <v>549</v>
      </c>
      <c r="L79" s="33" t="s">
        <v>180</v>
      </c>
      <c r="M79" s="33" t="s">
        <v>84</v>
      </c>
      <c r="N79" s="35">
        <v>538</v>
      </c>
      <c r="O79" s="45">
        <v>5.75</v>
      </c>
      <c r="P79" s="45"/>
      <c r="Q79" s="36"/>
      <c r="R79" s="36"/>
      <c r="S79" s="36"/>
      <c r="T79" s="33"/>
      <c r="U79" s="33" t="s">
        <v>70</v>
      </c>
      <c r="V79" s="33" t="s">
        <v>70</v>
      </c>
      <c r="W79" s="35">
        <v>7</v>
      </c>
      <c r="X79" s="33"/>
      <c r="Y79" s="33"/>
      <c r="Z79" s="33"/>
      <c r="AA79" s="33"/>
      <c r="AB79" s="33"/>
      <c r="AC79" s="33">
        <v>4.5</v>
      </c>
      <c r="AD79" s="33">
        <v>4</v>
      </c>
      <c r="AE79" s="33">
        <v>5</v>
      </c>
      <c r="AF79" s="33">
        <v>5.75</v>
      </c>
      <c r="AG79" s="33">
        <v>7.25</v>
      </c>
      <c r="AH79" s="45">
        <v>5.75</v>
      </c>
      <c r="AI79" s="35">
        <v>611</v>
      </c>
      <c r="AJ79" s="36">
        <v>5.75</v>
      </c>
      <c r="AK79" s="33">
        <v>456</v>
      </c>
      <c r="AL79" s="33">
        <v>444</v>
      </c>
      <c r="AM79" s="33">
        <v>436</v>
      </c>
      <c r="AN79" s="33">
        <v>418</v>
      </c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21"/>
      <c r="BG79" s="21"/>
      <c r="BH79" s="21"/>
      <c r="BI79" s="21"/>
      <c r="BJ79" s="21"/>
      <c r="BK79" s="21"/>
      <c r="BL79" s="21"/>
      <c r="BM79" s="21"/>
    </row>
    <row r="80" spans="1:65" ht="15.75" customHeight="1">
      <c r="A80" s="22">
        <f t="shared" si="0"/>
        <v>180</v>
      </c>
      <c r="B80" s="22" t="str">
        <f>D80&amp;". Gained TPE: "&amp;A80&amp;" TPE - " &amp;N80&amp;" Current TPE "&amp;E80&amp;" ["&amp;U80&amp;"] "&amp;K80&amp;" - "&amp;L80&amp;" ("&amp;I80&amp;")"</f>
        <v>25. Gained TPE: 180 TPE - 535 Current TPE :voyagers: [S8] Ulysses Rove - SS (Yurt6)</v>
      </c>
      <c r="C80" s="22" t="str">
        <f t="shared" si="1"/>
        <v>25. 535 TPE :voyagers: [S8] Ulysses Rove - SS (Yurt6)</v>
      </c>
      <c r="D80" s="23">
        <f t="shared" si="2"/>
        <v>25</v>
      </c>
      <c r="E80" s="22" t="str">
        <f>VLOOKUP(H80,Analysis!$A$24:$B$33,2,FALSE)</f>
        <v>:voyagers:</v>
      </c>
      <c r="F80" s="22"/>
      <c r="G80" s="22" t="s">
        <v>550</v>
      </c>
      <c r="H80" s="40" t="s">
        <v>8</v>
      </c>
      <c r="I80" s="41" t="s">
        <v>551</v>
      </c>
      <c r="J80" s="41" t="s">
        <v>552</v>
      </c>
      <c r="K80" s="40" t="s">
        <v>553</v>
      </c>
      <c r="L80" s="40" t="s">
        <v>75</v>
      </c>
      <c r="M80" s="40" t="s">
        <v>554</v>
      </c>
      <c r="N80" s="42">
        <v>535</v>
      </c>
      <c r="O80" s="43">
        <v>3</v>
      </c>
      <c r="P80" s="43">
        <v>3</v>
      </c>
      <c r="Q80" s="43"/>
      <c r="R80" s="43"/>
      <c r="S80" s="43"/>
      <c r="T80" s="40" t="s">
        <v>273</v>
      </c>
      <c r="U80" s="40" t="s">
        <v>36</v>
      </c>
      <c r="V80" s="40" t="s">
        <v>36</v>
      </c>
      <c r="W80" s="42">
        <v>5</v>
      </c>
      <c r="X80" s="40"/>
      <c r="Y80" s="40"/>
      <c r="Z80" s="40"/>
      <c r="AA80" s="40"/>
      <c r="AB80" s="40"/>
      <c r="AC80" s="42"/>
      <c r="AD80" s="42"/>
      <c r="AE80" s="42"/>
      <c r="AF80" s="42"/>
      <c r="AG80" s="40"/>
      <c r="AH80" s="40">
        <v>0</v>
      </c>
      <c r="AI80" s="42">
        <v>355</v>
      </c>
      <c r="AK80" s="42"/>
      <c r="AL80" s="42"/>
      <c r="AM80" s="42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21"/>
      <c r="BG80" s="21"/>
      <c r="BH80" s="21"/>
      <c r="BI80" s="21"/>
      <c r="BJ80" s="21"/>
      <c r="BK80" s="21"/>
      <c r="BL80" s="21"/>
      <c r="BM80" s="21"/>
    </row>
    <row r="81" spans="1:65" ht="15.75" customHeight="1">
      <c r="A81" s="22">
        <f t="shared" si="0"/>
        <v>-71</v>
      </c>
      <c r="B81" s="22"/>
      <c r="C81" s="22" t="str">
        <f t="shared" si="1"/>
        <v>306. 527 TPE :vandals: [S1] Steven O'Sullivan - C (StevenO'Sullivan)</v>
      </c>
      <c r="D81" s="23">
        <f t="shared" si="2"/>
        <v>306</v>
      </c>
      <c r="E81" s="22" t="str">
        <f>VLOOKUP(H81,Analysis!$A$24:$B$33,2,FALSE)</f>
        <v>:vandals:</v>
      </c>
      <c r="F81" s="22"/>
      <c r="G81" s="22" t="s">
        <v>555</v>
      </c>
      <c r="H81" s="33" t="s">
        <v>12</v>
      </c>
      <c r="I81" s="34" t="s">
        <v>556</v>
      </c>
      <c r="J81" s="34" t="s">
        <v>557</v>
      </c>
      <c r="K81" s="33" t="s">
        <v>558</v>
      </c>
      <c r="L81" s="33" t="s">
        <v>103</v>
      </c>
      <c r="M81" s="33" t="s">
        <v>68</v>
      </c>
      <c r="N81" s="35">
        <v>527</v>
      </c>
      <c r="O81" s="36">
        <v>6.5</v>
      </c>
      <c r="P81" s="36"/>
      <c r="Q81" s="36"/>
      <c r="R81" s="36"/>
      <c r="S81" s="36"/>
      <c r="T81" s="33"/>
      <c r="U81" s="33" t="s">
        <v>70</v>
      </c>
      <c r="V81" s="33" t="s">
        <v>70</v>
      </c>
      <c r="W81" s="35">
        <v>35</v>
      </c>
      <c r="X81" s="33"/>
      <c r="Y81" s="33"/>
      <c r="Z81" s="33"/>
      <c r="AA81" s="33"/>
      <c r="AB81" s="33"/>
      <c r="AC81" s="35">
        <v>3</v>
      </c>
      <c r="AD81" s="35">
        <v>3</v>
      </c>
      <c r="AE81" s="35">
        <v>4</v>
      </c>
      <c r="AF81" s="35">
        <v>5.75</v>
      </c>
      <c r="AG81" s="35">
        <v>5</v>
      </c>
      <c r="AH81" s="45">
        <v>5</v>
      </c>
      <c r="AI81" s="35">
        <v>598</v>
      </c>
      <c r="AJ81" s="35">
        <v>5</v>
      </c>
      <c r="AK81" s="35">
        <v>342</v>
      </c>
      <c r="AL81" s="35">
        <v>292</v>
      </c>
      <c r="AM81" s="35">
        <v>292</v>
      </c>
      <c r="AN81" s="33">
        <v>292</v>
      </c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21"/>
      <c r="BG81" s="21"/>
      <c r="BH81" s="21"/>
      <c r="BI81" s="21"/>
      <c r="BJ81" s="21"/>
      <c r="BK81" s="21"/>
      <c r="BL81" s="21"/>
      <c r="BM81" s="21"/>
    </row>
    <row r="82" spans="1:65" ht="15.75" customHeight="1">
      <c r="A82" s="22">
        <f t="shared" si="0"/>
        <v>151</v>
      </c>
      <c r="B82" s="22" t="str">
        <f t="shared" ref="B82:B83" si="13">D82&amp;". Gained TPE: "&amp;A82&amp;" TPE - " &amp;N82&amp;" Current TPE "&amp;E82&amp;" ["&amp;U82&amp;"] "&amp;K82&amp;" - "&amp;L82&amp;" ("&amp;I82&amp;")"</f>
        <v>40. Gained TPE: 151 TPE - 526 Current TPE :rangers: [S7] Alexander Blitz - 2B (klitmania)</v>
      </c>
      <c r="C82" s="22" t="str">
        <f t="shared" si="1"/>
        <v>40. 526 TPE :rangers: [S7] Alexander Blitz - 2B (klitmania)</v>
      </c>
      <c r="D82" s="23">
        <f t="shared" si="2"/>
        <v>40</v>
      </c>
      <c r="E82" s="22" t="str">
        <f>VLOOKUP(H82,Analysis!$A$24:$B$33,2,FALSE)</f>
        <v>:rangers:</v>
      </c>
      <c r="F82" s="22"/>
      <c r="G82" s="22" t="s">
        <v>559</v>
      </c>
      <c r="H82" s="40" t="s">
        <v>9</v>
      </c>
      <c r="I82" s="41" t="s">
        <v>560</v>
      </c>
      <c r="J82" s="41" t="s">
        <v>561</v>
      </c>
      <c r="K82" s="40" t="s">
        <v>562</v>
      </c>
      <c r="L82" s="121" t="s">
        <v>83</v>
      </c>
      <c r="M82" s="40" t="s">
        <v>84</v>
      </c>
      <c r="N82" s="42">
        <v>526</v>
      </c>
      <c r="O82" s="43">
        <v>4</v>
      </c>
      <c r="P82" s="43"/>
      <c r="Q82" s="43"/>
      <c r="R82" s="43"/>
      <c r="S82" s="43"/>
      <c r="T82" s="40" t="s">
        <v>417</v>
      </c>
      <c r="U82" s="40" t="s">
        <v>35</v>
      </c>
      <c r="V82" s="40" t="s">
        <v>35</v>
      </c>
      <c r="W82" s="42">
        <v>30</v>
      </c>
      <c r="X82" s="40"/>
      <c r="Y82" s="40"/>
      <c r="Z82" s="40"/>
      <c r="AA82" s="40"/>
      <c r="AB82" s="40"/>
      <c r="AC82" s="42"/>
      <c r="AD82" s="40"/>
      <c r="AE82" s="40"/>
      <c r="AF82" s="40"/>
      <c r="AG82" s="40" t="s">
        <v>257</v>
      </c>
      <c r="AH82" s="43">
        <v>4</v>
      </c>
      <c r="AI82" s="40">
        <v>375</v>
      </c>
      <c r="AJ82" s="40">
        <v>3</v>
      </c>
      <c r="AK82" s="42"/>
      <c r="AL82" s="42"/>
      <c r="AM82" s="40"/>
      <c r="AN82" s="73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21"/>
      <c r="BG82" s="21"/>
      <c r="BH82" s="21"/>
      <c r="BI82" s="21"/>
      <c r="BJ82" s="21"/>
      <c r="BK82" s="21"/>
      <c r="BL82" s="21"/>
      <c r="BM82" s="21"/>
    </row>
    <row r="83" spans="1:65" ht="15.75" customHeight="1">
      <c r="A83" s="22">
        <f t="shared" si="0"/>
        <v>182</v>
      </c>
      <c r="B83" s="22" t="str">
        <f t="shared" si="13"/>
        <v>22. Gained TPE: 182 TPE - 505 Current TPE :rangers: [S8] John DeMars - RF (John DeMars)</v>
      </c>
      <c r="C83" s="22" t="str">
        <f t="shared" si="1"/>
        <v>22. 505 TPE :rangers: [S8] John DeMars - RF (John DeMars)</v>
      </c>
      <c r="D83" s="23">
        <f t="shared" si="2"/>
        <v>22</v>
      </c>
      <c r="E83" s="22" t="str">
        <f>VLOOKUP(H83,Analysis!$A$24:$B$33,2,FALSE)</f>
        <v>:rangers:</v>
      </c>
      <c r="F83" s="22"/>
      <c r="G83" s="22"/>
      <c r="H83" s="33" t="s">
        <v>9</v>
      </c>
      <c r="I83" s="34" t="s">
        <v>563</v>
      </c>
      <c r="J83" s="34" t="s">
        <v>564</v>
      </c>
      <c r="K83" s="33" t="s">
        <v>563</v>
      </c>
      <c r="L83" s="33" t="s">
        <v>131</v>
      </c>
      <c r="M83" s="33" t="s">
        <v>565</v>
      </c>
      <c r="N83" s="35">
        <v>505</v>
      </c>
      <c r="O83" s="45">
        <v>6</v>
      </c>
      <c r="P83" s="36">
        <v>6</v>
      </c>
      <c r="Q83" s="36"/>
      <c r="R83" s="36"/>
      <c r="S83" s="36"/>
      <c r="T83" s="37" t="s">
        <v>566</v>
      </c>
      <c r="U83" s="79" t="s">
        <v>36</v>
      </c>
      <c r="V83" s="33"/>
      <c r="W83" s="35"/>
      <c r="X83" s="33"/>
      <c r="Y83" s="33"/>
      <c r="Z83" s="33"/>
      <c r="AA83" s="33"/>
      <c r="AB83" s="33"/>
      <c r="AC83" s="33"/>
      <c r="AD83" s="33"/>
      <c r="AE83" s="33"/>
      <c r="AF83" s="33"/>
      <c r="AG83" s="35"/>
      <c r="AH83" s="45">
        <v>3</v>
      </c>
      <c r="AI83" s="33">
        <v>323</v>
      </c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21"/>
      <c r="BG83" s="21"/>
      <c r="BH83" s="21"/>
      <c r="BI83" s="21"/>
      <c r="BJ83" s="21"/>
      <c r="BK83" s="21"/>
      <c r="BL83" s="21"/>
      <c r="BM83" s="21"/>
    </row>
    <row r="84" spans="1:65" ht="15.75" customHeight="1">
      <c r="A84" s="22">
        <f t="shared" si="0"/>
        <v>20</v>
      </c>
      <c r="B84" s="22"/>
      <c r="C84" s="22" t="str">
        <f t="shared" si="1"/>
        <v>118. 491 TPE :utah: [S5] Mac Kaarbine - CL (Carbine)</v>
      </c>
      <c r="D84" s="23">
        <f t="shared" si="2"/>
        <v>118</v>
      </c>
      <c r="E84" s="22" t="str">
        <f>VLOOKUP(H84,Analysis!$A$24:$B$33,2,FALSE)</f>
        <v>:utah:</v>
      </c>
      <c r="F84" s="22"/>
      <c r="G84" s="22" t="s">
        <v>567</v>
      </c>
      <c r="H84" s="40" t="s">
        <v>13</v>
      </c>
      <c r="I84" s="41" t="s">
        <v>568</v>
      </c>
      <c r="J84" s="41" t="s">
        <v>569</v>
      </c>
      <c r="K84" s="40" t="s">
        <v>570</v>
      </c>
      <c r="L84" s="121" t="s">
        <v>336</v>
      </c>
      <c r="M84" s="40" t="s">
        <v>114</v>
      </c>
      <c r="N84" s="42">
        <v>491</v>
      </c>
      <c r="O84" s="44">
        <v>5</v>
      </c>
      <c r="P84" s="44">
        <v>5</v>
      </c>
      <c r="Q84" s="44"/>
      <c r="R84" s="108"/>
      <c r="S84" s="108"/>
      <c r="T84" s="40" t="s">
        <v>571</v>
      </c>
      <c r="U84" s="40" t="s">
        <v>33</v>
      </c>
      <c r="V84" s="40" t="s">
        <v>33</v>
      </c>
      <c r="W84" s="42">
        <v>15</v>
      </c>
      <c r="X84" s="40"/>
      <c r="Y84" s="40"/>
      <c r="Z84" s="40"/>
      <c r="AA84" s="40"/>
      <c r="AB84" s="42"/>
      <c r="AC84" s="42"/>
      <c r="AD84" s="42">
        <v>4</v>
      </c>
      <c r="AE84" s="42">
        <v>3</v>
      </c>
      <c r="AF84" s="42">
        <v>3</v>
      </c>
      <c r="AG84" s="42">
        <v>5</v>
      </c>
      <c r="AH84" s="44">
        <v>5</v>
      </c>
      <c r="AI84" s="42">
        <v>471</v>
      </c>
      <c r="AJ84" s="42"/>
      <c r="AK84" s="42"/>
      <c r="AL84" s="42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21"/>
      <c r="BG84" s="21"/>
      <c r="BH84" s="21"/>
      <c r="BI84" s="21"/>
      <c r="BJ84" s="21"/>
      <c r="BK84" s="21"/>
      <c r="BL84" s="21"/>
      <c r="BM84" s="21"/>
    </row>
    <row r="85" spans="1:65" ht="15.75" customHeight="1">
      <c r="A85" s="22">
        <f t="shared" si="0"/>
        <v>0</v>
      </c>
      <c r="B85" s="22"/>
      <c r="C85" s="22" t="str">
        <f t="shared" si="1"/>
        <v>134. 462 TPE :crabs: [S5] AJ Robertson - 3B (Nathan_Hall)</v>
      </c>
      <c r="D85" s="23">
        <f t="shared" si="2"/>
        <v>134</v>
      </c>
      <c r="E85" s="22" t="str">
        <f>VLOOKUP(H85,Analysis!$A$24:$B$33,2,FALSE)</f>
        <v>:crabs:</v>
      </c>
      <c r="F85" s="22"/>
      <c r="G85" s="22" t="s">
        <v>572</v>
      </c>
      <c r="H85" s="33" t="s">
        <v>3</v>
      </c>
      <c r="I85" s="34" t="s">
        <v>573</v>
      </c>
      <c r="J85" s="34" t="s">
        <v>574</v>
      </c>
      <c r="K85" s="33" t="s">
        <v>575</v>
      </c>
      <c r="L85" s="33" t="s">
        <v>215</v>
      </c>
      <c r="M85" s="33" t="s">
        <v>159</v>
      </c>
      <c r="N85" s="35">
        <v>462</v>
      </c>
      <c r="O85" s="36">
        <v>7.25</v>
      </c>
      <c r="P85" s="36"/>
      <c r="Q85" s="36"/>
      <c r="R85" s="36"/>
      <c r="S85" s="36"/>
      <c r="T85" s="33"/>
      <c r="U85" s="33" t="s">
        <v>33</v>
      </c>
      <c r="V85" s="33" t="s">
        <v>33</v>
      </c>
      <c r="W85" s="35">
        <v>17</v>
      </c>
      <c r="X85" s="33"/>
      <c r="Y85" s="33"/>
      <c r="Z85" s="33"/>
      <c r="AA85" s="33"/>
      <c r="AB85" s="33"/>
      <c r="AC85" s="35"/>
      <c r="AD85" s="35"/>
      <c r="AE85" s="33">
        <v>1.66</v>
      </c>
      <c r="AF85" s="33">
        <v>3.5</v>
      </c>
      <c r="AG85" s="33">
        <v>3</v>
      </c>
      <c r="AH85" s="36">
        <v>5</v>
      </c>
      <c r="AI85" s="33">
        <v>462</v>
      </c>
      <c r="AJ85" s="45">
        <v>4</v>
      </c>
      <c r="AK85" s="35"/>
      <c r="AL85" s="35"/>
      <c r="AM85" s="35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21"/>
      <c r="BG85" s="21"/>
      <c r="BH85" s="21"/>
      <c r="BI85" s="21"/>
      <c r="BJ85" s="21"/>
      <c r="BK85" s="21"/>
      <c r="BL85" s="21"/>
      <c r="BM85" s="21"/>
    </row>
    <row r="86" spans="1:65" ht="15.75" customHeight="1">
      <c r="A86" s="22">
        <f t="shared" si="0"/>
        <v>79</v>
      </c>
      <c r="B86" s="22"/>
      <c r="C86" s="22" t="str">
        <f t="shared" si="1"/>
        <v>73. 443 TPE :utah: [S7] Micheal Lang - SP (ml002)</v>
      </c>
      <c r="D86" s="23">
        <f t="shared" si="2"/>
        <v>73</v>
      </c>
      <c r="E86" s="22" t="str">
        <f>VLOOKUP(H86,Analysis!$A$24:$B$33,2,FALSE)</f>
        <v>:utah:</v>
      </c>
      <c r="F86" s="22"/>
      <c r="G86" s="22" t="s">
        <v>577</v>
      </c>
      <c r="H86" s="40" t="s">
        <v>13</v>
      </c>
      <c r="I86" s="41" t="s">
        <v>578</v>
      </c>
      <c r="J86" s="41" t="s">
        <v>579</v>
      </c>
      <c r="K86" s="40" t="s">
        <v>580</v>
      </c>
      <c r="L86" s="40" t="s">
        <v>90</v>
      </c>
      <c r="M86" s="40" t="s">
        <v>109</v>
      </c>
      <c r="N86" s="42">
        <v>443</v>
      </c>
      <c r="O86" s="43">
        <v>4</v>
      </c>
      <c r="P86" s="43"/>
      <c r="Q86" s="43"/>
      <c r="R86" s="43"/>
      <c r="S86" s="43"/>
      <c r="T86" s="40" t="s">
        <v>417</v>
      </c>
      <c r="U86" s="40" t="s">
        <v>35</v>
      </c>
      <c r="V86" s="40" t="s">
        <v>35</v>
      </c>
      <c r="W86" s="42">
        <v>5</v>
      </c>
      <c r="X86" s="40"/>
      <c r="Y86" s="40"/>
      <c r="Z86" s="40"/>
      <c r="AA86" s="40"/>
      <c r="AB86" s="42"/>
      <c r="AC86" s="42"/>
      <c r="AD86" s="42"/>
      <c r="AE86" s="42"/>
      <c r="AF86" s="42"/>
      <c r="AG86" s="42" t="s">
        <v>257</v>
      </c>
      <c r="AH86" s="44">
        <v>4</v>
      </c>
      <c r="AI86" s="40">
        <v>364</v>
      </c>
      <c r="AJ86" s="42">
        <v>4</v>
      </c>
      <c r="AK86" s="42"/>
      <c r="AL86" s="42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21"/>
      <c r="BG86" s="21"/>
      <c r="BH86" s="21"/>
      <c r="BI86" s="21"/>
      <c r="BJ86" s="21"/>
      <c r="BK86" s="21"/>
      <c r="BL86" s="21"/>
      <c r="BM86" s="21"/>
    </row>
    <row r="87" spans="1:65" ht="15.75" customHeight="1">
      <c r="A87" s="22">
        <f t="shared" si="0"/>
        <v>0</v>
      </c>
      <c r="B87" s="22"/>
      <c r="C87" s="22" t="str">
        <f t="shared" si="1"/>
        <v>134. 434 TPE :crabs: [S6] Lucas North - SP (Dawegg)</v>
      </c>
      <c r="D87" s="23">
        <f t="shared" si="2"/>
        <v>134</v>
      </c>
      <c r="E87" s="22" t="str">
        <f>VLOOKUP(H87,Analysis!$A$24:$B$33,2,FALSE)</f>
        <v>:crabs:</v>
      </c>
      <c r="F87" s="22"/>
      <c r="G87" s="22" t="s">
        <v>581</v>
      </c>
      <c r="H87" s="33" t="s">
        <v>3</v>
      </c>
      <c r="I87" s="34" t="s">
        <v>582</v>
      </c>
      <c r="J87" s="34" t="s">
        <v>583</v>
      </c>
      <c r="K87" s="33" t="s">
        <v>584</v>
      </c>
      <c r="L87" s="33" t="s">
        <v>90</v>
      </c>
      <c r="M87" s="33" t="s">
        <v>114</v>
      </c>
      <c r="N87" s="35">
        <v>434</v>
      </c>
      <c r="O87" s="36">
        <v>4</v>
      </c>
      <c r="P87" s="36"/>
      <c r="Q87" s="36"/>
      <c r="R87" s="36"/>
      <c r="S87" s="36"/>
      <c r="T87" s="33"/>
      <c r="U87" s="33" t="s">
        <v>34</v>
      </c>
      <c r="V87" s="33" t="s">
        <v>34</v>
      </c>
      <c r="W87" s="35">
        <v>4</v>
      </c>
      <c r="X87" s="33"/>
      <c r="Y87" s="33"/>
      <c r="Z87" s="33"/>
      <c r="AA87" s="33"/>
      <c r="AB87" s="33"/>
      <c r="AC87" s="33"/>
      <c r="AD87" s="33"/>
      <c r="AE87" s="33"/>
      <c r="AF87" s="33">
        <v>4</v>
      </c>
      <c r="AG87" s="33">
        <v>6</v>
      </c>
      <c r="AH87" s="36">
        <v>3</v>
      </c>
      <c r="AI87" s="33">
        <v>434</v>
      </c>
      <c r="AJ87" s="33">
        <v>4</v>
      </c>
      <c r="AK87" s="33"/>
      <c r="AL87" s="35"/>
      <c r="AM87" s="35"/>
      <c r="AN87" s="38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21"/>
      <c r="BG87" s="21"/>
      <c r="BH87" s="21"/>
      <c r="BI87" s="21"/>
      <c r="BJ87" s="21"/>
      <c r="BK87" s="21"/>
      <c r="BL87" s="21"/>
      <c r="BM87" s="21"/>
    </row>
    <row r="88" spans="1:65" ht="15.75" customHeight="1">
      <c r="A88" s="22">
        <f t="shared" si="0"/>
        <v>0</v>
      </c>
      <c r="B88" s="22"/>
      <c r="C88" s="22" t="str">
        <f t="shared" si="1"/>
        <v>134. 431 TPE :rangers: [S5] Zack Malatesta - CF (JSS)</v>
      </c>
      <c r="D88" s="23">
        <f t="shared" si="2"/>
        <v>134</v>
      </c>
      <c r="E88" s="22" t="str">
        <f>VLOOKUP(H88,Analysis!$A$24:$B$33,2,FALSE)</f>
        <v>:rangers:</v>
      </c>
      <c r="F88" s="22"/>
      <c r="G88" s="22" t="s">
        <v>585</v>
      </c>
      <c r="H88" s="40" t="s">
        <v>9</v>
      </c>
      <c r="I88" s="41" t="s">
        <v>586</v>
      </c>
      <c r="J88" s="41" t="s">
        <v>587</v>
      </c>
      <c r="K88" s="40" t="s">
        <v>588</v>
      </c>
      <c r="L88" s="40" t="s">
        <v>67</v>
      </c>
      <c r="M88" s="40" t="s">
        <v>589</v>
      </c>
      <c r="N88" s="155">
        <v>431</v>
      </c>
      <c r="O88" s="43">
        <v>4</v>
      </c>
      <c r="P88" s="43"/>
      <c r="Q88" s="43"/>
      <c r="R88" s="43"/>
      <c r="S88" s="43"/>
      <c r="T88" s="135" t="s">
        <v>407</v>
      </c>
      <c r="U88" s="40" t="s">
        <v>33</v>
      </c>
      <c r="V88" s="40" t="s">
        <v>33</v>
      </c>
      <c r="W88" s="42">
        <v>19</v>
      </c>
      <c r="X88" s="40" t="s">
        <v>266</v>
      </c>
      <c r="Y88" s="40">
        <v>6</v>
      </c>
      <c r="Z88" s="40">
        <v>1</v>
      </c>
      <c r="AA88" s="40"/>
      <c r="AB88" s="40"/>
      <c r="AC88" s="40"/>
      <c r="AD88" s="42"/>
      <c r="AE88" s="42">
        <v>1.25</v>
      </c>
      <c r="AF88" s="42">
        <v>1.25</v>
      </c>
      <c r="AG88" s="42">
        <v>1.25</v>
      </c>
      <c r="AH88" s="44">
        <v>4</v>
      </c>
      <c r="AI88" s="40">
        <v>431</v>
      </c>
      <c r="AJ88" s="40">
        <v>3</v>
      </c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21"/>
      <c r="BG88" s="21"/>
      <c r="BH88" s="21"/>
      <c r="BI88" s="21"/>
      <c r="BJ88" s="21"/>
      <c r="BK88" s="21"/>
      <c r="BL88" s="21"/>
      <c r="BM88" s="21"/>
    </row>
    <row r="89" spans="1:65" ht="15.75" customHeight="1">
      <c r="A89" s="22">
        <f t="shared" si="0"/>
        <v>0</v>
      </c>
      <c r="B89" s="22"/>
      <c r="C89" s="22" t="str">
        <f t="shared" si="1"/>
        <v>134. 430 TPE :utah: [S6] Brett Smoky - CL (OBESE)</v>
      </c>
      <c r="D89" s="23">
        <f t="shared" si="2"/>
        <v>134</v>
      </c>
      <c r="E89" s="22" t="str">
        <f>VLOOKUP(H89,Analysis!$A$24:$B$33,2,FALSE)</f>
        <v>:utah:</v>
      </c>
      <c r="F89" s="22"/>
      <c r="G89" s="22"/>
      <c r="H89" s="33" t="s">
        <v>13</v>
      </c>
      <c r="I89" s="34" t="s">
        <v>592</v>
      </c>
      <c r="J89" s="34" t="s">
        <v>594</v>
      </c>
      <c r="K89" s="33" t="s">
        <v>595</v>
      </c>
      <c r="L89" s="33" t="s">
        <v>336</v>
      </c>
      <c r="M89" s="33" t="s">
        <v>114</v>
      </c>
      <c r="N89" s="35">
        <v>430</v>
      </c>
      <c r="O89" s="36">
        <v>4</v>
      </c>
      <c r="P89" s="36"/>
      <c r="Q89" s="36"/>
      <c r="R89" s="36"/>
      <c r="S89" s="36"/>
      <c r="T89" s="33"/>
      <c r="U89" s="33" t="s">
        <v>34</v>
      </c>
      <c r="V89" s="33" t="s">
        <v>34</v>
      </c>
      <c r="W89" s="35">
        <v>13</v>
      </c>
      <c r="X89" s="33"/>
      <c r="Y89" s="33"/>
      <c r="Z89" s="33"/>
      <c r="AA89" s="33"/>
      <c r="AB89" s="33"/>
      <c r="AC89" s="35"/>
      <c r="AD89" s="33"/>
      <c r="AE89" s="33"/>
      <c r="AF89" s="35"/>
      <c r="AG89" s="33"/>
      <c r="AH89" s="36">
        <v>1</v>
      </c>
      <c r="AI89" s="33">
        <v>430</v>
      </c>
      <c r="AJ89" s="33"/>
      <c r="AK89" s="35"/>
      <c r="AL89" s="35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21"/>
      <c r="BG89" s="21"/>
      <c r="BH89" s="21"/>
      <c r="BI89" s="21"/>
      <c r="BJ89" s="21"/>
      <c r="BK89" s="21"/>
      <c r="BL89" s="21"/>
      <c r="BM89" s="21"/>
    </row>
    <row r="90" spans="1:65" ht="15.75" customHeight="1">
      <c r="A90" s="22">
        <f t="shared" si="0"/>
        <v>0</v>
      </c>
      <c r="B90" s="22"/>
      <c r="C90" s="22" t="str">
        <f t="shared" si="1"/>
        <v>134. 422 TPE :vandals: [S4] Orlando Jackson - LF (run_CMC)</v>
      </c>
      <c r="D90" s="23">
        <f t="shared" si="2"/>
        <v>134</v>
      </c>
      <c r="E90" s="22" t="str">
        <f>VLOOKUP(H90,Analysis!$A$24:$B$33,2,FALSE)</f>
        <v>:vandals:</v>
      </c>
      <c r="F90" s="22"/>
      <c r="G90" s="22" t="s">
        <v>596</v>
      </c>
      <c r="H90" s="40" t="s">
        <v>12</v>
      </c>
      <c r="I90" s="41" t="s">
        <v>597</v>
      </c>
      <c r="J90" s="41" t="s">
        <v>598</v>
      </c>
      <c r="K90" s="40" t="s">
        <v>599</v>
      </c>
      <c r="L90" s="40" t="s">
        <v>180</v>
      </c>
      <c r="M90" s="40" t="s">
        <v>76</v>
      </c>
      <c r="N90" s="42">
        <v>422</v>
      </c>
      <c r="O90" s="43">
        <v>6.5</v>
      </c>
      <c r="P90" s="43">
        <v>7.25</v>
      </c>
      <c r="Q90" s="43"/>
      <c r="R90" s="43"/>
      <c r="S90" s="43"/>
      <c r="T90" s="40" t="s">
        <v>273</v>
      </c>
      <c r="U90" s="40" t="s">
        <v>32</v>
      </c>
      <c r="V90" s="40" t="s">
        <v>33</v>
      </c>
      <c r="W90" s="42">
        <v>18</v>
      </c>
      <c r="X90" s="40"/>
      <c r="Y90" s="40"/>
      <c r="Z90" s="40"/>
      <c r="AA90" s="40"/>
      <c r="AB90" s="40"/>
      <c r="AC90" s="42">
        <v>2</v>
      </c>
      <c r="AD90" s="40">
        <v>1.5</v>
      </c>
      <c r="AE90" s="40">
        <v>1.5</v>
      </c>
      <c r="AF90" s="40">
        <v>1.5</v>
      </c>
      <c r="AG90" s="40">
        <v>4</v>
      </c>
      <c r="AH90" s="43">
        <v>5</v>
      </c>
      <c r="AI90" s="40">
        <v>422</v>
      </c>
      <c r="AJ90" s="40">
        <v>100</v>
      </c>
      <c r="AK90" s="42">
        <v>100</v>
      </c>
      <c r="AL90" s="42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21"/>
      <c r="BG90" s="21"/>
      <c r="BH90" s="21"/>
      <c r="BI90" s="21"/>
      <c r="BJ90" s="21"/>
      <c r="BK90" s="21"/>
      <c r="BL90" s="21"/>
      <c r="BM90" s="21"/>
    </row>
    <row r="91" spans="1:65" ht="15.75" customHeight="1">
      <c r="A91" s="22">
        <f t="shared" si="0"/>
        <v>-57</v>
      </c>
      <c r="B91" s="22"/>
      <c r="C91" s="22" t="str">
        <f t="shared" si="1"/>
        <v>302. 420 TPE :voyagers: [S1] Lazaro Hernandez - 1B (TheMemeMaestro)</v>
      </c>
      <c r="D91" s="23">
        <f t="shared" si="2"/>
        <v>302</v>
      </c>
      <c r="E91" s="22" t="str">
        <f>VLOOKUP(H91,Analysis!$A$24:$B$33,2,FALSE)</f>
        <v>:voyagers:</v>
      </c>
      <c r="F91" s="22"/>
      <c r="G91" s="22" t="s">
        <v>600</v>
      </c>
      <c r="H91" s="33" t="s">
        <v>8</v>
      </c>
      <c r="I91" s="34" t="s">
        <v>601</v>
      </c>
      <c r="J91" s="34" t="s">
        <v>602</v>
      </c>
      <c r="K91" s="33" t="s">
        <v>603</v>
      </c>
      <c r="L91" s="33" t="s">
        <v>187</v>
      </c>
      <c r="M91" s="33" t="s">
        <v>104</v>
      </c>
      <c r="N91" s="35">
        <v>420</v>
      </c>
      <c r="O91" s="45">
        <v>4</v>
      </c>
      <c r="P91" s="36"/>
      <c r="Q91" s="36"/>
      <c r="R91" s="36"/>
      <c r="S91" s="36"/>
      <c r="T91" s="33"/>
      <c r="U91" s="33" t="s">
        <v>70</v>
      </c>
      <c r="V91" s="33" t="s">
        <v>70</v>
      </c>
      <c r="W91" s="35">
        <v>63</v>
      </c>
      <c r="X91" s="33"/>
      <c r="Y91" s="33"/>
      <c r="Z91" s="33"/>
      <c r="AA91" s="33"/>
      <c r="AB91" s="33">
        <v>0.5</v>
      </c>
      <c r="AC91" s="33">
        <v>2</v>
      </c>
      <c r="AD91" s="33">
        <v>3</v>
      </c>
      <c r="AE91" s="33">
        <v>5</v>
      </c>
      <c r="AF91" s="33">
        <v>5.75</v>
      </c>
      <c r="AG91" s="35">
        <v>7.25</v>
      </c>
      <c r="AH91" s="45">
        <v>8</v>
      </c>
      <c r="AI91" s="33">
        <v>477</v>
      </c>
      <c r="AJ91" s="33">
        <v>269</v>
      </c>
      <c r="AK91" s="33">
        <v>247</v>
      </c>
      <c r="AL91" s="33">
        <v>149</v>
      </c>
      <c r="AN91" s="33"/>
      <c r="AO91" s="33" t="s">
        <v>203</v>
      </c>
      <c r="AP91" s="33" t="s">
        <v>605</v>
      </c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21"/>
      <c r="BG91" s="21"/>
      <c r="BH91" s="21"/>
      <c r="BI91" s="21"/>
      <c r="BJ91" s="21"/>
      <c r="BK91" s="21"/>
      <c r="BL91" s="21"/>
      <c r="BM91" s="21"/>
    </row>
    <row r="92" spans="1:65" ht="15.75" customHeight="1">
      <c r="A92" s="22">
        <f t="shared" si="0"/>
        <v>57</v>
      </c>
      <c r="B92" s="22"/>
      <c r="C92" s="22" t="str">
        <f t="shared" si="1"/>
        <v>89. 417 TPE :crabs: [S6] Pete Peters - SP (luketd)</v>
      </c>
      <c r="D92" s="23">
        <f t="shared" si="2"/>
        <v>89</v>
      </c>
      <c r="E92" s="22" t="str">
        <f>VLOOKUP(H92,Analysis!$A$24:$B$33,2,FALSE)</f>
        <v>:crabs:</v>
      </c>
      <c r="F92" s="22"/>
      <c r="G92" s="22" t="s">
        <v>606</v>
      </c>
      <c r="H92" s="40" t="s">
        <v>3</v>
      </c>
      <c r="I92" s="41" t="s">
        <v>607</v>
      </c>
      <c r="J92" s="41" t="s">
        <v>608</v>
      </c>
      <c r="K92" s="40" t="s">
        <v>610</v>
      </c>
      <c r="L92" s="40" t="s">
        <v>90</v>
      </c>
      <c r="M92" s="40" t="s">
        <v>114</v>
      </c>
      <c r="N92" s="42">
        <v>417</v>
      </c>
      <c r="O92" s="43">
        <v>3</v>
      </c>
      <c r="P92" s="43"/>
      <c r="Q92" s="43"/>
      <c r="R92" s="43"/>
      <c r="S92" s="43"/>
      <c r="T92" s="40" t="s">
        <v>516</v>
      </c>
      <c r="U92" s="40" t="s">
        <v>34</v>
      </c>
      <c r="V92" s="40" t="s">
        <v>35</v>
      </c>
      <c r="W92" s="42">
        <v>4</v>
      </c>
      <c r="X92" s="40"/>
      <c r="Y92" s="40"/>
      <c r="Z92" s="40"/>
      <c r="AA92" s="40"/>
      <c r="AB92" s="40"/>
      <c r="AC92" s="40"/>
      <c r="AD92" s="40"/>
      <c r="AE92" s="42"/>
      <c r="AF92" s="40">
        <v>0.9</v>
      </c>
      <c r="AG92" s="40">
        <v>3</v>
      </c>
      <c r="AH92" s="43">
        <v>3</v>
      </c>
      <c r="AI92" s="40">
        <v>360</v>
      </c>
      <c r="AJ92" s="40"/>
      <c r="AK92" s="40"/>
      <c r="AL92" s="42"/>
      <c r="AM92" s="42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21"/>
      <c r="BG92" s="21"/>
      <c r="BH92" s="21"/>
      <c r="BI92" s="21"/>
      <c r="BJ92" s="21"/>
      <c r="BK92" s="21"/>
      <c r="BL92" s="21"/>
      <c r="BM92" s="21"/>
    </row>
    <row r="93" spans="1:65" ht="15.75" customHeight="1">
      <c r="A93" s="22">
        <f t="shared" si="0"/>
        <v>62</v>
      </c>
      <c r="B93" s="22"/>
      <c r="C93" s="22" t="str">
        <f t="shared" si="1"/>
        <v>87. 415 TPE :utah: [S6] Ace Faulkner - SP (Ace)</v>
      </c>
      <c r="D93" s="23">
        <f t="shared" si="2"/>
        <v>87</v>
      </c>
      <c r="E93" s="22" t="str">
        <f>VLOOKUP(H93,Analysis!$A$24:$B$33,2,FALSE)</f>
        <v>:utah:</v>
      </c>
      <c r="F93" s="22"/>
      <c r="G93" s="22" t="s">
        <v>613</v>
      </c>
      <c r="H93" s="33" t="s">
        <v>13</v>
      </c>
      <c r="I93" s="34" t="s">
        <v>615</v>
      </c>
      <c r="J93" s="34" t="s">
        <v>617</v>
      </c>
      <c r="K93" s="33" t="s">
        <v>619</v>
      </c>
      <c r="L93" s="33" t="s">
        <v>90</v>
      </c>
      <c r="M93" s="33" t="s">
        <v>109</v>
      </c>
      <c r="N93" s="35">
        <v>415</v>
      </c>
      <c r="O93" s="36">
        <v>8</v>
      </c>
      <c r="P93" s="36"/>
      <c r="Q93" s="36"/>
      <c r="R93" s="36"/>
      <c r="S93" s="36"/>
      <c r="T93" s="33"/>
      <c r="U93" s="33" t="s">
        <v>34</v>
      </c>
      <c r="V93" s="33" t="s">
        <v>34</v>
      </c>
      <c r="W93" s="35">
        <v>6</v>
      </c>
      <c r="X93" s="33"/>
      <c r="Y93" s="33"/>
      <c r="Z93" s="33"/>
      <c r="AA93" s="33"/>
      <c r="AB93" s="35"/>
      <c r="AC93" s="35"/>
      <c r="AD93" s="35"/>
      <c r="AE93" s="35"/>
      <c r="AF93" s="35">
        <v>3</v>
      </c>
      <c r="AG93" s="35">
        <v>3</v>
      </c>
      <c r="AH93" s="45">
        <v>3</v>
      </c>
      <c r="AI93" s="35">
        <v>353</v>
      </c>
      <c r="AJ93" s="45">
        <v>3</v>
      </c>
      <c r="AK93" s="35"/>
      <c r="AL93" s="35"/>
      <c r="AM93" s="33"/>
      <c r="AN93" s="33"/>
      <c r="AO93" s="33" t="s">
        <v>510</v>
      </c>
      <c r="AP93" s="33" t="s">
        <v>621</v>
      </c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21"/>
      <c r="BG93" s="21"/>
      <c r="BH93" s="21"/>
      <c r="BI93" s="21"/>
      <c r="BJ93" s="21"/>
      <c r="BK93" s="21"/>
      <c r="BL93" s="21"/>
      <c r="BM93" s="21"/>
    </row>
    <row r="94" spans="1:65" ht="15.75" customHeight="1">
      <c r="A94" s="22">
        <f t="shared" si="0"/>
        <v>120</v>
      </c>
      <c r="B94" s="22" t="str">
        <f t="shared" ref="B94:B96" si="14">D94&amp;". Gained TPE: "&amp;A94&amp;" TPE - " &amp;N94&amp;" Current TPE "&amp;E94&amp;" ["&amp;U94&amp;"] "&amp;K94&amp;" - "&amp;L94&amp;" ("&amp;I94&amp;")"</f>
        <v>49. Gained TPE: 120 TPE - 413 Current TPE :sloths: [S8] Yeliboy Uecker - CF (YeliBoy)</v>
      </c>
      <c r="C94" s="22" t="str">
        <f t="shared" si="1"/>
        <v>49. 413 TPE :sloths: [S8] Yeliboy Uecker - CF (YeliBoy)</v>
      </c>
      <c r="D94" s="23">
        <f t="shared" si="2"/>
        <v>49</v>
      </c>
      <c r="E94" s="22" t="str">
        <f>VLOOKUP(H94,Analysis!$A$24:$B$33,2,FALSE)</f>
        <v>:sloths:</v>
      </c>
      <c r="F94" s="22"/>
      <c r="G94" s="22" t="s">
        <v>480</v>
      </c>
      <c r="H94" s="40" t="s">
        <v>11</v>
      </c>
      <c r="I94" s="41" t="s">
        <v>481</v>
      </c>
      <c r="J94" s="41" t="s">
        <v>482</v>
      </c>
      <c r="K94" s="40" t="s">
        <v>626</v>
      </c>
      <c r="L94" s="121" t="s">
        <v>67</v>
      </c>
      <c r="M94" s="40" t="s">
        <v>132</v>
      </c>
      <c r="N94" s="42">
        <v>413</v>
      </c>
      <c r="O94" s="43">
        <v>5</v>
      </c>
      <c r="P94" s="43">
        <v>5</v>
      </c>
      <c r="Q94" s="43"/>
      <c r="R94" s="43"/>
      <c r="S94" s="43"/>
      <c r="T94" s="40" t="s">
        <v>273</v>
      </c>
      <c r="U94" s="40" t="s">
        <v>36</v>
      </c>
      <c r="V94" s="40" t="s">
        <v>36</v>
      </c>
      <c r="W94" s="42">
        <v>3</v>
      </c>
      <c r="X94" s="40"/>
      <c r="Y94" s="40"/>
      <c r="Z94" s="40"/>
      <c r="AA94" s="40"/>
      <c r="AB94" s="42"/>
      <c r="AC94" s="42"/>
      <c r="AD94" s="40"/>
      <c r="AE94" s="42"/>
      <c r="AF94" s="42"/>
      <c r="AG94" s="42"/>
      <c r="AH94" s="43">
        <v>0</v>
      </c>
      <c r="AI94" s="42">
        <v>293</v>
      </c>
      <c r="AK94" s="42"/>
      <c r="AL94" s="42"/>
      <c r="AM94" s="73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21"/>
      <c r="BG94" s="21"/>
      <c r="BH94" s="21"/>
      <c r="BI94" s="21"/>
      <c r="BJ94" s="21"/>
      <c r="BK94" s="21"/>
      <c r="BL94" s="21"/>
      <c r="BM94" s="21"/>
    </row>
    <row r="95" spans="1:65" ht="15.75" customHeight="1">
      <c r="A95" s="22">
        <f t="shared" si="0"/>
        <v>176</v>
      </c>
      <c r="B95" s="22" t="str">
        <f t="shared" si="14"/>
        <v>26. Gained TPE: 176 TPE - 398 Current TPE :utah: [S9] Dorothy Morimura - RF (Jiggly_333)</v>
      </c>
      <c r="C95" s="22" t="str">
        <f t="shared" si="1"/>
        <v>26. 398 TPE :utah: [S9] Dorothy Morimura - RF (Jiggly_333)</v>
      </c>
      <c r="D95" s="23">
        <f t="shared" si="2"/>
        <v>26</v>
      </c>
      <c r="E95" s="22" t="str">
        <f>VLOOKUP(H95,Analysis!$A$24:$B$33,2,FALSE)</f>
        <v>:utah:</v>
      </c>
      <c r="F95" s="22"/>
      <c r="G95" s="22"/>
      <c r="H95" s="33" t="s">
        <v>13</v>
      </c>
      <c r="I95" s="34" t="s">
        <v>628</v>
      </c>
      <c r="J95" s="34" t="s">
        <v>631</v>
      </c>
      <c r="K95" s="33" t="s">
        <v>632</v>
      </c>
      <c r="L95" s="33" t="s">
        <v>131</v>
      </c>
      <c r="M95" s="33" t="s">
        <v>298</v>
      </c>
      <c r="N95" s="35">
        <v>398</v>
      </c>
      <c r="O95" s="36">
        <v>2</v>
      </c>
      <c r="P95" s="36">
        <v>2.5</v>
      </c>
      <c r="Q95" s="36">
        <v>3</v>
      </c>
      <c r="R95" s="36"/>
      <c r="S95" s="36"/>
      <c r="T95" s="33" t="s">
        <v>612</v>
      </c>
      <c r="U95" s="33" t="s">
        <v>37</v>
      </c>
      <c r="V95" s="33" t="s">
        <v>37</v>
      </c>
      <c r="W95" s="35">
        <v>25</v>
      </c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6" t="s">
        <v>633</v>
      </c>
      <c r="AI95" s="33">
        <v>222</v>
      </c>
      <c r="AJ95" s="33"/>
      <c r="AK95" s="33"/>
      <c r="AL95" s="35"/>
      <c r="AM95" s="35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21"/>
      <c r="BG95" s="21"/>
      <c r="BH95" s="21"/>
      <c r="BI95" s="21"/>
      <c r="BJ95" s="21"/>
      <c r="BK95" s="21"/>
      <c r="BL95" s="21"/>
      <c r="BM95" s="21"/>
    </row>
    <row r="96" spans="1:65" ht="15.75" customHeight="1">
      <c r="A96" s="22">
        <f t="shared" si="0"/>
        <v>195</v>
      </c>
      <c r="B96" s="22" t="str">
        <f t="shared" si="14"/>
        <v>14. Gained TPE: 195 TPE - 394 Current TPE :scorpions: [S9] Firstname Lastname - C (PersonMann)</v>
      </c>
      <c r="C96" s="22" t="str">
        <f t="shared" si="1"/>
        <v>14. 394 TPE :scorpions: [S9] Firstname Lastname - C (PersonMann)</v>
      </c>
      <c r="D96" s="23">
        <f t="shared" si="2"/>
        <v>14</v>
      </c>
      <c r="E96" s="22" t="str">
        <f>VLOOKUP(H96,Analysis!$A$24:$B$33,2,FALSE)</f>
        <v>:scorpions:</v>
      </c>
      <c r="F96" s="22"/>
      <c r="G96" s="22"/>
      <c r="H96" s="40" t="s">
        <v>10</v>
      </c>
      <c r="I96" s="41" t="s">
        <v>268</v>
      </c>
      <c r="J96" s="41" t="s">
        <v>270</v>
      </c>
      <c r="K96" s="40" t="s">
        <v>636</v>
      </c>
      <c r="L96" s="40" t="s">
        <v>103</v>
      </c>
      <c r="M96" s="40" t="s">
        <v>132</v>
      </c>
      <c r="N96" s="42">
        <v>394</v>
      </c>
      <c r="O96" s="43">
        <v>4.5</v>
      </c>
      <c r="P96" s="43">
        <v>5</v>
      </c>
      <c r="Q96" s="43"/>
      <c r="R96" s="43"/>
      <c r="S96" s="43"/>
      <c r="T96" s="40" t="s">
        <v>273</v>
      </c>
      <c r="U96" s="40" t="s">
        <v>37</v>
      </c>
      <c r="V96" s="40" t="s">
        <v>37</v>
      </c>
      <c r="W96" s="42">
        <v>8</v>
      </c>
      <c r="X96" s="40"/>
      <c r="Y96" s="40"/>
      <c r="Z96" s="40"/>
      <c r="AA96" s="40"/>
      <c r="AB96" s="40"/>
      <c r="AC96" s="42"/>
      <c r="AD96" s="42"/>
      <c r="AE96" s="42"/>
      <c r="AF96" s="42"/>
      <c r="AG96" s="42"/>
      <c r="AH96" s="43" t="s">
        <v>274</v>
      </c>
      <c r="AI96" s="42">
        <v>199</v>
      </c>
      <c r="AJ96" s="42"/>
      <c r="AK96" s="42"/>
      <c r="AL96" s="42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21"/>
      <c r="BG96" s="21"/>
      <c r="BH96" s="21"/>
      <c r="BI96" s="21"/>
      <c r="BJ96" s="21"/>
      <c r="BK96" s="21"/>
      <c r="BL96" s="21"/>
      <c r="BM96" s="21"/>
    </row>
    <row r="97" spans="1:65" ht="15.75" customHeight="1">
      <c r="A97" s="22">
        <f t="shared" si="0"/>
        <v>0</v>
      </c>
      <c r="B97" s="22"/>
      <c r="C97" s="22" t="str">
        <f t="shared" si="1"/>
        <v>134. 394 TPE :bulldogs: [S2] Keeks Marone - LF (KeeksMarone)</v>
      </c>
      <c r="D97" s="23">
        <f t="shared" si="2"/>
        <v>134</v>
      </c>
      <c r="E97" s="22" t="str">
        <f>VLOOKUP(H97,Analysis!$A$24:$B$33,2,FALSE)</f>
        <v>:bulldogs:</v>
      </c>
      <c r="F97" s="22"/>
      <c r="G97" s="22" t="s">
        <v>639</v>
      </c>
      <c r="H97" s="33" t="s">
        <v>304</v>
      </c>
      <c r="I97" s="34" t="s">
        <v>641</v>
      </c>
      <c r="J97" s="34" t="s">
        <v>643</v>
      </c>
      <c r="K97" s="33" t="s">
        <v>645</v>
      </c>
      <c r="L97" s="79" t="s">
        <v>180</v>
      </c>
      <c r="M97" s="33" t="s">
        <v>166</v>
      </c>
      <c r="N97" s="35">
        <v>394</v>
      </c>
      <c r="O97" s="36"/>
      <c r="P97" s="36"/>
      <c r="Q97" s="36"/>
      <c r="R97" s="36"/>
      <c r="S97" s="36"/>
      <c r="T97" s="33"/>
      <c r="U97" s="33" t="s">
        <v>78</v>
      </c>
      <c r="V97" s="33" t="s">
        <v>126</v>
      </c>
      <c r="W97" s="35">
        <v>23</v>
      </c>
      <c r="X97" s="33"/>
      <c r="Y97" s="33"/>
      <c r="Z97" s="33"/>
      <c r="AA97" s="33"/>
      <c r="AB97" s="33">
        <v>7</v>
      </c>
      <c r="AC97" s="35">
        <v>1</v>
      </c>
      <c r="AD97" s="33">
        <v>1</v>
      </c>
      <c r="AE97" s="33">
        <v>3</v>
      </c>
      <c r="AF97" s="33">
        <v>5</v>
      </c>
      <c r="AG97" s="33">
        <v>5.75</v>
      </c>
      <c r="AH97" s="36">
        <v>3</v>
      </c>
      <c r="AI97" s="33">
        <v>394</v>
      </c>
      <c r="AK97" s="35">
        <v>215</v>
      </c>
      <c r="AL97" s="35">
        <v>199</v>
      </c>
      <c r="AM97" s="33">
        <v>170</v>
      </c>
      <c r="AN97" s="38"/>
      <c r="AO97" s="33" t="s">
        <v>647</v>
      </c>
      <c r="AP97" s="33" t="s">
        <v>648</v>
      </c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21"/>
      <c r="BG97" s="21"/>
      <c r="BH97" s="21"/>
      <c r="BI97" s="21"/>
      <c r="BJ97" s="21"/>
      <c r="BK97" s="21"/>
      <c r="BL97" s="21"/>
      <c r="BM97" s="21"/>
    </row>
    <row r="98" spans="1:65" ht="15.75" customHeight="1">
      <c r="A98" s="22">
        <f t="shared" si="0"/>
        <v>0</v>
      </c>
      <c r="B98" s="22"/>
      <c r="C98" s="22" t="str">
        <f t="shared" si="1"/>
        <v>134. 390 TPE :voyagers: [S5] Chris Bennett - SP (Doctor Topher)</v>
      </c>
      <c r="D98" s="23">
        <f t="shared" si="2"/>
        <v>134</v>
      </c>
      <c r="E98" s="22" t="str">
        <f>VLOOKUP(H98,Analysis!$A$24:$B$33,2,FALSE)</f>
        <v>:voyagers:</v>
      </c>
      <c r="F98" s="22"/>
      <c r="G98" s="22" t="s">
        <v>650</v>
      </c>
      <c r="H98" s="40" t="s">
        <v>8</v>
      </c>
      <c r="I98" s="41" t="s">
        <v>652</v>
      </c>
      <c r="J98" s="41" t="s">
        <v>653</v>
      </c>
      <c r="K98" s="40" t="s">
        <v>656</v>
      </c>
      <c r="L98" s="40" t="s">
        <v>90</v>
      </c>
      <c r="M98" s="40" t="s">
        <v>114</v>
      </c>
      <c r="N98" s="42">
        <v>390</v>
      </c>
      <c r="O98" s="43">
        <v>3</v>
      </c>
      <c r="P98" s="43"/>
      <c r="Q98" s="43"/>
      <c r="R98" s="43"/>
      <c r="S98" s="43"/>
      <c r="T98" s="40"/>
      <c r="U98" s="40" t="s">
        <v>33</v>
      </c>
      <c r="V98" s="40" t="s">
        <v>33</v>
      </c>
      <c r="W98" s="42">
        <v>2</v>
      </c>
      <c r="X98" s="40"/>
      <c r="Y98" s="40"/>
      <c r="Z98" s="40"/>
      <c r="AA98" s="40"/>
      <c r="AB98" s="40"/>
      <c r="AC98" s="42"/>
      <c r="AD98" s="42">
        <v>4</v>
      </c>
      <c r="AE98" s="42">
        <v>5</v>
      </c>
      <c r="AF98" s="42">
        <v>5</v>
      </c>
      <c r="AG98" s="42">
        <v>4</v>
      </c>
      <c r="AH98" s="44"/>
      <c r="AI98" s="42">
        <v>390</v>
      </c>
      <c r="AK98" s="42"/>
      <c r="AL98" s="42"/>
      <c r="AM98" s="42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21"/>
      <c r="BG98" s="21"/>
      <c r="BH98" s="21"/>
      <c r="BI98" s="21"/>
      <c r="BJ98" s="21"/>
      <c r="BK98" s="21"/>
      <c r="BL98" s="21"/>
      <c r="BM98" s="21"/>
    </row>
    <row r="99" spans="1:65" ht="15.75" customHeight="1">
      <c r="A99" s="22">
        <f t="shared" si="0"/>
        <v>214</v>
      </c>
      <c r="B99" s="22" t="str">
        <f t="shared" ref="B99:B100" si="15">D99&amp;". Gained TPE: "&amp;A99&amp;" TPE - " &amp;N99&amp;" Current TPE "&amp;E99&amp;" ["&amp;U99&amp;"] "&amp;K99&amp;" - "&amp;L99&amp;" ("&amp;I99&amp;")"</f>
        <v>4. Gained TPE: 214 TPE - 382 Current TPE :utah: [S9] Seth Crossland - CF (KC Philip)</v>
      </c>
      <c r="C99" s="22" t="str">
        <f t="shared" si="1"/>
        <v>4. 382 TPE :utah: [S9] Seth Crossland - CF (KC Philip)</v>
      </c>
      <c r="D99" s="23">
        <f t="shared" si="2"/>
        <v>4</v>
      </c>
      <c r="E99" s="22" t="str">
        <f>VLOOKUP(H99,Analysis!$A$24:$B$33,2,FALSE)</f>
        <v>:utah:</v>
      </c>
      <c r="F99" s="22"/>
      <c r="G99" s="22"/>
      <c r="H99" s="33" t="s">
        <v>13</v>
      </c>
      <c r="I99" s="34" t="s">
        <v>657</v>
      </c>
      <c r="J99" s="34" t="s">
        <v>659</v>
      </c>
      <c r="K99" s="33" t="s">
        <v>661</v>
      </c>
      <c r="L99" s="33" t="s">
        <v>67</v>
      </c>
      <c r="M99" s="33" t="s">
        <v>662</v>
      </c>
      <c r="N99" s="35">
        <v>382</v>
      </c>
      <c r="O99" s="36">
        <v>5</v>
      </c>
      <c r="P99" s="36">
        <v>5</v>
      </c>
      <c r="Q99" s="36">
        <v>5</v>
      </c>
      <c r="R99" s="36"/>
      <c r="S99" s="36"/>
      <c r="T99" s="33" t="s">
        <v>612</v>
      </c>
      <c r="U99" s="33" t="s">
        <v>37</v>
      </c>
      <c r="V99" s="33" t="s">
        <v>37</v>
      </c>
      <c r="W99" s="35">
        <v>4</v>
      </c>
      <c r="X99" s="33"/>
      <c r="Y99" s="33"/>
      <c r="Z99" s="33"/>
      <c r="AA99" s="33"/>
      <c r="AB99" s="33"/>
      <c r="AC99" s="33"/>
      <c r="AD99" s="33"/>
      <c r="AE99" s="35"/>
      <c r="AF99" s="35"/>
      <c r="AG99" s="33"/>
      <c r="AH99" s="36" t="s">
        <v>274</v>
      </c>
      <c r="AI99" s="35">
        <v>168</v>
      </c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21"/>
      <c r="BG99" s="21"/>
      <c r="BH99" s="21"/>
      <c r="BI99" s="21"/>
      <c r="BJ99" s="21"/>
      <c r="BK99" s="21"/>
      <c r="BL99" s="21"/>
      <c r="BM99" s="21"/>
    </row>
    <row r="100" spans="1:65" ht="15.75" customHeight="1">
      <c r="A100" s="22">
        <f t="shared" si="0"/>
        <v>208</v>
      </c>
      <c r="B100" s="22" t="str">
        <f t="shared" si="15"/>
        <v>6. Gained TPE: 208 TPE - 382 Current TPE :rangers: [S9] Hayley MaConnell - SP (SJMcWalless06)</v>
      </c>
      <c r="C100" s="22" t="str">
        <f t="shared" si="1"/>
        <v>6. 382 TPE :rangers: [S9] Hayley MaConnell - SP (SJMcWalless06)</v>
      </c>
      <c r="D100" s="23">
        <f t="shared" si="2"/>
        <v>6</v>
      </c>
      <c r="E100" s="22" t="str">
        <f>VLOOKUP(H100,Analysis!$A$24:$B$33,2,FALSE)</f>
        <v>:rangers:</v>
      </c>
      <c r="F100" s="22"/>
      <c r="G100" s="22"/>
      <c r="H100" s="40" t="s">
        <v>9</v>
      </c>
      <c r="I100" s="41" t="s">
        <v>654</v>
      </c>
      <c r="J100" s="41" t="s">
        <v>655</v>
      </c>
      <c r="K100" s="40" t="s">
        <v>664</v>
      </c>
      <c r="L100" s="40" t="s">
        <v>90</v>
      </c>
      <c r="M100" s="40" t="s">
        <v>120</v>
      </c>
      <c r="N100" s="42">
        <v>382</v>
      </c>
      <c r="O100" s="44">
        <v>5</v>
      </c>
      <c r="P100" s="44">
        <v>5</v>
      </c>
      <c r="Q100" s="43">
        <v>5</v>
      </c>
      <c r="R100" s="43"/>
      <c r="S100" s="43"/>
      <c r="T100" s="135" t="s">
        <v>566</v>
      </c>
      <c r="U100" s="40" t="s">
        <v>37</v>
      </c>
      <c r="V100" s="40" t="s">
        <v>37</v>
      </c>
      <c r="W100" s="42">
        <v>38</v>
      </c>
      <c r="X100" s="40"/>
      <c r="Y100" s="40"/>
      <c r="Z100" s="40"/>
      <c r="AA100" s="40"/>
      <c r="AB100" s="40"/>
      <c r="AC100" s="40"/>
      <c r="AD100" s="40"/>
      <c r="AE100" s="42"/>
      <c r="AF100" s="42"/>
      <c r="AG100" s="42"/>
      <c r="AH100" s="44" t="s">
        <v>274</v>
      </c>
      <c r="AI100" s="40">
        <v>174</v>
      </c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21"/>
      <c r="BG100" s="21"/>
      <c r="BH100" s="21"/>
      <c r="BI100" s="21"/>
      <c r="BJ100" s="21"/>
      <c r="BK100" s="21"/>
      <c r="BL100" s="21"/>
      <c r="BM100" s="21"/>
    </row>
    <row r="101" spans="1:65" ht="15.75" customHeight="1">
      <c r="A101" s="22">
        <f t="shared" si="0"/>
        <v>111</v>
      </c>
      <c r="B101" s="22"/>
      <c r="C101" s="22" t="str">
        <f t="shared" si="1"/>
        <v>55. 382 TPE :voyagers: [S7] Tristan Cameron - LF (Banackock)</v>
      </c>
      <c r="D101" s="23">
        <f t="shared" si="2"/>
        <v>55</v>
      </c>
      <c r="E101" s="22" t="str">
        <f>VLOOKUP(H101,Analysis!$A$24:$B$33,2,FALSE)</f>
        <v>:voyagers:</v>
      </c>
      <c r="F101" s="22"/>
      <c r="G101" s="26" t="s">
        <v>666</v>
      </c>
      <c r="H101" s="56" t="s">
        <v>8</v>
      </c>
      <c r="I101" s="136" t="s">
        <v>668</v>
      </c>
      <c r="J101" s="136" t="s">
        <v>669</v>
      </c>
      <c r="K101" s="56" t="s">
        <v>671</v>
      </c>
      <c r="L101" s="56" t="s">
        <v>180</v>
      </c>
      <c r="M101" s="56" t="s">
        <v>192</v>
      </c>
      <c r="N101" s="56">
        <v>382</v>
      </c>
      <c r="O101" s="60">
        <v>2.5</v>
      </c>
      <c r="P101" s="60">
        <v>2.5</v>
      </c>
      <c r="Q101" s="60"/>
      <c r="R101" s="60"/>
      <c r="S101" s="60"/>
      <c r="T101" s="56" t="s">
        <v>273</v>
      </c>
      <c r="U101" s="56" t="s">
        <v>35</v>
      </c>
      <c r="V101" s="56" t="s">
        <v>36</v>
      </c>
      <c r="W101" s="56">
        <v>15</v>
      </c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>
        <v>0</v>
      </c>
      <c r="AI101" s="56">
        <v>271</v>
      </c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</row>
    <row r="102" spans="1:65" ht="15.75" customHeight="1">
      <c r="A102" s="22">
        <f t="shared" si="0"/>
        <v>183</v>
      </c>
      <c r="B102" s="22" t="str">
        <f t="shared" ref="B102:B103" si="16">D102&amp;". Gained TPE: "&amp;A102&amp;" TPE - " &amp;N102&amp;" Current TPE "&amp;E102&amp;" ["&amp;U102&amp;"] "&amp;K102&amp;" - "&amp;L102&amp;" ("&amp;I102&amp;")"</f>
        <v>20. Gained TPE: 183 TPE - 379 Current TPE :rangers: [S9] J.A. Jabs - SP (JAJabs)</v>
      </c>
      <c r="C102" s="22" t="str">
        <f t="shared" si="1"/>
        <v>20. 379 TPE :rangers: [S9] J.A. Jabs - SP (JAJabs)</v>
      </c>
      <c r="D102" s="23">
        <f t="shared" si="2"/>
        <v>20</v>
      </c>
      <c r="E102" s="22" t="str">
        <f>VLOOKUP(H102,Analysis!$A$24:$B$33,2,FALSE)</f>
        <v>:rangers:</v>
      </c>
      <c r="F102" s="22"/>
      <c r="G102" s="22"/>
      <c r="H102" s="40" t="s">
        <v>9</v>
      </c>
      <c r="I102" s="41" t="s">
        <v>673</v>
      </c>
      <c r="J102" s="41" t="s">
        <v>675</v>
      </c>
      <c r="K102" s="40" t="s">
        <v>677</v>
      </c>
      <c r="L102" s="40" t="s">
        <v>90</v>
      </c>
      <c r="M102" s="40" t="s">
        <v>109</v>
      </c>
      <c r="N102" s="42">
        <v>379</v>
      </c>
      <c r="O102" s="43">
        <v>6</v>
      </c>
      <c r="P102" s="43">
        <v>4</v>
      </c>
      <c r="Q102" s="43"/>
      <c r="R102" s="43"/>
      <c r="S102" s="43"/>
      <c r="T102" s="135" t="s">
        <v>566</v>
      </c>
      <c r="U102" s="40" t="s">
        <v>37</v>
      </c>
      <c r="V102" s="40" t="s">
        <v>37</v>
      </c>
      <c r="W102" s="42">
        <v>3</v>
      </c>
      <c r="X102" s="40"/>
      <c r="Y102" s="40"/>
      <c r="Z102" s="40"/>
      <c r="AA102" s="40"/>
      <c r="AB102" s="40"/>
      <c r="AC102" s="42"/>
      <c r="AD102" s="40"/>
      <c r="AE102" s="40"/>
      <c r="AF102" s="40"/>
      <c r="AG102" s="40"/>
      <c r="AH102" s="43">
        <v>0.499</v>
      </c>
      <c r="AI102" s="40">
        <v>196</v>
      </c>
      <c r="AJ102" s="40"/>
      <c r="AK102" s="42"/>
      <c r="AL102" s="42"/>
      <c r="AM102" s="40"/>
      <c r="AN102" s="73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21"/>
      <c r="BG102" s="21"/>
      <c r="BH102" s="21"/>
      <c r="BI102" s="21"/>
      <c r="BJ102" s="21"/>
      <c r="BK102" s="21"/>
      <c r="BL102" s="21"/>
      <c r="BM102" s="21"/>
    </row>
    <row r="103" spans="1:65" ht="15.75" customHeight="1">
      <c r="A103" s="22">
        <f t="shared" si="0"/>
        <v>215</v>
      </c>
      <c r="B103" s="22" t="str">
        <f t="shared" si="16"/>
        <v>3. Gained TPE: 215 TPE - 374 Current TPE :utah: [S9] JD Jacks - SS (Jdre17)</v>
      </c>
      <c r="C103" s="22" t="str">
        <f t="shared" si="1"/>
        <v>3. 374 TPE :utah: [S9] JD Jacks - SS (Jdre17)</v>
      </c>
      <c r="D103" s="23">
        <f t="shared" si="2"/>
        <v>3</v>
      </c>
      <c r="E103" s="22" t="str">
        <f>VLOOKUP(H103,Analysis!$A$24:$B$33,2,FALSE)</f>
        <v>:utah:</v>
      </c>
      <c r="F103" s="22"/>
      <c r="G103" s="22"/>
      <c r="H103" s="33" t="s">
        <v>13</v>
      </c>
      <c r="I103" s="34" t="s">
        <v>680</v>
      </c>
      <c r="J103" s="34" t="s">
        <v>681</v>
      </c>
      <c r="K103" s="33" t="s">
        <v>682</v>
      </c>
      <c r="L103" s="33" t="s">
        <v>75</v>
      </c>
      <c r="M103" s="33" t="s">
        <v>97</v>
      </c>
      <c r="N103" s="35">
        <v>374</v>
      </c>
      <c r="O103" s="36">
        <v>2</v>
      </c>
      <c r="P103" s="36">
        <v>3</v>
      </c>
      <c r="Q103" s="36"/>
      <c r="R103" s="36"/>
      <c r="S103" s="36"/>
      <c r="T103" s="33" t="s">
        <v>273</v>
      </c>
      <c r="U103" s="33" t="s">
        <v>37</v>
      </c>
      <c r="V103" s="33" t="s">
        <v>37</v>
      </c>
      <c r="W103" s="35">
        <v>42</v>
      </c>
      <c r="X103" s="33"/>
      <c r="Y103" s="33"/>
      <c r="Z103" s="33"/>
      <c r="AA103" s="33"/>
      <c r="AB103" s="33"/>
      <c r="AC103" s="35"/>
      <c r="AD103" s="35"/>
      <c r="AE103" s="35"/>
      <c r="AF103" s="35"/>
      <c r="AG103" s="35"/>
      <c r="AH103" s="45" t="s">
        <v>274</v>
      </c>
      <c r="AI103" s="35">
        <v>159</v>
      </c>
      <c r="AJ103" s="35"/>
      <c r="AK103" s="35"/>
      <c r="AL103" s="35"/>
      <c r="AM103" s="35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21"/>
      <c r="BG103" s="21"/>
      <c r="BH103" s="21"/>
      <c r="BI103" s="21"/>
      <c r="BJ103" s="21"/>
      <c r="BK103" s="21"/>
      <c r="BL103" s="21"/>
      <c r="BM103" s="21"/>
    </row>
    <row r="104" spans="1:65" ht="15.75" customHeight="1">
      <c r="A104" s="22">
        <f t="shared" si="0"/>
        <v>0</v>
      </c>
      <c r="B104" s="22"/>
      <c r="C104" s="22" t="str">
        <f t="shared" si="1"/>
        <v>134. 364 TPE :scorpions: [S6] Damien Walec - SP (Muf BeatsBy Crit Feinstein)</v>
      </c>
      <c r="D104" s="23">
        <f t="shared" si="2"/>
        <v>134</v>
      </c>
      <c r="E104" s="22" t="str">
        <f>VLOOKUP(H104,Analysis!$A$24:$B$33,2,FALSE)</f>
        <v>:scorpions:</v>
      </c>
      <c r="F104" s="22"/>
      <c r="G104" s="22" t="s">
        <v>306</v>
      </c>
      <c r="H104" s="40" t="s">
        <v>10</v>
      </c>
      <c r="I104" s="41" t="s">
        <v>307</v>
      </c>
      <c r="J104" s="41" t="s">
        <v>309</v>
      </c>
      <c r="K104" s="40" t="s">
        <v>684</v>
      </c>
      <c r="L104" s="40" t="s">
        <v>90</v>
      </c>
      <c r="M104" s="40" t="s">
        <v>109</v>
      </c>
      <c r="N104" s="42">
        <v>364</v>
      </c>
      <c r="O104" s="44">
        <v>3</v>
      </c>
      <c r="P104" s="44"/>
      <c r="Q104" s="44"/>
      <c r="R104" s="43"/>
      <c r="S104" s="43"/>
      <c r="T104" s="40"/>
      <c r="U104" s="40" t="s">
        <v>34</v>
      </c>
      <c r="V104" s="40" t="s">
        <v>34</v>
      </c>
      <c r="W104" s="42">
        <v>5</v>
      </c>
      <c r="X104" s="40"/>
      <c r="Y104" s="40"/>
      <c r="Z104" s="40"/>
      <c r="AA104" s="40"/>
      <c r="AB104" s="40"/>
      <c r="AC104" s="42"/>
      <c r="AD104" s="42"/>
      <c r="AE104" s="42">
        <v>6.5</v>
      </c>
      <c r="AF104" s="42">
        <v>2.5</v>
      </c>
      <c r="AG104" s="42">
        <v>2</v>
      </c>
      <c r="AH104" s="44">
        <v>2</v>
      </c>
      <c r="AI104" s="42">
        <v>364</v>
      </c>
      <c r="AJ104" s="42"/>
      <c r="AK104" s="42"/>
      <c r="AL104" s="42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21"/>
      <c r="BG104" s="21"/>
      <c r="BH104" s="21"/>
      <c r="BI104" s="21"/>
      <c r="BJ104" s="21"/>
      <c r="BK104" s="21"/>
      <c r="BL104" s="21"/>
      <c r="BM104" s="21"/>
    </row>
    <row r="105" spans="1:65" ht="15.75" customHeight="1">
      <c r="A105" s="22">
        <f t="shared" si="0"/>
        <v>188</v>
      </c>
      <c r="B105" s="22" t="str">
        <f>D105&amp;". Gained TPE: "&amp;A105&amp;" TPE - " &amp;N105&amp;" Current TPE "&amp;E105&amp;" ["&amp;U105&amp;"] "&amp;K105&amp;" - "&amp;L105&amp;" ("&amp;I105&amp;")"</f>
        <v>15. Gained TPE: 188 TPE - 362 Current TPE :rangers: [S9] Chanandler Bong - 1B (PaytonM34)</v>
      </c>
      <c r="C105" s="22" t="str">
        <f t="shared" si="1"/>
        <v>15. 362 TPE :rangers: [S9] Chanandler Bong - 1B (PaytonM34)</v>
      </c>
      <c r="D105" s="23">
        <f t="shared" si="2"/>
        <v>15</v>
      </c>
      <c r="E105" s="22" t="str">
        <f>VLOOKUP(H105,Analysis!$A$24:$B$33,2,FALSE)</f>
        <v>:rangers:</v>
      </c>
      <c r="F105" s="22"/>
      <c r="G105" s="22"/>
      <c r="H105" s="33" t="s">
        <v>9</v>
      </c>
      <c r="I105" s="34" t="s">
        <v>687</v>
      </c>
      <c r="J105" s="34" t="s">
        <v>688</v>
      </c>
      <c r="K105" s="33" t="s">
        <v>690</v>
      </c>
      <c r="L105" s="33" t="s">
        <v>187</v>
      </c>
      <c r="M105" s="33" t="s">
        <v>691</v>
      </c>
      <c r="N105" s="35">
        <v>362</v>
      </c>
      <c r="O105" s="45">
        <v>5</v>
      </c>
      <c r="P105" s="36">
        <v>5</v>
      </c>
      <c r="Q105" s="36">
        <v>5</v>
      </c>
      <c r="R105" s="36"/>
      <c r="S105" s="36"/>
      <c r="T105" s="37" t="s">
        <v>566</v>
      </c>
      <c r="U105" s="33" t="s">
        <v>37</v>
      </c>
      <c r="V105" s="33" t="s">
        <v>37</v>
      </c>
      <c r="W105" s="35">
        <v>19</v>
      </c>
      <c r="X105" s="33"/>
      <c r="Y105" s="33"/>
      <c r="Z105" s="33"/>
      <c r="AA105" s="33"/>
      <c r="AB105" s="33"/>
      <c r="AC105" s="33"/>
      <c r="AD105" s="33"/>
      <c r="AE105" s="33"/>
      <c r="AF105" s="33"/>
      <c r="AG105" s="35"/>
      <c r="AH105" s="45" t="s">
        <v>274</v>
      </c>
      <c r="AI105" s="33">
        <v>174</v>
      </c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21"/>
      <c r="BG105" s="21"/>
      <c r="BH105" s="21"/>
      <c r="BI105" s="21"/>
      <c r="BJ105" s="21"/>
      <c r="BK105" s="21"/>
      <c r="BL105" s="21"/>
      <c r="BM105" s="21"/>
    </row>
    <row r="106" spans="1:65" ht="15.75" customHeight="1">
      <c r="A106" s="22">
        <f t="shared" si="0"/>
        <v>21</v>
      </c>
      <c r="B106" s="22"/>
      <c r="C106" s="22" t="str">
        <f t="shared" si="1"/>
        <v>117. 357 TPE :voyagers: [S6] Adam Squiggly - CL (Grapehead)</v>
      </c>
      <c r="D106" s="23">
        <f t="shared" si="2"/>
        <v>117</v>
      </c>
      <c r="E106" s="22" t="str">
        <f>VLOOKUP(H106,Analysis!$A$24:$B$33,2,FALSE)</f>
        <v>:voyagers:</v>
      </c>
      <c r="F106" s="22"/>
      <c r="G106" s="22" t="s">
        <v>693</v>
      </c>
      <c r="H106" s="40" t="s">
        <v>8</v>
      </c>
      <c r="I106" s="41" t="s">
        <v>695</v>
      </c>
      <c r="J106" s="41" t="s">
        <v>697</v>
      </c>
      <c r="K106" s="40" t="s">
        <v>698</v>
      </c>
      <c r="L106" s="40" t="s">
        <v>336</v>
      </c>
      <c r="M106" s="40" t="s">
        <v>699</v>
      </c>
      <c r="N106" s="42">
        <v>357</v>
      </c>
      <c r="O106" s="43">
        <v>4.25</v>
      </c>
      <c r="P106" s="43">
        <v>4.25</v>
      </c>
      <c r="Q106" s="43">
        <v>4.25</v>
      </c>
      <c r="R106" s="43"/>
      <c r="S106" s="43"/>
      <c r="T106" s="40"/>
      <c r="U106" s="40" t="s">
        <v>34</v>
      </c>
      <c r="V106" s="40" t="s">
        <v>34</v>
      </c>
      <c r="W106" s="42">
        <v>3</v>
      </c>
      <c r="X106" s="40"/>
      <c r="Y106" s="40"/>
      <c r="Z106" s="40"/>
      <c r="AA106" s="40"/>
      <c r="AB106" s="40"/>
      <c r="AC106" s="42"/>
      <c r="AD106" s="42"/>
      <c r="AE106" s="42"/>
      <c r="AF106" s="40">
        <v>3</v>
      </c>
      <c r="AG106" s="40">
        <v>4</v>
      </c>
      <c r="AH106" s="43">
        <v>5</v>
      </c>
      <c r="AI106" s="42">
        <v>336</v>
      </c>
      <c r="AK106" s="42"/>
      <c r="AL106" s="42"/>
      <c r="AM106" s="42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21"/>
      <c r="BG106" s="21"/>
      <c r="BH106" s="21"/>
      <c r="BI106" s="21"/>
      <c r="BJ106" s="21"/>
      <c r="BK106" s="21"/>
      <c r="BL106" s="21"/>
      <c r="BM106" s="21"/>
    </row>
    <row r="107" spans="1:65" ht="15.75" customHeight="1">
      <c r="A107" s="22">
        <f t="shared" si="0"/>
        <v>202</v>
      </c>
      <c r="B107" s="22" t="str">
        <f t="shared" ref="B107:B111" si="17">D107&amp;". Gained TPE: "&amp;A107&amp;" TPE - " &amp;N107&amp;" Current TPE "&amp;E107&amp;" ["&amp;U107&amp;"] "&amp;K107&amp;" - "&amp;L107&amp;" ("&amp;I107&amp;")"</f>
        <v>7. Gained TPE: 202 TPE - 356 Current TPE :utah: [S9] Josh Steele - 2B (jsteele14)</v>
      </c>
      <c r="C107" s="22" t="str">
        <f t="shared" si="1"/>
        <v>7. 356 TPE :utah: [S9] Josh Steele - 2B (jsteele14)</v>
      </c>
      <c r="D107" s="23">
        <f t="shared" si="2"/>
        <v>7</v>
      </c>
      <c r="E107" s="22" t="str">
        <f>VLOOKUP(H107,Analysis!$A$24:$B$33,2,FALSE)</f>
        <v>:utah:</v>
      </c>
      <c r="F107" s="22"/>
      <c r="G107" s="22"/>
      <c r="H107" s="33" t="s">
        <v>13</v>
      </c>
      <c r="I107" s="34" t="s">
        <v>683</v>
      </c>
      <c r="J107" s="34" t="s">
        <v>685</v>
      </c>
      <c r="K107" s="33" t="s">
        <v>703</v>
      </c>
      <c r="L107" s="33" t="s">
        <v>83</v>
      </c>
      <c r="M107" s="33" t="s">
        <v>84</v>
      </c>
      <c r="N107" s="35">
        <v>356</v>
      </c>
      <c r="O107" s="36">
        <v>3</v>
      </c>
      <c r="P107" s="36">
        <v>3.5</v>
      </c>
      <c r="Q107" s="36">
        <v>4</v>
      </c>
      <c r="R107" s="36"/>
      <c r="S107" s="36"/>
      <c r="T107" s="33" t="s">
        <v>612</v>
      </c>
      <c r="U107" s="33" t="s">
        <v>37</v>
      </c>
      <c r="V107" s="33" t="s">
        <v>37</v>
      </c>
      <c r="W107" s="35">
        <v>18</v>
      </c>
      <c r="X107" s="33"/>
      <c r="Y107" s="33"/>
      <c r="Z107" s="33"/>
      <c r="AA107" s="33"/>
      <c r="AB107" s="33"/>
      <c r="AC107" s="35"/>
      <c r="AD107" s="35"/>
      <c r="AE107" s="35"/>
      <c r="AF107" s="35"/>
      <c r="AG107" s="35"/>
      <c r="AH107" s="45" t="s">
        <v>274</v>
      </c>
      <c r="AI107" s="35">
        <v>154</v>
      </c>
      <c r="AJ107" s="35"/>
      <c r="AK107" s="35"/>
      <c r="AL107" s="35"/>
      <c r="AM107" s="35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21"/>
      <c r="BG107" s="21"/>
      <c r="BH107" s="21"/>
      <c r="BI107" s="21"/>
      <c r="BJ107" s="21"/>
      <c r="BK107" s="21"/>
      <c r="BL107" s="21"/>
      <c r="BM107" s="21"/>
    </row>
    <row r="108" spans="1:65" ht="15.75" customHeight="1">
      <c r="A108" s="22">
        <f t="shared" si="0"/>
        <v>151</v>
      </c>
      <c r="B108" s="22" t="str">
        <f t="shared" si="17"/>
        <v>40. Gained TPE: 151 TPE - 353 Current TPE :crabs: [S9] Fenway Turner - RF (thedangazone)</v>
      </c>
      <c r="C108" s="22" t="str">
        <f t="shared" si="1"/>
        <v>40. 353 TPE :crabs: [S9] Fenway Turner - RF (thedangazone)</v>
      </c>
      <c r="D108" s="23">
        <f t="shared" si="2"/>
        <v>40</v>
      </c>
      <c r="E108" s="22" t="str">
        <f>VLOOKUP(H108,Analysis!$A$24:$B$33,2,FALSE)</f>
        <v>:crabs:</v>
      </c>
      <c r="F108" s="22"/>
      <c r="G108" s="22"/>
      <c r="H108" s="40" t="s">
        <v>3</v>
      </c>
      <c r="I108" s="41" t="s">
        <v>706</v>
      </c>
      <c r="J108" s="41" t="s">
        <v>707</v>
      </c>
      <c r="K108" s="40" t="s">
        <v>709</v>
      </c>
      <c r="L108" s="40" t="s">
        <v>131</v>
      </c>
      <c r="M108" s="40" t="s">
        <v>554</v>
      </c>
      <c r="N108" s="42">
        <v>353</v>
      </c>
      <c r="O108" s="44">
        <v>2</v>
      </c>
      <c r="P108" s="43">
        <v>2</v>
      </c>
      <c r="Q108" s="43">
        <v>2</v>
      </c>
      <c r="R108" s="43"/>
      <c r="S108" s="43"/>
      <c r="T108" s="40" t="s">
        <v>373</v>
      </c>
      <c r="U108" s="40" t="s">
        <v>37</v>
      </c>
      <c r="V108" s="40" t="s">
        <v>37</v>
      </c>
      <c r="W108" s="42">
        <v>13</v>
      </c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4" t="s">
        <v>274</v>
      </c>
      <c r="AI108" s="42">
        <v>202</v>
      </c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21"/>
      <c r="BG108" s="21"/>
      <c r="BH108" s="21"/>
      <c r="BI108" s="21"/>
      <c r="BJ108" s="21"/>
      <c r="BK108" s="21"/>
      <c r="BL108" s="21"/>
      <c r="BM108" s="21"/>
    </row>
    <row r="109" spans="1:65" ht="15.75" customHeight="1">
      <c r="A109" s="22">
        <f t="shared" si="0"/>
        <v>210</v>
      </c>
      <c r="B109" s="22" t="str">
        <f t="shared" si="17"/>
        <v>5. Gained TPE: 210 TPE - 352 Current TPE :crabs: [S9] Jahseh Tentacion - LF (soryantyler)</v>
      </c>
      <c r="C109" s="22" t="str">
        <f t="shared" si="1"/>
        <v>5. 352 TPE :crabs: [S9] Jahseh Tentacion - LF (soryantyler)</v>
      </c>
      <c r="D109" s="23">
        <f t="shared" si="2"/>
        <v>5</v>
      </c>
      <c r="E109" s="22" t="str">
        <f>VLOOKUP(H109,Analysis!$A$24:$B$33,2,FALSE)</f>
        <v>:crabs:</v>
      </c>
      <c r="F109" s="22"/>
      <c r="G109" s="22"/>
      <c r="H109" s="33" t="s">
        <v>3</v>
      </c>
      <c r="I109" s="34" t="s">
        <v>711</v>
      </c>
      <c r="J109" s="34" t="s">
        <v>713</v>
      </c>
      <c r="K109" s="33" t="s">
        <v>714</v>
      </c>
      <c r="L109" s="33" t="s">
        <v>180</v>
      </c>
      <c r="M109" s="33" t="s">
        <v>132</v>
      </c>
      <c r="N109" s="35">
        <v>352</v>
      </c>
      <c r="O109" s="45">
        <v>1</v>
      </c>
      <c r="P109" s="45">
        <v>1</v>
      </c>
      <c r="Q109" s="36">
        <v>1</v>
      </c>
      <c r="R109" s="36"/>
      <c r="S109" s="36"/>
      <c r="T109" s="33" t="s">
        <v>373</v>
      </c>
      <c r="U109" s="33" t="s">
        <v>37</v>
      </c>
      <c r="V109" s="33" t="s">
        <v>37</v>
      </c>
      <c r="W109" s="35">
        <v>36</v>
      </c>
      <c r="X109" s="33"/>
      <c r="Y109" s="33"/>
      <c r="Z109" s="33"/>
      <c r="AA109" s="33"/>
      <c r="AB109" s="33"/>
      <c r="AC109" s="33"/>
      <c r="AD109" s="33"/>
      <c r="AE109" s="33"/>
      <c r="AF109" s="33"/>
      <c r="AG109" s="35"/>
      <c r="AH109" s="45" t="s">
        <v>274</v>
      </c>
      <c r="AI109" s="33">
        <v>142</v>
      </c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21"/>
      <c r="BG109" s="21"/>
      <c r="BH109" s="21"/>
      <c r="BI109" s="21"/>
      <c r="BJ109" s="21"/>
      <c r="BK109" s="21"/>
      <c r="BL109" s="21"/>
      <c r="BM109" s="21"/>
    </row>
    <row r="110" spans="1:65" ht="15.75" customHeight="1">
      <c r="A110" s="22">
        <f t="shared" si="0"/>
        <v>150</v>
      </c>
      <c r="B110" s="22" t="str">
        <f t="shared" si="17"/>
        <v>42. Gained TPE: 150 TPE - 345 Current TPE :vandals: [S9] Kyle Bellinger - 2B (maxcrazy)</v>
      </c>
      <c r="C110" s="22" t="str">
        <f t="shared" si="1"/>
        <v>42. 345 TPE :vandals: [S9] Kyle Bellinger - 2B (maxcrazy)</v>
      </c>
      <c r="D110" s="23">
        <f t="shared" si="2"/>
        <v>42</v>
      </c>
      <c r="E110" s="22" t="str">
        <f>VLOOKUP(H110,Analysis!$A$24:$B$33,2,FALSE)</f>
        <v>:vandals:</v>
      </c>
      <c r="F110" s="22"/>
      <c r="G110" s="22"/>
      <c r="H110" s="40" t="s">
        <v>12</v>
      </c>
      <c r="I110" s="41" t="s">
        <v>609</v>
      </c>
      <c r="J110" s="41" t="s">
        <v>611</v>
      </c>
      <c r="K110" s="40" t="s">
        <v>717</v>
      </c>
      <c r="L110" s="40" t="s">
        <v>83</v>
      </c>
      <c r="M110" s="40" t="s">
        <v>554</v>
      </c>
      <c r="N110" s="42">
        <v>345</v>
      </c>
      <c r="O110" s="43">
        <v>3</v>
      </c>
      <c r="P110" s="43">
        <v>3</v>
      </c>
      <c r="Q110" s="43">
        <v>3</v>
      </c>
      <c r="R110" s="43"/>
      <c r="S110" s="43"/>
      <c r="T110" s="40" t="s">
        <v>612</v>
      </c>
      <c r="U110" s="40" t="s">
        <v>37</v>
      </c>
      <c r="V110" s="40" t="s">
        <v>37</v>
      </c>
      <c r="W110" s="42">
        <v>5</v>
      </c>
      <c r="X110" s="40"/>
      <c r="Y110" s="40"/>
      <c r="Z110" s="40"/>
      <c r="AA110" s="40"/>
      <c r="AB110" s="40"/>
      <c r="AC110" s="42"/>
      <c r="AD110" s="42"/>
      <c r="AE110" s="42"/>
      <c r="AF110" s="42"/>
      <c r="AG110" s="42"/>
      <c r="AH110" s="44" t="s">
        <v>274</v>
      </c>
      <c r="AI110" s="40">
        <v>195</v>
      </c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21"/>
      <c r="BG110" s="21"/>
      <c r="BH110" s="21"/>
      <c r="BI110" s="21"/>
      <c r="BJ110" s="21"/>
      <c r="BK110" s="21"/>
      <c r="BL110" s="21"/>
      <c r="BM110" s="21"/>
    </row>
    <row r="111" spans="1:65" ht="15.75" customHeight="1">
      <c r="A111" s="22">
        <f t="shared" si="0"/>
        <v>160</v>
      </c>
      <c r="B111" s="22" t="str">
        <f t="shared" si="17"/>
        <v>35. Gained TPE: 160 TPE - 338 Current TPE :rangers: [S7] Jeffery Murphy - 3B (WALDO)</v>
      </c>
      <c r="C111" s="22" t="str">
        <f t="shared" si="1"/>
        <v>35. 338 TPE :rangers: [S7] Jeffery Murphy - 3B (WALDO)</v>
      </c>
      <c r="D111" s="23">
        <f t="shared" si="2"/>
        <v>35</v>
      </c>
      <c r="E111" s="22" t="str">
        <f>VLOOKUP(H111,Analysis!$A$24:$B$33,2,FALSE)</f>
        <v>:rangers:</v>
      </c>
      <c r="F111" s="22"/>
      <c r="G111" s="22" t="s">
        <v>720</v>
      </c>
      <c r="H111" s="33" t="s">
        <v>9</v>
      </c>
      <c r="I111" s="34" t="s">
        <v>722</v>
      </c>
      <c r="J111" s="34" t="s">
        <v>723</v>
      </c>
      <c r="K111" s="33" t="s">
        <v>724</v>
      </c>
      <c r="L111" s="33" t="s">
        <v>215</v>
      </c>
      <c r="M111" s="33" t="s">
        <v>132</v>
      </c>
      <c r="N111" s="35">
        <v>338</v>
      </c>
      <c r="O111" s="45">
        <v>1.5</v>
      </c>
      <c r="P111" s="36"/>
      <c r="Q111" s="36"/>
      <c r="R111" s="36"/>
      <c r="S111" s="36"/>
      <c r="T111" s="33" t="s">
        <v>417</v>
      </c>
      <c r="U111" s="33" t="s">
        <v>35</v>
      </c>
      <c r="V111" s="33" t="s">
        <v>35</v>
      </c>
      <c r="W111" s="35">
        <v>18</v>
      </c>
      <c r="X111" s="33"/>
      <c r="Y111" s="33"/>
      <c r="Z111" s="33"/>
      <c r="AA111" s="33"/>
      <c r="AB111" s="33"/>
      <c r="AC111" s="33"/>
      <c r="AD111" s="33"/>
      <c r="AE111" s="33"/>
      <c r="AF111" s="33" t="s">
        <v>257</v>
      </c>
      <c r="AG111" s="35">
        <v>1.5</v>
      </c>
      <c r="AH111" s="45">
        <v>1.5</v>
      </c>
      <c r="AI111" s="33">
        <v>178</v>
      </c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21"/>
      <c r="BG111" s="21"/>
      <c r="BH111" s="21"/>
      <c r="BI111" s="21"/>
      <c r="BJ111" s="21"/>
      <c r="BK111" s="21"/>
      <c r="BL111" s="21"/>
      <c r="BM111" s="21"/>
    </row>
    <row r="112" spans="1:65" ht="15.75" customHeight="1">
      <c r="A112" s="22">
        <f t="shared" si="0"/>
        <v>-46</v>
      </c>
      <c r="B112" s="22"/>
      <c r="C112" s="22" t="str">
        <f t="shared" si="1"/>
        <v>301. 338 TPE :aviators: [S1] Bobby Shmurda - SS (Zodak Pink)</v>
      </c>
      <c r="D112" s="23">
        <f t="shared" si="2"/>
        <v>301</v>
      </c>
      <c r="E112" s="22" t="str">
        <f>VLOOKUP(H112,Analysis!$A$24:$B$33,2,FALSE)</f>
        <v>:aviators:</v>
      </c>
      <c r="F112" s="22"/>
      <c r="G112" s="22" t="s">
        <v>726</v>
      </c>
      <c r="H112" s="40" t="s">
        <v>5</v>
      </c>
      <c r="I112" s="41" t="s">
        <v>728</v>
      </c>
      <c r="J112" s="41" t="s">
        <v>729</v>
      </c>
      <c r="K112" s="40" t="s">
        <v>731</v>
      </c>
      <c r="L112" s="40" t="s">
        <v>75</v>
      </c>
      <c r="M112" s="40" t="s">
        <v>76</v>
      </c>
      <c r="N112" s="42">
        <v>338</v>
      </c>
      <c r="O112" s="44">
        <v>3</v>
      </c>
      <c r="P112" s="44"/>
      <c r="Q112" s="43"/>
      <c r="R112" s="43"/>
      <c r="S112" s="43"/>
      <c r="T112" s="40"/>
      <c r="U112" s="40" t="s">
        <v>70</v>
      </c>
      <c r="V112" s="40" t="s">
        <v>70</v>
      </c>
      <c r="W112" s="42">
        <v>19</v>
      </c>
      <c r="X112" s="40"/>
      <c r="Y112" s="40"/>
      <c r="Z112" s="40"/>
      <c r="AA112" s="40"/>
      <c r="AB112" s="40"/>
      <c r="AC112" s="40">
        <v>3</v>
      </c>
      <c r="AD112" s="42">
        <v>3</v>
      </c>
      <c r="AE112" s="42">
        <v>3</v>
      </c>
      <c r="AF112" s="42">
        <v>3</v>
      </c>
      <c r="AG112" s="40">
        <v>3</v>
      </c>
      <c r="AH112" s="44">
        <v>3</v>
      </c>
      <c r="AI112" s="40">
        <v>384</v>
      </c>
      <c r="AJ112" s="40">
        <v>384</v>
      </c>
      <c r="AK112" s="40">
        <v>384</v>
      </c>
      <c r="AL112" s="40">
        <v>384</v>
      </c>
      <c r="AM112" s="40">
        <v>384</v>
      </c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21"/>
      <c r="BG112" s="21"/>
      <c r="BH112" s="21"/>
      <c r="BI112" s="21"/>
      <c r="BJ112" s="21"/>
      <c r="BK112" s="21"/>
      <c r="BL112" s="21"/>
      <c r="BM112" s="21"/>
    </row>
    <row r="113" spans="1:65" ht="15.75" customHeight="1">
      <c r="A113" s="22">
        <f t="shared" si="0"/>
        <v>0</v>
      </c>
      <c r="B113" s="22"/>
      <c r="C113" s="22" t="str">
        <f t="shared" si="1"/>
        <v>134. 336 TPE :aviators: [S3] Alvin Enax - CL (ATRDCI)</v>
      </c>
      <c r="D113" s="23">
        <f t="shared" si="2"/>
        <v>134</v>
      </c>
      <c r="E113" s="22" t="str">
        <f>VLOOKUP(H113,Analysis!$A$24:$B$33,2,FALSE)</f>
        <v>:aviators:</v>
      </c>
      <c r="F113" s="22"/>
      <c r="G113" s="22" t="s">
        <v>590</v>
      </c>
      <c r="H113" s="33" t="s">
        <v>5</v>
      </c>
      <c r="I113" s="34" t="s">
        <v>591</v>
      </c>
      <c r="J113" s="34" t="s">
        <v>593</v>
      </c>
      <c r="K113" s="33" t="s">
        <v>734</v>
      </c>
      <c r="L113" s="33" t="s">
        <v>336</v>
      </c>
      <c r="M113" s="33" t="s">
        <v>109</v>
      </c>
      <c r="N113" s="35">
        <v>336</v>
      </c>
      <c r="O113" s="36">
        <v>3</v>
      </c>
      <c r="P113" s="36"/>
      <c r="Q113" s="36"/>
      <c r="R113" s="36"/>
      <c r="S113" s="36"/>
      <c r="T113" s="33"/>
      <c r="U113" s="33" t="s">
        <v>126</v>
      </c>
      <c r="V113" s="33" t="s">
        <v>126</v>
      </c>
      <c r="W113" s="35">
        <v>12</v>
      </c>
      <c r="X113" s="33"/>
      <c r="Y113" s="33"/>
      <c r="Z113" s="33"/>
      <c r="AA113" s="33"/>
      <c r="AB113" s="33"/>
      <c r="AC113" s="33">
        <v>8</v>
      </c>
      <c r="AD113" s="33">
        <v>2.5</v>
      </c>
      <c r="AE113" s="35">
        <v>2.5</v>
      </c>
      <c r="AF113" s="35">
        <v>3</v>
      </c>
      <c r="AG113" s="33">
        <v>3</v>
      </c>
      <c r="AH113" s="36">
        <v>4</v>
      </c>
      <c r="AI113" s="33">
        <v>336</v>
      </c>
      <c r="AJ113" s="33">
        <v>208</v>
      </c>
      <c r="AK113" s="33">
        <v>180</v>
      </c>
      <c r="AL113" s="33">
        <v>180</v>
      </c>
      <c r="AM113" s="33">
        <v>108</v>
      </c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21"/>
      <c r="BG113" s="21"/>
      <c r="BH113" s="21"/>
      <c r="BI113" s="21"/>
      <c r="BJ113" s="21"/>
      <c r="BK113" s="21"/>
      <c r="BL113" s="21"/>
      <c r="BM113" s="21"/>
    </row>
    <row r="114" spans="1:65" ht="15.75" customHeight="1">
      <c r="A114" s="22">
        <f t="shared" si="0"/>
        <v>0</v>
      </c>
      <c r="B114" s="22"/>
      <c r="C114" s="22" t="str">
        <f t="shared" si="1"/>
        <v>134. 327 TPE :utah: [S2] George Delrod - 3B (ProfessorHotBot)</v>
      </c>
      <c r="D114" s="23">
        <f t="shared" si="2"/>
        <v>134</v>
      </c>
      <c r="E114" s="22" t="str">
        <f>VLOOKUP(H114,Analysis!$A$24:$B$33,2,FALSE)</f>
        <v>:utah:</v>
      </c>
      <c r="F114" s="22"/>
      <c r="G114" s="22" t="s">
        <v>736</v>
      </c>
      <c r="H114" s="40" t="s">
        <v>13</v>
      </c>
      <c r="I114" s="41" t="s">
        <v>737</v>
      </c>
      <c r="J114" s="41" t="s">
        <v>738</v>
      </c>
      <c r="K114" s="40" t="s">
        <v>739</v>
      </c>
      <c r="L114" s="40" t="s">
        <v>215</v>
      </c>
      <c r="M114" s="40" t="s">
        <v>740</v>
      </c>
      <c r="N114" s="42">
        <v>327</v>
      </c>
      <c r="O114" s="43">
        <v>3</v>
      </c>
      <c r="P114" s="43"/>
      <c r="Q114" s="43"/>
      <c r="R114" s="43"/>
      <c r="S114" s="43"/>
      <c r="T114" s="40"/>
      <c r="U114" s="40" t="s">
        <v>78</v>
      </c>
      <c r="V114" s="40" t="s">
        <v>78</v>
      </c>
      <c r="W114" s="42">
        <v>24</v>
      </c>
      <c r="X114" s="40"/>
      <c r="Y114" s="40"/>
      <c r="Z114" s="40"/>
      <c r="AA114" s="40"/>
      <c r="AB114" s="40"/>
      <c r="AC114" s="40">
        <v>4</v>
      </c>
      <c r="AD114" s="40">
        <v>6</v>
      </c>
      <c r="AE114" s="40">
        <v>3</v>
      </c>
      <c r="AF114" s="42">
        <v>3</v>
      </c>
      <c r="AG114" s="42">
        <v>3</v>
      </c>
      <c r="AH114" s="44">
        <v>3</v>
      </c>
      <c r="AI114" s="42">
        <v>327</v>
      </c>
      <c r="AJ114" s="40"/>
      <c r="AK114" s="40">
        <v>319</v>
      </c>
      <c r="AL114" s="40">
        <v>305</v>
      </c>
      <c r="AM114" s="40">
        <v>297</v>
      </c>
      <c r="AN114" s="40">
        <v>273</v>
      </c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21"/>
      <c r="BG114" s="21"/>
      <c r="BH114" s="21"/>
      <c r="BI114" s="21"/>
      <c r="BJ114" s="21"/>
      <c r="BK114" s="21"/>
      <c r="BL114" s="21"/>
      <c r="BM114" s="21"/>
    </row>
    <row r="115" spans="1:65" ht="15.75" customHeight="1">
      <c r="A115" s="22">
        <f t="shared" si="0"/>
        <v>162</v>
      </c>
      <c r="B115" s="22" t="str">
        <f t="shared" ref="B115:B116" si="18">D115&amp;". Gained TPE: "&amp;A115&amp;" TPE - " &amp;N115&amp;" Current TPE "&amp;E115&amp;" ["&amp;U115&amp;"] "&amp;K115&amp;" - "&amp;L115&amp;" ("&amp;I115&amp;")"</f>
        <v>33. Gained TPE: 162 TPE - 326 Current TPE :vandals: [S9] Peter Dawson - SP (dieselj123)</v>
      </c>
      <c r="C115" s="22" t="str">
        <f t="shared" si="1"/>
        <v>33. 326 TPE :vandals: [S9] Peter Dawson - SP (dieselj123)</v>
      </c>
      <c r="D115" s="23">
        <f t="shared" si="2"/>
        <v>33</v>
      </c>
      <c r="E115" s="22" t="str">
        <f>VLOOKUP(H115,Analysis!$A$24:$B$33,2,FALSE)</f>
        <v>:vandals:</v>
      </c>
      <c r="F115" s="22"/>
      <c r="G115" s="22"/>
      <c r="H115" s="33" t="s">
        <v>12</v>
      </c>
      <c r="I115" s="34" t="s">
        <v>614</v>
      </c>
      <c r="J115" s="34" t="s">
        <v>616</v>
      </c>
      <c r="K115" s="33" t="s">
        <v>743</v>
      </c>
      <c r="L115" s="33" t="s">
        <v>90</v>
      </c>
      <c r="M115" s="33" t="s">
        <v>109</v>
      </c>
      <c r="N115" s="35">
        <v>326</v>
      </c>
      <c r="O115" s="36">
        <v>3</v>
      </c>
      <c r="P115" s="36">
        <v>3</v>
      </c>
      <c r="Q115" s="36"/>
      <c r="R115" s="36"/>
      <c r="S115" s="36"/>
      <c r="T115" s="33" t="s">
        <v>273</v>
      </c>
      <c r="U115" s="33" t="s">
        <v>37</v>
      </c>
      <c r="V115" s="33" t="s">
        <v>37</v>
      </c>
      <c r="W115" s="35">
        <v>6</v>
      </c>
      <c r="X115" s="33"/>
      <c r="Y115" s="33"/>
      <c r="Z115" s="33"/>
      <c r="AA115" s="33"/>
      <c r="AB115" s="35"/>
      <c r="AC115" s="35"/>
      <c r="AD115" s="35"/>
      <c r="AE115" s="35"/>
      <c r="AF115" s="35"/>
      <c r="AG115" s="35"/>
      <c r="AH115" s="45" t="s">
        <v>274</v>
      </c>
      <c r="AI115" s="35">
        <v>164</v>
      </c>
      <c r="AJ115" s="35"/>
      <c r="AK115" s="35"/>
      <c r="AL115" s="35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21"/>
      <c r="BG115" s="21"/>
      <c r="BH115" s="21"/>
      <c r="BI115" s="21"/>
      <c r="BJ115" s="21"/>
      <c r="BK115" s="21"/>
      <c r="BL115" s="21"/>
      <c r="BM115" s="21"/>
    </row>
    <row r="116" spans="1:65" ht="15.75" customHeight="1">
      <c r="A116" s="22">
        <f t="shared" si="0"/>
        <v>173</v>
      </c>
      <c r="B116" s="22" t="str">
        <f t="shared" si="18"/>
        <v>28. Gained TPE: 173 TPE - 321 Current TPE :vandals: [S9] Hendrix Lamar - C (Wkdfire53)</v>
      </c>
      <c r="C116" s="22" t="str">
        <f t="shared" si="1"/>
        <v>28. 321 TPE :vandals: [S9] Hendrix Lamar - C (Wkdfire53)</v>
      </c>
      <c r="D116" s="23">
        <f t="shared" si="2"/>
        <v>28</v>
      </c>
      <c r="E116" s="22" t="str">
        <f>VLOOKUP(H116,Analysis!$A$24:$B$33,2,FALSE)</f>
        <v>:vandals:</v>
      </c>
      <c r="F116" s="22"/>
      <c r="G116" s="22"/>
      <c r="H116" s="40" t="s">
        <v>12</v>
      </c>
      <c r="I116" s="41" t="s">
        <v>618</v>
      </c>
      <c r="J116" s="41" t="s">
        <v>620</v>
      </c>
      <c r="K116" s="40" t="s">
        <v>746</v>
      </c>
      <c r="L116" s="121" t="s">
        <v>103</v>
      </c>
      <c r="M116" s="40" t="s">
        <v>298</v>
      </c>
      <c r="N116" s="42">
        <v>321</v>
      </c>
      <c r="O116" s="43">
        <v>2</v>
      </c>
      <c r="P116" s="43">
        <v>2</v>
      </c>
      <c r="Q116" s="43">
        <v>2</v>
      </c>
      <c r="R116" s="43"/>
      <c r="S116" s="43"/>
      <c r="T116" s="40" t="s">
        <v>612</v>
      </c>
      <c r="U116" s="40" t="s">
        <v>37</v>
      </c>
      <c r="V116" s="40" t="s">
        <v>37</v>
      </c>
      <c r="W116" s="40">
        <v>27</v>
      </c>
      <c r="X116" s="40"/>
      <c r="Y116" s="40"/>
      <c r="Z116" s="40"/>
      <c r="AA116" s="40"/>
      <c r="AB116" s="40"/>
      <c r="AC116" s="42"/>
      <c r="AD116" s="42"/>
      <c r="AE116" s="42"/>
      <c r="AF116" s="42"/>
      <c r="AG116" s="42"/>
      <c r="AH116" s="44" t="s">
        <v>274</v>
      </c>
      <c r="AI116" s="42">
        <v>148</v>
      </c>
      <c r="AJ116" s="42"/>
      <c r="AK116" s="42"/>
      <c r="AL116" s="42"/>
      <c r="AM116" s="42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21"/>
      <c r="BG116" s="21"/>
      <c r="BH116" s="21"/>
      <c r="BI116" s="21"/>
      <c r="BJ116" s="21"/>
      <c r="BK116" s="21"/>
      <c r="BL116" s="21"/>
      <c r="BM116" s="21"/>
    </row>
    <row r="117" spans="1:65" ht="15.75" customHeight="1">
      <c r="A117" s="22">
        <f t="shared" si="0"/>
        <v>64</v>
      </c>
      <c r="B117" s="22"/>
      <c r="C117" s="22" t="str">
        <f t="shared" si="1"/>
        <v>84. 317 TPE :vandals: [S6] Toledo Jones - 1B (DonnoMania)</v>
      </c>
      <c r="D117" s="23">
        <f t="shared" si="2"/>
        <v>84</v>
      </c>
      <c r="E117" s="22" t="str">
        <f>VLOOKUP(H117,Analysis!$A$24:$B$33,2,FALSE)</f>
        <v>:vandals:</v>
      </c>
      <c r="F117" s="22"/>
      <c r="G117" s="22" t="s">
        <v>748</v>
      </c>
      <c r="H117" s="33" t="s">
        <v>12</v>
      </c>
      <c r="I117" s="34" t="s">
        <v>751</v>
      </c>
      <c r="J117" s="34" t="s">
        <v>753</v>
      </c>
      <c r="K117" s="33" t="s">
        <v>754</v>
      </c>
      <c r="L117" s="33" t="s">
        <v>187</v>
      </c>
      <c r="M117" s="33" t="s">
        <v>132</v>
      </c>
      <c r="N117" s="35">
        <v>317</v>
      </c>
      <c r="O117" s="45">
        <v>3</v>
      </c>
      <c r="P117" s="45"/>
      <c r="Q117" s="36"/>
      <c r="R117" s="36"/>
      <c r="S117" s="36"/>
      <c r="T117" s="33" t="s">
        <v>417</v>
      </c>
      <c r="U117" s="33" t="s">
        <v>34</v>
      </c>
      <c r="V117" s="33" t="s">
        <v>35</v>
      </c>
      <c r="W117" s="35">
        <v>6</v>
      </c>
      <c r="X117" s="33"/>
      <c r="Y117" s="33"/>
      <c r="Z117" s="33"/>
      <c r="AA117" s="33"/>
      <c r="AB117" s="33"/>
      <c r="AC117" s="33"/>
      <c r="AD117" s="35"/>
      <c r="AE117" s="35"/>
      <c r="AF117" s="35" t="s">
        <v>257</v>
      </c>
      <c r="AG117" s="35">
        <v>3</v>
      </c>
      <c r="AH117" s="45">
        <v>3</v>
      </c>
      <c r="AI117" s="33">
        <v>253</v>
      </c>
      <c r="AJ117" s="33"/>
      <c r="AK117" s="33"/>
      <c r="AL117" s="33"/>
      <c r="AM117" s="33"/>
      <c r="AN117" s="170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21"/>
      <c r="BG117" s="21"/>
      <c r="BH117" s="21"/>
      <c r="BI117" s="21"/>
      <c r="BJ117" s="21"/>
      <c r="BK117" s="21"/>
      <c r="BL117" s="21"/>
      <c r="BM117" s="21"/>
    </row>
    <row r="118" spans="1:65" ht="15.75" customHeight="1">
      <c r="A118" s="22">
        <f t="shared" si="0"/>
        <v>0</v>
      </c>
      <c r="B118" s="22"/>
      <c r="C118" s="22" t="str">
        <f t="shared" si="1"/>
        <v>134. 315 TPE :utah: [S4] Takumi Fujiwara - 2B (OneAndOnly)</v>
      </c>
      <c r="D118" s="23">
        <f t="shared" si="2"/>
        <v>134</v>
      </c>
      <c r="E118" s="22" t="str">
        <f>VLOOKUP(H118,Analysis!$A$24:$B$33,2,FALSE)</f>
        <v>:utah:</v>
      </c>
      <c r="F118" s="22"/>
      <c r="G118" s="22" t="s">
        <v>757</v>
      </c>
      <c r="H118" s="40" t="s">
        <v>13</v>
      </c>
      <c r="I118" s="41" t="s">
        <v>758</v>
      </c>
      <c r="J118" s="41" t="s">
        <v>760</v>
      </c>
      <c r="K118" s="40" t="s">
        <v>761</v>
      </c>
      <c r="L118" s="40" t="s">
        <v>83</v>
      </c>
      <c r="M118" s="40" t="s">
        <v>104</v>
      </c>
      <c r="N118" s="42">
        <v>315</v>
      </c>
      <c r="O118" s="43">
        <v>2</v>
      </c>
      <c r="P118" s="43"/>
      <c r="Q118" s="43"/>
      <c r="R118" s="43"/>
      <c r="S118" s="43"/>
      <c r="T118" s="40"/>
      <c r="U118" s="40" t="s">
        <v>32</v>
      </c>
      <c r="V118" s="40" t="s">
        <v>33</v>
      </c>
      <c r="W118" s="42">
        <v>27</v>
      </c>
      <c r="X118" s="40"/>
      <c r="Y118" s="40"/>
      <c r="Z118" s="40"/>
      <c r="AA118" s="40"/>
      <c r="AB118" s="40"/>
      <c r="AC118" s="42">
        <v>2.5</v>
      </c>
      <c r="AD118" s="42">
        <v>1</v>
      </c>
      <c r="AE118" s="42">
        <v>1</v>
      </c>
      <c r="AF118" s="42">
        <v>1</v>
      </c>
      <c r="AG118" s="42">
        <v>2</v>
      </c>
      <c r="AH118" s="44">
        <v>2</v>
      </c>
      <c r="AI118" s="42">
        <v>315</v>
      </c>
      <c r="AJ118" s="42"/>
      <c r="AK118" s="42"/>
      <c r="AL118" s="42"/>
      <c r="AM118" s="42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21"/>
      <c r="BG118" s="21"/>
      <c r="BH118" s="21"/>
      <c r="BI118" s="21"/>
      <c r="BJ118" s="21"/>
      <c r="BK118" s="21"/>
      <c r="BL118" s="21"/>
      <c r="BM118" s="21"/>
    </row>
    <row r="119" spans="1:65" ht="15.75" customHeight="1">
      <c r="A119" s="22">
        <f t="shared" si="0"/>
        <v>0</v>
      </c>
      <c r="B119" s="22"/>
      <c r="C119" s="22" t="str">
        <f t="shared" si="1"/>
        <v>134. 314 TPE :bulldogs: [S1] Phil Macioce - 2B (BlcknGld18)</v>
      </c>
      <c r="D119" s="23">
        <f t="shared" si="2"/>
        <v>134</v>
      </c>
      <c r="E119" s="22" t="str">
        <f>VLOOKUP(H119,Analysis!$A$24:$B$33,2,FALSE)</f>
        <v>:bulldogs:</v>
      </c>
      <c r="F119" s="22"/>
      <c r="G119" s="26" t="s">
        <v>764</v>
      </c>
      <c r="H119" s="56" t="s">
        <v>304</v>
      </c>
      <c r="I119" s="136" t="s">
        <v>766</v>
      </c>
      <c r="J119" s="136" t="s">
        <v>767</v>
      </c>
      <c r="K119" s="56" t="s">
        <v>769</v>
      </c>
      <c r="L119" s="56" t="s">
        <v>83</v>
      </c>
      <c r="M119" s="56" t="s">
        <v>740</v>
      </c>
      <c r="N119" s="56">
        <v>314</v>
      </c>
      <c r="O119" s="56"/>
      <c r="P119" s="56"/>
      <c r="Q119" s="56"/>
      <c r="R119" s="56"/>
      <c r="S119" s="56"/>
      <c r="T119" s="56"/>
      <c r="U119" s="56" t="s">
        <v>70</v>
      </c>
      <c r="V119" s="56" t="s">
        <v>78</v>
      </c>
      <c r="W119" s="56">
        <v>36</v>
      </c>
      <c r="X119" s="56"/>
      <c r="Y119" s="56"/>
      <c r="Z119" s="56"/>
      <c r="AA119" s="56"/>
      <c r="AB119" s="56">
        <v>3</v>
      </c>
      <c r="AC119" s="56">
        <v>3</v>
      </c>
      <c r="AD119" s="56"/>
      <c r="AE119" s="56">
        <v>3</v>
      </c>
      <c r="AF119" s="56">
        <v>3</v>
      </c>
      <c r="AG119" s="56">
        <v>3</v>
      </c>
      <c r="AH119" s="56">
        <v>310</v>
      </c>
      <c r="AI119" s="56">
        <v>314</v>
      </c>
      <c r="AK119" s="56">
        <v>303</v>
      </c>
      <c r="AL119" s="56">
        <v>290</v>
      </c>
      <c r="AM119" s="56">
        <v>281</v>
      </c>
      <c r="AN119" s="56" t="s">
        <v>771</v>
      </c>
      <c r="AO119" s="56" t="s">
        <v>647</v>
      </c>
      <c r="AP119" s="56" t="s">
        <v>772</v>
      </c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</row>
    <row r="120" spans="1:65" ht="15.75" customHeight="1">
      <c r="A120" s="22">
        <f t="shared" si="0"/>
        <v>28</v>
      </c>
      <c r="B120" s="22"/>
      <c r="C120" s="22" t="str">
        <f t="shared" si="1"/>
        <v>110. 301 TPE :crabs: [S7] Dexter Paquette - LF (Gumland)</v>
      </c>
      <c r="D120" s="23">
        <f t="shared" si="2"/>
        <v>110</v>
      </c>
      <c r="E120" s="22" t="str">
        <f>VLOOKUP(H120,Analysis!$A$24:$B$33,2,FALSE)</f>
        <v>:crabs:</v>
      </c>
      <c r="F120" s="22"/>
      <c r="G120" s="22" t="s">
        <v>773</v>
      </c>
      <c r="H120" s="40" t="s">
        <v>3</v>
      </c>
      <c r="I120" s="41" t="s">
        <v>775</v>
      </c>
      <c r="J120" s="104" t="s">
        <v>776</v>
      </c>
      <c r="K120" s="40" t="s">
        <v>778</v>
      </c>
      <c r="L120" s="40" t="s">
        <v>180</v>
      </c>
      <c r="M120" s="40" t="s">
        <v>166</v>
      </c>
      <c r="N120" s="42">
        <v>301</v>
      </c>
      <c r="O120" s="44">
        <v>2</v>
      </c>
      <c r="P120" s="44"/>
      <c r="Q120" s="43"/>
      <c r="R120" s="43"/>
      <c r="S120" s="43"/>
      <c r="T120" s="40" t="s">
        <v>516</v>
      </c>
      <c r="U120" s="40" t="s">
        <v>35</v>
      </c>
      <c r="V120" s="40" t="s">
        <v>35</v>
      </c>
      <c r="W120" s="42">
        <v>16</v>
      </c>
      <c r="X120" s="40"/>
      <c r="Y120" s="40"/>
      <c r="Z120" s="40"/>
      <c r="AA120" s="40"/>
      <c r="AB120" s="40"/>
      <c r="AC120" s="40"/>
      <c r="AD120" s="40"/>
      <c r="AE120" s="40"/>
      <c r="AF120" s="40" t="s">
        <v>257</v>
      </c>
      <c r="AG120" s="42">
        <v>2</v>
      </c>
      <c r="AH120" s="44">
        <v>2</v>
      </c>
      <c r="AI120" s="40">
        <v>273</v>
      </c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21"/>
      <c r="BG120" s="21"/>
      <c r="BH120" s="21"/>
      <c r="BI120" s="21"/>
      <c r="BJ120" s="21"/>
      <c r="BK120" s="21"/>
      <c r="BL120" s="21"/>
      <c r="BM120" s="21"/>
    </row>
    <row r="121" spans="1:65" ht="15.75" customHeight="1">
      <c r="A121" s="22">
        <f t="shared" si="0"/>
        <v>0</v>
      </c>
      <c r="B121" s="22"/>
      <c r="C121" s="22" t="str">
        <f t="shared" si="1"/>
        <v>134. 301 TPE :sloths: [S2] Joffrey Baratheon - C (Kristy95)</v>
      </c>
      <c r="D121" s="23">
        <f t="shared" si="2"/>
        <v>134</v>
      </c>
      <c r="E121" s="22" t="str">
        <f>VLOOKUP(H121,Analysis!$A$24:$B$33,2,FALSE)</f>
        <v>:sloths:</v>
      </c>
      <c r="F121" s="22"/>
      <c r="G121" s="22" t="s">
        <v>781</v>
      </c>
      <c r="H121" s="33" t="s">
        <v>11</v>
      </c>
      <c r="I121" s="34" t="s">
        <v>783</v>
      </c>
      <c r="J121" s="34" t="s">
        <v>784</v>
      </c>
      <c r="K121" s="33" t="s">
        <v>786</v>
      </c>
      <c r="L121" s="33" t="s">
        <v>103</v>
      </c>
      <c r="M121" s="33" t="s">
        <v>46</v>
      </c>
      <c r="N121" s="35">
        <v>301</v>
      </c>
      <c r="O121" s="36">
        <v>3</v>
      </c>
      <c r="P121" s="36"/>
      <c r="Q121" s="36"/>
      <c r="R121" s="36"/>
      <c r="S121" s="36"/>
      <c r="T121" s="33"/>
      <c r="U121" s="33" t="s">
        <v>78</v>
      </c>
      <c r="V121" s="33" t="s">
        <v>126</v>
      </c>
      <c r="W121" s="35">
        <v>6</v>
      </c>
      <c r="X121" s="33"/>
      <c r="Y121" s="33"/>
      <c r="Z121" s="33"/>
      <c r="AA121" s="33"/>
      <c r="AB121" s="35"/>
      <c r="AC121" s="35">
        <v>4</v>
      </c>
      <c r="AD121" s="35">
        <v>3</v>
      </c>
      <c r="AE121" s="35">
        <v>3</v>
      </c>
      <c r="AF121" s="35">
        <v>3</v>
      </c>
      <c r="AG121" s="35">
        <v>3</v>
      </c>
      <c r="AH121" s="45">
        <v>3</v>
      </c>
      <c r="AI121" s="35">
        <v>301</v>
      </c>
      <c r="AJ121" s="35">
        <v>253</v>
      </c>
      <c r="AK121" s="35">
        <v>241</v>
      </c>
      <c r="AL121" s="33">
        <v>227</v>
      </c>
      <c r="AM121" s="33">
        <v>209</v>
      </c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21"/>
      <c r="BG121" s="21"/>
      <c r="BH121" s="21"/>
      <c r="BI121" s="21"/>
      <c r="BJ121" s="21"/>
      <c r="BK121" s="21"/>
      <c r="BL121" s="21"/>
      <c r="BM121" s="21"/>
    </row>
    <row r="122" spans="1:65" ht="15.75" customHeight="1">
      <c r="A122" s="22">
        <f t="shared" si="0"/>
        <v>137</v>
      </c>
      <c r="B122" s="22" t="str">
        <f t="shared" ref="B122:B123" si="19">D122&amp;". Gained TPE: "&amp;A122&amp;" TPE - " &amp;N122&amp;" Current TPE "&amp;E122&amp;" ["&amp;U122&amp;"] "&amp;K122&amp;" - "&amp;L122&amp;" ("&amp;I122&amp;")"</f>
        <v>44. Gained TPE: 137 TPE - 297 Current TPE :voyagers: [S9] TopGun Sheelay - C (TopGunSheelay)</v>
      </c>
      <c r="C122" s="22" t="str">
        <f t="shared" si="1"/>
        <v>44. 297 TPE :voyagers: [S9] TopGun Sheelay - C (TopGunSheelay)</v>
      </c>
      <c r="D122" s="23">
        <f t="shared" si="2"/>
        <v>44</v>
      </c>
      <c r="E122" s="22" t="str">
        <f>VLOOKUP(H122,Analysis!$A$24:$B$33,2,FALSE)</f>
        <v>:voyagers:</v>
      </c>
      <c r="F122" s="22"/>
      <c r="G122" s="22"/>
      <c r="H122" s="40" t="s">
        <v>8</v>
      </c>
      <c r="I122" s="41" t="s">
        <v>790</v>
      </c>
      <c r="J122" s="41" t="s">
        <v>791</v>
      </c>
      <c r="K122" s="40" t="s">
        <v>793</v>
      </c>
      <c r="L122" s="40" t="s">
        <v>103</v>
      </c>
      <c r="M122" s="40" t="s">
        <v>132</v>
      </c>
      <c r="N122" s="42">
        <v>297</v>
      </c>
      <c r="O122" s="43">
        <v>3</v>
      </c>
      <c r="P122" s="43">
        <v>3</v>
      </c>
      <c r="Q122" s="43"/>
      <c r="R122" s="43"/>
      <c r="S122" s="43"/>
      <c r="T122" s="40" t="s">
        <v>459</v>
      </c>
      <c r="U122" s="40" t="s">
        <v>37</v>
      </c>
      <c r="V122" s="40" t="s">
        <v>37</v>
      </c>
      <c r="W122" s="42">
        <v>29</v>
      </c>
      <c r="X122" s="40"/>
      <c r="Y122" s="42"/>
      <c r="Z122" s="42"/>
      <c r="AA122" s="40"/>
      <c r="AB122" s="40"/>
      <c r="AC122" s="40"/>
      <c r="AD122" s="40"/>
      <c r="AE122" s="42"/>
      <c r="AF122" s="42"/>
      <c r="AG122" s="40"/>
      <c r="AH122" s="40"/>
      <c r="AI122" s="40">
        <v>160</v>
      </c>
      <c r="AJ122" s="40"/>
      <c r="AK122" s="40"/>
      <c r="AL122" s="40"/>
      <c r="AM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21"/>
      <c r="BG122" s="21"/>
      <c r="BH122" s="21"/>
      <c r="BI122" s="21"/>
      <c r="BJ122" s="21"/>
      <c r="BK122" s="21"/>
      <c r="BL122" s="21"/>
      <c r="BM122" s="21"/>
    </row>
    <row r="123" spans="1:65" ht="15.75" customHeight="1">
      <c r="A123" s="22">
        <f t="shared" si="0"/>
        <v>147</v>
      </c>
      <c r="B123" s="22" t="str">
        <f t="shared" si="19"/>
        <v>43. Gained TPE: 147 TPE - 289 Current TPE :crabs: [S9] Richard Small - LF (Philip Pryor)</v>
      </c>
      <c r="C123" s="22" t="str">
        <f t="shared" si="1"/>
        <v>43. 289 TPE :crabs: [S9] Richard Small - LF (Philip Pryor)</v>
      </c>
      <c r="D123" s="23">
        <f t="shared" si="2"/>
        <v>43</v>
      </c>
      <c r="E123" s="22" t="str">
        <f>VLOOKUP(H123,Analysis!$A$24:$B$33,2,FALSE)</f>
        <v>:crabs:</v>
      </c>
      <c r="F123" s="22"/>
      <c r="H123" s="56" t="s">
        <v>3</v>
      </c>
      <c r="I123" s="136" t="s">
        <v>797</v>
      </c>
      <c r="J123" s="136" t="s">
        <v>798</v>
      </c>
      <c r="K123" s="56" t="s">
        <v>800</v>
      </c>
      <c r="L123" s="56" t="s">
        <v>180</v>
      </c>
      <c r="M123" s="56" t="s">
        <v>84</v>
      </c>
      <c r="N123" s="56">
        <v>289</v>
      </c>
      <c r="O123" s="60">
        <v>1.5</v>
      </c>
      <c r="P123" s="60">
        <v>1.5</v>
      </c>
      <c r="Q123" s="60">
        <v>1.5</v>
      </c>
      <c r="R123" s="60"/>
      <c r="S123" s="60"/>
      <c r="T123" s="56" t="s">
        <v>373</v>
      </c>
      <c r="U123" s="56" t="s">
        <v>37</v>
      </c>
      <c r="V123" s="56" t="s">
        <v>37</v>
      </c>
      <c r="W123" s="56">
        <v>20</v>
      </c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60" t="s">
        <v>274</v>
      </c>
      <c r="AI123" s="56">
        <v>142</v>
      </c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</row>
    <row r="124" spans="1:65" ht="15.75" customHeight="1">
      <c r="A124" s="22">
        <f t="shared" si="0"/>
        <v>0</v>
      </c>
      <c r="B124" s="22"/>
      <c r="C124" s="22" t="str">
        <f t="shared" si="1"/>
        <v>134. 287 TPE :utah: [S7] Brock Beck - SS (GrilledTwinkiez)</v>
      </c>
      <c r="D124" s="23">
        <f t="shared" si="2"/>
        <v>134</v>
      </c>
      <c r="E124" s="22" t="str">
        <f>VLOOKUP(H124,Analysis!$A$24:$B$33,2,FALSE)</f>
        <v>:utah:</v>
      </c>
      <c r="F124" s="22"/>
      <c r="G124" s="22" t="s">
        <v>802</v>
      </c>
      <c r="H124" s="40" t="s">
        <v>13</v>
      </c>
      <c r="I124" s="41" t="s">
        <v>803</v>
      </c>
      <c r="J124" s="41" t="s">
        <v>804</v>
      </c>
      <c r="K124" s="40" t="s">
        <v>805</v>
      </c>
      <c r="L124" s="40" t="s">
        <v>75</v>
      </c>
      <c r="M124" s="40" t="s">
        <v>104</v>
      </c>
      <c r="N124" s="42">
        <v>287</v>
      </c>
      <c r="O124" s="43">
        <v>3</v>
      </c>
      <c r="P124" s="43"/>
      <c r="Q124" s="43"/>
      <c r="R124" s="43"/>
      <c r="S124" s="43"/>
      <c r="T124" s="40" t="s">
        <v>417</v>
      </c>
      <c r="U124" s="40" t="s">
        <v>35</v>
      </c>
      <c r="V124" s="40" t="s">
        <v>35</v>
      </c>
      <c r="W124" s="42">
        <v>25</v>
      </c>
      <c r="X124" s="40"/>
      <c r="Y124" s="40"/>
      <c r="Z124" s="40"/>
      <c r="AA124" s="40"/>
      <c r="AB124" s="40"/>
      <c r="AC124" s="42"/>
      <c r="AD124" s="42"/>
      <c r="AE124" s="42"/>
      <c r="AF124" s="42"/>
      <c r="AG124" s="42" t="s">
        <v>257</v>
      </c>
      <c r="AH124" s="44">
        <v>3</v>
      </c>
      <c r="AI124" s="42">
        <v>287</v>
      </c>
      <c r="AJ124" s="42">
        <v>3</v>
      </c>
      <c r="AK124" s="42"/>
      <c r="AL124" s="42"/>
      <c r="AM124" s="42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21"/>
      <c r="BG124" s="21"/>
      <c r="BH124" s="21"/>
      <c r="BI124" s="21"/>
      <c r="BJ124" s="21"/>
      <c r="BK124" s="21"/>
      <c r="BL124" s="21"/>
      <c r="BM124" s="21"/>
    </row>
    <row r="125" spans="1:65" ht="15.75" customHeight="1">
      <c r="A125" s="22">
        <f t="shared" si="0"/>
        <v>111</v>
      </c>
      <c r="B125" s="22"/>
      <c r="C125" s="22" t="str">
        <f t="shared" si="1"/>
        <v>55. 284 TPE :utah: [S9] Artem Maximovich - C (Shaquill)</v>
      </c>
      <c r="D125" s="23">
        <f t="shared" si="2"/>
        <v>55</v>
      </c>
      <c r="E125" s="22" t="str">
        <f>VLOOKUP(H125,Analysis!$A$24:$B$33,2,FALSE)</f>
        <v>:utah:</v>
      </c>
      <c r="F125" s="22"/>
      <c r="G125" s="22"/>
      <c r="H125" s="33" t="s">
        <v>13</v>
      </c>
      <c r="I125" s="34" t="s">
        <v>806</v>
      </c>
      <c r="J125" s="34" t="s">
        <v>807</v>
      </c>
      <c r="K125" s="33" t="s">
        <v>808</v>
      </c>
      <c r="L125" s="33" t="s">
        <v>103</v>
      </c>
      <c r="M125" s="33" t="s">
        <v>691</v>
      </c>
      <c r="N125" s="35">
        <v>284</v>
      </c>
      <c r="O125" s="45" t="s">
        <v>274</v>
      </c>
      <c r="P125" s="45">
        <v>2</v>
      </c>
      <c r="Q125" s="36">
        <v>2</v>
      </c>
      <c r="R125" s="36">
        <v>2</v>
      </c>
      <c r="S125" s="36"/>
      <c r="T125" s="37" t="s">
        <v>702</v>
      </c>
      <c r="U125" s="33" t="s">
        <v>37</v>
      </c>
      <c r="V125" s="33" t="s">
        <v>38</v>
      </c>
      <c r="W125" s="35">
        <v>20</v>
      </c>
      <c r="X125" s="33"/>
      <c r="Y125" s="33"/>
      <c r="Z125" s="33"/>
      <c r="AA125" s="33"/>
      <c r="AB125" s="33"/>
      <c r="AC125" s="33"/>
      <c r="AD125" s="33"/>
      <c r="AE125" s="35"/>
      <c r="AF125" s="35"/>
      <c r="AG125" s="35"/>
      <c r="AH125" s="45"/>
      <c r="AI125" s="35">
        <v>173</v>
      </c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21"/>
      <c r="BG125" s="21"/>
      <c r="BH125" s="21"/>
      <c r="BI125" s="21"/>
      <c r="BJ125" s="21"/>
      <c r="BK125" s="21"/>
      <c r="BL125" s="21"/>
      <c r="BM125" s="21"/>
    </row>
    <row r="126" spans="1:65" ht="15.75" customHeight="1">
      <c r="A126" s="22">
        <f t="shared" si="0"/>
        <v>0</v>
      </c>
      <c r="B126" s="22"/>
      <c r="C126" s="22" t="str">
        <f t="shared" si="1"/>
        <v>134. 280 TPE :bulldogs: [S1] Darnell Turner-Pitcher - SP (Darnell)</v>
      </c>
      <c r="D126" s="23">
        <f t="shared" si="2"/>
        <v>134</v>
      </c>
      <c r="E126" s="22" t="str">
        <f>VLOOKUP(H126,Analysis!$A$24:$B$33,2,FALSE)</f>
        <v>:bulldogs:</v>
      </c>
      <c r="F126" s="22"/>
      <c r="G126" s="22" t="s">
        <v>809</v>
      </c>
      <c r="H126" s="40" t="s">
        <v>304</v>
      </c>
      <c r="I126" s="41" t="s">
        <v>810</v>
      </c>
      <c r="J126" s="41" t="s">
        <v>811</v>
      </c>
      <c r="K126" s="121" t="s">
        <v>811</v>
      </c>
      <c r="L126" s="121" t="s">
        <v>90</v>
      </c>
      <c r="M126" s="40" t="s">
        <v>55</v>
      </c>
      <c r="N126" s="42">
        <v>280</v>
      </c>
      <c r="O126" s="43"/>
      <c r="P126" s="43"/>
      <c r="Q126" s="43"/>
      <c r="R126" s="43"/>
      <c r="S126" s="43"/>
      <c r="T126" s="40"/>
      <c r="U126" s="40" t="s">
        <v>70</v>
      </c>
      <c r="V126" s="40" t="s">
        <v>70</v>
      </c>
      <c r="W126" s="40">
        <v>70</v>
      </c>
      <c r="X126" s="40"/>
      <c r="Y126" s="40"/>
      <c r="Z126" s="40"/>
      <c r="AA126" s="40"/>
      <c r="AB126" s="40"/>
      <c r="AC126" s="40">
        <v>3</v>
      </c>
      <c r="AD126" s="40">
        <v>4</v>
      </c>
      <c r="AE126" s="40">
        <v>3</v>
      </c>
      <c r="AF126" s="40">
        <v>3</v>
      </c>
      <c r="AG126" s="40">
        <v>3</v>
      </c>
      <c r="AH126" s="43">
        <v>3</v>
      </c>
      <c r="AI126" s="42">
        <v>280</v>
      </c>
      <c r="AK126" s="40">
        <v>226</v>
      </c>
      <c r="AL126" s="42">
        <v>226</v>
      </c>
      <c r="AM126" s="42">
        <v>226</v>
      </c>
      <c r="AN126" s="73">
        <v>223</v>
      </c>
      <c r="AO126" s="40" t="s">
        <v>647</v>
      </c>
      <c r="AP126" s="40" t="s">
        <v>812</v>
      </c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21"/>
      <c r="BG126" s="21"/>
      <c r="BH126" s="21"/>
      <c r="BI126" s="21"/>
      <c r="BJ126" s="21"/>
      <c r="BK126" s="21"/>
      <c r="BL126" s="21"/>
      <c r="BM126" s="21"/>
    </row>
    <row r="127" spans="1:65" ht="15.75" customHeight="1">
      <c r="A127" s="22">
        <f t="shared" si="0"/>
        <v>114</v>
      </c>
      <c r="B127" s="22" t="str">
        <f>D127&amp;". Gained TPE: "&amp;A127&amp;" TPE - " &amp;N127&amp;" Current TPE "&amp;E127&amp;" ["&amp;U127&amp;"] "&amp;K127&amp;" - "&amp;L127&amp;" ("&amp;I127&amp;")"</f>
        <v>51. Gained TPE: 114 TPE - 274 Current TPE :vandals: [S9] Leo Komarov - CL (uncleleo'skomrade)</v>
      </c>
      <c r="C127" s="22" t="str">
        <f t="shared" si="1"/>
        <v>51. 274 TPE :vandals: [S9] Leo Komarov - CL (uncleleo'skomrade)</v>
      </c>
      <c r="D127" s="23">
        <f t="shared" si="2"/>
        <v>51</v>
      </c>
      <c r="E127" s="22" t="str">
        <f>VLOOKUP(H127,Analysis!$A$24:$B$33,2,FALSE)</f>
        <v>:vandals:</v>
      </c>
      <c r="F127" s="22"/>
      <c r="G127" s="22"/>
      <c r="H127" s="33" t="s">
        <v>12</v>
      </c>
      <c r="I127" s="34" t="s">
        <v>622</v>
      </c>
      <c r="J127" s="34" t="s">
        <v>623</v>
      </c>
      <c r="K127" s="33" t="s">
        <v>815</v>
      </c>
      <c r="L127" s="33" t="s">
        <v>336</v>
      </c>
      <c r="M127" s="33" t="s">
        <v>290</v>
      </c>
      <c r="N127" s="35">
        <v>274</v>
      </c>
      <c r="O127" s="36">
        <v>2</v>
      </c>
      <c r="P127" s="36">
        <v>2</v>
      </c>
      <c r="Q127" s="36">
        <v>2</v>
      </c>
      <c r="R127" s="36"/>
      <c r="S127" s="36"/>
      <c r="T127" s="33" t="s">
        <v>612</v>
      </c>
      <c r="U127" s="33" t="s">
        <v>37</v>
      </c>
      <c r="V127" s="33" t="s">
        <v>37</v>
      </c>
      <c r="W127" s="35">
        <v>16</v>
      </c>
      <c r="X127" s="33"/>
      <c r="Y127" s="33"/>
      <c r="Z127" s="33"/>
      <c r="AA127" s="33"/>
      <c r="AB127" s="33"/>
      <c r="AC127" s="35"/>
      <c r="AD127" s="35"/>
      <c r="AE127" s="35"/>
      <c r="AF127" s="33"/>
      <c r="AG127" s="33"/>
      <c r="AH127" s="36" t="s">
        <v>274</v>
      </c>
      <c r="AI127" s="33">
        <v>160</v>
      </c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21"/>
      <c r="BG127" s="21"/>
      <c r="BH127" s="21"/>
      <c r="BI127" s="21"/>
      <c r="BJ127" s="21"/>
      <c r="BK127" s="21"/>
      <c r="BL127" s="21"/>
      <c r="BM127" s="21"/>
    </row>
    <row r="128" spans="1:65" ht="15.75" customHeight="1">
      <c r="A128" s="22">
        <f t="shared" si="0"/>
        <v>73</v>
      </c>
      <c r="B128" s="22"/>
      <c r="C128" s="22" t="str">
        <f t="shared" si="1"/>
        <v>78. 272 TPE :utah: [S9] Alain Johns - CF (AlainJohns12)</v>
      </c>
      <c r="D128" s="23">
        <f t="shared" si="2"/>
        <v>78</v>
      </c>
      <c r="E128" s="22" t="str">
        <f>VLOOKUP(H128,Analysis!$A$24:$B$33,2,FALSE)</f>
        <v>:utah:</v>
      </c>
      <c r="F128" s="22"/>
      <c r="G128" s="22"/>
      <c r="H128" s="40" t="s">
        <v>13</v>
      </c>
      <c r="I128" s="41" t="s">
        <v>686</v>
      </c>
      <c r="J128" s="41" t="s">
        <v>689</v>
      </c>
      <c r="K128" s="40" t="s">
        <v>819</v>
      </c>
      <c r="L128" s="40" t="s">
        <v>67</v>
      </c>
      <c r="M128" s="40" t="s">
        <v>62</v>
      </c>
      <c r="N128" s="42">
        <v>272</v>
      </c>
      <c r="O128" s="44" t="s">
        <v>274</v>
      </c>
      <c r="P128" s="44">
        <v>6</v>
      </c>
      <c r="Q128" s="43">
        <v>6</v>
      </c>
      <c r="R128" s="43">
        <v>6</v>
      </c>
      <c r="S128" s="43"/>
      <c r="T128" s="135" t="s">
        <v>692</v>
      </c>
      <c r="U128" s="40" t="s">
        <v>37</v>
      </c>
      <c r="V128" s="40" t="s">
        <v>38</v>
      </c>
      <c r="W128" s="42">
        <v>3</v>
      </c>
      <c r="X128" s="40"/>
      <c r="Y128" s="40"/>
      <c r="Z128" s="40"/>
      <c r="AA128" s="40"/>
      <c r="AB128" s="40"/>
      <c r="AC128" s="40"/>
      <c r="AD128" s="42"/>
      <c r="AE128" s="42"/>
      <c r="AF128" s="42"/>
      <c r="AG128" s="42"/>
      <c r="AH128" s="44"/>
      <c r="AI128" s="42">
        <v>199</v>
      </c>
      <c r="AJ128" s="42"/>
      <c r="AK128" s="175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21"/>
      <c r="BG128" s="21"/>
      <c r="BH128" s="21"/>
      <c r="BI128" s="21"/>
      <c r="BJ128" s="21"/>
      <c r="BK128" s="21"/>
      <c r="BL128" s="21"/>
      <c r="BM128" s="21"/>
    </row>
    <row r="129" spans="1:65" ht="15.75" customHeight="1">
      <c r="A129" s="22">
        <f t="shared" si="0"/>
        <v>0</v>
      </c>
      <c r="B129" s="22"/>
      <c r="C129" s="22" t="str">
        <f t="shared" si="1"/>
        <v>134. 271 TPE :voyagers: [S7] Joshua Linton - 2B (PrettySimple)</v>
      </c>
      <c r="D129" s="23">
        <f t="shared" si="2"/>
        <v>134</v>
      </c>
      <c r="E129" s="22" t="str">
        <f>VLOOKUP(H129,Analysis!$A$24:$B$33,2,FALSE)</f>
        <v>:voyagers:</v>
      </c>
      <c r="F129" s="22"/>
      <c r="G129" s="22" t="s">
        <v>824</v>
      </c>
      <c r="H129" s="33" t="s">
        <v>8</v>
      </c>
      <c r="I129" s="34" t="s">
        <v>826</v>
      </c>
      <c r="J129" s="34" t="s">
        <v>828</v>
      </c>
      <c r="K129" s="33" t="s">
        <v>829</v>
      </c>
      <c r="L129" s="33" t="s">
        <v>83</v>
      </c>
      <c r="M129" s="33" t="s">
        <v>565</v>
      </c>
      <c r="N129" s="35">
        <v>271</v>
      </c>
      <c r="O129" s="36">
        <v>4</v>
      </c>
      <c r="P129" s="36">
        <v>7</v>
      </c>
      <c r="Q129" s="36"/>
      <c r="R129" s="36"/>
      <c r="S129" s="36"/>
      <c r="T129" s="33" t="s">
        <v>459</v>
      </c>
      <c r="U129" s="33" t="s">
        <v>35</v>
      </c>
      <c r="V129" s="33" t="s">
        <v>36</v>
      </c>
      <c r="W129" s="35">
        <v>6</v>
      </c>
      <c r="X129" s="33"/>
      <c r="Y129" s="35"/>
      <c r="Z129" s="35"/>
      <c r="AA129" s="33"/>
      <c r="AB129" s="33"/>
      <c r="AC129" s="33"/>
      <c r="AD129" s="33"/>
      <c r="AE129" s="35"/>
      <c r="AF129" s="35"/>
      <c r="AG129" s="35"/>
      <c r="AH129" s="45">
        <v>0</v>
      </c>
      <c r="AI129" s="33">
        <v>271</v>
      </c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21"/>
      <c r="BG129" s="21"/>
      <c r="BH129" s="21"/>
      <c r="BI129" s="21"/>
      <c r="BJ129" s="21"/>
      <c r="BK129" s="21"/>
      <c r="BL129" s="21"/>
      <c r="BM129" s="21"/>
    </row>
    <row r="130" spans="1:65" ht="15.75" customHeight="1">
      <c r="A130" s="22">
        <f t="shared" si="0"/>
        <v>91</v>
      </c>
      <c r="B130" s="22"/>
      <c r="C130" s="22" t="str">
        <f t="shared" si="1"/>
        <v>66. 267 TPE :aviators: [S9] Mitch McIntyre - SP (shoxwon)</v>
      </c>
      <c r="D130" s="23">
        <f t="shared" si="2"/>
        <v>66</v>
      </c>
      <c r="E130" s="22" t="str">
        <f>VLOOKUP(H130,Analysis!$A$24:$B$33,2,FALSE)</f>
        <v>:aviators:</v>
      </c>
      <c r="F130" s="22"/>
      <c r="G130" s="22"/>
      <c r="H130" s="40" t="s">
        <v>5</v>
      </c>
      <c r="I130" s="41" t="s">
        <v>813</v>
      </c>
      <c r="J130" s="41" t="s">
        <v>814</v>
      </c>
      <c r="K130" s="40" t="s">
        <v>832</v>
      </c>
      <c r="L130" s="40" t="s">
        <v>90</v>
      </c>
      <c r="M130" s="40" t="s">
        <v>109</v>
      </c>
      <c r="N130" s="42">
        <v>267</v>
      </c>
      <c r="O130" s="40" t="s">
        <v>274</v>
      </c>
      <c r="P130" s="43">
        <v>3</v>
      </c>
      <c r="Q130" s="43">
        <v>3</v>
      </c>
      <c r="R130" s="43">
        <v>3</v>
      </c>
      <c r="S130" s="40"/>
      <c r="T130" s="40"/>
      <c r="U130" s="40" t="s">
        <v>37</v>
      </c>
      <c r="V130" s="40" t="s">
        <v>38</v>
      </c>
      <c r="W130" s="42">
        <v>5</v>
      </c>
      <c r="X130" s="40"/>
      <c r="Y130" s="40"/>
      <c r="Z130" s="40"/>
      <c r="AA130" s="40"/>
      <c r="AB130" s="40"/>
      <c r="AC130" s="40"/>
      <c r="AD130" s="42"/>
      <c r="AE130" s="42"/>
      <c r="AF130" s="40"/>
      <c r="AG130" s="40"/>
      <c r="AH130" s="40"/>
      <c r="AI130" s="42">
        <v>176</v>
      </c>
      <c r="AK130" s="175"/>
      <c r="AL130" s="40"/>
      <c r="AM130" s="40"/>
      <c r="AN130" s="73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21"/>
      <c r="BG130" s="21"/>
      <c r="BH130" s="21"/>
      <c r="BI130" s="21"/>
      <c r="BJ130" s="21"/>
      <c r="BK130" s="21"/>
      <c r="BL130" s="21"/>
      <c r="BM130" s="21"/>
    </row>
    <row r="131" spans="1:65" ht="15.75" customHeight="1">
      <c r="A131" s="22">
        <f t="shared" si="0"/>
        <v>-36</v>
      </c>
      <c r="B131" s="22"/>
      <c r="C131" s="22" t="str">
        <f t="shared" si="1"/>
        <v>296. 264 TPE :sloths: [S1] Felipe Fernandez - SP (sapp2013)</v>
      </c>
      <c r="D131" s="23">
        <f t="shared" si="2"/>
        <v>296</v>
      </c>
      <c r="E131" s="22" t="str">
        <f>VLOOKUP(H131,Analysis!$A$24:$B$33,2,FALSE)</f>
        <v>:sloths:</v>
      </c>
      <c r="F131" s="22"/>
      <c r="G131" s="22" t="s">
        <v>484</v>
      </c>
      <c r="H131" s="33" t="s">
        <v>11</v>
      </c>
      <c r="I131" s="34" t="s">
        <v>485</v>
      </c>
      <c r="J131" s="34" t="s">
        <v>487</v>
      </c>
      <c r="K131" s="33" t="s">
        <v>834</v>
      </c>
      <c r="L131" s="33" t="s">
        <v>90</v>
      </c>
      <c r="M131" s="33" t="s">
        <v>120</v>
      </c>
      <c r="N131" s="35">
        <v>264</v>
      </c>
      <c r="O131" s="45">
        <v>3</v>
      </c>
      <c r="P131" s="45"/>
      <c r="Q131" s="45"/>
      <c r="R131" s="36"/>
      <c r="S131" s="36"/>
      <c r="T131" s="33"/>
      <c r="U131" s="33" t="s">
        <v>70</v>
      </c>
      <c r="V131" s="33" t="s">
        <v>70</v>
      </c>
      <c r="W131" s="35">
        <v>71</v>
      </c>
      <c r="X131" s="33"/>
      <c r="Y131" s="33"/>
      <c r="Z131" s="33"/>
      <c r="AA131" s="33"/>
      <c r="AB131" s="35"/>
      <c r="AC131" s="35">
        <v>3</v>
      </c>
      <c r="AD131" s="35">
        <v>5</v>
      </c>
      <c r="AE131" s="35">
        <v>5</v>
      </c>
      <c r="AF131" s="35">
        <v>5</v>
      </c>
      <c r="AG131" s="35">
        <v>3</v>
      </c>
      <c r="AH131" s="45">
        <v>3</v>
      </c>
      <c r="AI131" s="35">
        <v>300</v>
      </c>
      <c r="AJ131" s="35">
        <v>251</v>
      </c>
      <c r="AK131" s="35">
        <v>251</v>
      </c>
      <c r="AL131" s="33">
        <v>251</v>
      </c>
      <c r="AM131" s="33">
        <v>209</v>
      </c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21"/>
      <c r="BG131" s="21"/>
      <c r="BH131" s="21"/>
      <c r="BI131" s="21"/>
      <c r="BJ131" s="21"/>
      <c r="BK131" s="21"/>
      <c r="BL131" s="21"/>
      <c r="BM131" s="21"/>
    </row>
    <row r="132" spans="1:65" ht="15.75" customHeight="1">
      <c r="A132" s="22">
        <f t="shared" si="0"/>
        <v>86</v>
      </c>
      <c r="B132" s="22"/>
      <c r="C132" s="22" t="str">
        <f t="shared" si="1"/>
        <v>70. 262 TPE :utah: [S9] Epictitus Milburn - SP (nunccoepi)</v>
      </c>
      <c r="D132" s="23">
        <f t="shared" si="2"/>
        <v>70</v>
      </c>
      <c r="E132" s="22" t="str">
        <f>VLOOKUP(H132,Analysis!$A$24:$B$33,2,FALSE)</f>
        <v>:utah:</v>
      </c>
      <c r="F132" s="22"/>
      <c r="G132" s="22"/>
      <c r="H132" s="40" t="s">
        <v>13</v>
      </c>
      <c r="I132" s="41" t="s">
        <v>694</v>
      </c>
      <c r="J132" s="41" t="s">
        <v>696</v>
      </c>
      <c r="K132" s="40" t="s">
        <v>835</v>
      </c>
      <c r="L132" s="40" t="s">
        <v>90</v>
      </c>
      <c r="M132" s="40" t="s">
        <v>55</v>
      </c>
      <c r="N132" s="42">
        <v>262</v>
      </c>
      <c r="O132" s="44">
        <v>1</v>
      </c>
      <c r="P132" s="43">
        <v>1</v>
      </c>
      <c r="Q132" s="43"/>
      <c r="R132" s="43"/>
      <c r="S132" s="43"/>
      <c r="T132" s="40" t="s">
        <v>273</v>
      </c>
      <c r="U132" s="40" t="s">
        <v>37</v>
      </c>
      <c r="V132" s="40" t="s">
        <v>37</v>
      </c>
      <c r="W132" s="42">
        <v>22</v>
      </c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4" t="s">
        <v>274</v>
      </c>
      <c r="AI132" s="42">
        <v>176</v>
      </c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21"/>
      <c r="BG132" s="21"/>
      <c r="BH132" s="21"/>
      <c r="BI132" s="21"/>
      <c r="BJ132" s="21"/>
      <c r="BK132" s="21"/>
      <c r="BL132" s="21"/>
      <c r="BM132" s="21"/>
    </row>
    <row r="133" spans="1:65" ht="15.75" customHeight="1">
      <c r="A133" s="22">
        <f t="shared" si="0"/>
        <v>0</v>
      </c>
      <c r="B133" s="22"/>
      <c r="C133" s="22" t="str">
        <f t="shared" si="1"/>
        <v>134. 262 TPE :utah: [S6] Jimmy Caliburn - LF (SlimJim8511)</v>
      </c>
      <c r="D133" s="23">
        <f t="shared" si="2"/>
        <v>134</v>
      </c>
      <c r="E133" s="22" t="str">
        <f>VLOOKUP(H133,Analysis!$A$24:$B$33,2,FALSE)</f>
        <v>:utah:</v>
      </c>
      <c r="F133" s="22"/>
      <c r="G133" s="22" t="s">
        <v>836</v>
      </c>
      <c r="H133" s="33" t="s">
        <v>13</v>
      </c>
      <c r="I133" s="34" t="s">
        <v>838</v>
      </c>
      <c r="J133" s="34" t="s">
        <v>840</v>
      </c>
      <c r="K133" s="33" t="s">
        <v>841</v>
      </c>
      <c r="L133" s="79" t="s">
        <v>180</v>
      </c>
      <c r="M133" s="33" t="s">
        <v>166</v>
      </c>
      <c r="N133" s="35">
        <v>262</v>
      </c>
      <c r="O133" s="45">
        <v>2</v>
      </c>
      <c r="P133" s="36"/>
      <c r="Q133" s="36"/>
      <c r="R133" s="36"/>
      <c r="S133" s="36"/>
      <c r="T133" s="33"/>
      <c r="U133" s="33" t="s">
        <v>34</v>
      </c>
      <c r="V133" s="33" t="s">
        <v>34</v>
      </c>
      <c r="W133" s="35">
        <v>18</v>
      </c>
      <c r="X133" s="33" t="s">
        <v>374</v>
      </c>
      <c r="Y133" s="33">
        <v>6</v>
      </c>
      <c r="Z133" s="33">
        <v>11</v>
      </c>
      <c r="AA133" s="33" t="s">
        <v>375</v>
      </c>
      <c r="AB133" s="33"/>
      <c r="AC133" s="33"/>
      <c r="AD133" s="33"/>
      <c r="AE133" s="33"/>
      <c r="AF133" s="33">
        <v>3</v>
      </c>
      <c r="AG133" s="35">
        <v>3</v>
      </c>
      <c r="AH133" s="45">
        <v>2</v>
      </c>
      <c r="AI133" s="33">
        <v>262</v>
      </c>
      <c r="AJ133" s="33">
        <v>3</v>
      </c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21"/>
      <c r="BG133" s="21"/>
      <c r="BH133" s="21"/>
      <c r="BI133" s="21"/>
      <c r="BJ133" s="21"/>
      <c r="BK133" s="21"/>
      <c r="BL133" s="21"/>
      <c r="BM133" s="21"/>
    </row>
    <row r="134" spans="1:65" ht="15.75" customHeight="1">
      <c r="A134" s="22">
        <f t="shared" si="0"/>
        <v>-35</v>
      </c>
      <c r="B134" s="22"/>
      <c r="C134" s="22" t="str">
        <f t="shared" si="1"/>
        <v>294. 262 TPE :utah: [S1] Kenny Gzus - LF (kennyg.zus)</v>
      </c>
      <c r="D134" s="23">
        <f t="shared" si="2"/>
        <v>294</v>
      </c>
      <c r="E134" s="22" t="str">
        <f>VLOOKUP(H134,Analysis!$A$24:$B$33,2,FALSE)</f>
        <v>:utah:</v>
      </c>
      <c r="F134" s="22"/>
      <c r="G134" s="22" t="s">
        <v>843</v>
      </c>
      <c r="H134" s="40" t="s">
        <v>13</v>
      </c>
      <c r="I134" s="41" t="s">
        <v>845</v>
      </c>
      <c r="J134" s="41" t="s">
        <v>846</v>
      </c>
      <c r="K134" s="40" t="s">
        <v>847</v>
      </c>
      <c r="L134" s="40" t="s">
        <v>180</v>
      </c>
      <c r="M134" s="40" t="s">
        <v>298</v>
      </c>
      <c r="N134" s="42">
        <v>262</v>
      </c>
      <c r="O134" s="44">
        <v>2</v>
      </c>
      <c r="P134" s="43"/>
      <c r="Q134" s="43"/>
      <c r="R134" s="43"/>
      <c r="S134" s="43"/>
      <c r="T134" s="40"/>
      <c r="U134" s="40" t="s">
        <v>70</v>
      </c>
      <c r="V134" s="40" t="s">
        <v>70</v>
      </c>
      <c r="W134" s="42">
        <v>85</v>
      </c>
      <c r="X134" s="40"/>
      <c r="Y134" s="40"/>
      <c r="Z134" s="40"/>
      <c r="AA134" s="40"/>
      <c r="AB134" s="40"/>
      <c r="AC134" s="40">
        <v>2</v>
      </c>
      <c r="AD134" s="40">
        <v>3</v>
      </c>
      <c r="AE134" s="40">
        <v>4</v>
      </c>
      <c r="AF134" s="40">
        <v>2</v>
      </c>
      <c r="AG134" s="40"/>
      <c r="AH134" s="44">
        <v>2</v>
      </c>
      <c r="AI134" s="42">
        <v>297</v>
      </c>
      <c r="AJ134" s="40"/>
      <c r="AK134" s="40">
        <v>297</v>
      </c>
      <c r="AL134" s="40">
        <v>297</v>
      </c>
      <c r="AM134" s="40">
        <v>272</v>
      </c>
      <c r="AN134" s="40">
        <v>272</v>
      </c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21"/>
      <c r="BG134" s="21"/>
      <c r="BH134" s="21"/>
      <c r="BI134" s="21"/>
      <c r="BJ134" s="21"/>
      <c r="BK134" s="21"/>
      <c r="BL134" s="21"/>
      <c r="BM134" s="21"/>
    </row>
    <row r="135" spans="1:65" ht="15.75" customHeight="1">
      <c r="A135" s="22">
        <f t="shared" si="0"/>
        <v>113</v>
      </c>
      <c r="B135" s="22"/>
      <c r="C135" s="22" t="str">
        <f t="shared" si="1"/>
        <v>52. 260 TPE :vandals: [S9] Dafydd Davies - SP (HubDogg)</v>
      </c>
      <c r="D135" s="23">
        <f t="shared" si="2"/>
        <v>52</v>
      </c>
      <c r="E135" s="22" t="str">
        <f>VLOOKUP(H135,Analysis!$A$24:$B$33,2,FALSE)</f>
        <v>:vandals:</v>
      </c>
      <c r="F135" s="22"/>
      <c r="G135" s="22"/>
      <c r="H135" s="33" t="s">
        <v>12</v>
      </c>
      <c r="I135" s="34" t="s">
        <v>624</v>
      </c>
      <c r="J135" s="34" t="s">
        <v>625</v>
      </c>
      <c r="K135" s="33" t="s">
        <v>851</v>
      </c>
      <c r="L135" s="33" t="s">
        <v>90</v>
      </c>
      <c r="M135" s="33" t="s">
        <v>109</v>
      </c>
      <c r="N135" s="35">
        <v>260</v>
      </c>
      <c r="O135" s="36">
        <v>3</v>
      </c>
      <c r="P135" s="36">
        <v>3</v>
      </c>
      <c r="Q135" s="36">
        <v>3</v>
      </c>
      <c r="R135" s="36"/>
      <c r="S135" s="36"/>
      <c r="T135" s="33" t="s">
        <v>612</v>
      </c>
      <c r="U135" s="33" t="s">
        <v>37</v>
      </c>
      <c r="V135" s="33" t="s">
        <v>37</v>
      </c>
      <c r="W135" s="35">
        <v>10</v>
      </c>
      <c r="X135" s="33"/>
      <c r="Y135" s="33"/>
      <c r="Z135" s="33"/>
      <c r="AA135" s="33"/>
      <c r="AB135" s="33"/>
      <c r="AC135" s="33"/>
      <c r="AD135" s="35"/>
      <c r="AE135" s="35"/>
      <c r="AF135" s="35"/>
      <c r="AG135" s="35"/>
      <c r="AH135" s="45" t="s">
        <v>274</v>
      </c>
      <c r="AI135" s="33">
        <v>147</v>
      </c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21"/>
      <c r="BG135" s="21"/>
      <c r="BH135" s="21"/>
      <c r="BI135" s="21"/>
      <c r="BJ135" s="21"/>
      <c r="BK135" s="21"/>
      <c r="BL135" s="21"/>
      <c r="BM135" s="21"/>
    </row>
    <row r="136" spans="1:65" ht="15.75" customHeight="1">
      <c r="A136" s="22">
        <f t="shared" si="0"/>
        <v>0</v>
      </c>
      <c r="B136" s="22"/>
      <c r="C136" s="22" t="str">
        <f t="shared" si="1"/>
        <v>134. 260 TPE :aviators: [S5] Ben Waters - 2B (Waters)</v>
      </c>
      <c r="D136" s="23">
        <f t="shared" si="2"/>
        <v>134</v>
      </c>
      <c r="E136" s="22" t="str">
        <f>VLOOKUP(H136,Analysis!$A$24:$B$33,2,FALSE)</f>
        <v>:aviators:</v>
      </c>
      <c r="F136" s="22"/>
      <c r="G136" s="22" t="s">
        <v>852</v>
      </c>
      <c r="H136" s="40" t="s">
        <v>5</v>
      </c>
      <c r="I136" s="41" t="s">
        <v>853</v>
      </c>
      <c r="J136" s="41" t="s">
        <v>854</v>
      </c>
      <c r="K136" s="40" t="s">
        <v>855</v>
      </c>
      <c r="L136" s="40" t="s">
        <v>83</v>
      </c>
      <c r="M136" s="40" t="s">
        <v>104</v>
      </c>
      <c r="N136" s="42">
        <v>260</v>
      </c>
      <c r="O136" s="43">
        <v>2</v>
      </c>
      <c r="P136" s="40"/>
      <c r="Q136" s="40"/>
      <c r="R136" s="40"/>
      <c r="S136" s="40"/>
      <c r="T136" s="40" t="s">
        <v>856</v>
      </c>
      <c r="U136" s="40" t="s">
        <v>33</v>
      </c>
      <c r="V136" s="40" t="s">
        <v>34</v>
      </c>
      <c r="W136" s="42">
        <v>29</v>
      </c>
      <c r="X136" s="40"/>
      <c r="Y136" s="40">
        <v>5</v>
      </c>
      <c r="Z136" s="40" t="s">
        <v>857</v>
      </c>
      <c r="AA136" s="40"/>
      <c r="AB136" s="40"/>
      <c r="AC136" s="40"/>
      <c r="AD136" s="42"/>
      <c r="AE136" s="42">
        <v>1</v>
      </c>
      <c r="AF136" s="40">
        <v>1</v>
      </c>
      <c r="AG136" s="40"/>
      <c r="AH136" s="40"/>
      <c r="AI136" s="42">
        <v>260</v>
      </c>
      <c r="AK136" s="175"/>
      <c r="AL136" s="40"/>
      <c r="AM136" s="40"/>
      <c r="AN136" s="40"/>
      <c r="AO136" s="40" t="s">
        <v>209</v>
      </c>
      <c r="AP136" s="40" t="s">
        <v>858</v>
      </c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21"/>
      <c r="BG136" s="21"/>
      <c r="BH136" s="21"/>
      <c r="BI136" s="21"/>
      <c r="BJ136" s="21"/>
      <c r="BK136" s="21"/>
      <c r="BL136" s="21"/>
      <c r="BM136" s="21"/>
    </row>
    <row r="137" spans="1:65" ht="15.75" customHeight="1">
      <c r="A137" s="22">
        <f t="shared" si="0"/>
        <v>0</v>
      </c>
      <c r="B137" s="22"/>
      <c r="C137" s="22" t="str">
        <f t="shared" si="1"/>
        <v>134. 259 TPE :aviators: [S8] Alyssa Elliot - SP (FinesseDaGame)</v>
      </c>
      <c r="D137" s="23">
        <f t="shared" si="2"/>
        <v>134</v>
      </c>
      <c r="E137" s="22" t="str">
        <f>VLOOKUP(H137,Analysis!$A$24:$B$33,2,FALSE)</f>
        <v>:aviators:</v>
      </c>
      <c r="F137" s="22"/>
      <c r="G137" s="22" t="s">
        <v>816</v>
      </c>
      <c r="H137" s="33" t="s">
        <v>5</v>
      </c>
      <c r="I137" s="34" t="s">
        <v>817</v>
      </c>
      <c r="J137" s="34" t="s">
        <v>818</v>
      </c>
      <c r="K137" s="33" t="s">
        <v>859</v>
      </c>
      <c r="L137" s="33" t="s">
        <v>90</v>
      </c>
      <c r="M137" s="33" t="s">
        <v>820</v>
      </c>
      <c r="N137" s="35">
        <v>259</v>
      </c>
      <c r="O137" s="45">
        <v>3</v>
      </c>
      <c r="P137" s="45">
        <v>3</v>
      </c>
      <c r="Q137" s="36"/>
      <c r="R137" s="36"/>
      <c r="S137" s="36"/>
      <c r="T137" s="33" t="s">
        <v>273</v>
      </c>
      <c r="U137" s="33" t="s">
        <v>36</v>
      </c>
      <c r="V137" s="33" t="s">
        <v>36</v>
      </c>
      <c r="W137" s="35">
        <v>2</v>
      </c>
      <c r="X137" s="33"/>
      <c r="Y137" s="33"/>
      <c r="Z137" s="33"/>
      <c r="AA137" s="33"/>
      <c r="AB137" s="33"/>
      <c r="AC137" s="33"/>
      <c r="AD137" s="33"/>
      <c r="AE137" s="33"/>
      <c r="AF137" s="35"/>
      <c r="AG137" s="35"/>
      <c r="AH137" s="45">
        <v>0</v>
      </c>
      <c r="AI137" s="33">
        <v>259</v>
      </c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21"/>
      <c r="BG137" s="21"/>
      <c r="BH137" s="21"/>
      <c r="BI137" s="21"/>
      <c r="BJ137" s="21"/>
      <c r="BK137" s="21"/>
      <c r="BL137" s="21"/>
      <c r="BM137" s="21"/>
    </row>
    <row r="138" spans="1:65" ht="15.75" customHeight="1">
      <c r="A138" s="22">
        <f t="shared" si="0"/>
        <v>99</v>
      </c>
      <c r="B138" s="22"/>
      <c r="C138" s="22" t="str">
        <f t="shared" si="1"/>
        <v>62. 255 TPE :vandals: [S8] Lewis Robertson - 3B (Vandelay)</v>
      </c>
      <c r="D138" s="23">
        <f t="shared" si="2"/>
        <v>62</v>
      </c>
      <c r="E138" s="22" t="str">
        <f>VLOOKUP(H138,Analysis!$A$24:$B$33,2,FALSE)</f>
        <v>:vandals:</v>
      </c>
      <c r="F138" s="22"/>
      <c r="G138" s="22" t="s">
        <v>860</v>
      </c>
      <c r="H138" s="40" t="s">
        <v>12</v>
      </c>
      <c r="I138" s="41" t="s">
        <v>48</v>
      </c>
      <c r="J138" s="41" t="s">
        <v>861</v>
      </c>
      <c r="K138" s="40" t="s">
        <v>862</v>
      </c>
      <c r="L138" s="40" t="s">
        <v>215</v>
      </c>
      <c r="M138" s="40" t="s">
        <v>159</v>
      </c>
      <c r="N138" s="42">
        <v>255</v>
      </c>
      <c r="O138" s="43">
        <v>2</v>
      </c>
      <c r="P138" s="43"/>
      <c r="Q138" s="43"/>
      <c r="R138" s="43"/>
      <c r="S138" s="43"/>
      <c r="T138" s="40" t="s">
        <v>523</v>
      </c>
      <c r="U138" s="40" t="s">
        <v>36</v>
      </c>
      <c r="V138" s="40" t="s">
        <v>36</v>
      </c>
      <c r="W138" s="42">
        <v>28</v>
      </c>
      <c r="X138" s="40"/>
      <c r="Y138" s="40"/>
      <c r="Z138" s="40"/>
      <c r="AA138" s="40"/>
      <c r="AB138" s="42"/>
      <c r="AC138" s="42"/>
      <c r="AD138" s="42"/>
      <c r="AE138" s="42"/>
      <c r="AF138" s="42"/>
      <c r="AG138" s="42">
        <v>0</v>
      </c>
      <c r="AH138" s="44">
        <v>1</v>
      </c>
      <c r="AI138" s="42">
        <v>156</v>
      </c>
      <c r="AJ138" s="42"/>
      <c r="AK138" s="42"/>
      <c r="AL138" s="42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21"/>
      <c r="BG138" s="21"/>
      <c r="BH138" s="21"/>
      <c r="BI138" s="21"/>
      <c r="BJ138" s="21"/>
      <c r="BK138" s="21"/>
      <c r="BL138" s="21"/>
      <c r="BM138" s="21"/>
    </row>
    <row r="139" spans="1:65" ht="15.75" customHeight="1">
      <c r="A139" s="22">
        <f t="shared" si="0"/>
        <v>78</v>
      </c>
      <c r="B139" s="22"/>
      <c r="C139" s="22" t="str">
        <f t="shared" si="1"/>
        <v>76. 255 TPE :utah: [S9] Moises Hammond - C (Baron von Jobi)</v>
      </c>
      <c r="D139" s="23">
        <f t="shared" si="2"/>
        <v>76</v>
      </c>
      <c r="E139" s="22" t="str">
        <f>VLOOKUP(H139,Analysis!$A$24:$B$33,2,FALSE)</f>
        <v>:utah:</v>
      </c>
      <c r="F139" s="22"/>
      <c r="G139" s="22"/>
      <c r="H139" s="33" t="s">
        <v>13</v>
      </c>
      <c r="I139" s="34" t="s">
        <v>700</v>
      </c>
      <c r="J139" s="34" t="s">
        <v>701</v>
      </c>
      <c r="K139" s="33" t="s">
        <v>863</v>
      </c>
      <c r="L139" s="33" t="s">
        <v>103</v>
      </c>
      <c r="M139" s="33" t="s">
        <v>132</v>
      </c>
      <c r="N139" s="35">
        <v>255</v>
      </c>
      <c r="O139" s="36">
        <v>3.5</v>
      </c>
      <c r="P139" s="36">
        <v>3.5</v>
      </c>
      <c r="Q139" s="36">
        <v>3.5</v>
      </c>
      <c r="R139" s="36"/>
      <c r="S139" s="36"/>
      <c r="T139" s="37" t="s">
        <v>702</v>
      </c>
      <c r="U139" s="33" t="s">
        <v>37</v>
      </c>
      <c r="V139" s="33" t="s">
        <v>38</v>
      </c>
      <c r="W139" s="35">
        <v>9</v>
      </c>
      <c r="X139" s="33"/>
      <c r="Y139" s="35"/>
      <c r="Z139" s="35"/>
      <c r="AA139" s="33"/>
      <c r="AB139" s="33"/>
      <c r="AC139" s="33"/>
      <c r="AD139" s="33"/>
      <c r="AE139" s="33"/>
      <c r="AF139" s="35"/>
      <c r="AG139" s="35"/>
      <c r="AH139" s="45"/>
      <c r="AI139" s="35">
        <v>177</v>
      </c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21"/>
      <c r="BG139" s="21"/>
      <c r="BH139" s="21"/>
      <c r="BI139" s="21"/>
      <c r="BJ139" s="21"/>
      <c r="BK139" s="21"/>
      <c r="BL139" s="21"/>
      <c r="BM139" s="21"/>
    </row>
    <row r="140" spans="1:65" ht="15.75" customHeight="1">
      <c r="A140" s="22">
        <f t="shared" si="0"/>
        <v>0</v>
      </c>
      <c r="B140" s="22"/>
      <c r="C140" s="22" t="str">
        <f t="shared" si="1"/>
        <v>134. 254 TPE :bulldogs: [S2] Dongus Dio - 1B (Angels_Otani)</v>
      </c>
      <c r="D140" s="23">
        <f t="shared" si="2"/>
        <v>134</v>
      </c>
      <c r="E140" s="22" t="str">
        <f>VLOOKUP(H140,Analysis!$A$24:$B$33,2,FALSE)</f>
        <v>:bulldogs:</v>
      </c>
      <c r="F140" s="22"/>
      <c r="G140" s="26" t="s">
        <v>865</v>
      </c>
      <c r="H140" s="27" t="s">
        <v>304</v>
      </c>
      <c r="I140" s="29" t="s">
        <v>866</v>
      </c>
      <c r="J140" s="29" t="s">
        <v>867</v>
      </c>
      <c r="K140" s="27" t="s">
        <v>868</v>
      </c>
      <c r="L140" s="27" t="s">
        <v>187</v>
      </c>
      <c r="M140" s="27" t="s">
        <v>151</v>
      </c>
      <c r="N140" s="27">
        <v>254</v>
      </c>
      <c r="O140" s="27"/>
      <c r="P140" s="27"/>
      <c r="Q140" s="27"/>
      <c r="R140" s="27"/>
      <c r="S140" s="27"/>
      <c r="T140" s="27"/>
      <c r="U140" s="27" t="s">
        <v>78</v>
      </c>
      <c r="V140" s="27" t="s">
        <v>126</v>
      </c>
      <c r="W140" s="27">
        <v>18</v>
      </c>
      <c r="X140" s="27"/>
      <c r="Y140" s="27"/>
      <c r="Z140" s="27"/>
      <c r="AA140" s="27"/>
      <c r="AB140" s="27"/>
      <c r="AC140" s="27">
        <v>1.5</v>
      </c>
      <c r="AD140" s="27">
        <v>1.5</v>
      </c>
      <c r="AE140" s="27"/>
      <c r="AF140" s="27"/>
      <c r="AG140" s="27"/>
      <c r="AH140" s="27"/>
      <c r="AI140" s="27">
        <v>254</v>
      </c>
      <c r="AK140" s="27">
        <v>254</v>
      </c>
      <c r="AL140" s="27">
        <v>251</v>
      </c>
      <c r="AM140" s="27">
        <v>245</v>
      </c>
      <c r="AN140" s="27">
        <v>232</v>
      </c>
      <c r="AO140" s="27" t="s">
        <v>647</v>
      </c>
      <c r="AP140" s="27" t="s">
        <v>869</v>
      </c>
      <c r="AQ140" s="27" t="s">
        <v>870</v>
      </c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</row>
    <row r="141" spans="1:65" ht="15.75" customHeight="1">
      <c r="A141" s="22">
        <f t="shared" si="0"/>
        <v>0</v>
      </c>
      <c r="B141" s="22"/>
      <c r="C141" s="22" t="str">
        <f t="shared" si="1"/>
        <v>134. 250 TPE :bulldogs: [S1] Lance Travis - 2B (Den_Tex_Mix2)</v>
      </c>
      <c r="D141" s="23">
        <f t="shared" si="2"/>
        <v>134</v>
      </c>
      <c r="E141" s="22" t="str">
        <f>VLOOKUP(H141,Analysis!$A$24:$B$33,2,FALSE)</f>
        <v>:bulldogs:</v>
      </c>
      <c r="F141" s="22"/>
      <c r="G141" s="22" t="s">
        <v>871</v>
      </c>
      <c r="H141" s="33" t="s">
        <v>304</v>
      </c>
      <c r="I141" s="34" t="s">
        <v>872</v>
      </c>
      <c r="J141" s="34" t="s">
        <v>873</v>
      </c>
      <c r="K141" s="33" t="s">
        <v>874</v>
      </c>
      <c r="L141" s="33" t="s">
        <v>83</v>
      </c>
      <c r="M141" s="33" t="s">
        <v>225</v>
      </c>
      <c r="N141" s="35">
        <v>250</v>
      </c>
      <c r="O141" s="36"/>
      <c r="P141" s="36"/>
      <c r="Q141" s="36"/>
      <c r="R141" s="36"/>
      <c r="S141" s="36"/>
      <c r="T141" s="33"/>
      <c r="U141" s="33" t="s">
        <v>70</v>
      </c>
      <c r="V141" s="33" t="s">
        <v>70</v>
      </c>
      <c r="W141" s="35">
        <v>73</v>
      </c>
      <c r="X141" s="33"/>
      <c r="Y141" s="33"/>
      <c r="Z141" s="33"/>
      <c r="AA141" s="33"/>
      <c r="AB141" s="33"/>
      <c r="AC141" s="35">
        <v>1</v>
      </c>
      <c r="AD141" s="33">
        <v>2</v>
      </c>
      <c r="AE141" s="33">
        <v>4</v>
      </c>
      <c r="AF141" s="33">
        <v>2</v>
      </c>
      <c r="AG141" s="33"/>
      <c r="AH141" s="36">
        <v>3</v>
      </c>
      <c r="AI141" s="35">
        <v>250</v>
      </c>
      <c r="AK141" s="35">
        <v>268</v>
      </c>
      <c r="AL141" s="35">
        <v>268</v>
      </c>
      <c r="AM141" s="35">
        <v>268</v>
      </c>
      <c r="AN141" s="33">
        <v>268</v>
      </c>
      <c r="AO141" s="33" t="s">
        <v>647</v>
      </c>
      <c r="AP141" s="33" t="s">
        <v>875</v>
      </c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21"/>
      <c r="BG141" s="21"/>
      <c r="BH141" s="21"/>
      <c r="BI141" s="21"/>
      <c r="BJ141" s="21"/>
      <c r="BK141" s="21"/>
      <c r="BL141" s="21"/>
      <c r="BM141" s="21"/>
    </row>
    <row r="142" spans="1:65" ht="15.75" customHeight="1">
      <c r="A142" s="22">
        <f t="shared" si="0"/>
        <v>14</v>
      </c>
      <c r="B142" s="22"/>
      <c r="C142" s="22" t="str">
        <f t="shared" si="1"/>
        <v>121. 249 TPE :vandals: [S6] Rye Tiffielder - RF (DollarAndADream)</v>
      </c>
      <c r="D142" s="23">
        <f t="shared" si="2"/>
        <v>121</v>
      </c>
      <c r="E142" s="22" t="str">
        <f>VLOOKUP(H142,Analysis!$A$24:$B$33,2,FALSE)</f>
        <v>:vandals:</v>
      </c>
      <c r="F142" s="22"/>
      <c r="G142" s="22" t="s">
        <v>876</v>
      </c>
      <c r="H142" s="40" t="s">
        <v>12</v>
      </c>
      <c r="I142" s="41" t="s">
        <v>877</v>
      </c>
      <c r="J142" s="41" t="s">
        <v>878</v>
      </c>
      <c r="K142" s="40" t="s">
        <v>879</v>
      </c>
      <c r="L142" s="40" t="s">
        <v>131</v>
      </c>
      <c r="M142" s="40" t="s">
        <v>132</v>
      </c>
      <c r="N142" s="42">
        <v>249</v>
      </c>
      <c r="O142" s="43">
        <v>1.25</v>
      </c>
      <c r="P142" s="43"/>
      <c r="Q142" s="43"/>
      <c r="R142" s="43"/>
      <c r="S142" s="43"/>
      <c r="T142" s="40" t="s">
        <v>417</v>
      </c>
      <c r="U142" s="40" t="s">
        <v>34</v>
      </c>
      <c r="V142" s="40" t="s">
        <v>35</v>
      </c>
      <c r="W142" s="42">
        <v>24</v>
      </c>
      <c r="X142" s="40"/>
      <c r="Y142" s="40"/>
      <c r="Z142" s="40"/>
      <c r="AA142" s="40"/>
      <c r="AB142" s="42"/>
      <c r="AC142" s="42"/>
      <c r="AD142" s="42"/>
      <c r="AE142" s="42"/>
      <c r="AF142" s="42" t="s">
        <v>257</v>
      </c>
      <c r="AG142" s="42">
        <v>1.25</v>
      </c>
      <c r="AH142" s="44">
        <v>1.25</v>
      </c>
      <c r="AI142" s="42">
        <v>235</v>
      </c>
      <c r="AJ142" s="42"/>
      <c r="AK142" s="42"/>
      <c r="AL142" s="42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21"/>
      <c r="BG142" s="21"/>
      <c r="BH142" s="21"/>
      <c r="BI142" s="21"/>
      <c r="BJ142" s="21"/>
      <c r="BK142" s="21"/>
      <c r="BL142" s="21"/>
      <c r="BM142" s="21"/>
    </row>
    <row r="143" spans="1:65" ht="15.75" customHeight="1">
      <c r="A143" s="22">
        <f t="shared" si="0"/>
        <v>79</v>
      </c>
      <c r="B143" s="22"/>
      <c r="C143" s="22" t="str">
        <f t="shared" si="1"/>
        <v>73. 246 TPE :utah: [S9] Cisco Xochipilli - C (RBden)</v>
      </c>
      <c r="D143" s="23">
        <f t="shared" si="2"/>
        <v>73</v>
      </c>
      <c r="E143" s="22" t="str">
        <f>VLOOKUP(H143,Analysis!$A$24:$B$33,2,FALSE)</f>
        <v>:utah:</v>
      </c>
      <c r="F143" s="22"/>
      <c r="G143" s="22"/>
      <c r="H143" s="33" t="s">
        <v>13</v>
      </c>
      <c r="I143" s="34" t="s">
        <v>704</v>
      </c>
      <c r="J143" s="34" t="s">
        <v>705</v>
      </c>
      <c r="K143" s="33" t="s">
        <v>880</v>
      </c>
      <c r="L143" s="33" t="s">
        <v>103</v>
      </c>
      <c r="M143" s="33" t="s">
        <v>265</v>
      </c>
      <c r="N143" s="35">
        <v>246</v>
      </c>
      <c r="O143" s="36">
        <v>3</v>
      </c>
      <c r="P143" s="36">
        <v>3.5</v>
      </c>
      <c r="Q143" s="36">
        <v>4</v>
      </c>
      <c r="R143" s="36"/>
      <c r="S143" s="36"/>
      <c r="T143" s="33" t="s">
        <v>612</v>
      </c>
      <c r="U143" s="79" t="s">
        <v>37</v>
      </c>
      <c r="V143" s="79" t="s">
        <v>37</v>
      </c>
      <c r="W143" s="80">
        <v>9</v>
      </c>
      <c r="X143" s="33"/>
      <c r="Y143" s="33"/>
      <c r="Z143" s="33"/>
      <c r="AA143" s="33"/>
      <c r="AB143" s="33"/>
      <c r="AC143" s="35"/>
      <c r="AD143" s="35"/>
      <c r="AE143" s="35"/>
      <c r="AF143" s="33"/>
      <c r="AG143" s="33"/>
      <c r="AH143" s="36" t="s">
        <v>274</v>
      </c>
      <c r="AI143" s="33">
        <v>167</v>
      </c>
      <c r="AJ143" s="35"/>
      <c r="AK143" s="35"/>
      <c r="AL143" s="35"/>
      <c r="AM143" s="35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21"/>
      <c r="BG143" s="21"/>
      <c r="BH143" s="21"/>
      <c r="BI143" s="21"/>
      <c r="BJ143" s="21"/>
      <c r="BK143" s="21"/>
      <c r="BL143" s="21"/>
      <c r="BM143" s="21"/>
    </row>
    <row r="144" spans="1:65" ht="15.75" customHeight="1">
      <c r="A144" s="22">
        <f t="shared" si="0"/>
        <v>0</v>
      </c>
      <c r="B144" s="22"/>
      <c r="C144" s="22" t="str">
        <f t="shared" si="1"/>
        <v>134. 244 TPE :utah: [S7] Antonio "Tony" Pisano - SP (Radsin)</v>
      </c>
      <c r="D144" s="23">
        <f t="shared" si="2"/>
        <v>134</v>
      </c>
      <c r="E144" s="22" t="str">
        <f>VLOOKUP(H144,Analysis!$A$24:$B$33,2,FALSE)</f>
        <v>:utah:</v>
      </c>
      <c r="F144" s="22"/>
      <c r="G144" s="22" t="s">
        <v>881</v>
      </c>
      <c r="H144" s="40" t="s">
        <v>13</v>
      </c>
      <c r="I144" s="41" t="s">
        <v>882</v>
      </c>
      <c r="J144" s="41" t="s">
        <v>883</v>
      </c>
      <c r="K144" s="40" t="s">
        <v>884</v>
      </c>
      <c r="L144" s="40" t="s">
        <v>90</v>
      </c>
      <c r="M144" s="40" t="s">
        <v>55</v>
      </c>
      <c r="N144" s="42">
        <v>244</v>
      </c>
      <c r="O144" s="43">
        <v>3</v>
      </c>
      <c r="P144" s="43"/>
      <c r="Q144" s="43"/>
      <c r="R144" s="43"/>
      <c r="S144" s="43"/>
      <c r="T144" s="40" t="s">
        <v>417</v>
      </c>
      <c r="U144" s="40" t="s">
        <v>35</v>
      </c>
      <c r="V144" s="40" t="s">
        <v>35</v>
      </c>
      <c r="W144" s="42">
        <v>2</v>
      </c>
      <c r="X144" s="40"/>
      <c r="Y144" s="40"/>
      <c r="Z144" s="40"/>
      <c r="AA144" s="40"/>
      <c r="AB144" s="40"/>
      <c r="AC144" s="42"/>
      <c r="AD144" s="42"/>
      <c r="AE144" s="42"/>
      <c r="AF144" s="42"/>
      <c r="AG144" s="42" t="s">
        <v>257</v>
      </c>
      <c r="AH144" s="44">
        <v>3</v>
      </c>
      <c r="AI144" s="42">
        <v>244</v>
      </c>
      <c r="AJ144" s="44">
        <v>3</v>
      </c>
      <c r="AK144" s="42"/>
      <c r="AL144" s="42"/>
      <c r="AM144" s="42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21"/>
      <c r="BG144" s="21"/>
      <c r="BH144" s="21"/>
      <c r="BI144" s="21"/>
      <c r="BJ144" s="21"/>
      <c r="BK144" s="21"/>
      <c r="BL144" s="21"/>
      <c r="BM144" s="21"/>
    </row>
    <row r="145" spans="1:65" ht="15.75" customHeight="1">
      <c r="A145" s="22">
        <f t="shared" si="0"/>
        <v>0</v>
      </c>
      <c r="B145" s="22"/>
      <c r="C145" s="22" t="str">
        <f t="shared" si="1"/>
        <v>134. 243 TPE :bulldogs: [S1] Michael Marti - C (mmfootball)</v>
      </c>
      <c r="D145" s="23">
        <f t="shared" si="2"/>
        <v>134</v>
      </c>
      <c r="E145" s="22" t="str">
        <f>VLOOKUP(H145,Analysis!$A$24:$B$33,2,FALSE)</f>
        <v>:bulldogs:</v>
      </c>
      <c r="F145" s="22"/>
      <c r="G145" s="26" t="s">
        <v>658</v>
      </c>
      <c r="H145" s="56" t="s">
        <v>304</v>
      </c>
      <c r="I145" s="136" t="s">
        <v>660</v>
      </c>
      <c r="J145" s="136" t="s">
        <v>663</v>
      </c>
      <c r="K145" s="56" t="s">
        <v>886</v>
      </c>
      <c r="L145" s="56" t="s">
        <v>103</v>
      </c>
      <c r="M145" s="56" t="s">
        <v>159</v>
      </c>
      <c r="N145" s="56">
        <v>243</v>
      </c>
      <c r="O145" s="60"/>
      <c r="P145" s="60"/>
      <c r="Q145" s="60"/>
      <c r="R145" s="60"/>
      <c r="S145" s="60"/>
      <c r="T145" s="56"/>
      <c r="U145" s="56" t="s">
        <v>70</v>
      </c>
      <c r="V145" s="56" t="s">
        <v>70</v>
      </c>
      <c r="W145" s="56">
        <v>55</v>
      </c>
      <c r="X145" s="56"/>
      <c r="Y145" s="56"/>
      <c r="Z145" s="56"/>
      <c r="AA145" s="56"/>
      <c r="AB145" s="56">
        <v>0.5</v>
      </c>
      <c r="AC145" s="56">
        <v>2.5</v>
      </c>
      <c r="AD145" s="56">
        <v>2.5</v>
      </c>
      <c r="AE145" s="56">
        <v>2</v>
      </c>
      <c r="AF145" s="56">
        <v>233</v>
      </c>
      <c r="AG145" s="56">
        <v>2</v>
      </c>
      <c r="AH145" s="60"/>
      <c r="AI145" s="56">
        <v>243</v>
      </c>
      <c r="AK145" s="56">
        <v>233</v>
      </c>
      <c r="AL145" s="56">
        <v>230</v>
      </c>
      <c r="AM145" s="56">
        <v>230</v>
      </c>
      <c r="AN145" s="56"/>
      <c r="AO145" s="56" t="s">
        <v>647</v>
      </c>
      <c r="AP145" s="56" t="s">
        <v>887</v>
      </c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</row>
    <row r="146" spans="1:65" ht="15.75" customHeight="1">
      <c r="A146" s="22">
        <f t="shared" si="0"/>
        <v>3</v>
      </c>
      <c r="B146" s="22"/>
      <c r="C146" s="22" t="str">
        <f t="shared" si="1"/>
        <v>132. 242 TPE :aviators: [S2] Asipi Cantor - CL (Wally)</v>
      </c>
      <c r="D146" s="23">
        <f t="shared" si="2"/>
        <v>132</v>
      </c>
      <c r="E146" s="22" t="str">
        <f>VLOOKUP(H146,Analysis!$A$24:$B$33,2,FALSE)</f>
        <v>:aviators:</v>
      </c>
      <c r="F146" s="22"/>
      <c r="G146" s="22" t="s">
        <v>888</v>
      </c>
      <c r="H146" s="40" t="s">
        <v>5</v>
      </c>
      <c r="I146" s="41" t="s">
        <v>889</v>
      </c>
      <c r="J146" s="41" t="s">
        <v>891</v>
      </c>
      <c r="K146" s="40" t="s">
        <v>893</v>
      </c>
      <c r="L146" s="40" t="s">
        <v>336</v>
      </c>
      <c r="M146" s="40" t="s">
        <v>55</v>
      </c>
      <c r="N146" s="42">
        <v>242</v>
      </c>
      <c r="O146" s="44">
        <v>2</v>
      </c>
      <c r="P146" s="44"/>
      <c r="Q146" s="44"/>
      <c r="R146" s="43"/>
      <c r="S146" s="43"/>
      <c r="T146" s="40"/>
      <c r="U146" s="40" t="s">
        <v>78</v>
      </c>
      <c r="V146" s="40" t="s">
        <v>78</v>
      </c>
      <c r="W146" s="42">
        <v>11</v>
      </c>
      <c r="X146" s="40"/>
      <c r="Y146" s="42"/>
      <c r="Z146" s="42"/>
      <c r="AA146" s="40"/>
      <c r="AB146" s="40"/>
      <c r="AC146" s="40">
        <v>3</v>
      </c>
      <c r="AD146" s="40">
        <v>3</v>
      </c>
      <c r="AE146" s="40">
        <v>2.5</v>
      </c>
      <c r="AF146" s="42">
        <v>2.5</v>
      </c>
      <c r="AG146" s="42">
        <v>2.5</v>
      </c>
      <c r="AH146" s="44">
        <v>2.5</v>
      </c>
      <c r="AI146" s="40">
        <v>239</v>
      </c>
      <c r="AK146" s="40">
        <v>173</v>
      </c>
      <c r="AL146" s="40">
        <v>173</v>
      </c>
      <c r="AM146" s="40">
        <v>136</v>
      </c>
      <c r="AN146" s="40">
        <v>136</v>
      </c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21"/>
      <c r="BG146" s="21"/>
      <c r="BH146" s="21"/>
      <c r="BI146" s="21"/>
      <c r="BJ146" s="21"/>
      <c r="BK146" s="21"/>
      <c r="BL146" s="21"/>
      <c r="BM146" s="21"/>
    </row>
    <row r="147" spans="1:65" ht="15.75" customHeight="1">
      <c r="A147" s="22">
        <f t="shared" si="0"/>
        <v>60</v>
      </c>
      <c r="B147" s="22"/>
      <c r="C147" s="22" t="str">
        <f t="shared" si="1"/>
        <v>88. 238 TPE :crabs: [S9] Chase Petten - SP (YoungTB)</v>
      </c>
      <c r="D147" s="23">
        <f t="shared" si="2"/>
        <v>88</v>
      </c>
      <c r="E147" s="22" t="str">
        <f>VLOOKUP(H147,Analysis!$A$24:$B$33,2,FALSE)</f>
        <v>:crabs:</v>
      </c>
      <c r="F147" s="22"/>
      <c r="G147" s="22"/>
      <c r="H147" s="33" t="s">
        <v>3</v>
      </c>
      <c r="I147" s="34" t="s">
        <v>895</v>
      </c>
      <c r="J147" s="34" t="s">
        <v>897</v>
      </c>
      <c r="K147" s="33" t="s">
        <v>899</v>
      </c>
      <c r="L147" s="33" t="s">
        <v>90</v>
      </c>
      <c r="M147" s="33" t="s">
        <v>109</v>
      </c>
      <c r="N147" s="35">
        <v>238</v>
      </c>
      <c r="O147" s="36">
        <v>3</v>
      </c>
      <c r="P147" s="36">
        <v>3</v>
      </c>
      <c r="Q147" s="36">
        <v>3</v>
      </c>
      <c r="R147" s="36"/>
      <c r="S147" s="36"/>
      <c r="T147" s="33" t="s">
        <v>373</v>
      </c>
      <c r="U147" s="33" t="s">
        <v>37</v>
      </c>
      <c r="V147" s="33" t="s">
        <v>37</v>
      </c>
      <c r="W147" s="35">
        <v>2</v>
      </c>
      <c r="X147" s="33"/>
      <c r="Y147" s="33"/>
      <c r="Z147" s="33"/>
      <c r="AA147" s="33"/>
      <c r="AB147" s="33"/>
      <c r="AC147" s="33"/>
      <c r="AD147" s="33"/>
      <c r="AE147" s="35"/>
      <c r="AF147" s="35"/>
      <c r="AG147" s="35"/>
      <c r="AH147" s="45" t="s">
        <v>274</v>
      </c>
      <c r="AI147" s="33">
        <v>178</v>
      </c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21"/>
      <c r="BG147" s="21"/>
      <c r="BH147" s="21"/>
      <c r="BI147" s="21"/>
      <c r="BJ147" s="21"/>
      <c r="BK147" s="21"/>
      <c r="BL147" s="21"/>
      <c r="BM147" s="21"/>
    </row>
    <row r="148" spans="1:65" ht="15.75" customHeight="1">
      <c r="A148" s="22">
        <f t="shared" si="0"/>
        <v>5</v>
      </c>
      <c r="B148" s="22"/>
      <c r="C148" s="22" t="str">
        <f t="shared" si="1"/>
        <v>129. 234 TPE :crabs: [S3] Fastguy Pitcherman - SP (tbone415)</v>
      </c>
      <c r="D148" s="23">
        <f t="shared" si="2"/>
        <v>129</v>
      </c>
      <c r="E148" s="22" t="str">
        <f>VLOOKUP(H148,Analysis!$A$24:$B$33,2,FALSE)</f>
        <v>:crabs:</v>
      </c>
      <c r="F148" s="22"/>
      <c r="G148" s="26" t="s">
        <v>901</v>
      </c>
      <c r="H148" s="27" t="s">
        <v>3</v>
      </c>
      <c r="I148" s="29" t="s">
        <v>903</v>
      </c>
      <c r="J148" s="29" t="s">
        <v>906</v>
      </c>
      <c r="K148" s="27" t="s">
        <v>908</v>
      </c>
      <c r="L148" s="27" t="s">
        <v>90</v>
      </c>
      <c r="M148" s="27" t="s">
        <v>55</v>
      </c>
      <c r="N148" s="27">
        <v>234</v>
      </c>
      <c r="O148" s="30">
        <v>2</v>
      </c>
      <c r="P148" s="30"/>
      <c r="Q148" s="30"/>
      <c r="R148" s="30"/>
      <c r="S148" s="30"/>
      <c r="T148" s="27"/>
      <c r="U148" s="27" t="s">
        <v>126</v>
      </c>
      <c r="V148" s="27" t="s">
        <v>126</v>
      </c>
      <c r="W148" s="27">
        <v>4</v>
      </c>
      <c r="X148" s="27"/>
      <c r="Y148" s="27"/>
      <c r="Z148" s="27"/>
      <c r="AA148" s="27"/>
      <c r="AB148" s="27"/>
      <c r="AC148" s="27">
        <v>6</v>
      </c>
      <c r="AD148" s="27">
        <v>3</v>
      </c>
      <c r="AE148" s="27">
        <v>3</v>
      </c>
      <c r="AF148" s="27">
        <v>2</v>
      </c>
      <c r="AG148" s="27">
        <v>2</v>
      </c>
      <c r="AH148" s="30">
        <v>2</v>
      </c>
      <c r="AI148" s="27">
        <v>229</v>
      </c>
      <c r="AJ148" s="30">
        <v>2</v>
      </c>
      <c r="AK148" s="27">
        <v>159</v>
      </c>
      <c r="AL148" s="27">
        <v>156</v>
      </c>
      <c r="AM148" s="27">
        <v>145</v>
      </c>
      <c r="AN148" s="27">
        <v>121</v>
      </c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</row>
    <row r="149" spans="1:65" ht="15.75" customHeight="1">
      <c r="A149" s="22">
        <f t="shared" si="0"/>
        <v>44</v>
      </c>
      <c r="B149" s="22"/>
      <c r="C149" s="22" t="str">
        <f t="shared" si="1"/>
        <v>97. 232 TPE :aviators: [S7] Catchy Boija - 2B (Snussu)</v>
      </c>
      <c r="D149" s="23">
        <f t="shared" si="2"/>
        <v>97</v>
      </c>
      <c r="E149" s="22" t="str">
        <f>VLOOKUP(H149,Analysis!$A$24:$B$33,2,FALSE)</f>
        <v>:aviators:</v>
      </c>
      <c r="F149" s="22"/>
      <c r="G149" s="22" t="s">
        <v>821</v>
      </c>
      <c r="H149" s="33" t="s">
        <v>5</v>
      </c>
      <c r="I149" s="184" t="s">
        <v>822</v>
      </c>
      <c r="J149" s="34" t="s">
        <v>823</v>
      </c>
      <c r="K149" s="33" t="s">
        <v>914</v>
      </c>
      <c r="L149" s="33" t="s">
        <v>83</v>
      </c>
      <c r="M149" s="33" t="s">
        <v>166</v>
      </c>
      <c r="N149" s="35">
        <v>232</v>
      </c>
      <c r="O149" s="36">
        <v>1.5</v>
      </c>
      <c r="P149" s="36">
        <v>1.5</v>
      </c>
      <c r="Q149" s="36"/>
      <c r="R149" s="36"/>
      <c r="S149" s="36"/>
      <c r="T149" s="33" t="s">
        <v>273</v>
      </c>
      <c r="U149" s="33" t="s">
        <v>35</v>
      </c>
      <c r="V149" s="33" t="s">
        <v>36</v>
      </c>
      <c r="W149" s="35">
        <v>14</v>
      </c>
      <c r="X149" s="33"/>
      <c r="Y149" s="33"/>
      <c r="Z149" s="33"/>
      <c r="AA149" s="33"/>
      <c r="AB149" s="35"/>
      <c r="AC149" s="35"/>
      <c r="AD149" s="35"/>
      <c r="AE149" s="35"/>
      <c r="AF149" s="35"/>
      <c r="AG149" s="35"/>
      <c r="AH149" s="36">
        <v>0</v>
      </c>
      <c r="AI149" s="35">
        <v>188</v>
      </c>
      <c r="AK149" s="35"/>
      <c r="AL149" s="35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21"/>
      <c r="BG149" s="21"/>
      <c r="BH149" s="21"/>
      <c r="BI149" s="21"/>
      <c r="BJ149" s="21"/>
      <c r="BK149" s="21"/>
      <c r="BL149" s="21"/>
      <c r="BM149" s="21"/>
    </row>
    <row r="150" spans="1:65" ht="15.75" customHeight="1">
      <c r="A150" s="22">
        <f t="shared" si="0"/>
        <v>0</v>
      </c>
      <c r="B150" s="22"/>
      <c r="C150" s="22" t="str">
        <f t="shared" si="1"/>
        <v>134. 231 TPE :vandals: [S7] Kosuke Yamauchi - SP (enigmatic)</v>
      </c>
      <c r="D150" s="23">
        <f t="shared" si="2"/>
        <v>134</v>
      </c>
      <c r="E150" s="22" t="str">
        <f>VLOOKUP(H150,Analysis!$A$24:$B$33,2,FALSE)</f>
        <v>:vandals:</v>
      </c>
      <c r="F150" s="22"/>
      <c r="G150" s="22" t="s">
        <v>627</v>
      </c>
      <c r="H150" s="40" t="s">
        <v>12</v>
      </c>
      <c r="I150" s="41" t="s">
        <v>629</v>
      </c>
      <c r="J150" s="41" t="s">
        <v>630</v>
      </c>
      <c r="K150" s="40" t="s">
        <v>918</v>
      </c>
      <c r="L150" s="121" t="s">
        <v>90</v>
      </c>
      <c r="M150" s="40" t="s">
        <v>55</v>
      </c>
      <c r="N150" s="42">
        <v>231</v>
      </c>
      <c r="O150" s="44">
        <v>3</v>
      </c>
      <c r="P150" s="44"/>
      <c r="Q150" s="43"/>
      <c r="R150" s="43"/>
      <c r="S150" s="43"/>
      <c r="T150" s="40" t="s">
        <v>516</v>
      </c>
      <c r="U150" s="40" t="s">
        <v>35</v>
      </c>
      <c r="V150" s="40" t="s">
        <v>35</v>
      </c>
      <c r="W150" s="42">
        <v>8</v>
      </c>
      <c r="X150" s="40"/>
      <c r="Y150" s="40"/>
      <c r="Z150" s="40"/>
      <c r="AA150" s="40"/>
      <c r="AB150" s="40"/>
      <c r="AC150" s="40"/>
      <c r="AD150" s="40"/>
      <c r="AE150" s="40"/>
      <c r="AF150" s="40" t="s">
        <v>257</v>
      </c>
      <c r="AG150" s="40">
        <v>2</v>
      </c>
      <c r="AH150" s="44">
        <v>3</v>
      </c>
      <c r="AI150" s="42">
        <v>231</v>
      </c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21"/>
      <c r="BG150" s="21"/>
      <c r="BH150" s="21"/>
      <c r="BI150" s="21"/>
      <c r="BJ150" s="21"/>
      <c r="BK150" s="21"/>
      <c r="BL150" s="21"/>
      <c r="BM150" s="21"/>
    </row>
    <row r="151" spans="1:65" ht="15.75" customHeight="1">
      <c r="A151" s="22">
        <f t="shared" si="0"/>
        <v>0</v>
      </c>
      <c r="B151" s="22"/>
      <c r="C151" s="22" t="str">
        <f t="shared" si="1"/>
        <v>134. 231 TPE :voyagers: [S7] Colton Hagan - SP (CampinKiller)</v>
      </c>
      <c r="D151" s="23">
        <f t="shared" si="2"/>
        <v>134</v>
      </c>
      <c r="E151" s="22" t="str">
        <f>VLOOKUP(H151,Analysis!$A$24:$B$33,2,FALSE)</f>
        <v>:voyagers:</v>
      </c>
      <c r="F151" s="22"/>
      <c r="G151" s="22" t="s">
        <v>890</v>
      </c>
      <c r="H151" s="33" t="s">
        <v>8</v>
      </c>
      <c r="I151" s="34" t="s">
        <v>892</v>
      </c>
      <c r="J151" s="34" t="s">
        <v>894</v>
      </c>
      <c r="K151" s="33" t="s">
        <v>921</v>
      </c>
      <c r="L151" s="33" t="s">
        <v>90</v>
      </c>
      <c r="M151" s="33" t="s">
        <v>458</v>
      </c>
      <c r="N151" s="35">
        <v>231</v>
      </c>
      <c r="O151" s="36">
        <v>3</v>
      </c>
      <c r="P151" s="36">
        <v>3</v>
      </c>
      <c r="Q151" s="36"/>
      <c r="R151" s="36"/>
      <c r="S151" s="36"/>
      <c r="T151" s="33" t="s">
        <v>273</v>
      </c>
      <c r="U151" s="33" t="s">
        <v>35</v>
      </c>
      <c r="V151" s="33" t="s">
        <v>36</v>
      </c>
      <c r="W151" s="35">
        <v>12</v>
      </c>
      <c r="X151" s="33"/>
      <c r="Y151" s="33"/>
      <c r="Z151" s="33"/>
      <c r="AA151" s="33"/>
      <c r="AB151" s="35"/>
      <c r="AC151" s="35"/>
      <c r="AD151" s="35"/>
      <c r="AE151" s="35"/>
      <c r="AF151" s="35"/>
      <c r="AG151" s="35"/>
      <c r="AH151" s="45">
        <v>0</v>
      </c>
      <c r="AI151" s="35">
        <v>231</v>
      </c>
      <c r="AK151" s="35"/>
      <c r="AL151" s="185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21"/>
      <c r="BG151" s="21"/>
      <c r="BH151" s="21"/>
      <c r="BI151" s="21"/>
      <c r="BJ151" s="21"/>
      <c r="BK151" s="21"/>
      <c r="BL151" s="21"/>
      <c r="BM151" s="21"/>
    </row>
    <row r="152" spans="1:65" ht="15.75" customHeight="1">
      <c r="A152" s="22">
        <f t="shared" si="0"/>
        <v>66</v>
      </c>
      <c r="B152" s="22"/>
      <c r="C152" s="22" t="str">
        <f t="shared" si="1"/>
        <v>83. 229 TPE :vandals: [S9] Theodore Crunkleton - SS (Mashtaters)</v>
      </c>
      <c r="D152" s="23">
        <f t="shared" si="2"/>
        <v>83</v>
      </c>
      <c r="E152" s="22" t="str">
        <f>VLOOKUP(H152,Analysis!$A$24:$B$33,2,FALSE)</f>
        <v>:vandals:</v>
      </c>
      <c r="F152" s="22"/>
      <c r="G152" s="22"/>
      <c r="H152" s="40" t="s">
        <v>12</v>
      </c>
      <c r="I152" s="41" t="s">
        <v>634</v>
      </c>
      <c r="J152" s="41" t="s">
        <v>635</v>
      </c>
      <c r="K152" s="40" t="s">
        <v>925</v>
      </c>
      <c r="L152" s="40" t="s">
        <v>75</v>
      </c>
      <c r="M152" s="40" t="s">
        <v>565</v>
      </c>
      <c r="N152" s="42">
        <v>229</v>
      </c>
      <c r="O152" s="43" t="s">
        <v>274</v>
      </c>
      <c r="P152" s="43">
        <v>5</v>
      </c>
      <c r="Q152" s="43">
        <v>5</v>
      </c>
      <c r="R152" s="43">
        <v>5</v>
      </c>
      <c r="S152" s="43"/>
      <c r="T152" s="40"/>
      <c r="U152" s="40" t="s">
        <v>37</v>
      </c>
      <c r="V152" s="40" t="s">
        <v>38</v>
      </c>
      <c r="W152" s="42">
        <v>8</v>
      </c>
      <c r="X152" s="40"/>
      <c r="Y152" s="40"/>
      <c r="Z152" s="40"/>
      <c r="AA152" s="40"/>
      <c r="AB152" s="40"/>
      <c r="AC152" s="40"/>
      <c r="AD152" s="42"/>
      <c r="AE152" s="42"/>
      <c r="AF152" s="42"/>
      <c r="AG152" s="40"/>
      <c r="AH152" s="43"/>
      <c r="AI152" s="40">
        <v>163</v>
      </c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21"/>
      <c r="BG152" s="21"/>
      <c r="BH152" s="21"/>
      <c r="BI152" s="21"/>
      <c r="BJ152" s="21"/>
      <c r="BK152" s="21"/>
      <c r="BL152" s="21"/>
      <c r="BM152" s="21"/>
    </row>
    <row r="153" spans="1:65" ht="15.75" customHeight="1">
      <c r="A153" s="22">
        <f t="shared" si="0"/>
        <v>0</v>
      </c>
      <c r="B153" s="22"/>
      <c r="C153" s="22" t="str">
        <f t="shared" si="1"/>
        <v>134. 228 TPE :bulldogs: [S7] Johny Matthews - 2B (mattycarr134)</v>
      </c>
      <c r="D153" s="23">
        <f t="shared" si="2"/>
        <v>134</v>
      </c>
      <c r="E153" s="22" t="str">
        <f>VLOOKUP(H153,Analysis!$A$24:$B$33,2,FALSE)</f>
        <v>:bulldogs:</v>
      </c>
      <c r="F153" s="22"/>
      <c r="G153" s="22" t="s">
        <v>927</v>
      </c>
      <c r="H153" s="33" t="s">
        <v>304</v>
      </c>
      <c r="I153" s="34" t="s">
        <v>928</v>
      </c>
      <c r="J153" s="34" t="s">
        <v>929</v>
      </c>
      <c r="K153" s="33" t="s">
        <v>931</v>
      </c>
      <c r="L153" s="33" t="s">
        <v>83</v>
      </c>
      <c r="M153" s="33" t="s">
        <v>740</v>
      </c>
      <c r="N153" s="35">
        <v>228</v>
      </c>
      <c r="O153" s="36"/>
      <c r="P153" s="36"/>
      <c r="Q153" s="36"/>
      <c r="R153" s="36"/>
      <c r="S153" s="36"/>
      <c r="T153" s="33" t="s">
        <v>516</v>
      </c>
      <c r="U153" s="33" t="s">
        <v>35</v>
      </c>
      <c r="V153" s="33" t="s">
        <v>35</v>
      </c>
      <c r="W153" s="35">
        <v>11</v>
      </c>
      <c r="X153" s="33"/>
      <c r="Y153" s="33"/>
      <c r="Z153" s="33"/>
      <c r="AA153" s="33"/>
      <c r="AB153" s="33"/>
      <c r="AC153" s="33"/>
      <c r="AD153" s="33"/>
      <c r="AE153" s="33"/>
      <c r="AF153" s="33" t="s">
        <v>257</v>
      </c>
      <c r="AG153" s="33">
        <v>2</v>
      </c>
      <c r="AH153" s="45">
        <v>3</v>
      </c>
      <c r="AI153" s="33">
        <v>228</v>
      </c>
      <c r="AK153" s="33"/>
      <c r="AL153" s="33"/>
      <c r="AM153" s="33"/>
      <c r="AN153" s="33"/>
      <c r="AO153" s="33" t="s">
        <v>647</v>
      </c>
      <c r="AP153" s="33" t="s">
        <v>933</v>
      </c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21"/>
      <c r="BG153" s="21"/>
      <c r="BH153" s="21"/>
      <c r="BI153" s="21"/>
      <c r="BJ153" s="21"/>
      <c r="BK153" s="21"/>
      <c r="BL153" s="21"/>
      <c r="BM153" s="21"/>
    </row>
    <row r="154" spans="1:65" ht="15.75" customHeight="1">
      <c r="A154" s="22">
        <f t="shared" si="0"/>
        <v>29</v>
      </c>
      <c r="B154" s="22"/>
      <c r="C154" s="22" t="str">
        <f t="shared" si="1"/>
        <v>109. 224 TPE :vandals: [S6] Mason Brown - CL (Fire-Bred)</v>
      </c>
      <c r="D154" s="23">
        <f t="shared" si="2"/>
        <v>109</v>
      </c>
      <c r="E154" s="22" t="str">
        <f>VLOOKUP(H154,Analysis!$A$24:$B$33,2,FALSE)</f>
        <v>:vandals:</v>
      </c>
      <c r="F154" s="22"/>
      <c r="G154" s="22" t="s">
        <v>934</v>
      </c>
      <c r="H154" s="40" t="s">
        <v>12</v>
      </c>
      <c r="I154" s="41" t="s">
        <v>649</v>
      </c>
      <c r="J154" s="41" t="s">
        <v>935</v>
      </c>
      <c r="K154" s="40" t="s">
        <v>936</v>
      </c>
      <c r="L154" s="40" t="s">
        <v>336</v>
      </c>
      <c r="M154" s="40" t="s">
        <v>109</v>
      </c>
      <c r="N154" s="42">
        <v>224</v>
      </c>
      <c r="O154" s="44">
        <v>3</v>
      </c>
      <c r="P154" s="43">
        <v>4</v>
      </c>
      <c r="Q154" s="43">
        <v>5.75</v>
      </c>
      <c r="R154" s="43">
        <v>6.5</v>
      </c>
      <c r="S154" s="43"/>
      <c r="T154" s="40" t="s">
        <v>937</v>
      </c>
      <c r="U154" s="40" t="s">
        <v>34</v>
      </c>
      <c r="V154" s="40" t="s">
        <v>34</v>
      </c>
      <c r="W154" s="42">
        <v>7</v>
      </c>
      <c r="X154" s="40"/>
      <c r="Y154" s="40"/>
      <c r="Z154" s="40"/>
      <c r="AA154" s="40"/>
      <c r="AB154" s="40"/>
      <c r="AC154" s="40"/>
      <c r="AD154" s="40"/>
      <c r="AE154" s="40">
        <v>2.5</v>
      </c>
      <c r="AF154" s="40">
        <v>2.75</v>
      </c>
      <c r="AG154" s="42">
        <v>3</v>
      </c>
      <c r="AH154" s="44">
        <v>3</v>
      </c>
      <c r="AI154" s="40">
        <v>195</v>
      </c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21"/>
      <c r="BG154" s="21"/>
      <c r="BH154" s="21"/>
      <c r="BI154" s="21"/>
      <c r="BJ154" s="21"/>
      <c r="BK154" s="21"/>
      <c r="BL154" s="21"/>
      <c r="BM154" s="21"/>
    </row>
    <row r="155" spans="1:65" ht="15.75" customHeight="1">
      <c r="A155" s="22">
        <f t="shared" si="0"/>
        <v>0</v>
      </c>
      <c r="B155" s="22"/>
      <c r="C155" s="22" t="str">
        <f t="shared" si="1"/>
        <v>134. 218 TPE :bulldogs: [S6] Sidney Swing - LF (dropbear)</v>
      </c>
      <c r="D155" s="23">
        <f t="shared" si="2"/>
        <v>134</v>
      </c>
      <c r="E155" s="22" t="str">
        <f>VLOOKUP(H155,Analysis!$A$24:$B$33,2,FALSE)</f>
        <v>:bulldogs:</v>
      </c>
      <c r="F155" s="22"/>
      <c r="G155" s="22" t="s">
        <v>938</v>
      </c>
      <c r="H155" s="33" t="s">
        <v>304</v>
      </c>
      <c r="I155" s="34" t="s">
        <v>939</v>
      </c>
      <c r="J155" s="34" t="s">
        <v>940</v>
      </c>
      <c r="K155" s="33" t="s">
        <v>941</v>
      </c>
      <c r="L155" s="33" t="s">
        <v>180</v>
      </c>
      <c r="M155" s="33" t="s">
        <v>84</v>
      </c>
      <c r="N155" s="35">
        <v>218</v>
      </c>
      <c r="O155" s="33"/>
      <c r="P155" s="33"/>
      <c r="Q155" s="33"/>
      <c r="R155" s="33"/>
      <c r="S155" s="33"/>
      <c r="T155" s="33" t="s">
        <v>942</v>
      </c>
      <c r="U155" s="33" t="s">
        <v>34</v>
      </c>
      <c r="V155" s="33" t="s">
        <v>34</v>
      </c>
      <c r="W155" s="35">
        <v>33</v>
      </c>
      <c r="X155" s="33"/>
      <c r="Y155" s="33"/>
      <c r="Z155" s="33"/>
      <c r="AA155" s="33"/>
      <c r="AB155" s="33"/>
      <c r="AC155" s="35"/>
      <c r="AD155" s="33"/>
      <c r="AE155" s="33">
        <v>1</v>
      </c>
      <c r="AF155" s="33">
        <v>1</v>
      </c>
      <c r="AG155" s="33"/>
      <c r="AH155" s="33"/>
      <c r="AI155" s="35">
        <v>218</v>
      </c>
      <c r="AK155" s="35"/>
      <c r="AL155" s="35"/>
      <c r="AM155" s="35"/>
      <c r="AN155" s="38"/>
      <c r="AO155" s="33" t="s">
        <v>647</v>
      </c>
      <c r="AP155" s="33" t="s">
        <v>943</v>
      </c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21"/>
      <c r="BG155" s="21"/>
      <c r="BH155" s="21"/>
      <c r="BI155" s="21"/>
      <c r="BJ155" s="21"/>
      <c r="BK155" s="21"/>
      <c r="BL155" s="21"/>
      <c r="BM155" s="21"/>
    </row>
    <row r="156" spans="1:65" ht="15.75" customHeight="1">
      <c r="A156" s="22">
        <f t="shared" si="0"/>
        <v>0</v>
      </c>
      <c r="B156" s="22"/>
      <c r="C156" s="22" t="str">
        <f t="shared" si="1"/>
        <v>134. 218 TPE :bulldogs: [S2] Travis Ritchie - CF (Rockiesfan4ever)</v>
      </c>
      <c r="D156" s="23">
        <f t="shared" si="2"/>
        <v>134</v>
      </c>
      <c r="E156" s="22" t="str">
        <f>VLOOKUP(H156,Analysis!$A$24:$B$33,2,FALSE)</f>
        <v>:bulldogs:</v>
      </c>
      <c r="F156" s="22"/>
      <c r="G156" s="22" t="s">
        <v>945</v>
      </c>
      <c r="H156" s="40" t="s">
        <v>304</v>
      </c>
      <c r="I156" s="41" t="s">
        <v>946</v>
      </c>
      <c r="J156" s="41" t="s">
        <v>948</v>
      </c>
      <c r="K156" s="40" t="s">
        <v>949</v>
      </c>
      <c r="L156" s="40" t="s">
        <v>67</v>
      </c>
      <c r="M156" s="40" t="s">
        <v>950</v>
      </c>
      <c r="N156" s="42">
        <v>218</v>
      </c>
      <c r="O156" s="40"/>
      <c r="P156" s="40"/>
      <c r="Q156" s="40"/>
      <c r="R156" s="40"/>
      <c r="S156" s="40"/>
      <c r="T156" s="40"/>
      <c r="U156" s="40" t="s">
        <v>78</v>
      </c>
      <c r="V156" s="40" t="s">
        <v>126</v>
      </c>
      <c r="W156" s="42">
        <v>1</v>
      </c>
      <c r="X156" s="40"/>
      <c r="Y156" s="40"/>
      <c r="Z156" s="40"/>
      <c r="AA156" s="40"/>
      <c r="AB156" s="40"/>
      <c r="AC156" s="40">
        <v>4</v>
      </c>
      <c r="AD156" s="42">
        <v>6</v>
      </c>
      <c r="AE156" s="40">
        <v>4</v>
      </c>
      <c r="AF156" s="40">
        <v>2</v>
      </c>
      <c r="AG156" s="40">
        <v>2</v>
      </c>
      <c r="AH156" s="40"/>
      <c r="AI156" s="42">
        <v>218</v>
      </c>
      <c r="AK156" s="175">
        <v>218</v>
      </c>
      <c r="AL156" s="42">
        <v>218</v>
      </c>
      <c r="AM156" s="42">
        <v>180</v>
      </c>
      <c r="AN156" s="73">
        <v>180</v>
      </c>
      <c r="AO156" s="40" t="s">
        <v>647</v>
      </c>
      <c r="AP156" s="40" t="s">
        <v>951</v>
      </c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21"/>
      <c r="BG156" s="21"/>
      <c r="BH156" s="21"/>
      <c r="BI156" s="21"/>
      <c r="BJ156" s="21"/>
      <c r="BK156" s="21"/>
      <c r="BL156" s="21"/>
      <c r="BM156" s="21"/>
    </row>
    <row r="157" spans="1:65" ht="15.75" customHeight="1">
      <c r="A157" s="22">
        <f t="shared" si="0"/>
        <v>0</v>
      </c>
      <c r="B157" s="22"/>
      <c r="C157" s="22" t="str">
        <f t="shared" si="1"/>
        <v>134. 215 TPE :crabs: [S2] Bobby Outman - SP (dano1934)</v>
      </c>
      <c r="D157" s="23">
        <f t="shared" si="2"/>
        <v>134</v>
      </c>
      <c r="E157" s="22" t="str">
        <f>VLOOKUP(H157,Analysis!$A$24:$B$33,2,FALSE)</f>
        <v>:crabs:</v>
      </c>
      <c r="F157" s="22"/>
      <c r="G157" s="22" t="s">
        <v>952</v>
      </c>
      <c r="H157" s="33" t="s">
        <v>3</v>
      </c>
      <c r="I157" s="34" t="s">
        <v>953</v>
      </c>
      <c r="J157" s="34" t="s">
        <v>954</v>
      </c>
      <c r="K157" s="33" t="s">
        <v>955</v>
      </c>
      <c r="L157" s="33" t="s">
        <v>90</v>
      </c>
      <c r="M157" s="33" t="s">
        <v>109</v>
      </c>
      <c r="N157" s="35">
        <v>215</v>
      </c>
      <c r="O157" s="45">
        <v>2</v>
      </c>
      <c r="P157" s="36"/>
      <c r="Q157" s="36"/>
      <c r="R157" s="36"/>
      <c r="S157" s="36"/>
      <c r="T157" s="33"/>
      <c r="U157" s="33" t="s">
        <v>78</v>
      </c>
      <c r="V157" s="33" t="s">
        <v>78</v>
      </c>
      <c r="W157" s="35">
        <v>2</v>
      </c>
      <c r="X157" s="33"/>
      <c r="Y157" s="33"/>
      <c r="Z157" s="33"/>
      <c r="AA157" s="33"/>
      <c r="AB157" s="33">
        <v>4</v>
      </c>
      <c r="AC157" s="33">
        <v>4</v>
      </c>
      <c r="AD157" s="33">
        <v>2</v>
      </c>
      <c r="AE157" s="35">
        <v>2</v>
      </c>
      <c r="AF157" s="35">
        <v>215</v>
      </c>
      <c r="AG157" s="35">
        <v>2</v>
      </c>
      <c r="AH157" s="45">
        <v>2</v>
      </c>
      <c r="AI157" s="35">
        <v>215</v>
      </c>
      <c r="AJ157" s="36">
        <v>2</v>
      </c>
      <c r="AK157" s="33">
        <v>215</v>
      </c>
      <c r="AL157" s="33">
        <v>215</v>
      </c>
      <c r="AM157" s="33">
        <v>215</v>
      </c>
      <c r="AN157" s="33"/>
      <c r="AO157" s="33" t="s">
        <v>956</v>
      </c>
      <c r="AP157" s="33" t="s">
        <v>957</v>
      </c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21"/>
      <c r="BG157" s="21"/>
      <c r="BH157" s="21"/>
      <c r="BI157" s="21"/>
      <c r="BJ157" s="21"/>
      <c r="BK157" s="21"/>
      <c r="BL157" s="21"/>
      <c r="BM157" s="21"/>
    </row>
    <row r="158" spans="1:65" ht="15.75" customHeight="1">
      <c r="A158" s="22">
        <f t="shared" si="0"/>
        <v>26</v>
      </c>
      <c r="B158" s="22"/>
      <c r="C158" s="22" t="str">
        <f t="shared" si="1"/>
        <v>111. 211 TPE :voyagers: [S9] Adrian Kaine - SP (Noble)</v>
      </c>
      <c r="D158" s="23">
        <f t="shared" si="2"/>
        <v>111</v>
      </c>
      <c r="E158" s="22" t="str">
        <f>VLOOKUP(H158,Analysis!$A$24:$B$33,2,FALSE)</f>
        <v>:voyagers:</v>
      </c>
      <c r="F158" s="22"/>
      <c r="H158" s="27" t="s">
        <v>8</v>
      </c>
      <c r="I158" s="29" t="s">
        <v>896</v>
      </c>
      <c r="J158" s="29" t="s">
        <v>898</v>
      </c>
      <c r="K158" s="27" t="s">
        <v>960</v>
      </c>
      <c r="L158" s="27" t="s">
        <v>90</v>
      </c>
      <c r="M158" s="27" t="s">
        <v>114</v>
      </c>
      <c r="N158" s="27">
        <v>211</v>
      </c>
      <c r="O158" s="30">
        <v>5</v>
      </c>
      <c r="P158" s="30">
        <v>5</v>
      </c>
      <c r="Q158" s="30">
        <v>5</v>
      </c>
      <c r="R158" s="30"/>
      <c r="S158" s="30"/>
      <c r="T158" s="27" t="s">
        <v>612</v>
      </c>
      <c r="U158" s="27" t="s">
        <v>37</v>
      </c>
      <c r="V158" s="27" t="s">
        <v>37</v>
      </c>
      <c r="W158" s="27">
        <v>17</v>
      </c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>
        <v>185</v>
      </c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</row>
    <row r="159" spans="1:65" ht="15.75" customHeight="1">
      <c r="A159" s="22">
        <f t="shared" si="0"/>
        <v>100</v>
      </c>
      <c r="B159" s="22"/>
      <c r="C159" s="22" t="str">
        <f t="shared" si="1"/>
        <v>61. 208 TPE :vandals: [S10] Blu Line - CL (Blueline Naptime)</v>
      </c>
      <c r="D159" s="23">
        <f t="shared" si="2"/>
        <v>61</v>
      </c>
      <c r="E159" s="22" t="str">
        <f>VLOOKUP(H159,Analysis!$A$24:$B$33,2,FALSE)</f>
        <v>:vandals:</v>
      </c>
      <c r="F159" s="22"/>
      <c r="G159" s="22"/>
      <c r="H159" s="33" t="s">
        <v>12</v>
      </c>
      <c r="I159" s="34" t="s">
        <v>637</v>
      </c>
      <c r="J159" s="34" t="s">
        <v>638</v>
      </c>
      <c r="K159" s="33" t="s">
        <v>964</v>
      </c>
      <c r="L159" s="33" t="s">
        <v>336</v>
      </c>
      <c r="M159" s="33" t="s">
        <v>109</v>
      </c>
      <c r="N159" s="35">
        <v>208</v>
      </c>
      <c r="O159" s="45" t="s">
        <v>274</v>
      </c>
      <c r="P159" s="45">
        <v>5</v>
      </c>
      <c r="Q159" s="36">
        <v>5</v>
      </c>
      <c r="R159" s="36">
        <v>5</v>
      </c>
      <c r="S159" s="36"/>
      <c r="T159" s="33"/>
      <c r="U159" s="79" t="s">
        <v>38</v>
      </c>
      <c r="V159" s="33" t="s">
        <v>38</v>
      </c>
      <c r="W159" s="35">
        <v>1</v>
      </c>
      <c r="X159" s="33"/>
      <c r="Y159" s="33"/>
      <c r="Z159" s="33"/>
      <c r="AA159" s="33"/>
      <c r="AB159" s="33"/>
      <c r="AC159" s="33"/>
      <c r="AD159" s="35"/>
      <c r="AE159" s="35"/>
      <c r="AF159" s="35"/>
      <c r="AG159" s="35"/>
      <c r="AH159" s="45"/>
      <c r="AI159" s="33">
        <v>108</v>
      </c>
      <c r="AJ159" s="33"/>
      <c r="AK159" s="33"/>
      <c r="AL159" s="33"/>
      <c r="AM159" s="33"/>
      <c r="AN159" s="170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21"/>
      <c r="BG159" s="21"/>
      <c r="BH159" s="21"/>
      <c r="BI159" s="21"/>
      <c r="BJ159" s="21"/>
      <c r="BK159" s="21"/>
      <c r="BL159" s="21"/>
      <c r="BM159" s="21"/>
    </row>
    <row r="160" spans="1:65" ht="15.75" customHeight="1">
      <c r="A160" s="22">
        <f t="shared" si="0"/>
        <v>90</v>
      </c>
      <c r="B160" s="22"/>
      <c r="C160" s="22" t="str">
        <f t="shared" si="1"/>
        <v>67. 205 TPE :vandals: [S9] Josh Kings - 2B (Ty3)</v>
      </c>
      <c r="D160" s="23">
        <f t="shared" si="2"/>
        <v>67</v>
      </c>
      <c r="E160" s="22" t="str">
        <f>VLOOKUP(H160,Analysis!$A$24:$B$33,2,FALSE)</f>
        <v>:vandals:</v>
      </c>
      <c r="F160" s="22"/>
      <c r="G160" s="22"/>
      <c r="H160" s="40" t="s">
        <v>12</v>
      </c>
      <c r="I160" s="41" t="s">
        <v>792</v>
      </c>
      <c r="J160" s="41" t="s">
        <v>794</v>
      </c>
      <c r="K160" s="40" t="s">
        <v>967</v>
      </c>
      <c r="L160" s="40" t="s">
        <v>83</v>
      </c>
      <c r="M160" s="40" t="s">
        <v>795</v>
      </c>
      <c r="N160" s="42">
        <v>205</v>
      </c>
      <c r="O160" s="43">
        <v>1</v>
      </c>
      <c r="P160" s="43">
        <v>1</v>
      </c>
      <c r="Q160" s="43">
        <v>1</v>
      </c>
      <c r="R160" s="43"/>
      <c r="S160" s="43"/>
      <c r="T160" s="40" t="s">
        <v>612</v>
      </c>
      <c r="U160" s="40" t="s">
        <v>37</v>
      </c>
      <c r="V160" s="40" t="s">
        <v>37</v>
      </c>
      <c r="W160" s="42">
        <v>43</v>
      </c>
      <c r="X160" s="40"/>
      <c r="Y160" s="40"/>
      <c r="Z160" s="40"/>
      <c r="AA160" s="40"/>
      <c r="AB160" s="40"/>
      <c r="AC160" s="40"/>
      <c r="AD160" s="40"/>
      <c r="AE160" s="42"/>
      <c r="AF160" s="42"/>
      <c r="AG160" s="40"/>
      <c r="AH160" s="43" t="s">
        <v>274</v>
      </c>
      <c r="AI160" s="40">
        <v>115</v>
      </c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21"/>
      <c r="BG160" s="21"/>
      <c r="BH160" s="21"/>
      <c r="BI160" s="21"/>
      <c r="BJ160" s="21"/>
      <c r="BK160" s="21"/>
      <c r="BL160" s="21"/>
      <c r="BM160" s="21"/>
    </row>
    <row r="161" spans="1:65" ht="15.75" customHeight="1">
      <c r="A161" s="22">
        <f t="shared" si="0"/>
        <v>0</v>
      </c>
      <c r="B161" s="22"/>
      <c r="C161" s="22" t="str">
        <f t="shared" si="1"/>
        <v>134. 203 TPE :crabs: [S2] John Cheng - SP (tangboynyc)</v>
      </c>
      <c r="D161" s="23">
        <f t="shared" si="2"/>
        <v>134</v>
      </c>
      <c r="E161" s="22" t="str">
        <f>VLOOKUP(H161,Analysis!$A$24:$B$33,2,FALSE)</f>
        <v>:crabs:</v>
      </c>
      <c r="F161" s="22"/>
      <c r="G161" s="22" t="s">
        <v>970</v>
      </c>
      <c r="H161" s="33" t="s">
        <v>3</v>
      </c>
      <c r="I161" s="34" t="s">
        <v>971</v>
      </c>
      <c r="J161" s="34" t="s">
        <v>972</v>
      </c>
      <c r="K161" s="33" t="s">
        <v>974</v>
      </c>
      <c r="L161" s="33" t="s">
        <v>90</v>
      </c>
      <c r="M161" s="33" t="s">
        <v>55</v>
      </c>
      <c r="N161" s="35">
        <v>203</v>
      </c>
      <c r="O161" s="45">
        <v>2</v>
      </c>
      <c r="P161" s="36"/>
      <c r="Q161" s="36"/>
      <c r="R161" s="36"/>
      <c r="S161" s="36"/>
      <c r="T161" s="33"/>
      <c r="U161" s="33" t="s">
        <v>78</v>
      </c>
      <c r="V161" s="33" t="s">
        <v>126</v>
      </c>
      <c r="W161" s="35">
        <v>11</v>
      </c>
      <c r="X161" s="33"/>
      <c r="Y161" s="33"/>
      <c r="Z161" s="33"/>
      <c r="AA161" s="33"/>
      <c r="AB161" s="33"/>
      <c r="AC161" s="33">
        <v>4</v>
      </c>
      <c r="AD161" s="33">
        <v>5</v>
      </c>
      <c r="AE161" s="33">
        <v>6</v>
      </c>
      <c r="AF161" s="33">
        <v>2</v>
      </c>
      <c r="AG161" s="33">
        <v>2</v>
      </c>
      <c r="AH161" s="45">
        <v>2</v>
      </c>
      <c r="AI161" s="35">
        <v>203</v>
      </c>
      <c r="AJ161" s="36"/>
      <c r="AK161" s="33">
        <v>200</v>
      </c>
      <c r="AL161" s="33">
        <v>180</v>
      </c>
      <c r="AM161" s="33">
        <v>158</v>
      </c>
      <c r="AN161" s="33">
        <v>158</v>
      </c>
      <c r="AO161" s="33" t="s">
        <v>956</v>
      </c>
      <c r="AP161" s="33" t="s">
        <v>976</v>
      </c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21"/>
      <c r="BG161" s="21"/>
      <c r="BH161" s="21"/>
      <c r="BI161" s="21"/>
      <c r="BJ161" s="21"/>
      <c r="BK161" s="21"/>
      <c r="BL161" s="21"/>
      <c r="BM161" s="21"/>
    </row>
    <row r="162" spans="1:65" ht="15.75" customHeight="1">
      <c r="A162" s="22">
        <f t="shared" si="0"/>
        <v>0</v>
      </c>
      <c r="B162" s="22"/>
      <c r="C162" s="22" t="str">
        <f t="shared" si="1"/>
        <v>134. 202 TPE :bulldogs: [S1] Pablo Sanchez - 3B (ztevans)</v>
      </c>
      <c r="D162" s="23">
        <f t="shared" si="2"/>
        <v>134</v>
      </c>
      <c r="E162" s="22" t="str">
        <f>VLOOKUP(H162,Analysis!$A$24:$B$33,2,FALSE)</f>
        <v>:bulldogs:</v>
      </c>
      <c r="F162" s="22"/>
      <c r="G162" s="26" t="s">
        <v>978</v>
      </c>
      <c r="H162" s="27" t="s">
        <v>304</v>
      </c>
      <c r="I162" s="29" t="s">
        <v>980</v>
      </c>
      <c r="J162" s="29" t="s">
        <v>982</v>
      </c>
      <c r="K162" s="27" t="s">
        <v>984</v>
      </c>
      <c r="L162" s="27" t="s">
        <v>215</v>
      </c>
      <c r="M162" s="27" t="s">
        <v>740</v>
      </c>
      <c r="N162" s="27">
        <v>202</v>
      </c>
      <c r="O162" s="27"/>
      <c r="P162" s="27"/>
      <c r="Q162" s="27"/>
      <c r="R162" s="27"/>
      <c r="S162" s="27"/>
      <c r="T162" s="27"/>
      <c r="U162" s="27" t="s">
        <v>70</v>
      </c>
      <c r="V162" s="27" t="s">
        <v>70</v>
      </c>
      <c r="W162" s="27">
        <v>11</v>
      </c>
      <c r="X162" s="27"/>
      <c r="Y162" s="27"/>
      <c r="Z162" s="27"/>
      <c r="AA162" s="27"/>
      <c r="AB162" s="27"/>
      <c r="AC162" s="27">
        <v>3</v>
      </c>
      <c r="AD162" s="27">
        <v>2</v>
      </c>
      <c r="AE162" s="27">
        <v>2</v>
      </c>
      <c r="AF162" s="27">
        <v>2</v>
      </c>
      <c r="AG162" s="27"/>
      <c r="AH162" s="27"/>
      <c r="AI162" s="27">
        <v>202</v>
      </c>
      <c r="AK162" s="27">
        <v>202</v>
      </c>
      <c r="AL162" s="27">
        <v>202</v>
      </c>
      <c r="AM162" s="27">
        <v>202</v>
      </c>
      <c r="AN162" s="27">
        <v>202</v>
      </c>
      <c r="AO162" s="27" t="s">
        <v>647</v>
      </c>
      <c r="AP162" s="27" t="s">
        <v>985</v>
      </c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</row>
    <row r="163" spans="1:65" ht="15.75" customHeight="1">
      <c r="A163" s="22">
        <f t="shared" si="0"/>
        <v>0</v>
      </c>
      <c r="B163" s="22"/>
      <c r="C163" s="22" t="str">
        <f t="shared" si="1"/>
        <v>134. 198 TPE :voyagers: [S4] Omar Wright - SP (xdave2456)</v>
      </c>
      <c r="D163" s="23">
        <f t="shared" si="2"/>
        <v>134</v>
      </c>
      <c r="E163" s="22" t="str">
        <f>VLOOKUP(H163,Analysis!$A$24:$B$33,2,FALSE)</f>
        <v>:voyagers:</v>
      </c>
      <c r="F163" s="22"/>
      <c r="G163" s="22" t="s">
        <v>725</v>
      </c>
      <c r="H163" s="33" t="s">
        <v>8</v>
      </c>
      <c r="I163" s="34" t="s">
        <v>727</v>
      </c>
      <c r="J163" s="34" t="s">
        <v>730</v>
      </c>
      <c r="K163" s="33" t="s">
        <v>992</v>
      </c>
      <c r="L163" s="33" t="s">
        <v>90</v>
      </c>
      <c r="M163" s="33" t="s">
        <v>114</v>
      </c>
      <c r="N163" s="35">
        <v>198</v>
      </c>
      <c r="O163" s="36">
        <v>0.5</v>
      </c>
      <c r="P163" s="36"/>
      <c r="Q163" s="36"/>
      <c r="R163" s="36"/>
      <c r="S163" s="36"/>
      <c r="T163" s="33"/>
      <c r="U163" s="33" t="s">
        <v>32</v>
      </c>
      <c r="V163" s="33" t="s">
        <v>32</v>
      </c>
      <c r="W163" s="35">
        <v>1</v>
      </c>
      <c r="X163" s="33"/>
      <c r="Y163" s="33"/>
      <c r="Z163" s="33"/>
      <c r="AA163" s="33"/>
      <c r="AB163" s="35"/>
      <c r="AC163" s="35"/>
      <c r="AD163" s="35">
        <v>4</v>
      </c>
      <c r="AE163" s="35">
        <v>4</v>
      </c>
      <c r="AF163" s="35"/>
      <c r="AG163" s="35"/>
      <c r="AH163" s="33"/>
      <c r="AI163" s="35">
        <v>198</v>
      </c>
      <c r="AJ163" s="35">
        <v>100</v>
      </c>
      <c r="AK163" s="35" t="e">
        <v>#REF!</v>
      </c>
      <c r="AL163" s="33"/>
      <c r="AM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21"/>
      <c r="BG163" s="21"/>
      <c r="BH163" s="21"/>
      <c r="BI163" s="21"/>
      <c r="BJ163" s="21"/>
      <c r="BK163" s="21"/>
      <c r="BL163" s="21"/>
      <c r="BM163" s="21"/>
    </row>
    <row r="164" spans="1:65" ht="15.75" customHeight="1">
      <c r="A164" s="22">
        <f t="shared" si="0"/>
        <v>71</v>
      </c>
      <c r="B164" s="22"/>
      <c r="C164" s="22" t="str">
        <f t="shared" si="1"/>
        <v>80. 197 TPE :crabs: [S9] Stryker Killian - 3B (SuperDick)</v>
      </c>
      <c r="D164" s="23">
        <f t="shared" si="2"/>
        <v>80</v>
      </c>
      <c r="E164" s="22" t="str">
        <f>VLOOKUP(H164,Analysis!$A$24:$B$33,2,FALSE)</f>
        <v>:crabs:</v>
      </c>
      <c r="F164" s="22"/>
      <c r="G164" s="22"/>
      <c r="H164" s="40" t="s">
        <v>3</v>
      </c>
      <c r="I164" s="41" t="s">
        <v>979</v>
      </c>
      <c r="J164" s="41" t="s">
        <v>981</v>
      </c>
      <c r="K164" s="40" t="s">
        <v>996</v>
      </c>
      <c r="L164" s="40" t="s">
        <v>215</v>
      </c>
      <c r="M164" s="40" t="s">
        <v>97</v>
      </c>
      <c r="N164" s="42">
        <v>197</v>
      </c>
      <c r="O164" s="43">
        <v>1.5</v>
      </c>
      <c r="P164" s="43">
        <v>1.5</v>
      </c>
      <c r="Q164" s="43">
        <v>1.5</v>
      </c>
      <c r="R164" s="43"/>
      <c r="S164" s="43"/>
      <c r="T164" s="40" t="s">
        <v>373</v>
      </c>
      <c r="U164" s="40" t="s">
        <v>37</v>
      </c>
      <c r="V164" s="40" t="s">
        <v>37</v>
      </c>
      <c r="W164" s="42">
        <v>31</v>
      </c>
      <c r="X164" s="40"/>
      <c r="Y164" s="40"/>
      <c r="Z164" s="40"/>
      <c r="AA164" s="40"/>
      <c r="AB164" s="40"/>
      <c r="AC164" s="42"/>
      <c r="AD164" s="40"/>
      <c r="AE164" s="40"/>
      <c r="AF164" s="40"/>
      <c r="AG164" s="40"/>
      <c r="AH164" s="43" t="s">
        <v>274</v>
      </c>
      <c r="AI164" s="40">
        <v>126</v>
      </c>
      <c r="AJ164" s="40"/>
      <c r="AK164" s="42"/>
      <c r="AL164" s="42"/>
      <c r="AM164" s="40"/>
      <c r="AN164" s="73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21"/>
      <c r="BG164" s="21"/>
      <c r="BH164" s="21"/>
      <c r="BI164" s="21"/>
      <c r="BJ164" s="21"/>
      <c r="BK164" s="21"/>
      <c r="BL164" s="21"/>
      <c r="BM164" s="21"/>
    </row>
    <row r="165" spans="1:65" ht="15.75" customHeight="1">
      <c r="A165" s="22">
        <f t="shared" si="0"/>
        <v>0</v>
      </c>
      <c r="B165" s="22"/>
      <c r="C165" s="22" t="str">
        <f t="shared" si="1"/>
        <v>134. 196 TPE :bulldogs: [S5] Sleve McDichael - RF (kit)</v>
      </c>
      <c r="D165" s="23">
        <f t="shared" si="2"/>
        <v>134</v>
      </c>
      <c r="E165" s="22" t="str">
        <f>VLOOKUP(H165,Analysis!$A$24:$B$33,2,FALSE)</f>
        <v>:bulldogs:</v>
      </c>
      <c r="F165" s="22"/>
      <c r="G165" s="26" t="s">
        <v>998</v>
      </c>
      <c r="H165" s="56" t="s">
        <v>304</v>
      </c>
      <c r="I165" s="136" t="s">
        <v>999</v>
      </c>
      <c r="J165" s="136" t="s">
        <v>1001</v>
      </c>
      <c r="K165" s="56" t="s">
        <v>1002</v>
      </c>
      <c r="L165" s="56" t="s">
        <v>131</v>
      </c>
      <c r="M165" s="56" t="s">
        <v>132</v>
      </c>
      <c r="N165" s="56">
        <v>196</v>
      </c>
      <c r="O165" s="60"/>
      <c r="P165" s="60"/>
      <c r="Q165" s="60"/>
      <c r="R165" s="60"/>
      <c r="S165" s="60"/>
      <c r="T165" s="56"/>
      <c r="U165" s="56" t="s">
        <v>33</v>
      </c>
      <c r="V165" s="56" t="s">
        <v>33</v>
      </c>
      <c r="W165" s="56">
        <v>14</v>
      </c>
      <c r="X165" s="56"/>
      <c r="Y165" s="56"/>
      <c r="Z165" s="56"/>
      <c r="AA165" s="56"/>
      <c r="AB165" s="56"/>
      <c r="AC165" s="56"/>
      <c r="AD165" s="56"/>
      <c r="AE165" s="56">
        <v>6</v>
      </c>
      <c r="AF165" s="56">
        <v>3</v>
      </c>
      <c r="AG165" s="56">
        <v>3</v>
      </c>
      <c r="AH165" s="60">
        <v>1.5</v>
      </c>
      <c r="AI165" s="56">
        <v>196</v>
      </c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</row>
    <row r="166" spans="1:65" ht="15.75" customHeight="1">
      <c r="A166" s="22">
        <f t="shared" si="0"/>
        <v>79</v>
      </c>
      <c r="B166" s="22"/>
      <c r="C166" s="22" t="str">
        <f t="shared" si="1"/>
        <v>73. 194 TPE :crabs: [S9] Eric Tsai - 2B (MiniMan561)</v>
      </c>
      <c r="D166" s="23">
        <f t="shared" si="2"/>
        <v>73</v>
      </c>
      <c r="E166" s="22" t="str">
        <f>VLOOKUP(H166,Analysis!$A$24:$B$33,2,FALSE)</f>
        <v>:crabs:</v>
      </c>
      <c r="F166" s="22"/>
      <c r="G166" s="22"/>
      <c r="H166" s="40" t="s">
        <v>3</v>
      </c>
      <c r="I166" s="41" t="s">
        <v>983</v>
      </c>
      <c r="J166" s="41" t="s">
        <v>986</v>
      </c>
      <c r="K166" s="40" t="s">
        <v>1005</v>
      </c>
      <c r="L166" s="40" t="s">
        <v>83</v>
      </c>
      <c r="M166" s="40" t="s">
        <v>62</v>
      </c>
      <c r="N166" s="42">
        <v>194</v>
      </c>
      <c r="O166" s="43">
        <v>2</v>
      </c>
      <c r="P166" s="43">
        <v>2</v>
      </c>
      <c r="Q166" s="43">
        <v>2</v>
      </c>
      <c r="R166" s="43"/>
      <c r="S166" s="43"/>
      <c r="T166" s="40" t="s">
        <v>373</v>
      </c>
      <c r="U166" s="40" t="s">
        <v>37</v>
      </c>
      <c r="V166" s="40" t="s">
        <v>37</v>
      </c>
      <c r="W166" s="42">
        <v>15</v>
      </c>
      <c r="X166" s="40"/>
      <c r="Y166" s="40"/>
      <c r="Z166" s="40"/>
      <c r="AA166" s="40"/>
      <c r="AB166" s="40"/>
      <c r="AC166" s="42"/>
      <c r="AD166" s="40"/>
      <c r="AE166" s="40"/>
      <c r="AF166" s="40"/>
      <c r="AG166" s="40"/>
      <c r="AH166" s="43" t="s">
        <v>274</v>
      </c>
      <c r="AI166" s="40">
        <v>115</v>
      </c>
      <c r="AJ166" s="42"/>
      <c r="AK166" s="42"/>
      <c r="AL166" s="42"/>
      <c r="AM166" s="42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21"/>
      <c r="BG166" s="21"/>
      <c r="BH166" s="21"/>
      <c r="BI166" s="21"/>
      <c r="BJ166" s="21"/>
      <c r="BK166" s="21"/>
      <c r="BL166" s="21"/>
      <c r="BM166" s="21"/>
    </row>
    <row r="167" spans="1:65" ht="15.75" customHeight="1">
      <c r="A167" s="22">
        <f t="shared" si="0"/>
        <v>0</v>
      </c>
      <c r="B167" s="22"/>
      <c r="C167" s="22" t="str">
        <f t="shared" si="1"/>
        <v>134. 192 TPE :voyagers: [S2] Mariano Riviera - CL (Jider4)</v>
      </c>
      <c r="D167" s="23">
        <f t="shared" si="2"/>
        <v>134</v>
      </c>
      <c r="E167" s="22" t="str">
        <f>VLOOKUP(H167,Analysis!$A$24:$B$33,2,FALSE)</f>
        <v>:voyagers:</v>
      </c>
      <c r="F167" s="22"/>
      <c r="G167" s="22" t="s">
        <v>512</v>
      </c>
      <c r="H167" s="33" t="s">
        <v>8</v>
      </c>
      <c r="I167" s="34" t="s">
        <v>513</v>
      </c>
      <c r="J167" s="34" t="s">
        <v>514</v>
      </c>
      <c r="K167" s="33" t="s">
        <v>1010</v>
      </c>
      <c r="L167" s="33" t="s">
        <v>336</v>
      </c>
      <c r="M167" s="33" t="s">
        <v>114</v>
      </c>
      <c r="N167" s="35">
        <v>192</v>
      </c>
      <c r="O167" s="36">
        <v>0.5</v>
      </c>
      <c r="P167" s="36"/>
      <c r="Q167" s="36"/>
      <c r="R167" s="36"/>
      <c r="S167" s="36"/>
      <c r="T167" s="33"/>
      <c r="U167" s="33" t="s">
        <v>78</v>
      </c>
      <c r="V167" s="33" t="s">
        <v>78</v>
      </c>
      <c r="W167" s="35">
        <v>22</v>
      </c>
      <c r="X167" s="33"/>
      <c r="Y167" s="33"/>
      <c r="Z167" s="33"/>
      <c r="AA167" s="33"/>
      <c r="AB167" s="33"/>
      <c r="AC167" s="35">
        <v>2</v>
      </c>
      <c r="AD167" s="35">
        <v>2</v>
      </c>
      <c r="AE167" s="33">
        <v>0.5</v>
      </c>
      <c r="AF167" s="33"/>
      <c r="AG167" s="33"/>
      <c r="AH167" s="36"/>
      <c r="AI167" s="35">
        <v>192</v>
      </c>
      <c r="AJ167" s="35">
        <v>192</v>
      </c>
      <c r="AK167" s="35">
        <v>192</v>
      </c>
      <c r="AL167" s="35">
        <v>192</v>
      </c>
      <c r="AM167" s="38">
        <v>192</v>
      </c>
      <c r="AO167" s="33" t="s">
        <v>1011</v>
      </c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21"/>
      <c r="BG167" s="21"/>
      <c r="BH167" s="21"/>
      <c r="BI167" s="21"/>
      <c r="BJ167" s="21"/>
      <c r="BK167" s="21"/>
      <c r="BL167" s="21"/>
      <c r="BM167" s="21"/>
    </row>
    <row r="168" spans="1:65" ht="15.75" customHeight="1">
      <c r="A168" s="22">
        <f t="shared" si="0"/>
        <v>13</v>
      </c>
      <c r="B168" s="22"/>
      <c r="C168" s="22" t="str">
        <f t="shared" si="1"/>
        <v>122. 191 TPE :crabs: [S9] Yamcha Pu'ar - CL (Acerayz)</v>
      </c>
      <c r="D168" s="23">
        <f t="shared" si="2"/>
        <v>122</v>
      </c>
      <c r="E168" s="22" t="str">
        <f>VLOOKUP(H168,Analysis!$A$24:$B$33,2,FALSE)</f>
        <v>:crabs:</v>
      </c>
      <c r="F168" s="22"/>
      <c r="G168" s="22"/>
      <c r="H168" s="40" t="s">
        <v>3</v>
      </c>
      <c r="I168" s="41" t="s">
        <v>988</v>
      </c>
      <c r="J168" s="41" t="s">
        <v>990</v>
      </c>
      <c r="K168" s="40" t="s">
        <v>1015</v>
      </c>
      <c r="L168" s="40" t="s">
        <v>336</v>
      </c>
      <c r="M168" s="40" t="s">
        <v>458</v>
      </c>
      <c r="N168" s="42">
        <v>191</v>
      </c>
      <c r="O168" s="40" t="s">
        <v>274</v>
      </c>
      <c r="P168" s="43">
        <v>2.5</v>
      </c>
      <c r="Q168" s="43">
        <v>2.5</v>
      </c>
      <c r="R168" s="43">
        <v>2.5</v>
      </c>
      <c r="S168" s="40"/>
      <c r="T168" s="135" t="s">
        <v>991</v>
      </c>
      <c r="U168" s="40" t="s">
        <v>37</v>
      </c>
      <c r="V168" s="40" t="s">
        <v>38</v>
      </c>
      <c r="W168" s="42">
        <v>11</v>
      </c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>
        <v>178</v>
      </c>
      <c r="AJ168" s="40"/>
      <c r="AK168" s="40"/>
      <c r="AL168" s="42"/>
      <c r="AM168" s="42"/>
      <c r="AN168" s="73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21"/>
      <c r="BG168" s="21"/>
      <c r="BH168" s="21"/>
      <c r="BI168" s="21"/>
      <c r="BJ168" s="21"/>
      <c r="BK168" s="21"/>
      <c r="BL168" s="21"/>
      <c r="BM168" s="21"/>
    </row>
    <row r="169" spans="1:65" ht="15.75" customHeight="1">
      <c r="A169" s="22">
        <f t="shared" si="0"/>
        <v>0</v>
      </c>
      <c r="B169" s="22"/>
      <c r="C169" s="22" t="str">
        <f t="shared" si="1"/>
        <v>134. 190 TPE :bulldogs: [S4] Michael Rapinsk - 3B (Penguin)</v>
      </c>
      <c r="D169" s="23">
        <f t="shared" si="2"/>
        <v>134</v>
      </c>
      <c r="E169" s="22" t="str">
        <f>VLOOKUP(H169,Analysis!$A$24:$B$33,2,FALSE)</f>
        <v>:bulldogs:</v>
      </c>
      <c r="F169" s="22"/>
      <c r="G169" s="22" t="s">
        <v>1016</v>
      </c>
      <c r="H169" s="33" t="s">
        <v>304</v>
      </c>
      <c r="I169" s="34" t="s">
        <v>1017</v>
      </c>
      <c r="J169" s="34" t="s">
        <v>1018</v>
      </c>
      <c r="K169" s="33" t="s">
        <v>1019</v>
      </c>
      <c r="L169" s="33" t="s">
        <v>215</v>
      </c>
      <c r="M169" s="33" t="s">
        <v>76</v>
      </c>
      <c r="N169" s="35">
        <v>190</v>
      </c>
      <c r="O169" s="36"/>
      <c r="P169" s="36"/>
      <c r="Q169" s="36"/>
      <c r="R169" s="36"/>
      <c r="S169" s="36"/>
      <c r="T169" s="33"/>
      <c r="U169" s="33" t="s">
        <v>32</v>
      </c>
      <c r="V169" s="33" t="s">
        <v>32</v>
      </c>
      <c r="W169" s="35">
        <v>4</v>
      </c>
      <c r="X169" s="33"/>
      <c r="Y169" s="33"/>
      <c r="Z169" s="33"/>
      <c r="AA169" s="33"/>
      <c r="AB169" s="33"/>
      <c r="AC169" s="35">
        <v>5</v>
      </c>
      <c r="AD169" s="35">
        <v>5</v>
      </c>
      <c r="AE169" s="35">
        <v>0.5</v>
      </c>
      <c r="AF169" s="35">
        <v>100</v>
      </c>
      <c r="AG169" s="33"/>
      <c r="AH169" s="45"/>
      <c r="AI169" s="35">
        <v>190</v>
      </c>
      <c r="AK169" s="35">
        <v>100</v>
      </c>
      <c r="AL169" s="35"/>
      <c r="AM169" s="35"/>
      <c r="AN169" s="33"/>
      <c r="AO169" s="33" t="s">
        <v>647</v>
      </c>
      <c r="AP169" s="33" t="s">
        <v>1020</v>
      </c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21"/>
      <c r="BG169" s="21"/>
      <c r="BH169" s="21"/>
      <c r="BI169" s="21"/>
      <c r="BJ169" s="21"/>
      <c r="BK169" s="21"/>
      <c r="BL169" s="21"/>
      <c r="BM169" s="21"/>
    </row>
    <row r="170" spans="1:65" ht="15.75" customHeight="1">
      <c r="A170" s="22">
        <f t="shared" si="0"/>
        <v>89</v>
      </c>
      <c r="B170" s="22"/>
      <c r="C170" s="22" t="str">
        <f t="shared" si="1"/>
        <v>68. 189 TPE :rangers: [S10] Speedy Gonzales - 2B (SDCore)</v>
      </c>
      <c r="D170" s="23">
        <f t="shared" si="2"/>
        <v>68</v>
      </c>
      <c r="E170" s="22" t="str">
        <f>VLOOKUP(H170,Analysis!$A$24:$B$33,2,FALSE)</f>
        <v>:rangers:</v>
      </c>
      <c r="F170" s="22"/>
      <c r="H170" s="27" t="s">
        <v>9</v>
      </c>
      <c r="I170" s="29" t="s">
        <v>1021</v>
      </c>
      <c r="J170" s="29" t="s">
        <v>1022</v>
      </c>
      <c r="K170" s="27" t="s">
        <v>1023</v>
      </c>
      <c r="L170" s="27" t="s">
        <v>83</v>
      </c>
      <c r="M170" s="27" t="s">
        <v>1024</v>
      </c>
      <c r="N170" s="27">
        <v>189</v>
      </c>
      <c r="O170" s="27" t="s">
        <v>274</v>
      </c>
      <c r="P170" s="30">
        <v>3</v>
      </c>
      <c r="Q170" s="30">
        <v>3</v>
      </c>
      <c r="R170" s="30">
        <v>3</v>
      </c>
      <c r="S170" s="27"/>
      <c r="T170" s="31" t="s">
        <v>1025</v>
      </c>
      <c r="U170" s="27" t="s">
        <v>38</v>
      </c>
      <c r="V170" s="27" t="s">
        <v>38</v>
      </c>
      <c r="W170" s="27">
        <v>7</v>
      </c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>
        <v>100</v>
      </c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</row>
    <row r="171" spans="1:65" ht="15.75" customHeight="1">
      <c r="A171" s="22">
        <f t="shared" si="0"/>
        <v>88</v>
      </c>
      <c r="B171" s="22"/>
      <c r="C171" s="22" t="str">
        <f t="shared" si="1"/>
        <v>69. 188 TPE :crabs: [S10] A.C. Peyton - SP (Hydracronis)</v>
      </c>
      <c r="D171" s="23">
        <f t="shared" si="2"/>
        <v>69</v>
      </c>
      <c r="E171" s="22" t="str">
        <f>VLOOKUP(H171,Analysis!$A$24:$B$33,2,FALSE)</f>
        <v>:crabs:</v>
      </c>
      <c r="F171" s="22"/>
      <c r="G171" s="22"/>
      <c r="H171" s="33" t="s">
        <v>3</v>
      </c>
      <c r="I171" s="34" t="s">
        <v>993</v>
      </c>
      <c r="J171" s="34" t="s">
        <v>1027</v>
      </c>
      <c r="K171" s="33" t="s">
        <v>1028</v>
      </c>
      <c r="L171" s="33" t="s">
        <v>90</v>
      </c>
      <c r="M171" s="33" t="s">
        <v>114</v>
      </c>
      <c r="N171" s="35">
        <v>188</v>
      </c>
      <c r="O171" s="45" t="s">
        <v>274</v>
      </c>
      <c r="P171" s="36">
        <v>4</v>
      </c>
      <c r="Q171" s="36">
        <v>3</v>
      </c>
      <c r="R171" s="36">
        <v>3</v>
      </c>
      <c r="S171" s="36"/>
      <c r="T171" s="37" t="s">
        <v>991</v>
      </c>
      <c r="U171" s="33" t="s">
        <v>38</v>
      </c>
      <c r="V171" s="33" t="s">
        <v>38</v>
      </c>
      <c r="W171" s="35">
        <v>2</v>
      </c>
      <c r="X171" s="33"/>
      <c r="Y171" s="33"/>
      <c r="Z171" s="33"/>
      <c r="AA171" s="33"/>
      <c r="AB171" s="33"/>
      <c r="AC171" s="33"/>
      <c r="AD171" s="33"/>
      <c r="AE171" s="33"/>
      <c r="AF171" s="33"/>
      <c r="AG171" s="35"/>
      <c r="AH171" s="45"/>
      <c r="AI171" s="33">
        <v>100</v>
      </c>
      <c r="AJ171" s="33"/>
      <c r="AK171" s="33"/>
      <c r="AL171" s="33"/>
      <c r="AM171" s="33"/>
      <c r="AN171" s="170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21"/>
      <c r="BG171" s="21"/>
      <c r="BH171" s="21"/>
      <c r="BI171" s="21"/>
      <c r="BJ171" s="21"/>
      <c r="BK171" s="21"/>
      <c r="BL171" s="21"/>
      <c r="BM171" s="21"/>
    </row>
    <row r="172" spans="1:65" ht="15.75" customHeight="1">
      <c r="A172" s="22">
        <f t="shared" si="0"/>
        <v>0</v>
      </c>
      <c r="B172" s="22"/>
      <c r="C172" s="22" t="str">
        <f t="shared" si="1"/>
        <v>134. 187 TPE :bulldogs: [S1] Ty Justice - 3B (Justice)</v>
      </c>
      <c r="D172" s="23">
        <f t="shared" si="2"/>
        <v>134</v>
      </c>
      <c r="E172" s="22" t="str">
        <f>VLOOKUP(H172,Analysis!$A$24:$B$33,2,FALSE)</f>
        <v>:bulldogs:</v>
      </c>
      <c r="F172" s="22"/>
      <c r="G172" s="22" t="s">
        <v>1031</v>
      </c>
      <c r="H172" s="40" t="s">
        <v>304</v>
      </c>
      <c r="I172" s="41" t="s">
        <v>1032</v>
      </c>
      <c r="J172" s="41" t="s">
        <v>1034</v>
      </c>
      <c r="K172" s="40" t="s">
        <v>1035</v>
      </c>
      <c r="L172" s="40" t="s">
        <v>215</v>
      </c>
      <c r="M172" s="40" t="s">
        <v>298</v>
      </c>
      <c r="N172" s="42">
        <v>187</v>
      </c>
      <c r="O172" s="40"/>
      <c r="P172" s="40"/>
      <c r="Q172" s="40"/>
      <c r="R172" s="40"/>
      <c r="S172" s="40"/>
      <c r="T172" s="40"/>
      <c r="U172" s="40" t="s">
        <v>70</v>
      </c>
      <c r="V172" s="40" t="s">
        <v>70</v>
      </c>
      <c r="W172" s="42">
        <v>4</v>
      </c>
      <c r="X172" s="40"/>
      <c r="Y172" s="40"/>
      <c r="Z172" s="40"/>
      <c r="AA172" s="40"/>
      <c r="AB172" s="40" t="s">
        <v>1036</v>
      </c>
      <c r="AC172" s="42"/>
      <c r="AD172" s="42"/>
      <c r="AE172" s="40"/>
      <c r="AF172" s="40"/>
      <c r="AG172" s="40"/>
      <c r="AH172" s="40"/>
      <c r="AI172" s="42">
        <v>187</v>
      </c>
      <c r="AK172" s="42"/>
      <c r="AL172" s="42"/>
      <c r="AM172" s="42">
        <v>212</v>
      </c>
      <c r="AN172" s="191">
        <v>212</v>
      </c>
      <c r="AO172" s="40" t="s">
        <v>647</v>
      </c>
      <c r="AP172" s="40" t="s">
        <v>1037</v>
      </c>
      <c r="AQ172" s="40" t="s">
        <v>1039</v>
      </c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21"/>
      <c r="BG172" s="21"/>
      <c r="BH172" s="21"/>
      <c r="BI172" s="21"/>
      <c r="BJ172" s="21"/>
      <c r="BK172" s="21"/>
      <c r="BL172" s="21"/>
      <c r="BM172" s="21"/>
    </row>
    <row r="173" spans="1:65" ht="15.75" customHeight="1">
      <c r="A173" s="22">
        <f t="shared" si="0"/>
        <v>0</v>
      </c>
      <c r="B173" s="22"/>
      <c r="C173" s="22" t="str">
        <f t="shared" si="1"/>
        <v>134. 186 TPE :bulldogs: [S6] Jim Kekton - SS (Keksecutioner)</v>
      </c>
      <c r="D173" s="23">
        <f t="shared" si="2"/>
        <v>134</v>
      </c>
      <c r="E173" s="22" t="str">
        <f>VLOOKUP(H173,Analysis!$A$24:$B$33,2,FALSE)</f>
        <v>:bulldogs:</v>
      </c>
      <c r="F173" s="22"/>
      <c r="G173" s="26" t="s">
        <v>1040</v>
      </c>
      <c r="H173" s="56" t="s">
        <v>304</v>
      </c>
      <c r="I173" s="136" t="s">
        <v>1042</v>
      </c>
      <c r="J173" s="136" t="s">
        <v>1044</v>
      </c>
      <c r="K173" s="56" t="s">
        <v>1045</v>
      </c>
      <c r="L173" s="56" t="s">
        <v>75</v>
      </c>
      <c r="M173" s="56" t="s">
        <v>1047</v>
      </c>
      <c r="N173" s="56">
        <v>186</v>
      </c>
      <c r="O173" s="56"/>
      <c r="P173" s="56"/>
      <c r="Q173" s="56"/>
      <c r="R173" s="56"/>
      <c r="S173" s="56"/>
      <c r="T173" s="56" t="s">
        <v>1048</v>
      </c>
      <c r="U173" s="56" t="s">
        <v>34</v>
      </c>
      <c r="V173" s="56" t="s">
        <v>34</v>
      </c>
      <c r="W173" s="56">
        <v>22</v>
      </c>
      <c r="X173" s="56"/>
      <c r="Y173" s="56"/>
      <c r="Z173" s="56"/>
      <c r="AA173" s="56"/>
      <c r="AB173" s="56"/>
      <c r="AC173" s="56"/>
      <c r="AD173" s="56"/>
      <c r="AE173" s="56">
        <v>4.5</v>
      </c>
      <c r="AF173" s="56">
        <v>1.5</v>
      </c>
      <c r="AG173" s="56"/>
      <c r="AH173" s="56">
        <v>1.5</v>
      </c>
      <c r="AI173" s="56">
        <v>186</v>
      </c>
      <c r="AK173" s="56"/>
      <c r="AL173" s="56"/>
      <c r="AM173" s="56"/>
      <c r="AN173" s="56"/>
      <c r="AO173" s="56" t="s">
        <v>647</v>
      </c>
      <c r="AP173" s="56" t="s">
        <v>1049</v>
      </c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</row>
    <row r="174" spans="1:65" ht="15.75" customHeight="1">
      <c r="A174" s="22">
        <f t="shared" si="0"/>
        <v>45</v>
      </c>
      <c r="B174" s="22"/>
      <c r="C174" s="22" t="str">
        <f t="shared" si="1"/>
        <v>96. 184 TPE :voyagers: [S9] Shovel Bryant - 2B (Ramzavail)</v>
      </c>
      <c r="D174" s="23">
        <f t="shared" si="2"/>
        <v>96</v>
      </c>
      <c r="E174" s="22" t="str">
        <f>VLOOKUP(H174,Analysis!$A$24:$B$33,2,FALSE)</f>
        <v>:voyagers:</v>
      </c>
      <c r="F174" s="22"/>
      <c r="G174" s="22"/>
      <c r="H174" s="40" t="s">
        <v>8</v>
      </c>
      <c r="I174" s="41" t="s">
        <v>900</v>
      </c>
      <c r="J174" s="41" t="s">
        <v>902</v>
      </c>
      <c r="K174" s="40" t="s">
        <v>1052</v>
      </c>
      <c r="L174" s="40" t="s">
        <v>83</v>
      </c>
      <c r="M174" s="40" t="s">
        <v>904</v>
      </c>
      <c r="N174" s="42">
        <v>184</v>
      </c>
      <c r="O174" s="43">
        <v>3</v>
      </c>
      <c r="P174" s="43">
        <v>3</v>
      </c>
      <c r="Q174" s="43">
        <v>4</v>
      </c>
      <c r="R174" s="43"/>
      <c r="S174" s="43"/>
      <c r="T174" s="40" t="s">
        <v>373</v>
      </c>
      <c r="U174" s="40" t="s">
        <v>37</v>
      </c>
      <c r="V174" s="40" t="s">
        <v>37</v>
      </c>
      <c r="W174" s="42">
        <v>21</v>
      </c>
      <c r="X174" s="40"/>
      <c r="Y174" s="40"/>
      <c r="Z174" s="40"/>
      <c r="AA174" s="40"/>
      <c r="AB174" s="40"/>
      <c r="AC174" s="42"/>
      <c r="AD174" s="42"/>
      <c r="AE174" s="40"/>
      <c r="AF174" s="40"/>
      <c r="AG174" s="40"/>
      <c r="AH174" s="43"/>
      <c r="AI174" s="42">
        <v>139</v>
      </c>
      <c r="AK174" s="42"/>
      <c r="AL174" s="42"/>
      <c r="AM174" s="42"/>
      <c r="AN174" s="73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21"/>
      <c r="BG174" s="21"/>
      <c r="BH174" s="21"/>
      <c r="BI174" s="21"/>
      <c r="BJ174" s="21"/>
      <c r="BK174" s="21"/>
      <c r="BL174" s="21"/>
      <c r="BM174" s="21"/>
    </row>
    <row r="175" spans="1:65" ht="15.75" customHeight="1">
      <c r="A175" s="22">
        <f t="shared" si="0"/>
        <v>40</v>
      </c>
      <c r="B175" s="22"/>
      <c r="C175" s="22" t="str">
        <f t="shared" si="1"/>
        <v>102. 184 TPE :utah: [S9] Icy Douglas - LF (iseedoug)</v>
      </c>
      <c r="D175" s="23">
        <f t="shared" si="2"/>
        <v>102</v>
      </c>
      <c r="E175" s="22" t="str">
        <f>VLOOKUP(H175,Analysis!$A$24:$B$33,2,FALSE)</f>
        <v>:utah:</v>
      </c>
      <c r="F175" s="22"/>
      <c r="G175" s="22"/>
      <c r="H175" s="33" t="s">
        <v>13</v>
      </c>
      <c r="I175" s="34" t="s">
        <v>708</v>
      </c>
      <c r="J175" s="34" t="s">
        <v>710</v>
      </c>
      <c r="K175" s="33" t="s">
        <v>1055</v>
      </c>
      <c r="L175" s="33" t="s">
        <v>180</v>
      </c>
      <c r="M175" s="33" t="s">
        <v>192</v>
      </c>
      <c r="N175" s="35">
        <v>184</v>
      </c>
      <c r="O175" s="36">
        <v>3</v>
      </c>
      <c r="P175" s="36">
        <v>3.5</v>
      </c>
      <c r="Q175" s="36">
        <v>4</v>
      </c>
      <c r="R175" s="36"/>
      <c r="S175" s="36"/>
      <c r="T175" s="33" t="s">
        <v>612</v>
      </c>
      <c r="U175" s="33" t="s">
        <v>37</v>
      </c>
      <c r="V175" s="33" t="s">
        <v>37</v>
      </c>
      <c r="W175" s="35">
        <v>14</v>
      </c>
      <c r="X175" s="33"/>
      <c r="Y175" s="33"/>
      <c r="Z175" s="33"/>
      <c r="AA175" s="33"/>
      <c r="AB175" s="35"/>
      <c r="AC175" s="35"/>
      <c r="AD175" s="35"/>
      <c r="AE175" s="35"/>
      <c r="AF175" s="35"/>
      <c r="AG175" s="35"/>
      <c r="AH175" s="45" t="s">
        <v>274</v>
      </c>
      <c r="AI175" s="35">
        <v>144</v>
      </c>
      <c r="AJ175" s="35"/>
      <c r="AK175" s="35"/>
      <c r="AL175" s="35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21"/>
      <c r="BG175" s="21"/>
      <c r="BH175" s="21"/>
      <c r="BI175" s="21"/>
      <c r="BJ175" s="21"/>
      <c r="BK175" s="21"/>
      <c r="BL175" s="21"/>
      <c r="BM175" s="21"/>
    </row>
    <row r="176" spans="1:65" ht="15.75" customHeight="1">
      <c r="A176" s="22">
        <f t="shared" si="0"/>
        <v>0</v>
      </c>
      <c r="B176" s="22"/>
      <c r="C176" s="22" t="str">
        <f t="shared" si="1"/>
        <v>134. 183 TPE :scorpions: [S3] Rodney Flecha - CL (jaskins811)</v>
      </c>
      <c r="D176" s="23">
        <f t="shared" si="2"/>
        <v>134</v>
      </c>
      <c r="E176" s="22" t="str">
        <f>VLOOKUP(H176,Analysis!$A$24:$B$33,2,FALSE)</f>
        <v>:scorpions:</v>
      </c>
      <c r="F176" s="22"/>
      <c r="G176" s="22" t="s">
        <v>275</v>
      </c>
      <c r="H176" s="40" t="s">
        <v>10</v>
      </c>
      <c r="I176" s="41" t="s">
        <v>277</v>
      </c>
      <c r="J176" s="41" t="s">
        <v>279</v>
      </c>
      <c r="K176" s="40" t="s">
        <v>1060</v>
      </c>
      <c r="L176" s="40" t="s">
        <v>336</v>
      </c>
      <c r="M176" s="40" t="s">
        <v>55</v>
      </c>
      <c r="N176" s="155">
        <v>183</v>
      </c>
      <c r="O176" s="44">
        <v>0.5</v>
      </c>
      <c r="P176" s="43"/>
      <c r="Q176" s="43"/>
      <c r="R176" s="43"/>
      <c r="S176" s="43"/>
      <c r="T176" s="40"/>
      <c r="U176" s="40" t="s">
        <v>126</v>
      </c>
      <c r="V176" s="40" t="s">
        <v>126</v>
      </c>
      <c r="W176" s="42">
        <v>8</v>
      </c>
      <c r="X176" s="40"/>
      <c r="Y176" s="40"/>
      <c r="Z176" s="40"/>
      <c r="AA176" s="40"/>
      <c r="AB176" s="40"/>
      <c r="AC176" s="40">
        <v>4</v>
      </c>
      <c r="AD176" s="40">
        <v>4</v>
      </c>
      <c r="AE176" s="40">
        <v>4</v>
      </c>
      <c r="AF176" s="40">
        <v>0.5</v>
      </c>
      <c r="AG176" s="42"/>
      <c r="AH176" s="44">
        <v>0.5</v>
      </c>
      <c r="AI176" s="40">
        <v>183</v>
      </c>
      <c r="AJ176" s="40">
        <v>175</v>
      </c>
      <c r="AK176" s="40">
        <v>154</v>
      </c>
      <c r="AL176" s="40">
        <v>183</v>
      </c>
      <c r="AM176" s="40">
        <v>138</v>
      </c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21"/>
      <c r="BG176" s="21"/>
      <c r="BH176" s="21"/>
      <c r="BI176" s="21"/>
      <c r="BJ176" s="21"/>
      <c r="BK176" s="21"/>
      <c r="BL176" s="21"/>
      <c r="BM176" s="21"/>
    </row>
    <row r="177" spans="1:65" ht="15.75" customHeight="1">
      <c r="A177" s="22">
        <f t="shared" si="0"/>
        <v>81</v>
      </c>
      <c r="B177" s="22"/>
      <c r="C177" s="22" t="str">
        <f t="shared" si="1"/>
        <v>72. 181 TPE :utah: [S10] Colben Fairborn - CL (Symmetrik)</v>
      </c>
      <c r="D177" s="23">
        <f t="shared" si="2"/>
        <v>72</v>
      </c>
      <c r="E177" s="22" t="str">
        <f>VLOOKUP(H177,Analysis!$A$24:$B$33,2,FALSE)</f>
        <v>:utah:</v>
      </c>
      <c r="F177" s="22"/>
      <c r="G177" s="22"/>
      <c r="H177" s="33" t="s">
        <v>13</v>
      </c>
      <c r="I177" s="34" t="s">
        <v>443</v>
      </c>
      <c r="J177" s="34" t="s">
        <v>712</v>
      </c>
      <c r="K177" s="33" t="s">
        <v>1063</v>
      </c>
      <c r="L177" s="33" t="s">
        <v>336</v>
      </c>
      <c r="M177" s="33" t="s">
        <v>114</v>
      </c>
      <c r="N177" s="35">
        <v>181</v>
      </c>
      <c r="O177" s="45">
        <v>3</v>
      </c>
      <c r="P177" s="45">
        <v>3</v>
      </c>
      <c r="Q177" s="36">
        <v>3</v>
      </c>
      <c r="R177" s="36"/>
      <c r="S177" s="36"/>
      <c r="T177" s="37" t="s">
        <v>692</v>
      </c>
      <c r="U177" s="33" t="s">
        <v>38</v>
      </c>
      <c r="V177" s="33" t="s">
        <v>38</v>
      </c>
      <c r="W177" s="35">
        <v>4</v>
      </c>
      <c r="X177" s="33"/>
      <c r="Y177" s="33"/>
      <c r="Z177" s="33"/>
      <c r="AA177" s="33"/>
      <c r="AB177" s="33"/>
      <c r="AC177" s="35"/>
      <c r="AD177" s="35"/>
      <c r="AE177" s="35"/>
      <c r="AF177" s="35"/>
      <c r="AG177" s="35"/>
      <c r="AH177" s="45"/>
      <c r="AI177" s="35">
        <v>100</v>
      </c>
      <c r="AJ177" s="35"/>
      <c r="AK177" s="33"/>
      <c r="AL177" s="33"/>
      <c r="AM177" s="33"/>
      <c r="AN177" s="170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21"/>
      <c r="BG177" s="21"/>
      <c r="BH177" s="21"/>
      <c r="BI177" s="21"/>
      <c r="BJ177" s="21"/>
      <c r="BK177" s="21"/>
      <c r="BL177" s="21"/>
      <c r="BM177" s="21"/>
    </row>
    <row r="178" spans="1:65" ht="15.75" customHeight="1">
      <c r="A178" s="22">
        <f t="shared" si="0"/>
        <v>0</v>
      </c>
      <c r="B178" s="22"/>
      <c r="C178" s="22" t="str">
        <f t="shared" si="1"/>
        <v>134. 181 TPE :bulldogs: [S1] Alex Sincario - 2B (daBenchwarmer)</v>
      </c>
      <c r="D178" s="23">
        <f t="shared" si="2"/>
        <v>134</v>
      </c>
      <c r="E178" s="22" t="str">
        <f>VLOOKUP(H178,Analysis!$A$24:$B$33,2,FALSE)</f>
        <v>:bulldogs:</v>
      </c>
      <c r="F178" s="22"/>
      <c r="G178" s="22" t="s">
        <v>1064</v>
      </c>
      <c r="H178" s="40" t="s">
        <v>304</v>
      </c>
      <c r="I178" s="41" t="s">
        <v>1065</v>
      </c>
      <c r="J178" s="41" t="s">
        <v>1066</v>
      </c>
      <c r="K178" s="40" t="s">
        <v>1067</v>
      </c>
      <c r="L178" s="40" t="s">
        <v>83</v>
      </c>
      <c r="M178" s="40" t="s">
        <v>151</v>
      </c>
      <c r="N178" s="42">
        <v>181</v>
      </c>
      <c r="O178" s="43"/>
      <c r="P178" s="43"/>
      <c r="Q178" s="43"/>
      <c r="R178" s="43"/>
      <c r="S178" s="43"/>
      <c r="T178" s="40"/>
      <c r="U178" s="40" t="s">
        <v>70</v>
      </c>
      <c r="V178" s="40" t="s">
        <v>70</v>
      </c>
      <c r="W178" s="42">
        <v>13</v>
      </c>
      <c r="X178" s="40"/>
      <c r="Y178" s="40"/>
      <c r="Z178" s="40"/>
      <c r="AA178" s="40"/>
      <c r="AB178" s="40"/>
      <c r="AC178" s="40">
        <v>3</v>
      </c>
      <c r="AD178" s="42"/>
      <c r="AE178" s="42"/>
      <c r="AF178" s="42"/>
      <c r="AG178" s="42"/>
      <c r="AH178" s="44"/>
      <c r="AI178" s="42">
        <v>181</v>
      </c>
      <c r="AK178" s="42"/>
      <c r="AL178" s="40">
        <v>205</v>
      </c>
      <c r="AM178" s="40">
        <v>205</v>
      </c>
      <c r="AN178" s="40"/>
      <c r="AO178" s="40" t="s">
        <v>647</v>
      </c>
      <c r="AP178" s="40" t="s">
        <v>1068</v>
      </c>
      <c r="AQ178" s="40" t="s">
        <v>1069</v>
      </c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21"/>
      <c r="BG178" s="21"/>
      <c r="BH178" s="21"/>
      <c r="BI178" s="21"/>
      <c r="BJ178" s="21"/>
      <c r="BK178" s="21"/>
      <c r="BL178" s="21"/>
      <c r="BM178" s="21"/>
    </row>
    <row r="179" spans="1:65" ht="15.75" customHeight="1">
      <c r="A179" s="22">
        <f t="shared" si="0"/>
        <v>0</v>
      </c>
      <c r="B179" s="22"/>
      <c r="C179" s="22" t="str">
        <f t="shared" si="1"/>
        <v>134. 179 TPE :utah: [S1] Mahmoud Ajlouni - C (Majlouni21)</v>
      </c>
      <c r="D179" s="23">
        <f t="shared" si="2"/>
        <v>134</v>
      </c>
      <c r="E179" s="22" t="str">
        <f>VLOOKUP(H179,Analysis!$A$24:$B$33,2,FALSE)</f>
        <v>:utah:</v>
      </c>
      <c r="F179" s="22"/>
      <c r="G179" s="22" t="s">
        <v>1070</v>
      </c>
      <c r="H179" s="33" t="s">
        <v>13</v>
      </c>
      <c r="I179" s="34" t="s">
        <v>1071</v>
      </c>
      <c r="J179" s="34" t="s">
        <v>1072</v>
      </c>
      <c r="K179" s="33" t="s">
        <v>1073</v>
      </c>
      <c r="L179" s="33" t="s">
        <v>103</v>
      </c>
      <c r="M179" s="33" t="s">
        <v>132</v>
      </c>
      <c r="N179" s="35">
        <v>179</v>
      </c>
      <c r="O179" s="36">
        <v>0.5</v>
      </c>
      <c r="P179" s="36"/>
      <c r="Q179" s="36"/>
      <c r="R179" s="36"/>
      <c r="S179" s="36"/>
      <c r="T179" s="33"/>
      <c r="U179" s="33" t="s">
        <v>70</v>
      </c>
      <c r="V179" s="33" t="s">
        <v>70</v>
      </c>
      <c r="W179" s="35">
        <v>87</v>
      </c>
      <c r="X179" s="33"/>
      <c r="Y179" s="35"/>
      <c r="Z179" s="35"/>
      <c r="AA179" s="33"/>
      <c r="AB179" s="33">
        <v>1</v>
      </c>
      <c r="AC179" s="33">
        <v>2</v>
      </c>
      <c r="AD179" s="33">
        <v>2</v>
      </c>
      <c r="AE179" s="33">
        <v>0.5</v>
      </c>
      <c r="AF179" s="35">
        <v>149</v>
      </c>
      <c r="AG179" s="35"/>
      <c r="AH179" s="45"/>
      <c r="AI179" s="35">
        <v>179</v>
      </c>
      <c r="AJ179" s="33"/>
      <c r="AK179" s="33">
        <v>149</v>
      </c>
      <c r="AL179" s="33">
        <v>149</v>
      </c>
      <c r="AM179" s="33">
        <v>149</v>
      </c>
      <c r="AN179" s="33"/>
      <c r="AO179" s="33" t="s">
        <v>510</v>
      </c>
      <c r="AP179" s="33" t="s">
        <v>1074</v>
      </c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21"/>
      <c r="BG179" s="21"/>
      <c r="BH179" s="21"/>
      <c r="BI179" s="21"/>
      <c r="BJ179" s="21"/>
      <c r="BK179" s="21"/>
      <c r="BL179" s="21"/>
      <c r="BM179" s="21"/>
    </row>
    <row r="180" spans="1:65" ht="15.75" customHeight="1">
      <c r="A180" s="22">
        <f t="shared" si="0"/>
        <v>0</v>
      </c>
      <c r="B180" s="22"/>
      <c r="C180" s="22" t="str">
        <f t="shared" si="1"/>
        <v>134. 179 TPE 0 [S9] Kenga Yunai - RF (MikeGravy)</v>
      </c>
      <c r="D180" s="23">
        <f t="shared" si="2"/>
        <v>134</v>
      </c>
      <c r="E180" s="22">
        <f>VLOOKUP(H180,Analysis!$A$24:$B$33,2,FALSE)</f>
        <v>0</v>
      </c>
      <c r="F180" s="22"/>
      <c r="G180" s="22"/>
      <c r="H180" s="40" t="s">
        <v>44</v>
      </c>
      <c r="I180" s="41" t="s">
        <v>1075</v>
      </c>
      <c r="J180" s="41" t="s">
        <v>1076</v>
      </c>
      <c r="K180" s="40" t="s">
        <v>1077</v>
      </c>
      <c r="L180" s="40" t="s">
        <v>131</v>
      </c>
      <c r="M180" s="40" t="s">
        <v>298</v>
      </c>
      <c r="N180" s="42">
        <v>179</v>
      </c>
      <c r="O180" s="43"/>
      <c r="P180" s="43"/>
      <c r="Q180" s="43"/>
      <c r="R180" s="43"/>
      <c r="S180" s="43"/>
      <c r="T180" s="40"/>
      <c r="U180" s="40" t="s">
        <v>37</v>
      </c>
      <c r="V180" s="40" t="s">
        <v>38</v>
      </c>
      <c r="W180" s="42">
        <v>44</v>
      </c>
      <c r="X180" s="40"/>
      <c r="Y180" s="40"/>
      <c r="Z180" s="40"/>
      <c r="AA180" s="40"/>
      <c r="AB180" s="40"/>
      <c r="AC180" s="42"/>
      <c r="AD180" s="42"/>
      <c r="AE180" s="40"/>
      <c r="AF180" s="40"/>
      <c r="AG180" s="40"/>
      <c r="AH180" s="43"/>
      <c r="AI180" s="42">
        <v>179</v>
      </c>
      <c r="AK180" s="42"/>
      <c r="AL180" s="42"/>
      <c r="AM180" s="42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21"/>
      <c r="BG180" s="21"/>
      <c r="BH180" s="21"/>
      <c r="BI180" s="21"/>
      <c r="BJ180" s="21"/>
      <c r="BK180" s="21"/>
      <c r="BL180" s="21"/>
      <c r="BM180" s="21"/>
    </row>
    <row r="181" spans="1:65" ht="15.75" customHeight="1">
      <c r="A181" s="22">
        <f t="shared" si="0"/>
        <v>78</v>
      </c>
      <c r="B181" s="22"/>
      <c r="C181" s="22" t="str">
        <f t="shared" si="1"/>
        <v>76. 178 TPE :swifties: [S10] Bryan Barnes - 3B (AndrewWarren13)</v>
      </c>
      <c r="D181" s="23">
        <f t="shared" si="2"/>
        <v>76</v>
      </c>
      <c r="E181" s="4" t="s">
        <v>1078</v>
      </c>
      <c r="F181" s="4"/>
      <c r="H181" s="54" t="s">
        <v>44</v>
      </c>
      <c r="I181" s="189" t="s">
        <v>310</v>
      </c>
      <c r="J181" s="25" t="s">
        <v>752</v>
      </c>
      <c r="K181" s="54" t="str">
        <f>IFERROR(TRIM(LEFT(J181,LEN(J181)-4)),"")</f>
        <v>Bryan Barnes</v>
      </c>
      <c r="L181" s="54" t="str">
        <f>TRIM(RIGHT(J181,2))</f>
        <v>3B</v>
      </c>
      <c r="M181" s="58" t="s">
        <v>159</v>
      </c>
      <c r="N181" s="58">
        <v>178</v>
      </c>
      <c r="U181" s="54" t="s">
        <v>38</v>
      </c>
      <c r="V181" s="54" t="s">
        <v>19</v>
      </c>
      <c r="AI181" s="58">
        <v>100</v>
      </c>
    </row>
    <row r="182" spans="1:65" ht="15.75" customHeight="1">
      <c r="A182" s="22">
        <f t="shared" si="0"/>
        <v>26</v>
      </c>
      <c r="B182" s="22"/>
      <c r="C182" s="22" t="str">
        <f t="shared" si="1"/>
        <v>111. 178 TPE :voyagers: [S9] Mork Spaghettelli - 3B (CatmanIndustries)</v>
      </c>
      <c r="D182" s="23">
        <f t="shared" si="2"/>
        <v>111</v>
      </c>
      <c r="E182" s="22" t="str">
        <f>VLOOKUP(H182,Analysis!$A$24:$B$33,2,FALSE)</f>
        <v>:voyagers:</v>
      </c>
      <c r="F182" s="22"/>
      <c r="H182" s="27" t="s">
        <v>8</v>
      </c>
      <c r="I182" s="29" t="s">
        <v>905</v>
      </c>
      <c r="J182" s="29" t="s">
        <v>907</v>
      </c>
      <c r="K182" s="27" t="s">
        <v>1079</v>
      </c>
      <c r="L182" s="27" t="s">
        <v>215</v>
      </c>
      <c r="M182" s="27" t="s">
        <v>192</v>
      </c>
      <c r="N182" s="27">
        <v>178</v>
      </c>
      <c r="O182" s="27" t="s">
        <v>274</v>
      </c>
      <c r="P182" s="30">
        <v>5</v>
      </c>
      <c r="Q182" s="30">
        <v>5</v>
      </c>
      <c r="R182" s="30">
        <v>5</v>
      </c>
      <c r="S182" s="27"/>
      <c r="T182" s="31" t="s">
        <v>909</v>
      </c>
      <c r="U182" s="27" t="s">
        <v>37</v>
      </c>
      <c r="V182" s="27" t="s">
        <v>38</v>
      </c>
      <c r="W182" s="27">
        <v>17</v>
      </c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>
        <v>152</v>
      </c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</row>
    <row r="183" spans="1:65" ht="15.75" customHeight="1">
      <c r="A183" s="22">
        <f t="shared" si="0"/>
        <v>73</v>
      </c>
      <c r="B183" s="22"/>
      <c r="C183" s="22" t="str">
        <f t="shared" si="1"/>
        <v>78. 173 TPE :vandals: [S9] Kris Kramer - 3B (kramerattack)</v>
      </c>
      <c r="D183" s="23">
        <f t="shared" si="2"/>
        <v>78</v>
      </c>
      <c r="E183" s="22" t="str">
        <f>VLOOKUP(H183,Analysis!$A$24:$B$33,2,FALSE)</f>
        <v>:vandals:</v>
      </c>
      <c r="F183" s="22"/>
      <c r="G183" s="22"/>
      <c r="H183" s="33" t="s">
        <v>12</v>
      </c>
      <c r="I183" s="34" t="s">
        <v>796</v>
      </c>
      <c r="J183" s="34" t="s">
        <v>799</v>
      </c>
      <c r="K183" s="33" t="s">
        <v>1080</v>
      </c>
      <c r="L183" s="33" t="s">
        <v>215</v>
      </c>
      <c r="M183" s="33" t="s">
        <v>192</v>
      </c>
      <c r="N183" s="35">
        <v>173</v>
      </c>
      <c r="O183" s="36">
        <v>1</v>
      </c>
      <c r="P183" s="36">
        <v>5</v>
      </c>
      <c r="Q183" s="36">
        <v>5</v>
      </c>
      <c r="R183" s="36"/>
      <c r="S183" s="36"/>
      <c r="T183" s="37" t="s">
        <v>566</v>
      </c>
      <c r="U183" s="33" t="s">
        <v>37</v>
      </c>
      <c r="V183" s="33" t="s">
        <v>37</v>
      </c>
      <c r="W183" s="35">
        <v>33</v>
      </c>
      <c r="X183" s="33"/>
      <c r="Y183" s="33"/>
      <c r="Z183" s="33"/>
      <c r="AA183" s="33"/>
      <c r="AB183" s="33"/>
      <c r="AC183" s="35"/>
      <c r="AD183" s="35"/>
      <c r="AE183" s="35"/>
      <c r="AF183" s="35"/>
      <c r="AG183" s="35"/>
      <c r="AH183" s="36" t="s">
        <v>274</v>
      </c>
      <c r="AI183" s="33">
        <v>100</v>
      </c>
      <c r="AJ183" s="35"/>
      <c r="AK183" s="35"/>
      <c r="AL183" s="35"/>
      <c r="AM183" s="35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21"/>
      <c r="BG183" s="21"/>
      <c r="BH183" s="21"/>
      <c r="BI183" s="21"/>
      <c r="BJ183" s="21"/>
      <c r="BK183" s="21"/>
      <c r="BL183" s="21"/>
      <c r="BM183" s="21"/>
    </row>
    <row r="184" spans="1:65" ht="15.75" customHeight="1">
      <c r="A184" s="22">
        <f t="shared" si="0"/>
        <v>0</v>
      </c>
      <c r="B184" s="22"/>
      <c r="C184" s="22" t="str">
        <f t="shared" si="1"/>
        <v>134. 172 TPE :scorpions: [S4] Richard Physt - 1B (CptSquall)</v>
      </c>
      <c r="D184" s="23">
        <f t="shared" si="2"/>
        <v>134</v>
      </c>
      <c r="E184" s="22" t="str">
        <f>VLOOKUP(H184,Analysis!$A$24:$B$33,2,FALSE)</f>
        <v>:scorpions:</v>
      </c>
      <c r="F184" s="22"/>
      <c r="G184" s="22" t="s">
        <v>1081</v>
      </c>
      <c r="H184" s="40" t="s">
        <v>10</v>
      </c>
      <c r="I184" s="41" t="s">
        <v>1082</v>
      </c>
      <c r="J184" s="41" t="s">
        <v>1083</v>
      </c>
      <c r="K184" s="40" t="s">
        <v>1084</v>
      </c>
      <c r="L184" s="40" t="s">
        <v>187</v>
      </c>
      <c r="M184" s="40" t="s">
        <v>132</v>
      </c>
      <c r="N184" s="42">
        <v>172</v>
      </c>
      <c r="O184" s="44">
        <v>0.5</v>
      </c>
      <c r="P184" s="43"/>
      <c r="Q184" s="43"/>
      <c r="R184" s="43"/>
      <c r="S184" s="43"/>
      <c r="T184" s="40"/>
      <c r="U184" s="40" t="s">
        <v>32</v>
      </c>
      <c r="V184" s="40" t="s">
        <v>33</v>
      </c>
      <c r="W184" s="42">
        <v>16</v>
      </c>
      <c r="X184" s="40"/>
      <c r="Y184" s="40"/>
      <c r="Z184" s="40"/>
      <c r="AA184" s="40"/>
      <c r="AB184" s="40"/>
      <c r="AC184" s="40">
        <v>1</v>
      </c>
      <c r="AD184" s="40">
        <v>3</v>
      </c>
      <c r="AE184" s="40">
        <v>1.5</v>
      </c>
      <c r="AF184" s="40"/>
      <c r="AG184" s="42"/>
      <c r="AH184" s="44"/>
      <c r="AI184" s="40">
        <v>172</v>
      </c>
      <c r="AJ184" s="40"/>
      <c r="AK184" s="40"/>
      <c r="AL184" s="40"/>
      <c r="AN184" s="191"/>
      <c r="AO184" s="40" t="s">
        <v>1085</v>
      </c>
      <c r="AP184" s="40" t="s">
        <v>1086</v>
      </c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21"/>
      <c r="BG184" s="21"/>
      <c r="BH184" s="21"/>
      <c r="BI184" s="21"/>
      <c r="BJ184" s="21"/>
      <c r="BK184" s="21"/>
      <c r="BL184" s="21"/>
      <c r="BM184" s="21"/>
    </row>
    <row r="185" spans="1:65" ht="15.75" customHeight="1">
      <c r="A185" s="22">
        <f t="shared" si="0"/>
        <v>0</v>
      </c>
      <c r="B185" s="22"/>
      <c r="C185" s="22" t="str">
        <f t="shared" si="1"/>
        <v>134. 172 TPE :bulldogs: [S2] Cody Braun - 2B (c_braun)</v>
      </c>
      <c r="D185" s="23">
        <f t="shared" si="2"/>
        <v>134</v>
      </c>
      <c r="E185" s="22" t="str">
        <f>VLOOKUP(H185,Analysis!$A$24:$B$33,2,FALSE)</f>
        <v>:bulldogs:</v>
      </c>
      <c r="F185" s="22"/>
      <c r="G185" s="22" t="s">
        <v>1087</v>
      </c>
      <c r="H185" s="33" t="s">
        <v>304</v>
      </c>
      <c r="I185" s="34" t="s">
        <v>1088</v>
      </c>
      <c r="J185" s="34" t="s">
        <v>1089</v>
      </c>
      <c r="K185" s="33" t="s">
        <v>1090</v>
      </c>
      <c r="L185" s="33" t="s">
        <v>83</v>
      </c>
      <c r="M185" s="33" t="s">
        <v>740</v>
      </c>
      <c r="N185" s="35">
        <v>172</v>
      </c>
      <c r="O185" s="45"/>
      <c r="P185" s="36"/>
      <c r="Q185" s="36"/>
      <c r="R185" s="36"/>
      <c r="S185" s="36"/>
      <c r="T185" s="33"/>
      <c r="U185" s="33" t="s">
        <v>78</v>
      </c>
      <c r="V185" s="33" t="s">
        <v>78</v>
      </c>
      <c r="W185" s="35">
        <v>40</v>
      </c>
      <c r="X185" s="33"/>
      <c r="Y185" s="33"/>
      <c r="Z185" s="33"/>
      <c r="AA185" s="33"/>
      <c r="AB185" s="33"/>
      <c r="AC185" s="33">
        <v>1</v>
      </c>
      <c r="AD185" s="33">
        <v>1</v>
      </c>
      <c r="AE185" s="35"/>
      <c r="AF185" s="35"/>
      <c r="AG185" s="35"/>
      <c r="AH185" s="45"/>
      <c r="AI185" s="33">
        <v>172</v>
      </c>
      <c r="AK185" s="33">
        <v>172</v>
      </c>
      <c r="AL185" s="33">
        <v>172</v>
      </c>
      <c r="AM185" s="33">
        <v>172</v>
      </c>
      <c r="AN185" s="33">
        <v>172</v>
      </c>
      <c r="AO185" s="33" t="s">
        <v>647</v>
      </c>
      <c r="AP185" s="33" t="s">
        <v>1091</v>
      </c>
      <c r="AQ185" s="33" t="s">
        <v>1092</v>
      </c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21"/>
      <c r="BG185" s="21"/>
      <c r="BH185" s="21"/>
      <c r="BI185" s="21"/>
      <c r="BJ185" s="21"/>
      <c r="BK185" s="21"/>
      <c r="BL185" s="21"/>
      <c r="BM185" s="21"/>
    </row>
    <row r="186" spans="1:65" ht="15.75" customHeight="1">
      <c r="A186" s="22">
        <f t="shared" si="0"/>
        <v>0</v>
      </c>
      <c r="B186" s="22"/>
      <c r="C186" s="22" t="str">
        <f t="shared" si="1"/>
        <v>134. 170 TPE :bulldogs: [S1] Dave Cope - 3B (BigolPHD)</v>
      </c>
      <c r="D186" s="23">
        <f t="shared" si="2"/>
        <v>134</v>
      </c>
      <c r="E186" s="22" t="str">
        <f>VLOOKUP(H186,Analysis!$A$24:$B$33,2,FALSE)</f>
        <v>:bulldogs:</v>
      </c>
      <c r="F186" s="22"/>
      <c r="G186" s="22" t="s">
        <v>1093</v>
      </c>
      <c r="H186" s="40" t="s">
        <v>304</v>
      </c>
      <c r="I186" s="41" t="s">
        <v>1094</v>
      </c>
      <c r="J186" s="41" t="s">
        <v>1095</v>
      </c>
      <c r="K186" s="40" t="s">
        <v>1096</v>
      </c>
      <c r="L186" s="40" t="s">
        <v>215</v>
      </c>
      <c r="M186" s="40" t="s">
        <v>159</v>
      </c>
      <c r="N186" s="42">
        <v>170</v>
      </c>
      <c r="O186" s="40"/>
      <c r="P186" s="40"/>
      <c r="Q186" s="40"/>
      <c r="R186" s="40"/>
      <c r="S186" s="40"/>
      <c r="T186" s="40"/>
      <c r="U186" s="40" t="s">
        <v>70</v>
      </c>
      <c r="V186" s="40" t="s">
        <v>70</v>
      </c>
      <c r="W186" s="42">
        <v>27</v>
      </c>
      <c r="X186" s="40"/>
      <c r="Y186" s="40"/>
      <c r="Z186" s="40"/>
      <c r="AA186" s="40"/>
      <c r="AB186" s="40"/>
      <c r="AC186" s="40">
        <v>0.5</v>
      </c>
      <c r="AD186" s="40"/>
      <c r="AE186" s="40"/>
      <c r="AF186" s="40"/>
      <c r="AG186" s="40"/>
      <c r="AH186" s="40"/>
      <c r="AI186" s="40">
        <v>170</v>
      </c>
      <c r="AK186" s="40">
        <v>193</v>
      </c>
      <c r="AL186" s="40">
        <v>193</v>
      </c>
      <c r="AM186" s="40">
        <v>193</v>
      </c>
      <c r="AN186" s="40">
        <v>193</v>
      </c>
      <c r="AO186" s="40" t="s">
        <v>647</v>
      </c>
      <c r="AP186" s="40" t="s">
        <v>1097</v>
      </c>
      <c r="AQ186" s="40" t="s">
        <v>1098</v>
      </c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21"/>
      <c r="BG186" s="21"/>
      <c r="BH186" s="21"/>
      <c r="BI186" s="21"/>
      <c r="BJ186" s="21"/>
      <c r="BK186" s="21"/>
      <c r="BL186" s="21"/>
      <c r="BM186" s="21"/>
    </row>
    <row r="187" spans="1:65" ht="15.75" customHeight="1">
      <c r="A187" s="22">
        <f t="shared" si="0"/>
        <v>-23</v>
      </c>
      <c r="B187" s="22"/>
      <c r="C187" s="22" t="str">
        <f t="shared" si="1"/>
        <v>289. 169 TPE :utah: [S1] Kai-Wei Mai - CL (kymiller17)</v>
      </c>
      <c r="D187" s="23">
        <f t="shared" si="2"/>
        <v>289</v>
      </c>
      <c r="E187" s="22" t="str">
        <f>VLOOKUP(H187,Analysis!$A$24:$B$33,2,FALSE)</f>
        <v>:utah:</v>
      </c>
      <c r="F187" s="22"/>
      <c r="G187" s="22" t="s">
        <v>1099</v>
      </c>
      <c r="H187" s="33" t="s">
        <v>13</v>
      </c>
      <c r="I187" s="34" t="s">
        <v>1100</v>
      </c>
      <c r="J187" s="34" t="s">
        <v>1101</v>
      </c>
      <c r="K187" s="33" t="s">
        <v>1102</v>
      </c>
      <c r="L187" s="33" t="s">
        <v>336</v>
      </c>
      <c r="M187" s="33" t="s">
        <v>55</v>
      </c>
      <c r="N187" s="35">
        <v>169</v>
      </c>
      <c r="O187" s="45">
        <v>0.5</v>
      </c>
      <c r="P187" s="36"/>
      <c r="Q187" s="36"/>
      <c r="R187" s="36"/>
      <c r="S187" s="36"/>
      <c r="T187" s="33"/>
      <c r="U187" s="33" t="s">
        <v>70</v>
      </c>
      <c r="V187" s="33" t="s">
        <v>78</v>
      </c>
      <c r="W187" s="33">
        <v>5</v>
      </c>
      <c r="X187" s="33"/>
      <c r="Y187" s="33"/>
      <c r="Z187" s="33"/>
      <c r="AA187" s="33"/>
      <c r="AB187" s="33"/>
      <c r="AC187" s="35">
        <v>3</v>
      </c>
      <c r="AD187" s="35">
        <v>3</v>
      </c>
      <c r="AE187" s="35">
        <v>0.5</v>
      </c>
      <c r="AF187" s="35">
        <v>0.5</v>
      </c>
      <c r="AG187" s="35">
        <v>0.5</v>
      </c>
      <c r="AH187" s="45">
        <v>0.5</v>
      </c>
      <c r="AI187" s="35">
        <v>192</v>
      </c>
      <c r="AJ187" s="35">
        <v>0.5</v>
      </c>
      <c r="AK187" s="35">
        <v>192</v>
      </c>
      <c r="AL187" s="35">
        <v>192</v>
      </c>
      <c r="AM187" s="35">
        <v>192</v>
      </c>
      <c r="AN187" s="33">
        <v>192</v>
      </c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21"/>
      <c r="BG187" s="21"/>
      <c r="BH187" s="21"/>
      <c r="BI187" s="21"/>
      <c r="BJ187" s="21"/>
      <c r="BK187" s="21"/>
      <c r="BL187" s="21"/>
      <c r="BM187" s="21"/>
    </row>
    <row r="188" spans="1:65" ht="15.75" customHeight="1">
      <c r="A188" s="22">
        <f t="shared" si="0"/>
        <v>0</v>
      </c>
      <c r="B188" s="22"/>
      <c r="C188" s="22" t="str">
        <f t="shared" si="1"/>
        <v>134. 168 TPE :bulldogs: [S1] Dirty Dongs - RF (Gooney)</v>
      </c>
      <c r="D188" s="23">
        <f t="shared" si="2"/>
        <v>134</v>
      </c>
      <c r="E188" s="22" t="str">
        <f>VLOOKUP(H188,Analysis!$A$24:$B$33,2,FALSE)</f>
        <v>:bulldogs:</v>
      </c>
      <c r="F188" s="22"/>
      <c r="G188" s="26" t="s">
        <v>1103</v>
      </c>
      <c r="H188" s="27" t="s">
        <v>304</v>
      </c>
      <c r="I188" s="29" t="s">
        <v>1104</v>
      </c>
      <c r="J188" s="29" t="s">
        <v>1105</v>
      </c>
      <c r="K188" s="27" t="s">
        <v>1106</v>
      </c>
      <c r="L188" s="27" t="s">
        <v>131</v>
      </c>
      <c r="M188" s="27" t="s">
        <v>192</v>
      </c>
      <c r="N188" s="27">
        <v>168</v>
      </c>
      <c r="O188" s="27"/>
      <c r="P188" s="27"/>
      <c r="Q188" s="27"/>
      <c r="R188" s="27"/>
      <c r="S188" s="27"/>
      <c r="T188" s="27"/>
      <c r="U188" s="27" t="s">
        <v>70</v>
      </c>
      <c r="V188" s="27" t="s">
        <v>70</v>
      </c>
      <c r="W188" s="27">
        <v>31</v>
      </c>
      <c r="X188" s="27"/>
      <c r="Y188" s="27"/>
      <c r="Z188" s="27"/>
      <c r="AA188" s="27"/>
      <c r="AB188" s="27"/>
      <c r="AC188" s="27">
        <v>0.5</v>
      </c>
      <c r="AD188" s="27"/>
      <c r="AE188" s="27"/>
      <c r="AF188" s="27"/>
      <c r="AG188" s="27"/>
      <c r="AH188" s="27"/>
      <c r="AI188" s="27">
        <v>168</v>
      </c>
      <c r="AK188" s="27">
        <v>190</v>
      </c>
      <c r="AL188" s="27">
        <v>190</v>
      </c>
      <c r="AM188" s="27">
        <v>190</v>
      </c>
      <c r="AN188" s="27">
        <v>190</v>
      </c>
      <c r="AO188" s="27" t="s">
        <v>647</v>
      </c>
      <c r="AP188" s="27" t="s">
        <v>1107</v>
      </c>
      <c r="AQ188" s="27" t="s">
        <v>1108</v>
      </c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</row>
    <row r="189" spans="1:65" ht="15.75" customHeight="1">
      <c r="A189" s="22">
        <f t="shared" si="0"/>
        <v>0</v>
      </c>
      <c r="B189" s="22"/>
      <c r="C189" s="22" t="str">
        <f t="shared" si="1"/>
        <v>134. 168 TPE :bulldogs: [S3] Eric Bilitniko - C (fruitbatattack)</v>
      </c>
      <c r="D189" s="23">
        <f t="shared" si="2"/>
        <v>134</v>
      </c>
      <c r="E189" s="22" t="str">
        <f>VLOOKUP(H189,Analysis!$A$24:$B$33,2,FALSE)</f>
        <v>:bulldogs:</v>
      </c>
      <c r="F189" s="22"/>
      <c r="G189" s="22" t="s">
        <v>1109</v>
      </c>
      <c r="H189" s="33" t="s">
        <v>304</v>
      </c>
      <c r="I189" s="34" t="s">
        <v>1110</v>
      </c>
      <c r="J189" s="34" t="s">
        <v>1111</v>
      </c>
      <c r="K189" s="33" t="s">
        <v>1112</v>
      </c>
      <c r="L189" s="33" t="s">
        <v>103</v>
      </c>
      <c r="M189" s="33" t="s">
        <v>265</v>
      </c>
      <c r="N189" s="35">
        <v>168</v>
      </c>
      <c r="O189" s="36"/>
      <c r="P189" s="36"/>
      <c r="Q189" s="36"/>
      <c r="R189" s="36"/>
      <c r="S189" s="36"/>
      <c r="T189" s="33"/>
      <c r="U189" s="33" t="s">
        <v>126</v>
      </c>
      <c r="V189" s="33" t="s">
        <v>126</v>
      </c>
      <c r="W189" s="35">
        <v>13</v>
      </c>
      <c r="X189" s="33"/>
      <c r="Y189" s="35"/>
      <c r="Z189" s="35"/>
      <c r="AA189" s="33"/>
      <c r="AB189" s="33"/>
      <c r="AC189" s="33">
        <v>4</v>
      </c>
      <c r="AD189" s="33">
        <v>4</v>
      </c>
      <c r="AE189" s="33">
        <v>3</v>
      </c>
      <c r="AF189" s="33"/>
      <c r="AG189" s="33"/>
      <c r="AH189" s="36"/>
      <c r="AI189" s="33">
        <v>168</v>
      </c>
      <c r="AK189" s="33">
        <v>100</v>
      </c>
      <c r="AL189" s="33">
        <v>100</v>
      </c>
      <c r="AM189" s="33">
        <v>100</v>
      </c>
      <c r="AN189" s="33">
        <v>100</v>
      </c>
      <c r="AO189" s="33" t="s">
        <v>647</v>
      </c>
      <c r="AP189" s="33" t="s">
        <v>1113</v>
      </c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21"/>
      <c r="BG189" s="21"/>
      <c r="BH189" s="21"/>
      <c r="BI189" s="21"/>
      <c r="BJ189" s="21"/>
      <c r="BK189" s="21"/>
      <c r="BL189" s="21"/>
      <c r="BM189" s="21"/>
    </row>
    <row r="190" spans="1:65" ht="15.75" customHeight="1">
      <c r="A190" s="22">
        <f t="shared" si="0"/>
        <v>42</v>
      </c>
      <c r="B190" s="22"/>
      <c r="C190" s="22" t="str">
        <f t="shared" si="1"/>
        <v>98. 167 TPE :voyagers: [S9] Justin Verbeek - CL (hexx55)</v>
      </c>
      <c r="D190" s="23">
        <f t="shared" si="2"/>
        <v>98</v>
      </c>
      <c r="E190" s="22" t="str">
        <f>VLOOKUP(H190,Analysis!$A$24:$B$33,2,FALSE)</f>
        <v>:voyagers:</v>
      </c>
      <c r="F190" s="22"/>
      <c r="G190" s="22"/>
      <c r="H190" s="40" t="s">
        <v>8</v>
      </c>
      <c r="I190" s="41" t="s">
        <v>912</v>
      </c>
      <c r="J190" s="41" t="s">
        <v>913</v>
      </c>
      <c r="K190" s="40" t="s">
        <v>1114</v>
      </c>
      <c r="L190" s="40" t="s">
        <v>336</v>
      </c>
      <c r="M190" s="40" t="s">
        <v>290</v>
      </c>
      <c r="N190" s="155">
        <v>167</v>
      </c>
      <c r="O190" s="44">
        <v>4</v>
      </c>
      <c r="P190" s="43">
        <v>4.5</v>
      </c>
      <c r="Q190" s="43"/>
      <c r="R190" s="43"/>
      <c r="S190" s="43"/>
      <c r="T190" s="40" t="s">
        <v>459</v>
      </c>
      <c r="U190" s="40" t="s">
        <v>37</v>
      </c>
      <c r="V190" s="40" t="s">
        <v>37</v>
      </c>
      <c r="W190" s="42">
        <v>11</v>
      </c>
      <c r="X190" s="40"/>
      <c r="Y190" s="40"/>
      <c r="Z190" s="40"/>
      <c r="AA190" s="40"/>
      <c r="AB190" s="40"/>
      <c r="AC190" s="42"/>
      <c r="AD190" s="42"/>
      <c r="AE190" s="42"/>
      <c r="AF190" s="42"/>
      <c r="AG190" s="42"/>
      <c r="AH190" s="44"/>
      <c r="AI190" s="42">
        <v>125</v>
      </c>
      <c r="AK190" s="42"/>
      <c r="AL190" s="42"/>
      <c r="AM190" s="42"/>
      <c r="AN190" s="191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21"/>
      <c r="BG190" s="21"/>
      <c r="BH190" s="21"/>
      <c r="BI190" s="21"/>
      <c r="BJ190" s="21"/>
      <c r="BK190" s="21"/>
      <c r="BL190" s="21"/>
      <c r="BM190" s="21"/>
    </row>
    <row r="191" spans="1:65" ht="15.75" customHeight="1">
      <c r="A191" s="22">
        <f t="shared" si="0"/>
        <v>24</v>
      </c>
      <c r="B191" s="22"/>
      <c r="C191" s="22" t="str">
        <f t="shared" si="1"/>
        <v>113. 167 TPE :voyagers: [S9] Mitchell McDowell - SP (Jepox)</v>
      </c>
      <c r="D191" s="23">
        <f t="shared" si="2"/>
        <v>113</v>
      </c>
      <c r="E191" s="22" t="str">
        <f>VLOOKUP(H191,Analysis!$A$24:$B$33,2,FALSE)</f>
        <v>:voyagers:</v>
      </c>
      <c r="F191" s="22"/>
      <c r="G191" s="22"/>
      <c r="H191" s="33" t="s">
        <v>8</v>
      </c>
      <c r="I191" s="34" t="s">
        <v>910</v>
      </c>
      <c r="J191" s="34" t="s">
        <v>911</v>
      </c>
      <c r="K191" s="33" t="s">
        <v>1116</v>
      </c>
      <c r="L191" s="33" t="s">
        <v>90</v>
      </c>
      <c r="M191" s="33" t="s">
        <v>55</v>
      </c>
      <c r="N191" s="35">
        <v>167</v>
      </c>
      <c r="O191" s="36">
        <v>4</v>
      </c>
      <c r="P191" s="36">
        <v>4</v>
      </c>
      <c r="Q191" s="36"/>
      <c r="R191" s="36"/>
      <c r="S191" s="36"/>
      <c r="T191" s="33" t="s">
        <v>459</v>
      </c>
      <c r="U191" s="33" t="s">
        <v>37</v>
      </c>
      <c r="V191" s="33" t="s">
        <v>37</v>
      </c>
      <c r="W191" s="35">
        <v>37</v>
      </c>
      <c r="X191" s="33"/>
      <c r="Y191" s="33"/>
      <c r="Z191" s="33"/>
      <c r="AA191" s="33"/>
      <c r="AB191" s="33"/>
      <c r="AC191" s="35"/>
      <c r="AD191" s="35"/>
      <c r="AE191" s="33"/>
      <c r="AF191" s="33"/>
      <c r="AG191" s="33"/>
      <c r="AH191" s="36"/>
      <c r="AI191" s="35">
        <v>143</v>
      </c>
      <c r="AK191" s="35"/>
      <c r="AL191" s="35"/>
      <c r="AM191" s="35"/>
      <c r="AN191" s="170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21"/>
      <c r="BG191" s="21"/>
      <c r="BH191" s="21"/>
      <c r="BI191" s="21"/>
      <c r="BJ191" s="21"/>
      <c r="BK191" s="21"/>
      <c r="BL191" s="21"/>
      <c r="BM191" s="21"/>
    </row>
    <row r="192" spans="1:65" ht="15.75" customHeight="1">
      <c r="A192" s="22">
        <f t="shared" si="0"/>
        <v>64</v>
      </c>
      <c r="B192" s="22"/>
      <c r="C192" s="22" t="str">
        <f t="shared" si="1"/>
        <v>84. 164 TPE :vandals: [S10] Mamoru Okonomi - CL (Sir Earl)</v>
      </c>
      <c r="D192" s="23">
        <f t="shared" si="2"/>
        <v>84</v>
      </c>
      <c r="E192" s="22" t="str">
        <f>VLOOKUP(H192,Analysis!$A$24:$B$33,2,FALSE)</f>
        <v>:vandals:</v>
      </c>
      <c r="F192" s="22"/>
      <c r="G192" s="22"/>
      <c r="H192" s="40" t="s">
        <v>12</v>
      </c>
      <c r="I192" s="41" t="s">
        <v>640</v>
      </c>
      <c r="J192" s="41" t="s">
        <v>642</v>
      </c>
      <c r="K192" s="40" t="s">
        <v>1118</v>
      </c>
      <c r="L192" s="40" t="s">
        <v>336</v>
      </c>
      <c r="M192" s="40" t="s">
        <v>55</v>
      </c>
      <c r="N192" s="42">
        <v>164</v>
      </c>
      <c r="O192" s="43" t="s">
        <v>274</v>
      </c>
      <c r="P192" s="43">
        <v>2</v>
      </c>
      <c r="Q192" s="43">
        <v>2</v>
      </c>
      <c r="R192" s="43">
        <v>2</v>
      </c>
      <c r="S192" s="43"/>
      <c r="T192" s="40"/>
      <c r="U192" s="40" t="s">
        <v>38</v>
      </c>
      <c r="V192" s="40" t="s">
        <v>38</v>
      </c>
      <c r="W192" s="42">
        <v>10</v>
      </c>
      <c r="X192" s="40"/>
      <c r="Y192" s="40"/>
      <c r="Z192" s="40"/>
      <c r="AA192" s="40"/>
      <c r="AB192" s="40"/>
      <c r="AC192" s="42"/>
      <c r="AD192" s="42"/>
      <c r="AE192" s="42"/>
      <c r="AF192" s="40"/>
      <c r="AG192" s="40"/>
      <c r="AH192" s="43"/>
      <c r="AI192" s="40">
        <v>100</v>
      </c>
      <c r="AJ192" s="42"/>
      <c r="AK192" s="42"/>
      <c r="AL192" s="42"/>
      <c r="AM192" s="42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21"/>
      <c r="BG192" s="21"/>
      <c r="BH192" s="21"/>
      <c r="BI192" s="21"/>
      <c r="BJ192" s="21"/>
      <c r="BK192" s="21"/>
      <c r="BL192" s="21"/>
      <c r="BM192" s="21"/>
    </row>
    <row r="193" spans="1:65" ht="15.75" customHeight="1">
      <c r="A193" s="22">
        <f t="shared" si="0"/>
        <v>0</v>
      </c>
      <c r="B193" s="22"/>
      <c r="C193" s="22" t="str">
        <f t="shared" si="1"/>
        <v>134. 164 TPE :aviators: [S7] Jasper Clayton - C (Eggy216)</v>
      </c>
      <c r="D193" s="23">
        <f t="shared" si="2"/>
        <v>134</v>
      </c>
      <c r="E193" s="22" t="str">
        <f>VLOOKUP(H193,Analysis!$A$24:$B$33,2,FALSE)</f>
        <v>:aviators:</v>
      </c>
      <c r="F193" s="22"/>
      <c r="G193" s="22" t="s">
        <v>517</v>
      </c>
      <c r="H193" s="33" t="s">
        <v>5</v>
      </c>
      <c r="I193" s="34" t="s">
        <v>519</v>
      </c>
      <c r="J193" s="34" t="s">
        <v>520</v>
      </c>
      <c r="K193" s="33" t="s">
        <v>1121</v>
      </c>
      <c r="L193" s="33" t="s">
        <v>103</v>
      </c>
      <c r="M193" s="33" t="s">
        <v>298</v>
      </c>
      <c r="N193" s="35">
        <v>164</v>
      </c>
      <c r="O193" s="36">
        <v>1.25</v>
      </c>
      <c r="P193" s="36">
        <v>1.25</v>
      </c>
      <c r="Q193" s="36"/>
      <c r="R193" s="36"/>
      <c r="S193" s="36"/>
      <c r="T193" s="33" t="s">
        <v>273</v>
      </c>
      <c r="U193" s="33" t="s">
        <v>35</v>
      </c>
      <c r="V193" s="33" t="s">
        <v>36</v>
      </c>
      <c r="W193" s="33">
        <v>20</v>
      </c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>
        <v>0</v>
      </c>
      <c r="AI193" s="33">
        <v>164</v>
      </c>
      <c r="AK193" s="33"/>
      <c r="AL193" s="35"/>
      <c r="AM193" s="35"/>
      <c r="AN193" s="170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21"/>
      <c r="BG193" s="21"/>
      <c r="BH193" s="21"/>
      <c r="BI193" s="21"/>
      <c r="BJ193" s="21"/>
      <c r="BK193" s="21"/>
      <c r="BL193" s="21"/>
      <c r="BM193" s="21"/>
    </row>
    <row r="194" spans="1:65" ht="15.75" customHeight="1">
      <c r="A194" s="22">
        <f t="shared" si="0"/>
        <v>0</v>
      </c>
      <c r="B194" s="22"/>
      <c r="C194" s="22" t="str">
        <f t="shared" si="1"/>
        <v>134. 164 TPE :bulldogs: [S6] Jayran Mackson - SP (cosbornballboy)</v>
      </c>
      <c r="D194" s="23">
        <f t="shared" si="2"/>
        <v>134</v>
      </c>
      <c r="E194" s="22" t="str">
        <f>VLOOKUP(H194,Analysis!$A$24:$B$33,2,FALSE)</f>
        <v>:bulldogs:</v>
      </c>
      <c r="F194" s="22"/>
      <c r="G194" s="22" t="s">
        <v>1122</v>
      </c>
      <c r="H194" s="40" t="s">
        <v>304</v>
      </c>
      <c r="I194" s="41" t="s">
        <v>1123</v>
      </c>
      <c r="J194" s="41" t="s">
        <v>1124</v>
      </c>
      <c r="K194" s="40" t="s">
        <v>1125</v>
      </c>
      <c r="L194" s="40" t="s">
        <v>90</v>
      </c>
      <c r="M194" s="40" t="s">
        <v>55</v>
      </c>
      <c r="N194" s="42">
        <v>164</v>
      </c>
      <c r="O194" s="43"/>
      <c r="P194" s="43"/>
      <c r="Q194" s="43"/>
      <c r="R194" s="43"/>
      <c r="S194" s="43"/>
      <c r="T194" s="40"/>
      <c r="U194" s="40" t="s">
        <v>34</v>
      </c>
      <c r="V194" s="40" t="s">
        <v>34</v>
      </c>
      <c r="W194" s="42">
        <v>20</v>
      </c>
      <c r="X194" s="40" t="s">
        <v>374</v>
      </c>
      <c r="Y194" s="42">
        <v>6</v>
      </c>
      <c r="Z194" s="42">
        <v>9</v>
      </c>
      <c r="AA194" s="40" t="s">
        <v>375</v>
      </c>
      <c r="AB194" s="40"/>
      <c r="AC194" s="40"/>
      <c r="AD194" s="40"/>
      <c r="AE194" s="40"/>
      <c r="AF194" s="40">
        <v>2.5</v>
      </c>
      <c r="AG194" s="40">
        <v>1</v>
      </c>
      <c r="AH194" s="43">
        <v>2.5</v>
      </c>
      <c r="AI194" s="40">
        <v>164</v>
      </c>
      <c r="AK194" s="40"/>
      <c r="AL194" s="40"/>
      <c r="AM194" s="40"/>
      <c r="AN194" s="40"/>
      <c r="AO194" s="40" t="s">
        <v>647</v>
      </c>
      <c r="AP194" s="40" t="s">
        <v>1126</v>
      </c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21"/>
      <c r="BG194" s="21"/>
      <c r="BH194" s="21"/>
      <c r="BI194" s="21"/>
      <c r="BJ194" s="21"/>
      <c r="BK194" s="21"/>
      <c r="BL194" s="21"/>
      <c r="BM194" s="21"/>
    </row>
    <row r="195" spans="1:65" ht="15.75" customHeight="1">
      <c r="A195" s="22">
        <f t="shared" si="0"/>
        <v>-21</v>
      </c>
      <c r="B195" s="22"/>
      <c r="C195" s="22" t="str">
        <f t="shared" si="1"/>
        <v>288. 160 TPE :scorpions: [S1] Landon Hope - SP (Tubzaphobia)</v>
      </c>
      <c r="D195" s="23">
        <f t="shared" si="2"/>
        <v>288</v>
      </c>
      <c r="E195" s="22" t="str">
        <f>VLOOKUP(H195,Analysis!$A$24:$B$33,2,FALSE)</f>
        <v>:scorpions:</v>
      </c>
      <c r="F195" s="22"/>
      <c r="G195" s="22" t="s">
        <v>1127</v>
      </c>
      <c r="H195" s="33" t="s">
        <v>10</v>
      </c>
      <c r="I195" s="34" t="s">
        <v>1128</v>
      </c>
      <c r="J195" s="34" t="s">
        <v>1129</v>
      </c>
      <c r="K195" s="33" t="s">
        <v>1130</v>
      </c>
      <c r="L195" s="79" t="s">
        <v>90</v>
      </c>
      <c r="M195" s="33" t="s">
        <v>109</v>
      </c>
      <c r="N195" s="35">
        <v>160</v>
      </c>
      <c r="O195" s="36">
        <v>0.5</v>
      </c>
      <c r="P195" s="36"/>
      <c r="Q195" s="36"/>
      <c r="R195" s="36"/>
      <c r="S195" s="36"/>
      <c r="T195" s="33"/>
      <c r="U195" s="33" t="s">
        <v>70</v>
      </c>
      <c r="V195" s="33" t="s">
        <v>70</v>
      </c>
      <c r="W195" s="35" t="s">
        <v>141</v>
      </c>
      <c r="X195" s="33"/>
      <c r="Y195" s="33"/>
      <c r="Z195" s="33"/>
      <c r="AA195" s="33"/>
      <c r="AB195" s="33"/>
      <c r="AC195" s="33">
        <v>2</v>
      </c>
      <c r="AD195" s="33">
        <v>0.5</v>
      </c>
      <c r="AE195" s="35">
        <v>0.5</v>
      </c>
      <c r="AF195" s="33">
        <v>0.5</v>
      </c>
      <c r="AG195" s="33"/>
      <c r="AH195" s="36">
        <v>0.5</v>
      </c>
      <c r="AI195" s="33">
        <v>181</v>
      </c>
      <c r="AJ195" s="33">
        <v>181</v>
      </c>
      <c r="AK195" s="35">
        <v>181</v>
      </c>
      <c r="AL195" s="35">
        <v>181</v>
      </c>
      <c r="AM195" s="33">
        <v>181</v>
      </c>
      <c r="AN195" s="234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21"/>
      <c r="BG195" s="21"/>
      <c r="BH195" s="21"/>
      <c r="BI195" s="21"/>
      <c r="BJ195" s="21"/>
      <c r="BK195" s="21"/>
      <c r="BL195" s="21"/>
      <c r="BM195" s="21"/>
    </row>
    <row r="196" spans="1:65" ht="15.75" customHeight="1">
      <c r="A196" s="22">
        <f t="shared" si="0"/>
        <v>0</v>
      </c>
      <c r="B196" s="22"/>
      <c r="C196" s="22" t="str">
        <f t="shared" si="1"/>
        <v>134. 159 TPE :vandals: [S8] Seth Porter - SP (BALLS)</v>
      </c>
      <c r="D196" s="23">
        <f t="shared" si="2"/>
        <v>134</v>
      </c>
      <c r="E196" s="22" t="str">
        <f>VLOOKUP(H196,Analysis!$A$24:$B$33,2,FALSE)</f>
        <v>:vandals:</v>
      </c>
      <c r="F196" s="22"/>
      <c r="G196" s="22" t="s">
        <v>454</v>
      </c>
      <c r="H196" s="40" t="s">
        <v>12</v>
      </c>
      <c r="I196" s="41" t="s">
        <v>1131</v>
      </c>
      <c r="J196" s="41" t="s">
        <v>1132</v>
      </c>
      <c r="K196" s="40" t="s">
        <v>1133</v>
      </c>
      <c r="L196" s="40" t="s">
        <v>90</v>
      </c>
      <c r="M196" s="40" t="s">
        <v>749</v>
      </c>
      <c r="N196" s="42">
        <v>159</v>
      </c>
      <c r="O196" s="43">
        <v>4</v>
      </c>
      <c r="P196" s="43">
        <v>4</v>
      </c>
      <c r="Q196" s="43"/>
      <c r="R196" s="43"/>
      <c r="S196" s="43"/>
      <c r="T196" s="40" t="s">
        <v>273</v>
      </c>
      <c r="U196" s="40" t="s">
        <v>36</v>
      </c>
      <c r="V196" s="40" t="s">
        <v>36</v>
      </c>
      <c r="W196" s="42">
        <v>13</v>
      </c>
      <c r="X196" s="40"/>
      <c r="Y196" s="42"/>
      <c r="Z196" s="42"/>
      <c r="AA196" s="40"/>
      <c r="AB196" s="40"/>
      <c r="AC196" s="40"/>
      <c r="AD196" s="40"/>
      <c r="AE196" s="40"/>
      <c r="AF196" s="42"/>
      <c r="AG196" s="42">
        <v>0</v>
      </c>
      <c r="AH196" s="43">
        <v>4</v>
      </c>
      <c r="AI196" s="40">
        <v>159</v>
      </c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21"/>
      <c r="BG196" s="21"/>
      <c r="BH196" s="21"/>
      <c r="BI196" s="21"/>
      <c r="BJ196" s="21"/>
      <c r="BK196" s="21"/>
      <c r="BL196" s="21"/>
      <c r="BM196" s="21"/>
    </row>
    <row r="197" spans="1:65" ht="15.75" customHeight="1">
      <c r="A197" s="22">
        <f t="shared" si="0"/>
        <v>57</v>
      </c>
      <c r="B197" s="22"/>
      <c r="C197" s="22" t="str">
        <f t="shared" si="1"/>
        <v>89. 157 TPE :scorpions: [S10] Chip Bowman - SP (yahuckleberry)</v>
      </c>
      <c r="D197" s="23">
        <f t="shared" si="2"/>
        <v>89</v>
      </c>
      <c r="E197" s="22" t="str">
        <f>VLOOKUP(H197,Analysis!$A$24:$B$33,2,FALSE)</f>
        <v>:scorpions:</v>
      </c>
      <c r="F197" s="22"/>
      <c r="G197" s="22"/>
      <c r="H197" s="33" t="s">
        <v>10</v>
      </c>
      <c r="I197" s="34" t="s">
        <v>944</v>
      </c>
      <c r="J197" s="34" t="s">
        <v>947</v>
      </c>
      <c r="K197" s="33" t="s">
        <v>1135</v>
      </c>
      <c r="L197" s="33" t="s">
        <v>90</v>
      </c>
      <c r="M197" s="33" t="s">
        <v>109</v>
      </c>
      <c r="N197" s="35">
        <v>157</v>
      </c>
      <c r="O197" s="36" t="s">
        <v>274</v>
      </c>
      <c r="P197" s="36">
        <v>4</v>
      </c>
      <c r="Q197" s="36">
        <v>4</v>
      </c>
      <c r="R197" s="36"/>
      <c r="S197" s="36"/>
      <c r="T197" s="37" t="s">
        <v>285</v>
      </c>
      <c r="U197" s="33" t="s">
        <v>38</v>
      </c>
      <c r="V197" s="33" t="s">
        <v>38</v>
      </c>
      <c r="W197" s="35">
        <v>6</v>
      </c>
      <c r="X197" s="33"/>
      <c r="Y197" s="33"/>
      <c r="Z197" s="33"/>
      <c r="AA197" s="33"/>
      <c r="AB197" s="35"/>
      <c r="AC197" s="35"/>
      <c r="AD197" s="35"/>
      <c r="AE197" s="35"/>
      <c r="AF197" s="35"/>
      <c r="AG197" s="35"/>
      <c r="AH197" s="45"/>
      <c r="AI197" s="33">
        <v>100</v>
      </c>
      <c r="AJ197" s="35"/>
      <c r="AK197" s="35"/>
      <c r="AL197" s="35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21"/>
      <c r="BG197" s="21"/>
      <c r="BH197" s="21"/>
      <c r="BI197" s="21"/>
      <c r="BJ197" s="21"/>
      <c r="BK197" s="21"/>
      <c r="BL197" s="21"/>
      <c r="BM197" s="21"/>
    </row>
    <row r="198" spans="1:65" ht="15.75" customHeight="1">
      <c r="A198" s="22">
        <f t="shared" si="0"/>
        <v>57</v>
      </c>
      <c r="B198" s="22"/>
      <c r="C198" s="22" t="str">
        <f t="shared" si="1"/>
        <v>89. 157 TPE :voyagers: [S10] Ben Beck - 1B (GrilledTwinkiez)</v>
      </c>
      <c r="D198" s="23">
        <f t="shared" si="2"/>
        <v>89</v>
      </c>
      <c r="E198" s="22" t="str">
        <f>VLOOKUP(H198,Analysis!$A$24:$B$33,2,FALSE)</f>
        <v>:voyagers:</v>
      </c>
      <c r="F198" s="22"/>
      <c r="H198" s="27" t="s">
        <v>8</v>
      </c>
      <c r="I198" s="29" t="s">
        <v>803</v>
      </c>
      <c r="J198" s="29" t="s">
        <v>915</v>
      </c>
      <c r="K198" s="27" t="s">
        <v>1137</v>
      </c>
      <c r="L198" s="27" t="s">
        <v>187</v>
      </c>
      <c r="M198" s="27" t="s">
        <v>691</v>
      </c>
      <c r="N198" s="27">
        <v>157</v>
      </c>
      <c r="O198" s="27" t="s">
        <v>274</v>
      </c>
      <c r="P198" s="30">
        <v>5</v>
      </c>
      <c r="Q198" s="30">
        <v>5</v>
      </c>
      <c r="R198" s="30">
        <v>5</v>
      </c>
      <c r="S198" s="27"/>
      <c r="T198" s="31" t="s">
        <v>909</v>
      </c>
      <c r="U198" s="27" t="s">
        <v>38</v>
      </c>
      <c r="V198" s="27" t="s">
        <v>38</v>
      </c>
      <c r="W198" s="27">
        <v>23</v>
      </c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>
        <v>100</v>
      </c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</row>
    <row r="199" spans="1:65" ht="15.75" customHeight="1">
      <c r="A199" s="22">
        <f t="shared" si="0"/>
        <v>56</v>
      </c>
      <c r="B199" s="22"/>
      <c r="C199" s="22" t="str">
        <f t="shared" si="1"/>
        <v>92. 156 TPE :scorpions: [S10] Mountain Thunderfist - 1B (AdamS)</v>
      </c>
      <c r="D199" s="23">
        <f t="shared" si="2"/>
        <v>92</v>
      </c>
      <c r="E199" s="22" t="str">
        <f>VLOOKUP(H199,Analysis!$A$24:$B$33,2,FALSE)</f>
        <v>:scorpions:</v>
      </c>
      <c r="F199" s="22"/>
      <c r="G199" s="22"/>
      <c r="H199" s="33" t="s">
        <v>10</v>
      </c>
      <c r="I199" s="34" t="s">
        <v>281</v>
      </c>
      <c r="J199" s="34" t="s">
        <v>283</v>
      </c>
      <c r="K199" s="33" t="s">
        <v>1141</v>
      </c>
      <c r="L199" s="79" t="s">
        <v>187</v>
      </c>
      <c r="M199" s="33" t="s">
        <v>284</v>
      </c>
      <c r="N199" s="35">
        <v>156</v>
      </c>
      <c r="O199" s="36" t="s">
        <v>274</v>
      </c>
      <c r="P199" s="36">
        <v>1.5</v>
      </c>
      <c r="Q199" s="36">
        <v>3</v>
      </c>
      <c r="R199" s="36"/>
      <c r="S199" s="36"/>
      <c r="T199" s="37" t="s">
        <v>285</v>
      </c>
      <c r="U199" s="33" t="s">
        <v>38</v>
      </c>
      <c r="V199" s="33" t="s">
        <v>38</v>
      </c>
      <c r="W199" s="35">
        <v>22</v>
      </c>
      <c r="X199" s="33"/>
      <c r="Y199" s="33"/>
      <c r="Z199" s="33"/>
      <c r="AA199" s="33"/>
      <c r="AB199" s="35"/>
      <c r="AC199" s="35"/>
      <c r="AD199" s="35"/>
      <c r="AE199" s="35"/>
      <c r="AF199" s="35"/>
      <c r="AG199" s="35"/>
      <c r="AH199" s="45"/>
      <c r="AI199" s="33">
        <v>100</v>
      </c>
      <c r="AJ199" s="35"/>
      <c r="AK199" s="35"/>
      <c r="AL199" s="35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21"/>
      <c r="BG199" s="21"/>
      <c r="BH199" s="21"/>
      <c r="BI199" s="21"/>
      <c r="BJ199" s="21"/>
      <c r="BK199" s="21"/>
      <c r="BL199" s="21"/>
      <c r="BM199" s="21"/>
    </row>
    <row r="200" spans="1:65" ht="15.75" customHeight="1">
      <c r="A200" s="22">
        <f t="shared" si="0"/>
        <v>0</v>
      </c>
      <c r="B200" s="22"/>
      <c r="C200" s="22" t="str">
        <f t="shared" si="1"/>
        <v>134. 156 TPE :bulldogs: [S1] Jack Westin - 1B (124715)</v>
      </c>
      <c r="D200" s="23">
        <f t="shared" si="2"/>
        <v>134</v>
      </c>
      <c r="E200" s="22" t="str">
        <f>VLOOKUP(H200,Analysis!$A$24:$B$33,2,FALSE)</f>
        <v>:bulldogs:</v>
      </c>
      <c r="F200" s="22"/>
      <c r="G200" s="26" t="s">
        <v>1145</v>
      </c>
      <c r="H200" s="27" t="s">
        <v>304</v>
      </c>
      <c r="I200" s="29">
        <v>124715</v>
      </c>
      <c r="J200" s="29" t="s">
        <v>1147</v>
      </c>
      <c r="K200" s="27" t="s">
        <v>1149</v>
      </c>
      <c r="L200" s="27" t="s">
        <v>187</v>
      </c>
      <c r="M200" s="27" t="s">
        <v>298</v>
      </c>
      <c r="N200" s="27">
        <v>156</v>
      </c>
      <c r="O200" s="30"/>
      <c r="P200" s="30"/>
      <c r="Q200" s="30"/>
      <c r="R200" s="30"/>
      <c r="S200" s="30"/>
      <c r="T200" s="27"/>
      <c r="U200" s="27" t="s">
        <v>70</v>
      </c>
      <c r="V200" s="27" t="s">
        <v>70</v>
      </c>
      <c r="W200" s="27">
        <v>24</v>
      </c>
      <c r="X200" s="27"/>
      <c r="Y200" s="27"/>
      <c r="Z200" s="27"/>
      <c r="AA200" s="27"/>
      <c r="AB200" s="27">
        <v>1</v>
      </c>
      <c r="AC200" s="27">
        <v>3</v>
      </c>
      <c r="AD200" s="27">
        <v>0.5</v>
      </c>
      <c r="AE200" s="27">
        <v>0.5</v>
      </c>
      <c r="AF200" s="27">
        <v>0.5</v>
      </c>
      <c r="AG200" s="27">
        <v>0.5</v>
      </c>
      <c r="AH200" s="30">
        <v>0.5</v>
      </c>
      <c r="AI200" s="27">
        <v>156</v>
      </c>
      <c r="AK200" s="27">
        <v>161</v>
      </c>
      <c r="AL200" s="27">
        <v>161</v>
      </c>
      <c r="AM200" s="27">
        <v>161</v>
      </c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</row>
    <row r="201" spans="1:65" ht="15.75" customHeight="1">
      <c r="A201" s="22">
        <f t="shared" si="0"/>
        <v>0</v>
      </c>
      <c r="B201" s="22"/>
      <c r="C201" s="22" t="str">
        <f t="shared" si="1"/>
        <v>134. 151 TPE :sloths: [S7] Brock Lobster - CL (TheLobman)</v>
      </c>
      <c r="D201" s="23">
        <f t="shared" si="2"/>
        <v>134</v>
      </c>
      <c r="E201" s="22" t="str">
        <f>VLOOKUP(H201,Analysis!$A$24:$B$33,2,FALSE)</f>
        <v>:sloths:</v>
      </c>
      <c r="F201" s="22"/>
      <c r="G201" s="22" t="s">
        <v>491</v>
      </c>
      <c r="H201" s="33" t="s">
        <v>11</v>
      </c>
      <c r="I201" s="34" t="s">
        <v>492</v>
      </c>
      <c r="J201" s="34" t="s">
        <v>494</v>
      </c>
      <c r="K201" s="33" t="s">
        <v>1153</v>
      </c>
      <c r="L201" s="33" t="s">
        <v>336</v>
      </c>
      <c r="M201" s="33" t="s">
        <v>290</v>
      </c>
      <c r="N201" s="35">
        <v>151</v>
      </c>
      <c r="O201" s="36">
        <v>2</v>
      </c>
      <c r="P201" s="36">
        <v>2</v>
      </c>
      <c r="Q201" s="36"/>
      <c r="R201" s="36"/>
      <c r="S201" s="36"/>
      <c r="T201" s="33" t="s">
        <v>273</v>
      </c>
      <c r="U201" s="33" t="s">
        <v>35</v>
      </c>
      <c r="V201" s="33" t="s">
        <v>36</v>
      </c>
      <c r="W201" s="33">
        <v>33</v>
      </c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6">
        <v>0</v>
      </c>
      <c r="AI201" s="33">
        <v>151</v>
      </c>
      <c r="AK201" s="33"/>
      <c r="AL201" s="35"/>
      <c r="AM201" s="35"/>
      <c r="AN201" s="38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21"/>
      <c r="BG201" s="21"/>
      <c r="BH201" s="21"/>
      <c r="BI201" s="21"/>
      <c r="BJ201" s="21"/>
      <c r="BK201" s="21"/>
      <c r="BL201" s="21"/>
      <c r="BM201" s="21"/>
    </row>
    <row r="202" spans="1:65" ht="15.75" customHeight="1">
      <c r="A202" s="22">
        <f t="shared" si="0"/>
        <v>50</v>
      </c>
      <c r="B202" s="22"/>
      <c r="C202" s="22" t="str">
        <f t="shared" si="1"/>
        <v>94. 150 TPE :aviators: [S10] Chris Gentry - SP (Wizedex)</v>
      </c>
      <c r="D202" s="23">
        <f t="shared" si="2"/>
        <v>94</v>
      </c>
      <c r="E202" s="22" t="str">
        <f>VLOOKUP(H202,Analysis!$A$24:$B$33,2,FALSE)</f>
        <v>:aviators:</v>
      </c>
      <c r="F202" s="22"/>
      <c r="G202" s="22"/>
      <c r="H202" s="40" t="s">
        <v>5</v>
      </c>
      <c r="I202" s="41" t="s">
        <v>825</v>
      </c>
      <c r="J202" s="41" t="s">
        <v>827</v>
      </c>
      <c r="K202" s="40" t="s">
        <v>1156</v>
      </c>
      <c r="L202" s="40" t="s">
        <v>90</v>
      </c>
      <c r="M202" s="40" t="s">
        <v>109</v>
      </c>
      <c r="N202" s="42">
        <v>150</v>
      </c>
      <c r="O202" s="43" t="s">
        <v>274</v>
      </c>
      <c r="P202" s="43">
        <v>1.5</v>
      </c>
      <c r="Q202" s="43">
        <v>1.5</v>
      </c>
      <c r="R202" s="43">
        <v>1.5</v>
      </c>
      <c r="S202" s="43"/>
      <c r="T202" s="40"/>
      <c r="U202" s="40" t="s">
        <v>38</v>
      </c>
      <c r="V202" s="40" t="s">
        <v>38</v>
      </c>
      <c r="W202" s="42">
        <v>21</v>
      </c>
      <c r="X202" s="40"/>
      <c r="Y202" s="40"/>
      <c r="Z202" s="40"/>
      <c r="AA202" s="40"/>
      <c r="AB202" s="40"/>
      <c r="AC202" s="42"/>
      <c r="AD202" s="40"/>
      <c r="AE202" s="40"/>
      <c r="AF202" s="40"/>
      <c r="AG202" s="40"/>
      <c r="AH202" s="43"/>
      <c r="AI202" s="40">
        <v>100</v>
      </c>
      <c r="AK202" s="42"/>
      <c r="AL202" s="42"/>
      <c r="AM202" s="40"/>
      <c r="AN202" s="246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21"/>
      <c r="BG202" s="21"/>
      <c r="BH202" s="21"/>
      <c r="BI202" s="21"/>
      <c r="BJ202" s="21"/>
      <c r="BK202" s="21"/>
      <c r="BL202" s="21"/>
      <c r="BM202" s="21"/>
    </row>
    <row r="203" spans="1:65" ht="15.75" customHeight="1">
      <c r="A203" s="22">
        <f t="shared" si="0"/>
        <v>46</v>
      </c>
      <c r="B203" s="22"/>
      <c r="C203" s="22" t="str">
        <f t="shared" si="1"/>
        <v>95. 146 TPE :utah: [S10] Jake Grinz - SS (jfh1503)</v>
      </c>
      <c r="D203" s="23">
        <f t="shared" si="2"/>
        <v>95</v>
      </c>
      <c r="E203" s="22" t="str">
        <f>VLOOKUP(H203,Analysis!$A$24:$B$33,2,FALSE)</f>
        <v>:utah:</v>
      </c>
      <c r="F203" s="22"/>
      <c r="G203" s="22"/>
      <c r="H203" s="33" t="s">
        <v>13</v>
      </c>
      <c r="I203" s="34" t="s">
        <v>715</v>
      </c>
      <c r="J203" s="52" t="s">
        <v>716</v>
      </c>
      <c r="K203" s="33" t="s">
        <v>1160</v>
      </c>
      <c r="L203" s="33" t="s">
        <v>75</v>
      </c>
      <c r="M203" s="33" t="s">
        <v>62</v>
      </c>
      <c r="N203" s="35">
        <v>146</v>
      </c>
      <c r="O203" s="45" t="s">
        <v>274</v>
      </c>
      <c r="P203" s="36">
        <v>2</v>
      </c>
      <c r="Q203" s="36">
        <v>2</v>
      </c>
      <c r="R203" s="36"/>
      <c r="S203" s="36"/>
      <c r="T203" s="37" t="s">
        <v>692</v>
      </c>
      <c r="U203" s="33" t="s">
        <v>38</v>
      </c>
      <c r="V203" s="33" t="s">
        <v>38</v>
      </c>
      <c r="W203" s="35">
        <v>25</v>
      </c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45"/>
      <c r="AI203" s="35">
        <v>100</v>
      </c>
      <c r="AJ203" s="33"/>
      <c r="AK203" s="33"/>
      <c r="AL203" s="33"/>
      <c r="AM203" s="33"/>
      <c r="AN203" s="170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21"/>
      <c r="BG203" s="21"/>
      <c r="BH203" s="21"/>
      <c r="BI203" s="21"/>
      <c r="BJ203" s="21"/>
      <c r="BK203" s="21"/>
      <c r="BL203" s="21"/>
      <c r="BM203" s="21"/>
    </row>
    <row r="204" spans="1:65" ht="15.75" customHeight="1">
      <c r="A204" s="22">
        <f t="shared" si="0"/>
        <v>0</v>
      </c>
      <c r="B204" s="22"/>
      <c r="C204" s="22" t="str">
        <f t="shared" si="1"/>
        <v>134. 146 TPE :scorpions: [S3] Curtis Kane - SP (SuperSquare04)</v>
      </c>
      <c r="D204" s="23">
        <f t="shared" si="2"/>
        <v>134</v>
      </c>
      <c r="E204" s="22" t="str">
        <f>VLOOKUP(H204,Analysis!$A$24:$B$33,2,FALSE)</f>
        <v>:scorpions:</v>
      </c>
      <c r="F204" s="22"/>
      <c r="G204" s="22" t="s">
        <v>1138</v>
      </c>
      <c r="H204" s="40" t="s">
        <v>10</v>
      </c>
      <c r="I204" s="41" t="s">
        <v>1139</v>
      </c>
      <c r="J204" s="41" t="s">
        <v>1140</v>
      </c>
      <c r="K204" s="40" t="s">
        <v>1161</v>
      </c>
      <c r="L204" s="40" t="s">
        <v>90</v>
      </c>
      <c r="M204" s="40" t="s">
        <v>114</v>
      </c>
      <c r="N204" s="42">
        <v>146</v>
      </c>
      <c r="O204" s="43">
        <v>0.5</v>
      </c>
      <c r="P204" s="43"/>
      <c r="Q204" s="43"/>
      <c r="R204" s="43"/>
      <c r="S204" s="43"/>
      <c r="T204" s="40"/>
      <c r="U204" s="40" t="s">
        <v>126</v>
      </c>
      <c r="V204" s="40" t="s">
        <v>32</v>
      </c>
      <c r="W204" s="42" t="s">
        <v>1142</v>
      </c>
      <c r="X204" s="40"/>
      <c r="Y204" s="40"/>
      <c r="Z204" s="40"/>
      <c r="AA204" s="40"/>
      <c r="AB204" s="40"/>
      <c r="AC204" s="42">
        <v>1</v>
      </c>
      <c r="AD204" s="42"/>
      <c r="AE204" s="42"/>
      <c r="AF204" s="42"/>
      <c r="AG204" s="42"/>
      <c r="AH204" s="44">
        <v>0.5</v>
      </c>
      <c r="AI204" s="42">
        <v>146</v>
      </c>
      <c r="AJ204" s="42">
        <v>146</v>
      </c>
      <c r="AK204" s="42">
        <v>133</v>
      </c>
      <c r="AL204" s="42">
        <v>147</v>
      </c>
      <c r="AM204" s="40">
        <v>113</v>
      </c>
      <c r="AO204" s="40" t="s">
        <v>1162</v>
      </c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21"/>
      <c r="BG204" s="21"/>
      <c r="BH204" s="21"/>
      <c r="BI204" s="21"/>
      <c r="BJ204" s="21"/>
      <c r="BK204" s="21"/>
      <c r="BL204" s="21"/>
      <c r="BM204" s="21"/>
    </row>
    <row r="205" spans="1:65" ht="15.75" customHeight="1">
      <c r="A205" s="22">
        <f t="shared" si="0"/>
        <v>0</v>
      </c>
      <c r="B205" s="22"/>
      <c r="C205" s="22" t="str">
        <f t="shared" si="1"/>
        <v>134. 146 TPE :bulldogs: [S6] Refugio Castr - C (evryday)</v>
      </c>
      <c r="D205" s="23">
        <f t="shared" si="2"/>
        <v>134</v>
      </c>
      <c r="E205" s="22" t="str">
        <f>VLOOKUP(H205,Analysis!$A$24:$B$33,2,FALSE)</f>
        <v>:bulldogs:</v>
      </c>
      <c r="F205" s="22"/>
      <c r="G205" s="26" t="s">
        <v>1163</v>
      </c>
      <c r="H205" s="56" t="s">
        <v>304</v>
      </c>
      <c r="I205" s="136" t="s">
        <v>1164</v>
      </c>
      <c r="J205" s="136" t="s">
        <v>1165</v>
      </c>
      <c r="K205" s="56" t="s">
        <v>1166</v>
      </c>
      <c r="L205" s="56" t="s">
        <v>103</v>
      </c>
      <c r="M205" s="56" t="s">
        <v>46</v>
      </c>
      <c r="N205" s="56">
        <v>146</v>
      </c>
      <c r="O205" s="60"/>
      <c r="P205" s="60"/>
      <c r="Q205" s="60"/>
      <c r="R205" s="60"/>
      <c r="S205" s="60"/>
      <c r="T205" s="56"/>
      <c r="U205" s="56" t="s">
        <v>34</v>
      </c>
      <c r="V205" s="56" t="s">
        <v>34</v>
      </c>
      <c r="W205" s="56">
        <v>15</v>
      </c>
      <c r="X205" s="56" t="s">
        <v>374</v>
      </c>
      <c r="Y205" s="56">
        <v>6</v>
      </c>
      <c r="Z205" s="56">
        <v>14</v>
      </c>
      <c r="AA205" s="56"/>
      <c r="AB205" s="56"/>
      <c r="AC205" s="56"/>
      <c r="AD205" s="56"/>
      <c r="AE205" s="56"/>
      <c r="AF205" s="56">
        <v>2</v>
      </c>
      <c r="AG205" s="56">
        <v>3</v>
      </c>
      <c r="AH205" s="60">
        <v>0.5</v>
      </c>
      <c r="AI205" s="56">
        <v>146</v>
      </c>
      <c r="AK205" s="56"/>
      <c r="AL205" s="56"/>
      <c r="AM205" s="56"/>
      <c r="AN205" s="56"/>
      <c r="AO205" s="56" t="s">
        <v>647</v>
      </c>
      <c r="AP205" s="56" t="s">
        <v>1168</v>
      </c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</row>
    <row r="206" spans="1:65" ht="15.75" customHeight="1">
      <c r="A206" s="22">
        <f t="shared" si="0"/>
        <v>0</v>
      </c>
      <c r="B206" s="22"/>
      <c r="C206" s="22" t="str">
        <f t="shared" si="1"/>
        <v>134. 144 TPE :sloths: [S6] Dionte Washington - CL (Aweseven)</v>
      </c>
      <c r="D206" s="23">
        <f t="shared" si="2"/>
        <v>134</v>
      </c>
      <c r="E206" s="22" t="str">
        <f>VLOOKUP(H206,Analysis!$A$24:$B$33,2,FALSE)</f>
        <v>:sloths:</v>
      </c>
      <c r="F206" s="22"/>
      <c r="G206" s="22" t="s">
        <v>496</v>
      </c>
      <c r="H206" s="40" t="s">
        <v>11</v>
      </c>
      <c r="I206" s="41" t="s">
        <v>498</v>
      </c>
      <c r="J206" s="41" t="s">
        <v>501</v>
      </c>
      <c r="K206" s="40" t="s">
        <v>1169</v>
      </c>
      <c r="L206" s="40" t="s">
        <v>336</v>
      </c>
      <c r="M206" s="40" t="s">
        <v>55</v>
      </c>
      <c r="N206" s="42">
        <v>144</v>
      </c>
      <c r="O206" s="43">
        <v>1.5</v>
      </c>
      <c r="P206" s="43"/>
      <c r="Q206" s="43"/>
      <c r="R206" s="43"/>
      <c r="S206" s="43"/>
      <c r="T206" s="40" t="s">
        <v>417</v>
      </c>
      <c r="U206" s="40" t="s">
        <v>34</v>
      </c>
      <c r="V206" s="40" t="s">
        <v>35</v>
      </c>
      <c r="W206" s="42">
        <v>20</v>
      </c>
      <c r="X206" s="40"/>
      <c r="Y206" s="40"/>
      <c r="Z206" s="40"/>
      <c r="AA206" s="40"/>
      <c r="AB206" s="40"/>
      <c r="AC206" s="42"/>
      <c r="AD206" s="42"/>
      <c r="AE206" s="42"/>
      <c r="AF206" s="42"/>
      <c r="AG206" s="40" t="s">
        <v>257</v>
      </c>
      <c r="AH206" s="43">
        <v>1.5</v>
      </c>
      <c r="AI206" s="42">
        <v>144</v>
      </c>
      <c r="AK206" s="42"/>
      <c r="AL206" s="42"/>
      <c r="AM206" s="42"/>
      <c r="AN206" s="191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21"/>
      <c r="BG206" s="21"/>
      <c r="BH206" s="21"/>
      <c r="BI206" s="21"/>
      <c r="BJ206" s="21"/>
      <c r="BK206" s="21"/>
      <c r="BL206" s="21"/>
      <c r="BM206" s="21"/>
    </row>
    <row r="207" spans="1:65" ht="15.75" customHeight="1">
      <c r="A207" s="22">
        <f t="shared" si="0"/>
        <v>42</v>
      </c>
      <c r="B207" s="22"/>
      <c r="C207" s="22" t="str">
        <f t="shared" si="1"/>
        <v>98. 142 TPE :voyagers: [S10] Mike McSlapp - CF (YeetBuddy)</v>
      </c>
      <c r="D207" s="23">
        <f t="shared" si="2"/>
        <v>98</v>
      </c>
      <c r="E207" s="22" t="str">
        <f>VLOOKUP(H207,Analysis!$A$24:$B$33,2,FALSE)</f>
        <v>:voyagers:</v>
      </c>
      <c r="F207" s="22"/>
      <c r="G207" s="22"/>
      <c r="H207" s="33" t="s">
        <v>8</v>
      </c>
      <c r="I207" s="34" t="s">
        <v>916</v>
      </c>
      <c r="J207" s="34" t="s">
        <v>917</v>
      </c>
      <c r="K207" s="33" t="s">
        <v>1170</v>
      </c>
      <c r="L207" s="33" t="s">
        <v>67</v>
      </c>
      <c r="M207" s="33" t="s">
        <v>84</v>
      </c>
      <c r="N207" s="35">
        <v>142</v>
      </c>
      <c r="O207" s="33" t="s">
        <v>274</v>
      </c>
      <c r="P207" s="36">
        <v>5</v>
      </c>
      <c r="Q207" s="36">
        <v>5</v>
      </c>
      <c r="R207" s="36">
        <v>5</v>
      </c>
      <c r="S207" s="33"/>
      <c r="T207" s="37" t="s">
        <v>909</v>
      </c>
      <c r="U207" s="33" t="s">
        <v>38</v>
      </c>
      <c r="V207" s="33" t="s">
        <v>38</v>
      </c>
      <c r="W207" s="35">
        <v>16</v>
      </c>
      <c r="X207" s="33"/>
      <c r="Y207" s="33"/>
      <c r="Z207" s="33"/>
      <c r="AA207" s="33"/>
      <c r="AB207" s="33"/>
      <c r="AC207" s="33"/>
      <c r="AD207" s="33"/>
      <c r="AE207" s="35"/>
      <c r="AF207" s="35"/>
      <c r="AG207" s="35"/>
      <c r="AH207" s="33"/>
      <c r="AI207" s="33">
        <v>100</v>
      </c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21"/>
      <c r="BG207" s="21"/>
      <c r="BH207" s="21"/>
      <c r="BI207" s="21"/>
      <c r="BJ207" s="21"/>
      <c r="BK207" s="21"/>
      <c r="BL207" s="21"/>
      <c r="BM207" s="21"/>
    </row>
    <row r="208" spans="1:65" ht="15.75" customHeight="1">
      <c r="A208" s="22">
        <f t="shared" si="0"/>
        <v>41</v>
      </c>
      <c r="B208" s="22"/>
      <c r="C208" s="22" t="str">
        <f t="shared" si="1"/>
        <v>100. 141 TPE :voyagers: [S10] Bartolo Pizza - CL (Totally_Not_Moosecop)</v>
      </c>
      <c r="D208" s="23">
        <f t="shared" si="2"/>
        <v>100</v>
      </c>
      <c r="E208" s="22" t="str">
        <f>VLOOKUP(H208,Analysis!$A$24:$B$33,2,FALSE)</f>
        <v>:voyagers:</v>
      </c>
      <c r="F208" s="22"/>
      <c r="G208" s="22"/>
      <c r="H208" s="40" t="s">
        <v>8</v>
      </c>
      <c r="I208" s="41" t="s">
        <v>924</v>
      </c>
      <c r="J208" s="41" t="s">
        <v>926</v>
      </c>
      <c r="K208" s="40" t="s">
        <v>1171</v>
      </c>
      <c r="L208" s="40" t="s">
        <v>336</v>
      </c>
      <c r="M208" s="40" t="s">
        <v>114</v>
      </c>
      <c r="N208" s="42">
        <v>141</v>
      </c>
      <c r="O208" s="40" t="s">
        <v>274</v>
      </c>
      <c r="P208" s="43">
        <v>5</v>
      </c>
      <c r="Q208" s="43">
        <v>5</v>
      </c>
      <c r="R208" s="43">
        <v>5</v>
      </c>
      <c r="S208" s="40"/>
      <c r="T208" s="135" t="s">
        <v>909</v>
      </c>
      <c r="U208" s="40" t="s">
        <v>38</v>
      </c>
      <c r="V208" s="40" t="s">
        <v>38</v>
      </c>
      <c r="W208" s="42">
        <v>36</v>
      </c>
      <c r="X208" s="40"/>
      <c r="Y208" s="40"/>
      <c r="Z208" s="40"/>
      <c r="AA208" s="40"/>
      <c r="AB208" s="40"/>
      <c r="AC208" s="40"/>
      <c r="AD208" s="40"/>
      <c r="AE208" s="40"/>
      <c r="AF208" s="42"/>
      <c r="AG208" s="42"/>
      <c r="AH208" s="42"/>
      <c r="AI208" s="40">
        <v>100</v>
      </c>
      <c r="AK208" s="40"/>
      <c r="AL208" s="40"/>
      <c r="AM208" s="40"/>
      <c r="AN208" s="191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21"/>
      <c r="BG208" s="21"/>
      <c r="BH208" s="21"/>
      <c r="BI208" s="21"/>
      <c r="BJ208" s="21"/>
      <c r="BK208" s="21"/>
      <c r="BL208" s="21"/>
      <c r="BM208" s="21"/>
    </row>
    <row r="209" spans="1:65" ht="15.75" customHeight="1">
      <c r="A209" s="22">
        <f t="shared" si="0"/>
        <v>12</v>
      </c>
      <c r="B209" s="22"/>
      <c r="C209" s="22" t="str">
        <f t="shared" si="1"/>
        <v>123. 141 TPE :crabs: [S9] John Bill - CL (Esso2264)</v>
      </c>
      <c r="D209" s="23">
        <f t="shared" si="2"/>
        <v>123</v>
      </c>
      <c r="E209" s="22" t="str">
        <f>VLOOKUP(H209,Analysis!$A$24:$B$33,2,FALSE)</f>
        <v>:crabs:</v>
      </c>
      <c r="F209" s="22"/>
      <c r="G209" s="22"/>
      <c r="H209" s="33" t="s">
        <v>3</v>
      </c>
      <c r="I209" s="34" t="s">
        <v>995</v>
      </c>
      <c r="J209" s="34" t="s">
        <v>997</v>
      </c>
      <c r="K209" s="33" t="s">
        <v>1172</v>
      </c>
      <c r="L209" s="33" t="s">
        <v>336</v>
      </c>
      <c r="M209" s="33" t="s">
        <v>290</v>
      </c>
      <c r="N209" s="35">
        <v>141</v>
      </c>
      <c r="O209" s="36">
        <v>1.5</v>
      </c>
      <c r="P209" s="36">
        <v>1.5</v>
      </c>
      <c r="Q209" s="36">
        <v>1.5</v>
      </c>
      <c r="R209" s="36"/>
      <c r="S209" s="36"/>
      <c r="T209" s="33" t="s">
        <v>373</v>
      </c>
      <c r="U209" s="33" t="s">
        <v>37</v>
      </c>
      <c r="V209" s="33" t="s">
        <v>37</v>
      </c>
      <c r="W209" s="33">
        <v>28</v>
      </c>
      <c r="X209" s="33"/>
      <c r="Y209" s="33"/>
      <c r="Z209" s="33"/>
      <c r="AA209" s="33"/>
      <c r="AB209" s="33"/>
      <c r="AC209" s="35"/>
      <c r="AD209" s="33"/>
      <c r="AE209" s="35"/>
      <c r="AF209" s="35"/>
      <c r="AG209" s="35"/>
      <c r="AH209" s="45" t="s">
        <v>274</v>
      </c>
      <c r="AI209" s="33">
        <v>129</v>
      </c>
      <c r="AJ209" s="33"/>
      <c r="AK209" s="35"/>
      <c r="AL209" s="35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21"/>
      <c r="BG209" s="21"/>
      <c r="BH209" s="21"/>
      <c r="BI209" s="21"/>
      <c r="BJ209" s="21"/>
      <c r="BK209" s="21"/>
      <c r="BL209" s="21"/>
      <c r="BM209" s="21"/>
    </row>
    <row r="210" spans="1:65" ht="15.75" customHeight="1">
      <c r="A210" s="22">
        <f t="shared" si="0"/>
        <v>0</v>
      </c>
      <c r="B210" s="22"/>
      <c r="C210" s="22" t="str">
        <f t="shared" si="1"/>
        <v>134. 141 TPE :aviators: [S4] Michael O'Dowd - CL (Sour_Chin_Music)</v>
      </c>
      <c r="D210" s="23">
        <f t="shared" si="2"/>
        <v>134</v>
      </c>
      <c r="E210" s="22" t="str">
        <f>VLOOKUP(H210,Analysis!$A$24:$B$33,2,FALSE)</f>
        <v>:aviators:</v>
      </c>
      <c r="F210" s="22"/>
      <c r="G210" s="22" t="s">
        <v>1154</v>
      </c>
      <c r="H210" s="40" t="s">
        <v>5</v>
      </c>
      <c r="I210" s="41" t="s">
        <v>1155</v>
      </c>
      <c r="J210" s="41" t="s">
        <v>1157</v>
      </c>
      <c r="K210" s="40" t="s">
        <v>1173</v>
      </c>
      <c r="L210" s="40" t="s">
        <v>336</v>
      </c>
      <c r="M210" s="40" t="s">
        <v>55</v>
      </c>
      <c r="N210" s="42">
        <v>141</v>
      </c>
      <c r="O210" s="43">
        <v>0.5</v>
      </c>
      <c r="P210" s="43"/>
      <c r="Q210" s="43"/>
      <c r="R210" s="43"/>
      <c r="S210" s="43"/>
      <c r="T210" s="40" t="s">
        <v>1174</v>
      </c>
      <c r="U210" s="40" t="s">
        <v>32</v>
      </c>
      <c r="V210" s="40" t="s">
        <v>33</v>
      </c>
      <c r="W210" s="42">
        <v>26</v>
      </c>
      <c r="X210" s="40"/>
      <c r="Y210" s="40"/>
      <c r="Z210" s="40"/>
      <c r="AA210" s="40"/>
      <c r="AB210" s="40"/>
      <c r="AC210" s="42"/>
      <c r="AD210" s="42">
        <v>2</v>
      </c>
      <c r="AE210" s="42">
        <v>3</v>
      </c>
      <c r="AF210" s="40">
        <v>1.5</v>
      </c>
      <c r="AG210" s="40"/>
      <c r="AH210" s="44">
        <v>0.5</v>
      </c>
      <c r="AI210" s="42">
        <v>141</v>
      </c>
      <c r="AJ210" s="42"/>
      <c r="AK210" s="42"/>
      <c r="AL210" s="42"/>
      <c r="AM210" s="40"/>
      <c r="AO210" s="40" t="s">
        <v>209</v>
      </c>
      <c r="AP210" s="40" t="s">
        <v>1175</v>
      </c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21"/>
      <c r="BG210" s="21"/>
      <c r="BH210" s="21"/>
      <c r="BI210" s="21"/>
      <c r="BJ210" s="21"/>
      <c r="BK210" s="21"/>
      <c r="BL210" s="21"/>
      <c r="BM210" s="21"/>
    </row>
    <row r="211" spans="1:65" ht="15.75" customHeight="1">
      <c r="A211" s="22">
        <f t="shared" si="0"/>
        <v>0</v>
      </c>
      <c r="B211" s="22"/>
      <c r="C211" s="22" t="str">
        <f t="shared" si="1"/>
        <v>134. 140 TPE :bulldogs: [S3] Ollie Daniels - CF (OllieDaniels)</v>
      </c>
      <c r="D211" s="23">
        <f t="shared" si="2"/>
        <v>134</v>
      </c>
      <c r="E211" s="22" t="str">
        <f>VLOOKUP(H211,Analysis!$A$24:$B$33,2,FALSE)</f>
        <v>:bulldogs:</v>
      </c>
      <c r="F211" s="22"/>
      <c r="G211" s="22" t="s">
        <v>1176</v>
      </c>
      <c r="H211" s="33" t="s">
        <v>304</v>
      </c>
      <c r="I211" s="34" t="s">
        <v>1177</v>
      </c>
      <c r="J211" s="34" t="s">
        <v>1178</v>
      </c>
      <c r="K211" s="33" t="s">
        <v>1179</v>
      </c>
      <c r="L211" s="33" t="s">
        <v>67</v>
      </c>
      <c r="M211" s="33" t="s">
        <v>1180</v>
      </c>
      <c r="N211" s="35">
        <v>140</v>
      </c>
      <c r="O211" s="45"/>
      <c r="P211" s="36"/>
      <c r="Q211" s="36"/>
      <c r="R211" s="36"/>
      <c r="S211" s="36"/>
      <c r="T211" s="33"/>
      <c r="U211" s="33" t="s">
        <v>126</v>
      </c>
      <c r="V211" s="33" t="s">
        <v>126</v>
      </c>
      <c r="W211" s="35">
        <v>16</v>
      </c>
      <c r="X211" s="33"/>
      <c r="Y211" s="35"/>
      <c r="Z211" s="35"/>
      <c r="AA211" s="33"/>
      <c r="AB211" s="33"/>
      <c r="AC211" s="33">
        <v>4</v>
      </c>
      <c r="AD211" s="33">
        <v>4</v>
      </c>
      <c r="AE211" s="33">
        <v>5</v>
      </c>
      <c r="AF211" s="35"/>
      <c r="AG211" s="35"/>
      <c r="AH211" s="45"/>
      <c r="AI211" s="33">
        <v>140</v>
      </c>
      <c r="AK211" s="33">
        <v>140</v>
      </c>
      <c r="AL211" s="33">
        <v>100</v>
      </c>
      <c r="AM211" s="33">
        <v>100</v>
      </c>
      <c r="AN211" s="33">
        <v>100</v>
      </c>
      <c r="AO211" s="33" t="s">
        <v>647</v>
      </c>
      <c r="AP211" s="33" t="s">
        <v>1181</v>
      </c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21"/>
      <c r="BG211" s="21"/>
      <c r="BH211" s="21"/>
      <c r="BI211" s="21"/>
      <c r="BJ211" s="21"/>
      <c r="BK211" s="21"/>
      <c r="BL211" s="21"/>
      <c r="BM211" s="21"/>
    </row>
    <row r="212" spans="1:65" ht="15.75" customHeight="1">
      <c r="A212" s="22">
        <f t="shared" si="0"/>
        <v>0</v>
      </c>
      <c r="B212" s="22"/>
      <c r="C212" s="22" t="str">
        <f t="shared" si="1"/>
        <v>134. 139 TPE :vandals: [S7] CJ Henderson - SP (Shaggy28)</v>
      </c>
      <c r="D212" s="23">
        <f t="shared" si="2"/>
        <v>134</v>
      </c>
      <c r="E212" s="22" t="str">
        <f>VLOOKUP(H212,Analysis!$A$24:$B$33,2,FALSE)</f>
        <v>:vandals:</v>
      </c>
      <c r="F212" s="22"/>
      <c r="G212" s="22" t="s">
        <v>1182</v>
      </c>
      <c r="H212" s="40" t="s">
        <v>12</v>
      </c>
      <c r="I212" s="41" t="s">
        <v>1183</v>
      </c>
      <c r="J212" s="41" t="s">
        <v>1184</v>
      </c>
      <c r="K212" s="40" t="s">
        <v>1185</v>
      </c>
      <c r="L212" s="40" t="s">
        <v>90</v>
      </c>
      <c r="M212" s="40" t="s">
        <v>1186</v>
      </c>
      <c r="N212" s="42">
        <v>139</v>
      </c>
      <c r="O212" s="43">
        <v>1</v>
      </c>
      <c r="P212" s="43">
        <v>1</v>
      </c>
      <c r="Q212" s="43"/>
      <c r="R212" s="43"/>
      <c r="S212" s="43"/>
      <c r="T212" s="40" t="s">
        <v>273</v>
      </c>
      <c r="U212" s="40" t="s">
        <v>35</v>
      </c>
      <c r="V212" s="40" t="s">
        <v>36</v>
      </c>
      <c r="W212" s="42">
        <v>31</v>
      </c>
      <c r="X212" s="40"/>
      <c r="Y212" s="40"/>
      <c r="Z212" s="40"/>
      <c r="AA212" s="40"/>
      <c r="AB212" s="40"/>
      <c r="AC212" s="42"/>
      <c r="AD212" s="42"/>
      <c r="AE212" s="42"/>
      <c r="AF212" s="42"/>
      <c r="AG212" s="42">
        <v>0</v>
      </c>
      <c r="AH212" s="44">
        <v>1</v>
      </c>
      <c r="AI212" s="42">
        <v>139</v>
      </c>
      <c r="AJ212" s="42"/>
      <c r="AK212" s="42"/>
      <c r="AL212" s="42"/>
      <c r="AM212" s="42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21"/>
      <c r="BG212" s="21"/>
      <c r="BH212" s="21"/>
      <c r="BI212" s="21"/>
      <c r="BJ212" s="21"/>
      <c r="BK212" s="21"/>
      <c r="BL212" s="21"/>
      <c r="BM212" s="21"/>
    </row>
    <row r="213" spans="1:65" ht="15.75" customHeight="1">
      <c r="A213" s="22">
        <f t="shared" si="0"/>
        <v>0</v>
      </c>
      <c r="B213" s="22"/>
      <c r="C213" s="22" t="str">
        <f t="shared" si="1"/>
        <v>134. 139 TPE :bulldogs: [S2] Kazuya Miyuk - C (Confusion)</v>
      </c>
      <c r="D213" s="23">
        <f t="shared" si="2"/>
        <v>134</v>
      </c>
      <c r="E213" s="22" t="str">
        <f>VLOOKUP(H213,Analysis!$A$24:$B$33,2,FALSE)</f>
        <v>:bulldogs:</v>
      </c>
      <c r="F213" s="22"/>
      <c r="G213" s="22" t="s">
        <v>1187</v>
      </c>
      <c r="H213" s="33" t="s">
        <v>304</v>
      </c>
      <c r="I213" s="34" t="s">
        <v>1188</v>
      </c>
      <c r="J213" s="34" t="s">
        <v>1189</v>
      </c>
      <c r="K213" s="33" t="s">
        <v>1190</v>
      </c>
      <c r="L213" s="33" t="s">
        <v>103</v>
      </c>
      <c r="M213" s="33" t="s">
        <v>46</v>
      </c>
      <c r="N213" s="35">
        <v>139</v>
      </c>
      <c r="O213" s="33"/>
      <c r="P213" s="33"/>
      <c r="Q213" s="33"/>
      <c r="R213" s="33"/>
      <c r="S213" s="33"/>
      <c r="T213" s="33"/>
      <c r="U213" s="33" t="s">
        <v>78</v>
      </c>
      <c r="V213" s="33" t="s">
        <v>126</v>
      </c>
      <c r="W213" s="35">
        <v>17</v>
      </c>
      <c r="X213" s="33"/>
      <c r="Y213" s="33"/>
      <c r="Z213" s="33"/>
      <c r="AA213" s="33"/>
      <c r="AB213" s="33">
        <v>1.5</v>
      </c>
      <c r="AC213" s="33">
        <v>1.5</v>
      </c>
      <c r="AD213" s="33">
        <v>1.5</v>
      </c>
      <c r="AE213" s="33">
        <v>0.5</v>
      </c>
      <c r="AF213" s="33">
        <v>0.5</v>
      </c>
      <c r="AG213" s="33">
        <v>0.5</v>
      </c>
      <c r="AH213" s="33">
        <v>139</v>
      </c>
      <c r="AI213" s="33">
        <v>139</v>
      </c>
      <c r="AK213" s="33">
        <v>139</v>
      </c>
      <c r="AL213" s="35">
        <v>139</v>
      </c>
      <c r="AM213" s="35">
        <v>139</v>
      </c>
      <c r="AN213" s="254"/>
      <c r="AO213" s="33" t="s">
        <v>647</v>
      </c>
      <c r="AP213" s="33" t="s">
        <v>1191</v>
      </c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21"/>
      <c r="BG213" s="21"/>
      <c r="BH213" s="21"/>
      <c r="BI213" s="21"/>
      <c r="BJ213" s="21"/>
      <c r="BK213" s="21"/>
      <c r="BL213" s="21"/>
      <c r="BM213" s="21"/>
    </row>
    <row r="214" spans="1:65" ht="15.75" customHeight="1">
      <c r="A214" s="22">
        <f t="shared" si="0"/>
        <v>0</v>
      </c>
      <c r="B214" s="22"/>
      <c r="C214" s="22" t="str">
        <f t="shared" si="1"/>
        <v>134. 138 TPE :bulldogs: [S6] Boogie Flowers - 3B (.bojo)</v>
      </c>
      <c r="D214" s="23">
        <f t="shared" si="2"/>
        <v>134</v>
      </c>
      <c r="E214" s="22" t="str">
        <f>VLOOKUP(H214,Analysis!$A$24:$B$33,2,FALSE)</f>
        <v>:bulldogs:</v>
      </c>
      <c r="F214" s="22"/>
      <c r="G214" s="26" t="s">
        <v>1192</v>
      </c>
      <c r="H214" s="27" t="s">
        <v>304</v>
      </c>
      <c r="I214" s="29" t="s">
        <v>1193</v>
      </c>
      <c r="J214" s="29" t="s">
        <v>1194</v>
      </c>
      <c r="K214" s="27" t="s">
        <v>1195</v>
      </c>
      <c r="L214" s="27" t="s">
        <v>215</v>
      </c>
      <c r="M214" s="27" t="s">
        <v>225</v>
      </c>
      <c r="N214" s="27">
        <v>138</v>
      </c>
      <c r="O214" s="27"/>
      <c r="P214" s="27"/>
      <c r="Q214" s="27"/>
      <c r="R214" s="27"/>
      <c r="S214" s="27"/>
      <c r="T214" s="27" t="s">
        <v>417</v>
      </c>
      <c r="U214" s="27" t="s">
        <v>34</v>
      </c>
      <c r="V214" s="27" t="s">
        <v>35</v>
      </c>
      <c r="W214" s="27">
        <v>10</v>
      </c>
      <c r="X214" s="27"/>
      <c r="Y214" s="27"/>
      <c r="Z214" s="27"/>
      <c r="AA214" s="27"/>
      <c r="AB214" s="27"/>
      <c r="AC214" s="27"/>
      <c r="AD214" s="27"/>
      <c r="AE214" s="27"/>
      <c r="AF214" s="27" t="s">
        <v>257</v>
      </c>
      <c r="AG214" s="27"/>
      <c r="AH214" s="27">
        <v>2</v>
      </c>
      <c r="AI214" s="27">
        <v>138</v>
      </c>
      <c r="AK214" s="27"/>
      <c r="AL214" s="27"/>
      <c r="AM214" s="27"/>
      <c r="AN214" s="27"/>
      <c r="AO214" s="27" t="s">
        <v>647</v>
      </c>
      <c r="AP214" s="27" t="s">
        <v>1196</v>
      </c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</row>
    <row r="215" spans="1:65" ht="15.75" customHeight="1">
      <c r="A215" s="22">
        <f t="shared" si="0"/>
        <v>37</v>
      </c>
      <c r="B215" s="22"/>
      <c r="C215" s="22" t="str">
        <f t="shared" si="1"/>
        <v>104. 137 TPE :sloths: [S10] Ash Dragon - CF (Leafs4ever)</v>
      </c>
      <c r="D215" s="23">
        <f t="shared" si="2"/>
        <v>104</v>
      </c>
      <c r="E215" s="22" t="str">
        <f>VLOOKUP(H215,Analysis!$A$24:$B$33,2,FALSE)</f>
        <v>:sloths:</v>
      </c>
      <c r="F215" s="22"/>
      <c r="G215" s="22"/>
      <c r="H215" s="33" t="s">
        <v>11</v>
      </c>
      <c r="I215" s="34" t="s">
        <v>503</v>
      </c>
      <c r="J215" s="34" t="s">
        <v>505</v>
      </c>
      <c r="K215" s="33" t="s">
        <v>1197</v>
      </c>
      <c r="L215" s="33" t="s">
        <v>67</v>
      </c>
      <c r="M215" s="33" t="s">
        <v>97</v>
      </c>
      <c r="N215" s="35">
        <v>137</v>
      </c>
      <c r="O215" s="36" t="s">
        <v>274</v>
      </c>
      <c r="P215" s="36">
        <v>3</v>
      </c>
      <c r="Q215" s="36">
        <v>3</v>
      </c>
      <c r="R215" s="36">
        <v>3</v>
      </c>
      <c r="S215" s="36"/>
      <c r="T215" s="37" t="s">
        <v>508</v>
      </c>
      <c r="U215" s="33" t="s">
        <v>38</v>
      </c>
      <c r="V215" s="33" t="s">
        <v>38</v>
      </c>
      <c r="W215" s="33">
        <v>12</v>
      </c>
      <c r="X215" s="33"/>
      <c r="Y215" s="33"/>
      <c r="Z215" s="33"/>
      <c r="AA215" s="33"/>
      <c r="AB215" s="35"/>
      <c r="AC215" s="35"/>
      <c r="AD215" s="35"/>
      <c r="AE215" s="35"/>
      <c r="AF215" s="35"/>
      <c r="AG215" s="35"/>
      <c r="AH215" s="45"/>
      <c r="AI215" s="35">
        <v>100</v>
      </c>
      <c r="AK215" s="35"/>
      <c r="AL215" s="35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21"/>
      <c r="BG215" s="21"/>
      <c r="BH215" s="21"/>
      <c r="BI215" s="21"/>
      <c r="BJ215" s="21"/>
      <c r="BK215" s="21"/>
      <c r="BL215" s="21"/>
      <c r="BM215" s="21"/>
    </row>
    <row r="216" spans="1:65" ht="15.75" customHeight="1">
      <c r="A216" s="22">
        <f t="shared" si="0"/>
        <v>37</v>
      </c>
      <c r="B216" s="22"/>
      <c r="C216" s="22" t="str">
        <f t="shared" si="1"/>
        <v>104. 137 TPE :vandals: [S10] Thor Sigurdsson - CF (bluesfan55)</v>
      </c>
      <c r="D216" s="23">
        <f t="shared" si="2"/>
        <v>104</v>
      </c>
      <c r="E216" s="22" t="str">
        <f>VLOOKUP(H216,Analysis!$A$24:$B$33,2,FALSE)</f>
        <v>:vandals:</v>
      </c>
      <c r="F216" s="22"/>
      <c r="G216" s="22"/>
      <c r="H216" s="40" t="s">
        <v>12</v>
      </c>
      <c r="I216" s="41" t="s">
        <v>644</v>
      </c>
      <c r="J216" s="41" t="s">
        <v>646</v>
      </c>
      <c r="K216" s="40" t="s">
        <v>1198</v>
      </c>
      <c r="L216" s="121" t="s">
        <v>67</v>
      </c>
      <c r="M216" s="40" t="s">
        <v>97</v>
      </c>
      <c r="N216" s="42">
        <v>137</v>
      </c>
      <c r="O216" s="43" t="s">
        <v>274</v>
      </c>
      <c r="P216" s="43">
        <v>2</v>
      </c>
      <c r="Q216" s="43">
        <v>2</v>
      </c>
      <c r="R216" s="43"/>
      <c r="S216" s="43"/>
      <c r="T216" s="40"/>
      <c r="U216" s="40" t="s">
        <v>38</v>
      </c>
      <c r="V216" s="40" t="s">
        <v>38</v>
      </c>
      <c r="W216" s="42">
        <v>15</v>
      </c>
      <c r="X216" s="40"/>
      <c r="Y216" s="40"/>
      <c r="Z216" s="40"/>
      <c r="AA216" s="40"/>
      <c r="AB216" s="40"/>
      <c r="AC216" s="42"/>
      <c r="AD216" s="42"/>
      <c r="AE216" s="42"/>
      <c r="AF216" s="42"/>
      <c r="AG216" s="42"/>
      <c r="AH216" s="44"/>
      <c r="AI216" s="42">
        <v>100</v>
      </c>
      <c r="AJ216" s="42"/>
      <c r="AK216" s="42"/>
      <c r="AL216" s="42"/>
      <c r="AM216" s="42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21"/>
      <c r="BG216" s="21"/>
      <c r="BH216" s="21"/>
      <c r="BI216" s="21"/>
      <c r="BJ216" s="21"/>
      <c r="BK216" s="21"/>
      <c r="BL216" s="21"/>
      <c r="BM216" s="21"/>
    </row>
    <row r="217" spans="1:65" ht="15.75" customHeight="1">
      <c r="A217" s="22">
        <f t="shared" si="0"/>
        <v>37</v>
      </c>
      <c r="B217" s="22"/>
      <c r="C217" s="22" t="str">
        <f t="shared" si="1"/>
        <v>104. 137 TPE :rangers: [S10] Manto Rune - 3B (MantoRune)</v>
      </c>
      <c r="D217" s="23">
        <f t="shared" si="2"/>
        <v>104</v>
      </c>
      <c r="E217" s="22" t="str">
        <f>VLOOKUP(H217,Analysis!$A$24:$B$33,2,FALSE)</f>
        <v>:rangers:</v>
      </c>
      <c r="F217" s="22"/>
      <c r="G217" s="22"/>
      <c r="H217" s="33" t="s">
        <v>9</v>
      </c>
      <c r="I217" s="34" t="s">
        <v>1134</v>
      </c>
      <c r="J217" s="34" t="s">
        <v>1136</v>
      </c>
      <c r="K217" s="33" t="s">
        <v>1199</v>
      </c>
      <c r="L217" s="33" t="s">
        <v>215</v>
      </c>
      <c r="M217" s="33" t="s">
        <v>97</v>
      </c>
      <c r="N217" s="35">
        <v>137</v>
      </c>
      <c r="O217" s="36" t="s">
        <v>274</v>
      </c>
      <c r="P217" s="36">
        <v>2</v>
      </c>
      <c r="Q217" s="36">
        <v>2</v>
      </c>
      <c r="R217" s="36">
        <v>2</v>
      </c>
      <c r="S217" s="36"/>
      <c r="T217" s="37" t="s">
        <v>1025</v>
      </c>
      <c r="U217" s="33" t="s">
        <v>38</v>
      </c>
      <c r="V217" s="33" t="s">
        <v>38</v>
      </c>
      <c r="W217" s="35">
        <v>28</v>
      </c>
      <c r="X217" s="33"/>
      <c r="Y217" s="33"/>
      <c r="Z217" s="33"/>
      <c r="AA217" s="33"/>
      <c r="AB217" s="33"/>
      <c r="AC217" s="35"/>
      <c r="AD217" s="35"/>
      <c r="AE217" s="35"/>
      <c r="AF217" s="35"/>
      <c r="AG217" s="33"/>
      <c r="AH217" s="36"/>
      <c r="AI217" s="33">
        <v>100</v>
      </c>
      <c r="AJ217" s="35"/>
      <c r="AK217" s="35"/>
      <c r="AL217" s="35"/>
      <c r="AM217" s="35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21"/>
      <c r="BG217" s="21"/>
      <c r="BH217" s="21"/>
      <c r="BI217" s="21"/>
      <c r="BJ217" s="21"/>
      <c r="BK217" s="21"/>
      <c r="BL217" s="21"/>
      <c r="BM217" s="21"/>
    </row>
    <row r="218" spans="1:65" ht="15.75" customHeight="1">
      <c r="A218" s="22">
        <f t="shared" si="0"/>
        <v>0</v>
      </c>
      <c r="B218" s="22"/>
      <c r="C218" s="22" t="str">
        <f t="shared" si="1"/>
        <v>134. 132 TPE :bulldogs: [S5] Esteban Julio Ricardo Montoya de la Rosa Ramirez - CF (Trifecta)</v>
      </c>
      <c r="D218" s="23">
        <f t="shared" si="2"/>
        <v>134</v>
      </c>
      <c r="E218" s="22" t="str">
        <f>VLOOKUP(H218,Analysis!$A$24:$B$33,2,FALSE)</f>
        <v>:bulldogs:</v>
      </c>
      <c r="F218" s="22"/>
      <c r="G218" s="22" t="s">
        <v>1200</v>
      </c>
      <c r="H218" s="40" t="s">
        <v>304</v>
      </c>
      <c r="I218" s="41" t="s">
        <v>1201</v>
      </c>
      <c r="J218" s="41" t="s">
        <v>1202</v>
      </c>
      <c r="K218" s="40" t="s">
        <v>1203</v>
      </c>
      <c r="L218" s="40" t="s">
        <v>67</v>
      </c>
      <c r="M218" s="40" t="s">
        <v>159</v>
      </c>
      <c r="N218" s="42">
        <v>132</v>
      </c>
      <c r="O218" s="44"/>
      <c r="P218" s="44"/>
      <c r="Q218" s="43"/>
      <c r="R218" s="43"/>
      <c r="S218" s="43"/>
      <c r="T218" s="40" t="s">
        <v>1174</v>
      </c>
      <c r="U218" s="40" t="s">
        <v>33</v>
      </c>
      <c r="V218" s="40" t="s">
        <v>33</v>
      </c>
      <c r="W218" s="42">
        <v>31</v>
      </c>
      <c r="X218" s="40"/>
      <c r="Y218" s="40"/>
      <c r="Z218" s="40"/>
      <c r="AA218" s="40"/>
      <c r="AB218" s="40"/>
      <c r="AC218" s="40"/>
      <c r="AD218" s="40"/>
      <c r="AE218" s="40">
        <v>5</v>
      </c>
      <c r="AF218" s="40">
        <v>1.5</v>
      </c>
      <c r="AG218" s="42"/>
      <c r="AH218" s="44"/>
      <c r="AI218" s="40">
        <v>132</v>
      </c>
      <c r="AK218" s="40"/>
      <c r="AL218" s="40"/>
      <c r="AM218" s="40"/>
      <c r="AN218" s="40"/>
      <c r="AO218" s="40" t="s">
        <v>647</v>
      </c>
      <c r="AP218" s="40" t="s">
        <v>1204</v>
      </c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21"/>
      <c r="BG218" s="21"/>
      <c r="BH218" s="21"/>
      <c r="BI218" s="21"/>
      <c r="BJ218" s="21"/>
      <c r="BK218" s="21"/>
      <c r="BL218" s="21"/>
      <c r="BM218" s="21"/>
    </row>
    <row r="219" spans="1:65" ht="15.75" customHeight="1">
      <c r="A219" s="22">
        <f t="shared" si="0"/>
        <v>0</v>
      </c>
      <c r="B219" s="22"/>
      <c r="C219" s="22" t="str">
        <f t="shared" si="1"/>
        <v>134. 132 TPE :bulldogs: [S3] Sam Cheung - 2B (Redsfan12c)</v>
      </c>
      <c r="D219" s="23">
        <f t="shared" si="2"/>
        <v>134</v>
      </c>
      <c r="E219" s="22" t="str">
        <f>VLOOKUP(H219,Analysis!$A$24:$B$33,2,FALSE)</f>
        <v>:bulldogs:</v>
      </c>
      <c r="F219" s="22"/>
      <c r="G219" s="22" t="s">
        <v>1205</v>
      </c>
      <c r="H219" s="33" t="s">
        <v>304</v>
      </c>
      <c r="I219" s="34" t="s">
        <v>1206</v>
      </c>
      <c r="J219" s="34" t="s">
        <v>1207</v>
      </c>
      <c r="K219" s="33" t="s">
        <v>1208</v>
      </c>
      <c r="L219" s="33" t="s">
        <v>83</v>
      </c>
      <c r="M219" s="33" t="s">
        <v>151</v>
      </c>
      <c r="N219" s="35">
        <v>132</v>
      </c>
      <c r="O219" s="45"/>
      <c r="P219" s="45"/>
      <c r="Q219" s="45"/>
      <c r="R219" s="36"/>
      <c r="S219" s="36"/>
      <c r="T219" s="33"/>
      <c r="U219" s="33" t="s">
        <v>126</v>
      </c>
      <c r="V219" s="33" t="s">
        <v>126</v>
      </c>
      <c r="W219" s="35">
        <v>20</v>
      </c>
      <c r="X219" s="33"/>
      <c r="Y219" s="33"/>
      <c r="Z219" s="33"/>
      <c r="AA219" s="33"/>
      <c r="AB219" s="33"/>
      <c r="AC219" s="35">
        <v>4</v>
      </c>
      <c r="AD219" s="35">
        <v>4.5</v>
      </c>
      <c r="AE219" s="35"/>
      <c r="AF219" s="35"/>
      <c r="AG219" s="35"/>
      <c r="AH219" s="45"/>
      <c r="AI219" s="35">
        <v>132</v>
      </c>
      <c r="AK219" s="35">
        <v>132</v>
      </c>
      <c r="AL219" s="35">
        <v>132</v>
      </c>
      <c r="AM219" s="35">
        <v>126</v>
      </c>
      <c r="AN219" s="33">
        <v>113</v>
      </c>
      <c r="AO219" s="33" t="s">
        <v>647</v>
      </c>
      <c r="AP219" s="33" t="s">
        <v>1209</v>
      </c>
      <c r="AQ219" s="33" t="s">
        <v>1210</v>
      </c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21"/>
      <c r="BG219" s="21"/>
      <c r="BH219" s="21"/>
      <c r="BI219" s="21"/>
      <c r="BJ219" s="21"/>
      <c r="BK219" s="21"/>
      <c r="BL219" s="21"/>
      <c r="BM219" s="21"/>
    </row>
    <row r="220" spans="1:65" ht="15.75" customHeight="1">
      <c r="A220" s="22">
        <f t="shared" si="0"/>
        <v>31</v>
      </c>
      <c r="B220" s="22"/>
      <c r="C220" s="22" t="str">
        <f t="shared" si="1"/>
        <v>108. 131 TPE :crabs: [S10] Tylar Finch - SP (TheWoZy)</v>
      </c>
      <c r="D220" s="23">
        <f t="shared" si="2"/>
        <v>108</v>
      </c>
      <c r="E220" s="22" t="str">
        <f>VLOOKUP(H220,Analysis!$A$24:$B$33,2,FALSE)</f>
        <v>:crabs:</v>
      </c>
      <c r="F220" s="22"/>
      <c r="G220" s="22"/>
      <c r="H220" s="40" t="s">
        <v>3</v>
      </c>
      <c r="I220" s="41" t="s">
        <v>362</v>
      </c>
      <c r="J220" s="41" t="s">
        <v>1000</v>
      </c>
      <c r="K220" s="40" t="s">
        <v>1211</v>
      </c>
      <c r="L220" s="40" t="s">
        <v>90</v>
      </c>
      <c r="M220" s="40" t="s">
        <v>114</v>
      </c>
      <c r="N220" s="42">
        <v>131</v>
      </c>
      <c r="O220" s="44" t="s">
        <v>274</v>
      </c>
      <c r="P220" s="44">
        <v>2</v>
      </c>
      <c r="Q220" s="43">
        <v>2</v>
      </c>
      <c r="R220" s="43">
        <v>2</v>
      </c>
      <c r="S220" s="43"/>
      <c r="T220" s="135" t="s">
        <v>991</v>
      </c>
      <c r="U220" s="40" t="s">
        <v>38</v>
      </c>
      <c r="V220" s="40" t="s">
        <v>38</v>
      </c>
      <c r="W220" s="42">
        <v>18</v>
      </c>
      <c r="X220" s="40"/>
      <c r="Y220" s="40"/>
      <c r="Z220" s="40"/>
      <c r="AA220" s="40"/>
      <c r="AB220" s="42"/>
      <c r="AC220" s="42"/>
      <c r="AD220" s="42"/>
      <c r="AE220" s="42"/>
      <c r="AF220" s="42"/>
      <c r="AG220" s="42"/>
      <c r="AH220" s="44"/>
      <c r="AI220" s="42">
        <v>100</v>
      </c>
      <c r="AJ220" s="42"/>
      <c r="AK220" s="42"/>
      <c r="AL220" s="42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21"/>
      <c r="BG220" s="21"/>
      <c r="BH220" s="21"/>
      <c r="BI220" s="21"/>
      <c r="BJ220" s="21"/>
      <c r="BK220" s="21"/>
      <c r="BL220" s="21"/>
      <c r="BM220" s="21"/>
    </row>
    <row r="221" spans="1:65" ht="15.75" customHeight="1">
      <c r="A221" s="22">
        <f t="shared" si="0"/>
        <v>0</v>
      </c>
      <c r="B221" s="22"/>
      <c r="C221" s="22" t="str">
        <f t="shared" si="1"/>
        <v>134. 131 TPE :bulldogs: [S7] Shaun Parrish - CF (Shaun319)</v>
      </c>
      <c r="D221" s="23">
        <f t="shared" si="2"/>
        <v>134</v>
      </c>
      <c r="E221" s="22" t="str">
        <f>VLOOKUP(H221,Analysis!$A$24:$B$33,2,FALSE)</f>
        <v>:bulldogs:</v>
      </c>
      <c r="F221" s="22"/>
      <c r="G221" s="22" t="s">
        <v>1212</v>
      </c>
      <c r="H221" s="33" t="s">
        <v>304</v>
      </c>
      <c r="I221" s="34" t="s">
        <v>1213</v>
      </c>
      <c r="J221" s="34" t="s">
        <v>1214</v>
      </c>
      <c r="K221" s="33" t="s">
        <v>1215</v>
      </c>
      <c r="L221" s="33" t="s">
        <v>67</v>
      </c>
      <c r="M221" s="33" t="s">
        <v>84</v>
      </c>
      <c r="N221" s="35">
        <v>131</v>
      </c>
      <c r="O221" s="45"/>
      <c r="P221" s="36"/>
      <c r="Q221" s="36"/>
      <c r="R221" s="36"/>
      <c r="S221" s="36"/>
      <c r="T221" s="33" t="s">
        <v>417</v>
      </c>
      <c r="U221" s="33" t="s">
        <v>35</v>
      </c>
      <c r="V221" s="33" t="s">
        <v>35</v>
      </c>
      <c r="W221" s="35">
        <v>21</v>
      </c>
      <c r="X221" s="33"/>
      <c r="Y221" s="33"/>
      <c r="Z221" s="33"/>
      <c r="AA221" s="33"/>
      <c r="AB221" s="33"/>
      <c r="AC221" s="33"/>
      <c r="AD221" s="33"/>
      <c r="AE221" s="33"/>
      <c r="AF221" s="35"/>
      <c r="AG221" s="35" t="s">
        <v>257</v>
      </c>
      <c r="AH221" s="45"/>
      <c r="AI221" s="33">
        <v>131</v>
      </c>
      <c r="AK221" s="33"/>
      <c r="AL221" s="33"/>
      <c r="AM221" s="33"/>
      <c r="AN221" s="170"/>
      <c r="AO221" s="33" t="s">
        <v>647</v>
      </c>
      <c r="AP221" s="33" t="s">
        <v>1216</v>
      </c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21"/>
      <c r="BG221" s="21"/>
      <c r="BH221" s="21"/>
      <c r="BI221" s="21"/>
      <c r="BJ221" s="21"/>
      <c r="BK221" s="21"/>
      <c r="BL221" s="21"/>
      <c r="BM221" s="21"/>
    </row>
    <row r="222" spans="1:65" ht="15.75" customHeight="1">
      <c r="A222" s="22">
        <f t="shared" si="0"/>
        <v>0</v>
      </c>
      <c r="B222" s="22"/>
      <c r="C222" s="22" t="str">
        <f t="shared" si="1"/>
        <v>134. 129 TPE :vandals: [S8] Corey Bradford - CL (Looofah)</v>
      </c>
      <c r="D222" s="23">
        <f t="shared" si="2"/>
        <v>134</v>
      </c>
      <c r="E222" s="22" t="str">
        <f>VLOOKUP(H222,Analysis!$A$24:$B$33,2,FALSE)</f>
        <v>:vandals:</v>
      </c>
      <c r="F222" s="22"/>
      <c r="G222" s="22" t="s">
        <v>332</v>
      </c>
      <c r="H222" s="40" t="s">
        <v>12</v>
      </c>
      <c r="I222" s="41" t="s">
        <v>334</v>
      </c>
      <c r="J222" s="41" t="s">
        <v>335</v>
      </c>
      <c r="K222" s="40" t="s">
        <v>1217</v>
      </c>
      <c r="L222" s="40" t="s">
        <v>336</v>
      </c>
      <c r="M222" s="40" t="s">
        <v>290</v>
      </c>
      <c r="N222" s="42">
        <v>129</v>
      </c>
      <c r="O222" s="43">
        <v>1.5</v>
      </c>
      <c r="P222" s="43">
        <v>1.5</v>
      </c>
      <c r="Q222" s="43"/>
      <c r="R222" s="43"/>
      <c r="S222" s="43"/>
      <c r="T222" s="40" t="s">
        <v>273</v>
      </c>
      <c r="U222" s="40" t="s">
        <v>36</v>
      </c>
      <c r="V222" s="40" t="s">
        <v>36</v>
      </c>
      <c r="W222" s="42">
        <v>19</v>
      </c>
      <c r="X222" s="40"/>
      <c r="Y222" s="42"/>
      <c r="Z222" s="42"/>
      <c r="AA222" s="40"/>
      <c r="AB222" s="40"/>
      <c r="AC222" s="40"/>
      <c r="AD222" s="40"/>
      <c r="AE222" s="40"/>
      <c r="AF222" s="42"/>
      <c r="AG222" s="42">
        <v>0</v>
      </c>
      <c r="AH222" s="44">
        <v>1.5</v>
      </c>
      <c r="AI222" s="42">
        <v>129</v>
      </c>
      <c r="AJ222" s="40"/>
      <c r="AK222" s="40"/>
      <c r="AL222" s="40"/>
      <c r="AM222" s="40"/>
      <c r="AN222" s="191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21"/>
      <c r="BG222" s="21"/>
      <c r="BH222" s="21"/>
      <c r="BI222" s="21"/>
      <c r="BJ222" s="21"/>
      <c r="BK222" s="21"/>
      <c r="BL222" s="21"/>
      <c r="BM222" s="21"/>
    </row>
    <row r="223" spans="1:65" ht="15.75" customHeight="1">
      <c r="A223" s="22">
        <f t="shared" si="0"/>
        <v>0</v>
      </c>
      <c r="B223" s="22"/>
      <c r="C223" s="22" t="str">
        <f t="shared" si="1"/>
        <v>134. 129 TPE :vandals: [S9] Alan Abel - SP (doublea)</v>
      </c>
      <c r="D223" s="23">
        <f t="shared" si="2"/>
        <v>134</v>
      </c>
      <c r="E223" s="22" t="str">
        <f>VLOOKUP(H223,Analysis!$A$24:$B$33,2,FALSE)</f>
        <v>:vandals:</v>
      </c>
      <c r="F223" s="22"/>
      <c r="G223" s="22"/>
      <c r="H223" s="33" t="s">
        <v>12</v>
      </c>
      <c r="I223" s="34" t="s">
        <v>919</v>
      </c>
      <c r="J223" s="34" t="s">
        <v>920</v>
      </c>
      <c r="K223" s="33" t="s">
        <v>1218</v>
      </c>
      <c r="L223" s="33" t="s">
        <v>90</v>
      </c>
      <c r="M223" s="33" t="s">
        <v>55</v>
      </c>
      <c r="N223" s="35">
        <v>129</v>
      </c>
      <c r="O223" s="36">
        <v>1</v>
      </c>
      <c r="P223" s="36">
        <v>1</v>
      </c>
      <c r="Q223" s="36"/>
      <c r="R223" s="36"/>
      <c r="S223" s="36"/>
      <c r="T223" s="33" t="s">
        <v>571</v>
      </c>
      <c r="U223" s="33" t="s">
        <v>37</v>
      </c>
      <c r="V223" s="33" t="s">
        <v>37</v>
      </c>
      <c r="W223" s="35">
        <v>32</v>
      </c>
      <c r="X223" s="33"/>
      <c r="Y223" s="33"/>
      <c r="Z223" s="33"/>
      <c r="AA223" s="33"/>
      <c r="AB223" s="33"/>
      <c r="AC223" s="35"/>
      <c r="AD223" s="35"/>
      <c r="AE223" s="35"/>
      <c r="AF223" s="35"/>
      <c r="AG223" s="33"/>
      <c r="AH223" s="36" t="s">
        <v>274</v>
      </c>
      <c r="AI223" s="33">
        <v>129</v>
      </c>
      <c r="AJ223" s="35"/>
      <c r="AK223" s="35"/>
      <c r="AL223" s="35"/>
      <c r="AM223" s="35"/>
      <c r="AN223" s="170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21"/>
      <c r="BG223" s="21"/>
      <c r="BH223" s="21"/>
      <c r="BI223" s="21"/>
      <c r="BJ223" s="21"/>
      <c r="BK223" s="21"/>
      <c r="BL223" s="21"/>
      <c r="BM223" s="21"/>
    </row>
    <row r="224" spans="1:65" ht="15.75" customHeight="1">
      <c r="A224" s="22">
        <f t="shared" si="0"/>
        <v>0</v>
      </c>
      <c r="B224" s="22"/>
      <c r="C224" s="22" t="str">
        <f t="shared" si="1"/>
        <v>134. 129 TPE :bulldogs: [S5] Reggie Malone - LF (Money)</v>
      </c>
      <c r="D224" s="23">
        <f t="shared" si="2"/>
        <v>134</v>
      </c>
      <c r="E224" s="22" t="str">
        <f>VLOOKUP(H224,Analysis!$A$24:$B$33,2,FALSE)</f>
        <v>:bulldogs:</v>
      </c>
      <c r="F224" s="22"/>
      <c r="G224" s="22" t="s">
        <v>1219</v>
      </c>
      <c r="H224" s="40" t="s">
        <v>304</v>
      </c>
      <c r="I224" s="41" t="s">
        <v>1221</v>
      </c>
      <c r="J224" s="41" t="s">
        <v>1222</v>
      </c>
      <c r="K224" s="40" t="s">
        <v>1224</v>
      </c>
      <c r="L224" s="40" t="s">
        <v>180</v>
      </c>
      <c r="M224" s="40" t="s">
        <v>298</v>
      </c>
      <c r="N224" s="42">
        <v>129</v>
      </c>
      <c r="O224" s="40"/>
      <c r="P224" s="40"/>
      <c r="Q224" s="40"/>
      <c r="R224" s="40"/>
      <c r="S224" s="40"/>
      <c r="T224" s="40" t="s">
        <v>1225</v>
      </c>
      <c r="U224" s="40" t="s">
        <v>33</v>
      </c>
      <c r="V224" s="40" t="s">
        <v>33</v>
      </c>
      <c r="W224" s="40">
        <v>6</v>
      </c>
      <c r="X224" s="40"/>
      <c r="Y224" s="40"/>
      <c r="Z224" s="40"/>
      <c r="AA224" s="40"/>
      <c r="AB224" s="40"/>
      <c r="AC224" s="40"/>
      <c r="AD224" s="40">
        <v>3</v>
      </c>
      <c r="AE224" s="40">
        <v>3</v>
      </c>
      <c r="AF224" s="40">
        <v>3</v>
      </c>
      <c r="AG224" s="40"/>
      <c r="AH224" s="40"/>
      <c r="AI224" s="40">
        <v>129</v>
      </c>
      <c r="AK224" s="40"/>
      <c r="AL224" s="42"/>
      <c r="AM224" s="42"/>
      <c r="AN224" s="246"/>
      <c r="AO224" s="40" t="s">
        <v>647</v>
      </c>
      <c r="AP224" s="40" t="s">
        <v>1226</v>
      </c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21"/>
      <c r="BG224" s="21"/>
      <c r="BH224" s="21"/>
      <c r="BI224" s="21"/>
      <c r="BJ224" s="21"/>
      <c r="BK224" s="21"/>
      <c r="BL224" s="21"/>
      <c r="BM224" s="21"/>
    </row>
    <row r="225" spans="1:65" ht="15.75" customHeight="1">
      <c r="A225" s="22">
        <f t="shared" si="0"/>
        <v>0</v>
      </c>
      <c r="B225" s="22"/>
      <c r="C225" s="22" t="str">
        <f t="shared" si="1"/>
        <v>134. 129 TPE :bulldogs: [S2] Ben O'Lear - C (k0ala)</v>
      </c>
      <c r="D225" s="23">
        <f t="shared" si="2"/>
        <v>134</v>
      </c>
      <c r="E225" s="22" t="str">
        <f>VLOOKUP(H225,Analysis!$A$24:$B$33,2,FALSE)</f>
        <v>:bulldogs:</v>
      </c>
      <c r="F225" s="22"/>
      <c r="G225" s="26" t="s">
        <v>1228</v>
      </c>
      <c r="H225" s="56" t="s">
        <v>304</v>
      </c>
      <c r="I225" s="136" t="s">
        <v>1230</v>
      </c>
      <c r="J225" s="136" t="s">
        <v>1231</v>
      </c>
      <c r="K225" s="56" t="s">
        <v>1233</v>
      </c>
      <c r="L225" s="56" t="s">
        <v>103</v>
      </c>
      <c r="M225" s="56" t="s">
        <v>132</v>
      </c>
      <c r="N225" s="56">
        <v>129</v>
      </c>
      <c r="O225" s="56"/>
      <c r="P225" s="56"/>
      <c r="Q225" s="56"/>
      <c r="R225" s="56"/>
      <c r="S225" s="56"/>
      <c r="T225" s="56"/>
      <c r="U225" s="56" t="s">
        <v>78</v>
      </c>
      <c r="V225" s="56" t="s">
        <v>78</v>
      </c>
      <c r="W225" s="56">
        <v>26</v>
      </c>
      <c r="X225" s="56"/>
      <c r="Y225" s="56"/>
      <c r="Z225" s="56"/>
      <c r="AA225" s="56"/>
      <c r="AB225" s="56"/>
      <c r="AC225" s="56">
        <v>1</v>
      </c>
      <c r="AD225" s="56">
        <v>1</v>
      </c>
      <c r="AE225" s="56">
        <v>1</v>
      </c>
      <c r="AF225" s="56">
        <v>0.5</v>
      </c>
      <c r="AG225" s="56"/>
      <c r="AH225" s="56"/>
      <c r="AI225" s="56">
        <v>129</v>
      </c>
      <c r="AK225" s="56">
        <v>129</v>
      </c>
      <c r="AL225" s="56">
        <v>129</v>
      </c>
      <c r="AM225" s="56">
        <v>129</v>
      </c>
      <c r="AN225" s="234">
        <v>129</v>
      </c>
      <c r="AO225" s="56" t="s">
        <v>647</v>
      </c>
      <c r="AP225" s="56" t="s">
        <v>1235</v>
      </c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</row>
    <row r="226" spans="1:65" ht="15.75" customHeight="1">
      <c r="A226" s="22">
        <f t="shared" si="0"/>
        <v>15</v>
      </c>
      <c r="B226" s="22"/>
      <c r="C226" s="22" t="str">
        <f t="shared" si="1"/>
        <v>120. 128 TPE :utah: [S9] Jason Lester - 1B (Mozer92)</v>
      </c>
      <c r="D226" s="23">
        <f t="shared" si="2"/>
        <v>120</v>
      </c>
      <c r="E226" s="22" t="str">
        <f>VLOOKUP(H226,Analysis!$A$24:$B$33,2,FALSE)</f>
        <v>:utah:</v>
      </c>
      <c r="F226" s="22"/>
      <c r="G226" s="22"/>
      <c r="H226" s="40" t="s">
        <v>13</v>
      </c>
      <c r="I226" s="41" t="s">
        <v>718</v>
      </c>
      <c r="J226" s="41" t="s">
        <v>719</v>
      </c>
      <c r="K226" s="40" t="s">
        <v>1239</v>
      </c>
      <c r="L226" s="40" t="s">
        <v>187</v>
      </c>
      <c r="M226" s="40" t="s">
        <v>554</v>
      </c>
      <c r="N226" s="42">
        <v>128</v>
      </c>
      <c r="O226" s="44" t="s">
        <v>274</v>
      </c>
      <c r="P226" s="43">
        <v>1</v>
      </c>
      <c r="Q226" s="43">
        <v>1.5</v>
      </c>
      <c r="R226" s="43">
        <v>3</v>
      </c>
      <c r="S226" s="43"/>
      <c r="T226" s="135" t="s">
        <v>721</v>
      </c>
      <c r="U226" s="40" t="s">
        <v>37</v>
      </c>
      <c r="V226" s="40" t="s">
        <v>38</v>
      </c>
      <c r="W226" s="42">
        <v>33</v>
      </c>
      <c r="X226" s="40"/>
      <c r="Y226" s="40"/>
      <c r="Z226" s="40"/>
      <c r="AA226" s="40"/>
      <c r="AB226" s="40"/>
      <c r="AC226" s="40"/>
      <c r="AD226" s="40"/>
      <c r="AE226" s="42"/>
      <c r="AF226" s="42"/>
      <c r="AG226" s="42"/>
      <c r="AH226" s="44"/>
      <c r="AI226" s="42">
        <v>113</v>
      </c>
      <c r="AJ226" s="40"/>
      <c r="AK226" s="40"/>
      <c r="AL226" s="40"/>
      <c r="AM226" s="40"/>
      <c r="AN226" s="191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21"/>
      <c r="BG226" s="21"/>
      <c r="BH226" s="21"/>
      <c r="BI226" s="21"/>
      <c r="BJ226" s="21"/>
      <c r="BK226" s="21"/>
      <c r="BL226" s="21"/>
      <c r="BM226" s="21"/>
    </row>
    <row r="227" spans="1:65" ht="15.75" customHeight="1">
      <c r="A227" s="22">
        <f t="shared" si="0"/>
        <v>0</v>
      </c>
      <c r="B227" s="22"/>
      <c r="C227" s="22" t="str">
        <f t="shared" si="1"/>
        <v>134. 128 TPE :vandals: [S7] Prickly Pearboi - SP (PricklyBoi)</v>
      </c>
      <c r="D227" s="23">
        <f t="shared" si="2"/>
        <v>134</v>
      </c>
      <c r="E227" s="22" t="str">
        <f>VLOOKUP(H227,Analysis!$A$24:$B$33,2,FALSE)</f>
        <v>:vandals:</v>
      </c>
      <c r="F227" s="22"/>
      <c r="G227" s="92" t="s">
        <v>973</v>
      </c>
      <c r="H227" s="33" t="s">
        <v>12</v>
      </c>
      <c r="I227" s="34" t="s">
        <v>975</v>
      </c>
      <c r="J227" s="34" t="s">
        <v>977</v>
      </c>
      <c r="K227" s="33" t="s">
        <v>1245</v>
      </c>
      <c r="L227" s="33" t="s">
        <v>90</v>
      </c>
      <c r="M227" s="33" t="s">
        <v>820</v>
      </c>
      <c r="N227" s="35">
        <v>128</v>
      </c>
      <c r="O227" s="36">
        <v>1</v>
      </c>
      <c r="P227" s="36">
        <v>1</v>
      </c>
      <c r="Q227" s="36"/>
      <c r="R227" s="36"/>
      <c r="S227" s="36"/>
      <c r="T227" s="33" t="s">
        <v>273</v>
      </c>
      <c r="U227" s="33" t="s">
        <v>35</v>
      </c>
      <c r="V227" s="33" t="s">
        <v>36</v>
      </c>
      <c r="W227" s="33">
        <v>25</v>
      </c>
      <c r="X227" s="33"/>
      <c r="Y227" s="33"/>
      <c r="Z227" s="33"/>
      <c r="AA227" s="33"/>
      <c r="AB227" s="33"/>
      <c r="AC227" s="33"/>
      <c r="AD227" s="33"/>
      <c r="AE227" s="33"/>
      <c r="AF227" s="33"/>
      <c r="AG227" s="33">
        <v>0</v>
      </c>
      <c r="AH227" s="36">
        <v>1</v>
      </c>
      <c r="AI227" s="33">
        <v>128</v>
      </c>
      <c r="AJ227" s="33"/>
      <c r="AK227" s="33"/>
      <c r="AL227" s="33"/>
      <c r="AM227" s="33"/>
      <c r="AN227" s="170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21"/>
      <c r="BG227" s="21"/>
      <c r="BH227" s="21"/>
      <c r="BI227" s="21"/>
      <c r="BJ227" s="21"/>
      <c r="BK227" s="21"/>
      <c r="BL227" s="21"/>
      <c r="BM227" s="21"/>
    </row>
    <row r="228" spans="1:65" ht="15.75" customHeight="1">
      <c r="A228" s="22">
        <f t="shared" si="0"/>
        <v>0</v>
      </c>
      <c r="B228" s="22"/>
      <c r="C228" s="22" t="str">
        <f t="shared" si="1"/>
        <v>134. 126 TPE :bulldogs: [S6] Kevin Winter - C (39alaska39)</v>
      </c>
      <c r="D228" s="23">
        <f t="shared" si="2"/>
        <v>134</v>
      </c>
      <c r="E228" s="22" t="str">
        <f>VLOOKUP(H228,Analysis!$A$24:$B$33,2,FALSE)</f>
        <v>:bulldogs:</v>
      </c>
      <c r="F228" s="22"/>
      <c r="G228" s="22" t="s">
        <v>1238</v>
      </c>
      <c r="H228" s="40" t="s">
        <v>304</v>
      </c>
      <c r="I228" s="41" t="s">
        <v>1240</v>
      </c>
      <c r="J228" s="41" t="s">
        <v>1242</v>
      </c>
      <c r="K228" s="40" t="s">
        <v>1249</v>
      </c>
      <c r="L228" s="40" t="s">
        <v>103</v>
      </c>
      <c r="M228" s="40" t="s">
        <v>294</v>
      </c>
      <c r="N228" s="155">
        <v>126</v>
      </c>
      <c r="O228" s="44"/>
      <c r="P228" s="44"/>
      <c r="Q228" s="43"/>
      <c r="R228" s="43"/>
      <c r="S228" s="43"/>
      <c r="T228" s="40" t="s">
        <v>417</v>
      </c>
      <c r="U228" s="40" t="s">
        <v>34</v>
      </c>
      <c r="V228" s="40" t="s">
        <v>35</v>
      </c>
      <c r="W228" s="42">
        <v>23</v>
      </c>
      <c r="X228" s="40"/>
      <c r="Y228" s="40"/>
      <c r="Z228" s="40"/>
      <c r="AA228" s="40"/>
      <c r="AB228" s="40"/>
      <c r="AC228" s="40"/>
      <c r="AD228" s="40"/>
      <c r="AE228" s="40"/>
      <c r="AF228" s="40"/>
      <c r="AG228" s="42" t="s">
        <v>257</v>
      </c>
      <c r="AH228" s="44">
        <v>3</v>
      </c>
      <c r="AI228" s="40">
        <v>126</v>
      </c>
      <c r="AK228" s="40"/>
      <c r="AL228" s="40"/>
      <c r="AM228" s="40"/>
      <c r="AN228" s="191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21"/>
      <c r="BG228" s="21"/>
      <c r="BH228" s="21"/>
      <c r="BI228" s="21"/>
      <c r="BJ228" s="21"/>
      <c r="BK228" s="21"/>
      <c r="BL228" s="21"/>
      <c r="BM228" s="21"/>
    </row>
    <row r="229" spans="1:65" ht="15.75" customHeight="1">
      <c r="A229" s="22">
        <f t="shared" si="0"/>
        <v>0</v>
      </c>
      <c r="B229" s="22"/>
      <c r="C229" s="22" t="str">
        <f t="shared" si="1"/>
        <v>134. 126 TPE :bulldogs: [S8] Thomas Beowulf - CF (Tbeowulf)</v>
      </c>
      <c r="D229" s="23">
        <f t="shared" si="2"/>
        <v>134</v>
      </c>
      <c r="E229" s="22" t="str">
        <f>VLOOKUP(H229,Analysis!$A$24:$B$33,2,FALSE)</f>
        <v>:bulldogs:</v>
      </c>
      <c r="F229" s="22"/>
      <c r="G229" s="22" t="s">
        <v>1252</v>
      </c>
      <c r="H229" s="33" t="s">
        <v>304</v>
      </c>
      <c r="I229" s="34" t="s">
        <v>1254</v>
      </c>
      <c r="J229" s="34" t="s">
        <v>1257</v>
      </c>
      <c r="K229" s="33" t="s">
        <v>1259</v>
      </c>
      <c r="L229" s="33" t="s">
        <v>67</v>
      </c>
      <c r="M229" s="33" t="s">
        <v>1047</v>
      </c>
      <c r="N229" s="35">
        <v>126</v>
      </c>
      <c r="O229" s="45"/>
      <c r="P229" s="36"/>
      <c r="Q229" s="36"/>
      <c r="R229" s="36"/>
      <c r="S229" s="36"/>
      <c r="T229" s="33" t="s">
        <v>523</v>
      </c>
      <c r="U229" s="33" t="s">
        <v>36</v>
      </c>
      <c r="V229" s="33" t="s">
        <v>36</v>
      </c>
      <c r="W229" s="35">
        <v>16</v>
      </c>
      <c r="X229" s="33"/>
      <c r="Y229" s="33"/>
      <c r="Z229" s="33"/>
      <c r="AA229" s="33"/>
      <c r="AB229" s="33"/>
      <c r="AC229" s="35"/>
      <c r="AD229" s="35"/>
      <c r="AE229" s="35"/>
      <c r="AF229" s="35"/>
      <c r="AG229" s="35">
        <v>0</v>
      </c>
      <c r="AH229" s="45">
        <v>1.5</v>
      </c>
      <c r="AI229" s="35">
        <v>126</v>
      </c>
      <c r="AK229" s="35"/>
      <c r="AL229" s="35"/>
      <c r="AM229" s="35"/>
      <c r="AN229" s="170"/>
      <c r="AO229" s="33" t="s">
        <v>647</v>
      </c>
      <c r="AP229" s="33" t="s">
        <v>1261</v>
      </c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21"/>
      <c r="BG229" s="21"/>
      <c r="BH229" s="21"/>
      <c r="BI229" s="21"/>
      <c r="BJ229" s="21"/>
      <c r="BK229" s="21"/>
      <c r="BL229" s="21"/>
      <c r="BM229" s="21"/>
    </row>
    <row r="230" spans="1:65" ht="15.75" customHeight="1">
      <c r="A230" s="22">
        <f t="shared" si="0"/>
        <v>0</v>
      </c>
      <c r="B230" s="22"/>
      <c r="C230" s="22" t="str">
        <f t="shared" si="1"/>
        <v>134. 126 TPE :bulldogs: [S6] Kevin Winter - C (39alaska39)</v>
      </c>
      <c r="D230" s="23">
        <f t="shared" si="2"/>
        <v>134</v>
      </c>
      <c r="E230" s="22" t="str">
        <f>VLOOKUP(H230,Analysis!$A$24:$B$33,2,FALSE)</f>
        <v>:bulldogs:</v>
      </c>
      <c r="F230" s="22"/>
      <c r="G230" s="22" t="s">
        <v>1238</v>
      </c>
      <c r="H230" s="40" t="s">
        <v>304</v>
      </c>
      <c r="I230" s="41" t="s">
        <v>1240</v>
      </c>
      <c r="J230" s="41" t="s">
        <v>1242</v>
      </c>
      <c r="K230" s="40" t="s">
        <v>1249</v>
      </c>
      <c r="L230" s="40" t="s">
        <v>103</v>
      </c>
      <c r="M230" s="40" t="s">
        <v>294</v>
      </c>
      <c r="N230" s="42">
        <v>126</v>
      </c>
      <c r="O230" s="43"/>
      <c r="P230" s="43"/>
      <c r="Q230" s="43"/>
      <c r="R230" s="43"/>
      <c r="S230" s="43"/>
      <c r="T230" s="40" t="s">
        <v>417</v>
      </c>
      <c r="U230" s="40" t="s">
        <v>34</v>
      </c>
      <c r="V230" s="40" t="s">
        <v>35</v>
      </c>
      <c r="W230" s="40">
        <v>23</v>
      </c>
      <c r="X230" s="40"/>
      <c r="Y230" s="40"/>
      <c r="Z230" s="40"/>
      <c r="AA230" s="40"/>
      <c r="AB230" s="40"/>
      <c r="AC230" s="40"/>
      <c r="AD230" s="40"/>
      <c r="AE230" s="40"/>
      <c r="AF230" s="40"/>
      <c r="AG230" s="40" t="s">
        <v>257</v>
      </c>
      <c r="AH230" s="43">
        <v>3</v>
      </c>
      <c r="AI230" s="40">
        <v>126</v>
      </c>
      <c r="AK230" s="40"/>
      <c r="AL230" s="42"/>
      <c r="AM230" s="42"/>
      <c r="AN230" s="246"/>
      <c r="AO230" s="40" t="s">
        <v>647</v>
      </c>
      <c r="AP230" s="40" t="s">
        <v>1266</v>
      </c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21"/>
      <c r="BG230" s="21"/>
      <c r="BH230" s="21"/>
      <c r="BI230" s="21"/>
      <c r="BJ230" s="21"/>
      <c r="BK230" s="21"/>
      <c r="BL230" s="21"/>
      <c r="BM230" s="21"/>
    </row>
    <row r="231" spans="1:65" ht="15.75" customHeight="1">
      <c r="A231" s="22">
        <f t="shared" si="0"/>
        <v>22</v>
      </c>
      <c r="B231" s="22"/>
      <c r="C231" s="22" t="str">
        <f t="shared" si="1"/>
        <v>114. 122 TPE :swifties: [S10] Blake Faux - SP (AlexF)</v>
      </c>
      <c r="D231" s="23">
        <f t="shared" si="2"/>
        <v>114</v>
      </c>
      <c r="E231" s="4" t="s">
        <v>1078</v>
      </c>
      <c r="F231" s="4"/>
      <c r="G231" s="12"/>
      <c r="H231" s="79" t="s">
        <v>44</v>
      </c>
      <c r="I231" s="259" t="s">
        <v>745</v>
      </c>
      <c r="J231" s="25" t="s">
        <v>747</v>
      </c>
      <c r="K231" s="54" t="str">
        <f>IFERROR(TRIM(LEFT(J231,LEN(J231)-4)),"")</f>
        <v>Blake Faux</v>
      </c>
      <c r="L231" s="54" t="str">
        <f>TRIM(RIGHT(J231,2))</f>
        <v>SP</v>
      </c>
      <c r="M231" s="79" t="s">
        <v>749</v>
      </c>
      <c r="N231" s="79">
        <v>122</v>
      </c>
      <c r="O231" s="33"/>
      <c r="P231" s="33"/>
      <c r="Q231" s="33"/>
      <c r="R231" s="33"/>
      <c r="S231" s="33"/>
      <c r="U231" s="79" t="s">
        <v>38</v>
      </c>
      <c r="V231" s="79" t="s">
        <v>19</v>
      </c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8">
        <v>100</v>
      </c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12"/>
    </row>
    <row r="232" spans="1:65" ht="15.75" customHeight="1">
      <c r="A232" s="22">
        <f t="shared" si="0"/>
        <v>18</v>
      </c>
      <c r="B232" s="22"/>
      <c r="C232" s="22" t="str">
        <f t="shared" si="1"/>
        <v>119. 118 TPE :scorpions: [S10] Paco Dunbar - CL (Its_Paco)</v>
      </c>
      <c r="D232" s="23">
        <f t="shared" si="2"/>
        <v>119</v>
      </c>
      <c r="E232" s="22" t="str">
        <f>VLOOKUP(H232,Analysis!$A$24:$B$33,2,FALSE)</f>
        <v>:scorpions:</v>
      </c>
      <c r="F232" s="22"/>
      <c r="G232" s="22"/>
      <c r="H232" s="40" t="s">
        <v>10</v>
      </c>
      <c r="I232" s="41" t="s">
        <v>286</v>
      </c>
      <c r="J232" s="41" t="s">
        <v>288</v>
      </c>
      <c r="K232" s="40" t="s">
        <v>1276</v>
      </c>
      <c r="L232" s="40" t="s">
        <v>336</v>
      </c>
      <c r="M232" s="40" t="s">
        <v>290</v>
      </c>
      <c r="N232" s="42">
        <v>118</v>
      </c>
      <c r="O232" s="43" t="s">
        <v>274</v>
      </c>
      <c r="P232" s="43">
        <v>1</v>
      </c>
      <c r="Q232" s="43">
        <v>1</v>
      </c>
      <c r="R232" s="43"/>
      <c r="S232" s="43"/>
      <c r="T232" s="135" t="s">
        <v>292</v>
      </c>
      <c r="U232" s="40" t="s">
        <v>38</v>
      </c>
      <c r="V232" s="40" t="s">
        <v>38</v>
      </c>
      <c r="W232" s="42">
        <v>38</v>
      </c>
      <c r="X232" s="40"/>
      <c r="Y232" s="40"/>
      <c r="Z232" s="40"/>
      <c r="AA232" s="40"/>
      <c r="AB232" s="40"/>
      <c r="AC232" s="42"/>
      <c r="AD232" s="42"/>
      <c r="AE232" s="42"/>
      <c r="AF232" s="40"/>
      <c r="AG232" s="40"/>
      <c r="AH232" s="44"/>
      <c r="AI232" s="42">
        <v>100</v>
      </c>
      <c r="AJ232" s="42"/>
      <c r="AK232" s="42"/>
      <c r="AL232" s="42"/>
      <c r="AN232" s="246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21"/>
      <c r="BG232" s="21"/>
      <c r="BH232" s="21"/>
      <c r="BI232" s="21"/>
      <c r="BJ232" s="21"/>
      <c r="BK232" s="21"/>
      <c r="BL232" s="21"/>
      <c r="BM232" s="21"/>
    </row>
    <row r="233" spans="1:65" ht="15.75" customHeight="1">
      <c r="A233" s="22">
        <f t="shared" si="0"/>
        <v>0</v>
      </c>
      <c r="B233" s="22"/>
      <c r="C233" s="22" t="str">
        <f t="shared" si="1"/>
        <v>134. 118 TPE :bulldogs: [S8] Barnaby Earl - 1B (BarnabyEarl)</v>
      </c>
      <c r="D233" s="23">
        <f t="shared" si="2"/>
        <v>134</v>
      </c>
      <c r="E233" s="22" t="str">
        <f>VLOOKUP(H233,Analysis!$A$24:$B$33,2,FALSE)</f>
        <v>:bulldogs:</v>
      </c>
      <c r="F233" s="22"/>
      <c r="H233" s="56" t="s">
        <v>304</v>
      </c>
      <c r="I233" s="136" t="s">
        <v>1269</v>
      </c>
      <c r="J233" s="136" t="s">
        <v>1270</v>
      </c>
      <c r="K233" s="56" t="s">
        <v>1282</v>
      </c>
      <c r="L233" s="56" t="s">
        <v>187</v>
      </c>
      <c r="M233" s="56" t="s">
        <v>192</v>
      </c>
      <c r="N233" s="56">
        <v>118</v>
      </c>
      <c r="O233" s="56"/>
      <c r="P233" s="56"/>
      <c r="Q233" s="56"/>
      <c r="R233" s="56"/>
      <c r="S233" s="56"/>
      <c r="T233" s="56"/>
      <c r="U233" s="56" t="s">
        <v>36</v>
      </c>
      <c r="V233" s="56" t="s">
        <v>37</v>
      </c>
      <c r="W233" s="56">
        <v>45</v>
      </c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>
        <v>118</v>
      </c>
      <c r="AK233" s="56"/>
      <c r="AL233" s="56"/>
      <c r="AM233" s="56"/>
      <c r="AN233" s="234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</row>
    <row r="234" spans="1:65" ht="15.75" customHeight="1">
      <c r="A234" s="22">
        <f t="shared" si="0"/>
        <v>0</v>
      </c>
      <c r="B234" s="22"/>
      <c r="C234" s="22" t="str">
        <f t="shared" si="1"/>
        <v>134. 118 TPE :bulldogs: [S6] Eddie Spaghetti - 3B (Merkury86)</v>
      </c>
      <c r="D234" s="23">
        <f t="shared" si="2"/>
        <v>134</v>
      </c>
      <c r="E234" s="22" t="str">
        <f>VLOOKUP(H234,Analysis!$A$24:$B$33,2,FALSE)</f>
        <v>:bulldogs:</v>
      </c>
      <c r="F234" s="22"/>
      <c r="G234" s="22" t="s">
        <v>1263</v>
      </c>
      <c r="H234" s="40" t="s">
        <v>304</v>
      </c>
      <c r="I234" s="41" t="s">
        <v>1265</v>
      </c>
      <c r="J234" s="41" t="s">
        <v>1267</v>
      </c>
      <c r="K234" s="40" t="s">
        <v>1290</v>
      </c>
      <c r="L234" s="40" t="s">
        <v>215</v>
      </c>
      <c r="M234" s="40" t="s">
        <v>97</v>
      </c>
      <c r="N234" s="42">
        <v>118</v>
      </c>
      <c r="O234" s="40"/>
      <c r="P234" s="40"/>
      <c r="Q234" s="40"/>
      <c r="R234" s="40"/>
      <c r="S234" s="40"/>
      <c r="T234" s="40" t="s">
        <v>1048</v>
      </c>
      <c r="U234" s="40" t="s">
        <v>34</v>
      </c>
      <c r="V234" s="40" t="s">
        <v>34</v>
      </c>
      <c r="W234" s="40">
        <v>25</v>
      </c>
      <c r="X234" s="40" t="s">
        <v>266</v>
      </c>
      <c r="Y234" s="40">
        <v>6</v>
      </c>
      <c r="Z234" s="40">
        <v>8</v>
      </c>
      <c r="AA234" s="40" t="s">
        <v>375</v>
      </c>
      <c r="AB234" s="40"/>
      <c r="AC234" s="40"/>
      <c r="AD234" s="40"/>
      <c r="AE234" s="40"/>
      <c r="AF234" s="40">
        <v>1</v>
      </c>
      <c r="AG234" s="40">
        <v>1</v>
      </c>
      <c r="AH234" s="40"/>
      <c r="AI234" s="40">
        <v>118</v>
      </c>
      <c r="AK234" s="40"/>
      <c r="AL234" s="42"/>
      <c r="AM234" s="42"/>
      <c r="AN234" s="40"/>
      <c r="AO234" s="40" t="s">
        <v>647</v>
      </c>
      <c r="AP234" s="40" t="s">
        <v>1292</v>
      </c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21"/>
      <c r="BG234" s="21"/>
      <c r="BH234" s="21"/>
      <c r="BI234" s="21"/>
      <c r="BJ234" s="21"/>
      <c r="BK234" s="21"/>
      <c r="BL234" s="21"/>
      <c r="BM234" s="21"/>
    </row>
    <row r="235" spans="1:65" ht="15.75" customHeight="1">
      <c r="A235" s="22">
        <f t="shared" si="0"/>
        <v>-15</v>
      </c>
      <c r="B235" s="22"/>
      <c r="C235" s="22" t="str">
        <f t="shared" si="1"/>
        <v>286. 118 TPE :crabs: [S1] Buddy McKnight - SP (Squeeze)</v>
      </c>
      <c r="D235" s="23">
        <f t="shared" si="2"/>
        <v>286</v>
      </c>
      <c r="E235" s="22" t="str">
        <f>VLOOKUP(H235,Analysis!$A$24:$B$33,2,FALSE)</f>
        <v>:crabs:</v>
      </c>
      <c r="F235" s="22"/>
      <c r="G235" s="22" t="s">
        <v>1293</v>
      </c>
      <c r="H235" s="33" t="s">
        <v>3</v>
      </c>
      <c r="I235" s="34" t="s">
        <v>1296</v>
      </c>
      <c r="J235" s="34" t="s">
        <v>1299</v>
      </c>
      <c r="K235" s="33" t="s">
        <v>1301</v>
      </c>
      <c r="L235" s="33" t="s">
        <v>90</v>
      </c>
      <c r="M235" s="33" t="s">
        <v>114</v>
      </c>
      <c r="N235" s="35">
        <v>118</v>
      </c>
      <c r="O235" s="36">
        <v>0.5</v>
      </c>
      <c r="P235" s="36"/>
      <c r="Q235" s="36"/>
      <c r="R235" s="36"/>
      <c r="S235" s="36"/>
      <c r="T235" s="33"/>
      <c r="U235" s="33" t="s">
        <v>70</v>
      </c>
      <c r="V235" s="33" t="s">
        <v>70</v>
      </c>
      <c r="W235" s="33">
        <v>20</v>
      </c>
      <c r="X235" s="33"/>
      <c r="Y235" s="33"/>
      <c r="Z235" s="33"/>
      <c r="AA235" s="33"/>
      <c r="AB235" s="33"/>
      <c r="AC235" s="33">
        <v>3</v>
      </c>
      <c r="AD235" s="33">
        <v>0.5</v>
      </c>
      <c r="AE235" s="33">
        <v>0.5</v>
      </c>
      <c r="AF235" s="33">
        <v>0.5</v>
      </c>
      <c r="AG235" s="33">
        <v>0.5</v>
      </c>
      <c r="AH235" s="36">
        <v>0.5</v>
      </c>
      <c r="AI235" s="33">
        <v>133</v>
      </c>
      <c r="AJ235" s="33"/>
      <c r="AK235" s="33">
        <v>133</v>
      </c>
      <c r="AL235" s="35">
        <v>133</v>
      </c>
      <c r="AM235" s="35">
        <v>133</v>
      </c>
      <c r="AN235" s="38">
        <v>133</v>
      </c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21"/>
      <c r="BG235" s="21"/>
      <c r="BH235" s="21"/>
      <c r="BI235" s="21"/>
      <c r="BJ235" s="21"/>
      <c r="BK235" s="21"/>
      <c r="BL235" s="21"/>
      <c r="BM235" s="21"/>
    </row>
    <row r="236" spans="1:65" ht="15.75" customHeight="1">
      <c r="A236" s="22">
        <f t="shared" si="0"/>
        <v>0</v>
      </c>
      <c r="B236" s="22"/>
      <c r="C236" s="22" t="str">
        <f t="shared" si="1"/>
        <v>134. 116 TPE :scorpions: [S9] Diego Duque de Estrada - SP (BaseballManiac)</v>
      </c>
      <c r="D236" s="23">
        <f t="shared" si="2"/>
        <v>134</v>
      </c>
      <c r="E236" s="22" t="str">
        <f>VLOOKUP(H236,Analysis!$A$24:$B$33,2,FALSE)</f>
        <v>:scorpions:</v>
      </c>
      <c r="F236" s="22"/>
      <c r="G236" s="22"/>
      <c r="H236" s="40" t="s">
        <v>10</v>
      </c>
      <c r="I236" s="41" t="s">
        <v>1273</v>
      </c>
      <c r="J236" s="41" t="s">
        <v>1275</v>
      </c>
      <c r="K236" s="40" t="s">
        <v>1307</v>
      </c>
      <c r="L236" s="40" t="s">
        <v>90</v>
      </c>
      <c r="M236" s="40" t="s">
        <v>114</v>
      </c>
      <c r="N236" s="42">
        <v>116</v>
      </c>
      <c r="O236" s="43">
        <v>1.25</v>
      </c>
      <c r="P236" s="43">
        <v>1.25</v>
      </c>
      <c r="Q236" s="43"/>
      <c r="R236" s="43"/>
      <c r="S236" s="43"/>
      <c r="T236" s="40" t="s">
        <v>459</v>
      </c>
      <c r="U236" s="40" t="s">
        <v>37</v>
      </c>
      <c r="V236" s="40" t="s">
        <v>37</v>
      </c>
      <c r="W236" s="42">
        <v>40</v>
      </c>
      <c r="X236" s="40"/>
      <c r="Y236" s="40"/>
      <c r="Z236" s="40"/>
      <c r="AA236" s="40"/>
      <c r="AB236" s="40"/>
      <c r="AC236" s="40"/>
      <c r="AD236" s="40"/>
      <c r="AE236" s="42"/>
      <c r="AF236" s="42"/>
      <c r="AG236" s="42"/>
      <c r="AH236" s="44" t="s">
        <v>274</v>
      </c>
      <c r="AI236" s="40">
        <v>116</v>
      </c>
      <c r="AJ236" s="40"/>
      <c r="AK236" s="40"/>
      <c r="AL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21"/>
      <c r="BG236" s="21"/>
      <c r="BH236" s="21"/>
      <c r="BI236" s="21"/>
      <c r="BJ236" s="21"/>
      <c r="BK236" s="21"/>
      <c r="BL236" s="21"/>
      <c r="BM236" s="21"/>
    </row>
    <row r="237" spans="1:65" ht="15.75" customHeight="1">
      <c r="A237" s="22">
        <f t="shared" si="0"/>
        <v>0</v>
      </c>
      <c r="B237" s="22"/>
      <c r="C237" s="22" t="str">
        <f t="shared" si="1"/>
        <v>134. 114 TPE :bulldogs: [S2] Brandon Adams - SP (lasershow1507)</v>
      </c>
      <c r="D237" s="23">
        <f t="shared" si="2"/>
        <v>134</v>
      </c>
      <c r="E237" s="22" t="str">
        <f>VLOOKUP(H237,Analysis!$A$24:$B$33,2,FALSE)</f>
        <v>:bulldogs:</v>
      </c>
      <c r="F237" s="22"/>
      <c r="G237" s="26" t="s">
        <v>1308</v>
      </c>
      <c r="H237" s="56" t="s">
        <v>304</v>
      </c>
      <c r="I237" s="136" t="s">
        <v>1311</v>
      </c>
      <c r="J237" s="136" t="s">
        <v>1313</v>
      </c>
      <c r="K237" s="56" t="s">
        <v>1316</v>
      </c>
      <c r="L237" s="56" t="s">
        <v>90</v>
      </c>
      <c r="M237" s="56" t="s">
        <v>114</v>
      </c>
      <c r="N237" s="56">
        <v>114</v>
      </c>
      <c r="O237" s="60">
        <v>0.5</v>
      </c>
      <c r="P237" s="60"/>
      <c r="Q237" s="60"/>
      <c r="R237" s="60"/>
      <c r="S237" s="60"/>
      <c r="T237" s="56"/>
      <c r="U237" s="56" t="s">
        <v>78</v>
      </c>
      <c r="V237" s="56" t="s">
        <v>78</v>
      </c>
      <c r="W237" s="56">
        <v>35</v>
      </c>
      <c r="X237" s="56"/>
      <c r="Y237" s="56"/>
      <c r="Z237" s="56"/>
      <c r="AA237" s="56"/>
      <c r="AB237" s="56"/>
      <c r="AC237" s="56">
        <v>1</v>
      </c>
      <c r="AD237" s="56">
        <v>1</v>
      </c>
      <c r="AE237" s="56">
        <v>0.5</v>
      </c>
      <c r="AF237" s="56">
        <v>0.5</v>
      </c>
      <c r="AG237" s="56"/>
      <c r="AH237" s="60">
        <v>0.5</v>
      </c>
      <c r="AI237" s="56">
        <v>114</v>
      </c>
      <c r="AJ237" s="56">
        <v>114</v>
      </c>
      <c r="AK237" s="56">
        <v>114</v>
      </c>
      <c r="AL237" s="56">
        <v>114</v>
      </c>
      <c r="AM237" s="56">
        <v>114</v>
      </c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</row>
    <row r="238" spans="1:65" ht="15.75" customHeight="1">
      <c r="A238" s="22">
        <f t="shared" si="0"/>
        <v>0</v>
      </c>
      <c r="B238" s="22"/>
      <c r="C238" s="22" t="str">
        <f t="shared" si="1"/>
        <v>134. 114 TPE :bulldogs: [S5] Ike Thompson - 2B (Stockton)</v>
      </c>
      <c r="D238" s="23">
        <f t="shared" si="2"/>
        <v>134</v>
      </c>
      <c r="E238" s="22" t="str">
        <f>VLOOKUP(H238,Analysis!$A$24:$B$33,2,FALSE)</f>
        <v>:bulldogs:</v>
      </c>
      <c r="F238" s="22"/>
      <c r="G238" s="26" t="s">
        <v>1278</v>
      </c>
      <c r="H238" s="27" t="s">
        <v>304</v>
      </c>
      <c r="I238" s="29" t="s">
        <v>1279</v>
      </c>
      <c r="J238" s="29" t="s">
        <v>1281</v>
      </c>
      <c r="K238" s="27" t="s">
        <v>1322</v>
      </c>
      <c r="L238" s="27" t="s">
        <v>83</v>
      </c>
      <c r="M238" s="27" t="s">
        <v>192</v>
      </c>
      <c r="N238" s="27">
        <v>114</v>
      </c>
      <c r="O238" s="27"/>
      <c r="P238" s="27"/>
      <c r="Q238" s="27"/>
      <c r="R238" s="27"/>
      <c r="S238" s="27"/>
      <c r="T238" s="27" t="s">
        <v>1284</v>
      </c>
      <c r="U238" s="65" t="s">
        <v>33</v>
      </c>
      <c r="V238" s="27" t="s">
        <v>33</v>
      </c>
      <c r="W238" s="27">
        <v>11</v>
      </c>
      <c r="X238" s="27"/>
      <c r="Y238" s="27"/>
      <c r="Z238" s="27"/>
      <c r="AA238" s="27"/>
      <c r="AB238" s="27"/>
      <c r="AC238" s="27"/>
      <c r="AD238" s="27">
        <v>2</v>
      </c>
      <c r="AE238" s="27">
        <v>2</v>
      </c>
      <c r="AF238" s="27">
        <v>2</v>
      </c>
      <c r="AG238" s="27"/>
      <c r="AH238" s="27"/>
      <c r="AI238" s="27">
        <v>114</v>
      </c>
      <c r="AK238" s="27"/>
      <c r="AL238" s="27"/>
      <c r="AM238" s="27"/>
      <c r="AN238" s="261"/>
      <c r="AO238" s="27" t="s">
        <v>647</v>
      </c>
      <c r="AP238" s="27" t="s">
        <v>1323</v>
      </c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</row>
    <row r="239" spans="1:65" ht="15.75" customHeight="1">
      <c r="A239" s="22">
        <f t="shared" si="0"/>
        <v>0</v>
      </c>
      <c r="B239" s="22"/>
      <c r="C239" s="22" t="str">
        <f t="shared" si="1"/>
        <v>134. 114 TPE :bulldogs: [S2] Brandon Adams - SP (lasershow1507)</v>
      </c>
      <c r="D239" s="23">
        <f t="shared" si="2"/>
        <v>134</v>
      </c>
      <c r="E239" s="22" t="str">
        <f>VLOOKUP(H239,Analysis!$A$24:$B$33,2,FALSE)</f>
        <v>:bulldogs:</v>
      </c>
      <c r="F239" s="22"/>
      <c r="G239" s="22" t="s">
        <v>1308</v>
      </c>
      <c r="H239" s="33" t="s">
        <v>304</v>
      </c>
      <c r="I239" s="34" t="s">
        <v>1311</v>
      </c>
      <c r="J239" s="34" t="s">
        <v>1313</v>
      </c>
      <c r="K239" s="33" t="s">
        <v>1316</v>
      </c>
      <c r="L239" s="33" t="s">
        <v>90</v>
      </c>
      <c r="M239" s="33" t="s">
        <v>114</v>
      </c>
      <c r="N239" s="35">
        <v>114</v>
      </c>
      <c r="O239" s="36"/>
      <c r="P239" s="36"/>
      <c r="Q239" s="36"/>
      <c r="R239" s="36"/>
      <c r="S239" s="36"/>
      <c r="T239" s="33"/>
      <c r="U239" s="33" t="s">
        <v>78</v>
      </c>
      <c r="V239" s="33" t="s">
        <v>78</v>
      </c>
      <c r="W239" s="35">
        <v>35</v>
      </c>
      <c r="X239" s="33"/>
      <c r="Y239" s="33"/>
      <c r="Z239" s="33"/>
      <c r="AA239" s="33"/>
      <c r="AB239" s="33"/>
      <c r="AC239" s="33">
        <v>1</v>
      </c>
      <c r="AD239" s="35">
        <v>1</v>
      </c>
      <c r="AE239" s="35">
        <v>0.5</v>
      </c>
      <c r="AF239" s="35">
        <v>0.5</v>
      </c>
      <c r="AG239" s="35"/>
      <c r="AH239" s="45"/>
      <c r="AI239" s="35">
        <v>114</v>
      </c>
      <c r="AK239" s="35">
        <v>114</v>
      </c>
      <c r="AL239" s="33">
        <v>114</v>
      </c>
      <c r="AM239" s="33">
        <v>114</v>
      </c>
      <c r="AN239" s="170">
        <v>114</v>
      </c>
      <c r="AO239" s="33" t="s">
        <v>647</v>
      </c>
      <c r="AP239" s="33" t="s">
        <v>1329</v>
      </c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21"/>
      <c r="BG239" s="21"/>
      <c r="BH239" s="21"/>
      <c r="BI239" s="21"/>
      <c r="BJ239" s="21"/>
      <c r="BK239" s="21"/>
      <c r="BL239" s="21"/>
      <c r="BM239" s="21"/>
    </row>
    <row r="240" spans="1:65" ht="15.75" customHeight="1">
      <c r="A240" s="22">
        <f t="shared" si="0"/>
        <v>0</v>
      </c>
      <c r="B240" s="22"/>
      <c r="C240" s="22" t="str">
        <f t="shared" si="1"/>
        <v>134. 113 TPE :vandals: [S7] Marc Steele - RF (dreadlordking)</v>
      </c>
      <c r="D240" s="23">
        <f t="shared" si="2"/>
        <v>134</v>
      </c>
      <c r="E240" s="22" t="str">
        <f>VLOOKUP(H240,Analysis!$A$24:$B$33,2,FALSE)</f>
        <v>:vandals:</v>
      </c>
      <c r="F240" s="22"/>
      <c r="G240" s="22" t="s">
        <v>1294</v>
      </c>
      <c r="H240" s="40" t="s">
        <v>12</v>
      </c>
      <c r="I240" s="41" t="s">
        <v>1297</v>
      </c>
      <c r="J240" s="41" t="s">
        <v>1300</v>
      </c>
      <c r="K240" s="40" t="s">
        <v>1336</v>
      </c>
      <c r="L240" s="40" t="s">
        <v>131</v>
      </c>
      <c r="M240" s="40" t="s">
        <v>68</v>
      </c>
      <c r="N240" s="42">
        <v>113</v>
      </c>
      <c r="O240" s="43">
        <v>1.5</v>
      </c>
      <c r="P240" s="43"/>
      <c r="Q240" s="43"/>
      <c r="R240" s="43"/>
      <c r="S240" s="43"/>
      <c r="T240" s="40" t="s">
        <v>516</v>
      </c>
      <c r="U240" s="40" t="s">
        <v>35</v>
      </c>
      <c r="V240" s="40" t="s">
        <v>35</v>
      </c>
      <c r="W240" s="42">
        <v>17</v>
      </c>
      <c r="X240" s="40"/>
      <c r="Y240" s="40"/>
      <c r="Z240" s="40"/>
      <c r="AA240" s="40"/>
      <c r="AB240" s="40"/>
      <c r="AC240" s="40"/>
      <c r="AD240" s="40"/>
      <c r="AE240" s="40"/>
      <c r="AF240" s="42" t="s">
        <v>257</v>
      </c>
      <c r="AG240" s="42">
        <v>1.5</v>
      </c>
      <c r="AH240" s="44">
        <v>1.5</v>
      </c>
      <c r="AI240" s="42">
        <v>113</v>
      </c>
      <c r="AJ240" s="40"/>
      <c r="AK240" s="40"/>
      <c r="AL240" s="40"/>
      <c r="AM240" s="40"/>
      <c r="AN240" s="191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21"/>
      <c r="BG240" s="21"/>
      <c r="BH240" s="21"/>
      <c r="BI240" s="21"/>
      <c r="BJ240" s="21"/>
      <c r="BK240" s="21"/>
      <c r="BL240" s="21"/>
      <c r="BM240" s="21"/>
    </row>
    <row r="241" spans="1:65" ht="15.75" customHeight="1">
      <c r="A241" s="22">
        <f t="shared" si="0"/>
        <v>0</v>
      </c>
      <c r="B241" s="22"/>
      <c r="C241" s="22" t="str">
        <f t="shared" si="1"/>
        <v>134. 113 TPE :bulldogs: [S3] Logan Co - C (Cox2j8)</v>
      </c>
      <c r="D241" s="23">
        <f t="shared" si="2"/>
        <v>134</v>
      </c>
      <c r="E241" s="22" t="str">
        <f>VLOOKUP(H241,Analysis!$A$24:$B$33,2,FALSE)</f>
        <v>:bulldogs:</v>
      </c>
      <c r="F241" s="22"/>
      <c r="G241" s="22" t="s">
        <v>1286</v>
      </c>
      <c r="H241" s="33" t="s">
        <v>304</v>
      </c>
      <c r="I241" s="34" t="s">
        <v>1288</v>
      </c>
      <c r="J241" s="34" t="s">
        <v>1289</v>
      </c>
      <c r="K241" s="33" t="s">
        <v>1343</v>
      </c>
      <c r="L241" s="33" t="s">
        <v>103</v>
      </c>
      <c r="M241" s="33" t="s">
        <v>294</v>
      </c>
      <c r="N241" s="35">
        <v>113</v>
      </c>
      <c r="O241" s="33"/>
      <c r="P241" s="33"/>
      <c r="Q241" s="33"/>
      <c r="R241" s="33"/>
      <c r="S241" s="33"/>
      <c r="T241" s="33"/>
      <c r="U241" s="33" t="s">
        <v>126</v>
      </c>
      <c r="V241" s="33" t="s">
        <v>126</v>
      </c>
      <c r="W241" s="35">
        <v>15</v>
      </c>
      <c r="X241" s="33"/>
      <c r="Y241" s="33"/>
      <c r="Z241" s="33"/>
      <c r="AA241" s="33"/>
      <c r="AB241" s="33"/>
      <c r="AC241" s="33">
        <v>2</v>
      </c>
      <c r="AD241" s="33"/>
      <c r="AE241" s="33"/>
      <c r="AF241" s="33"/>
      <c r="AG241" s="33"/>
      <c r="AH241" s="33"/>
      <c r="AI241" s="33">
        <v>113</v>
      </c>
      <c r="AK241" s="33"/>
      <c r="AL241" s="35">
        <v>113</v>
      </c>
      <c r="AM241" s="35">
        <v>113</v>
      </c>
      <c r="AN241" s="33"/>
      <c r="AO241" s="33" t="s">
        <v>647</v>
      </c>
      <c r="AP241" s="33" t="s">
        <v>1345</v>
      </c>
      <c r="AQ241" s="33" t="s">
        <v>1346</v>
      </c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21"/>
      <c r="BG241" s="21"/>
      <c r="BH241" s="21"/>
      <c r="BI241" s="21"/>
      <c r="BJ241" s="21"/>
      <c r="BK241" s="21"/>
      <c r="BL241" s="21"/>
      <c r="BM241" s="21"/>
    </row>
    <row r="242" spans="1:65" ht="15.75" customHeight="1">
      <c r="A242" s="22">
        <f t="shared" si="0"/>
        <v>0</v>
      </c>
      <c r="B242" s="22"/>
      <c r="C242" s="22" t="str">
        <f t="shared" si="1"/>
        <v>134. 112 TPE :bulldogs: [S6] Phil Blunt - CF (drphillysblunt)</v>
      </c>
      <c r="D242" s="23">
        <f t="shared" si="2"/>
        <v>134</v>
      </c>
      <c r="E242" s="22" t="str">
        <f>VLOOKUP(H242,Analysis!$A$24:$B$33,2,FALSE)</f>
        <v>:bulldogs:</v>
      </c>
      <c r="F242" s="22"/>
      <c r="G242" s="26" t="s">
        <v>1303</v>
      </c>
      <c r="H242" s="27" t="s">
        <v>304</v>
      </c>
      <c r="I242" s="29" t="s">
        <v>1304</v>
      </c>
      <c r="J242" s="29" t="s">
        <v>1306</v>
      </c>
      <c r="K242" s="27" t="s">
        <v>1351</v>
      </c>
      <c r="L242" s="27" t="s">
        <v>67</v>
      </c>
      <c r="M242" s="27" t="s">
        <v>68</v>
      </c>
      <c r="N242" s="27">
        <v>112</v>
      </c>
      <c r="O242" s="27"/>
      <c r="P242" s="27"/>
      <c r="Q242" s="27"/>
      <c r="R242" s="27"/>
      <c r="S242" s="27"/>
      <c r="T242" s="27"/>
      <c r="U242" s="27" t="s">
        <v>34</v>
      </c>
      <c r="V242" s="27" t="s">
        <v>34</v>
      </c>
      <c r="W242" s="27">
        <v>21</v>
      </c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>
        <v>112</v>
      </c>
      <c r="AK242" s="27"/>
      <c r="AL242" s="27"/>
      <c r="AM242" s="27"/>
      <c r="AN242" s="27"/>
      <c r="AO242" s="27" t="s">
        <v>647</v>
      </c>
      <c r="AP242" s="27" t="s">
        <v>1353</v>
      </c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</row>
    <row r="243" spans="1:65" ht="15.75" customHeight="1">
      <c r="A243" s="22">
        <f t="shared" si="0"/>
        <v>0</v>
      </c>
      <c r="B243" s="22"/>
      <c r="C243" s="22" t="str">
        <f t="shared" si="1"/>
        <v>134. 112 TPE :bulldogs: [S2] Ulysses Covfefe - CF (CrashDavis)</v>
      </c>
      <c r="D243" s="23">
        <f t="shared" si="2"/>
        <v>134</v>
      </c>
      <c r="E243" s="22" t="str">
        <f>VLOOKUP(H243,Analysis!$A$24:$B$33,2,FALSE)</f>
        <v>:bulldogs:</v>
      </c>
      <c r="F243" s="22"/>
      <c r="G243" s="22" t="s">
        <v>1356</v>
      </c>
      <c r="H243" s="33" t="s">
        <v>304</v>
      </c>
      <c r="I243" s="34" t="s">
        <v>1358</v>
      </c>
      <c r="J243" s="34" t="s">
        <v>1360</v>
      </c>
      <c r="K243" s="33" t="s">
        <v>1362</v>
      </c>
      <c r="L243" s="33" t="s">
        <v>67</v>
      </c>
      <c r="M243" s="33" t="s">
        <v>1363</v>
      </c>
      <c r="N243" s="35">
        <v>112</v>
      </c>
      <c r="O243" s="45"/>
      <c r="P243" s="45"/>
      <c r="Q243" s="36"/>
      <c r="R243" s="36"/>
      <c r="S243" s="36"/>
      <c r="T243" s="33"/>
      <c r="U243" s="33" t="s">
        <v>78</v>
      </c>
      <c r="V243" s="33" t="s">
        <v>78</v>
      </c>
      <c r="W243" s="35">
        <v>37</v>
      </c>
      <c r="X243" s="33"/>
      <c r="Y243" s="33"/>
      <c r="Z243" s="33"/>
      <c r="AA243" s="33"/>
      <c r="AB243" s="33"/>
      <c r="AC243" s="33">
        <v>0.6</v>
      </c>
      <c r="AD243" s="35">
        <v>0.6</v>
      </c>
      <c r="AE243" s="35"/>
      <c r="AF243" s="35"/>
      <c r="AG243" s="35"/>
      <c r="AH243" s="45"/>
      <c r="AI243" s="33">
        <v>112</v>
      </c>
      <c r="AK243" s="33">
        <v>113</v>
      </c>
      <c r="AL243" s="33">
        <v>113</v>
      </c>
      <c r="AM243" s="33">
        <v>113</v>
      </c>
      <c r="AN243" s="33">
        <v>113</v>
      </c>
      <c r="AO243" s="33" t="s">
        <v>647</v>
      </c>
      <c r="AP243" s="33" t="s">
        <v>1366</v>
      </c>
      <c r="AQ243" s="33" t="s">
        <v>1367</v>
      </c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21"/>
      <c r="BG243" s="21"/>
      <c r="BH243" s="21"/>
      <c r="BI243" s="21"/>
      <c r="BJ243" s="21"/>
      <c r="BK243" s="21"/>
      <c r="BL243" s="21"/>
      <c r="BM243" s="21"/>
    </row>
    <row r="244" spans="1:65" ht="15.75" customHeight="1">
      <c r="A244" s="22">
        <f t="shared" si="0"/>
        <v>0</v>
      </c>
      <c r="B244" s="22"/>
      <c r="C244" s="22" t="str">
        <f t="shared" si="1"/>
        <v>134. 111 TPE :aviators: [S9] Bishop Chomke - RF (fade17)</v>
      </c>
      <c r="D244" s="23">
        <f t="shared" si="2"/>
        <v>134</v>
      </c>
      <c r="E244" s="22" t="str">
        <f>VLOOKUP(H244,Analysis!$A$24:$B$33,2,FALSE)</f>
        <v>:aviators:</v>
      </c>
      <c r="F244" s="22"/>
      <c r="G244" s="22"/>
      <c r="H244" s="40" t="s">
        <v>5</v>
      </c>
      <c r="I244" s="41" t="s">
        <v>1325</v>
      </c>
      <c r="J244" s="41" t="s">
        <v>1326</v>
      </c>
      <c r="K244" s="40" t="s">
        <v>1372</v>
      </c>
      <c r="L244" s="40" t="s">
        <v>131</v>
      </c>
      <c r="M244" s="40" t="s">
        <v>84</v>
      </c>
      <c r="N244" s="42">
        <v>111</v>
      </c>
      <c r="O244" s="43">
        <v>2</v>
      </c>
      <c r="P244" s="43">
        <v>2</v>
      </c>
      <c r="Q244" s="43"/>
      <c r="R244" s="43"/>
      <c r="S244" s="43"/>
      <c r="T244" s="40" t="s">
        <v>273</v>
      </c>
      <c r="U244" s="40" t="s">
        <v>37</v>
      </c>
      <c r="V244" s="40" t="s">
        <v>37</v>
      </c>
      <c r="W244" s="42">
        <v>39</v>
      </c>
      <c r="X244" s="40"/>
      <c r="Y244" s="42"/>
      <c r="Z244" s="40"/>
      <c r="AA244" s="40"/>
      <c r="AB244" s="40"/>
      <c r="AC244" s="40"/>
      <c r="AD244" s="40"/>
      <c r="AE244" s="42"/>
      <c r="AF244" s="42"/>
      <c r="AG244" s="40"/>
      <c r="AH244" s="40"/>
      <c r="AI244" s="40">
        <v>111</v>
      </c>
      <c r="AK244" s="40"/>
      <c r="AL244" s="40"/>
      <c r="AM244" s="40"/>
      <c r="AN244" s="191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21"/>
      <c r="BG244" s="21"/>
      <c r="BH244" s="21"/>
      <c r="BI244" s="21"/>
      <c r="BJ244" s="21"/>
      <c r="BK244" s="21"/>
      <c r="BL244" s="21"/>
      <c r="BM244" s="21"/>
    </row>
    <row r="245" spans="1:65" ht="15.75" customHeight="1">
      <c r="A245" s="22">
        <f t="shared" si="0"/>
        <v>0</v>
      </c>
      <c r="B245" s="22"/>
      <c r="C245" s="22" t="str">
        <f t="shared" si="1"/>
        <v>134. 111 TPE :crabs: [S1] Christian Augustine - SP (christian)</v>
      </c>
      <c r="D245" s="23">
        <f t="shared" si="2"/>
        <v>134</v>
      </c>
      <c r="E245" s="22" t="str">
        <f>VLOOKUP(H245,Analysis!$A$24:$B$33,2,FALSE)</f>
        <v>:crabs:</v>
      </c>
      <c r="F245" s="22"/>
      <c r="G245" s="26" t="s">
        <v>1310</v>
      </c>
      <c r="H245" s="56" t="s">
        <v>3</v>
      </c>
      <c r="I245" s="136" t="s">
        <v>1312</v>
      </c>
      <c r="J245" s="136" t="s">
        <v>1314</v>
      </c>
      <c r="K245" s="56" t="s">
        <v>1382</v>
      </c>
      <c r="L245" s="56" t="s">
        <v>90</v>
      </c>
      <c r="M245" s="56" t="s">
        <v>114</v>
      </c>
      <c r="N245" s="56">
        <v>111</v>
      </c>
      <c r="O245" s="60">
        <v>0.5</v>
      </c>
      <c r="P245" s="60"/>
      <c r="Q245" s="60"/>
      <c r="R245" s="60"/>
      <c r="S245" s="60"/>
      <c r="T245" s="56"/>
      <c r="U245" s="56" t="s">
        <v>70</v>
      </c>
      <c r="V245" s="56" t="s">
        <v>70</v>
      </c>
      <c r="W245" s="56">
        <v>65</v>
      </c>
      <c r="X245" s="56"/>
      <c r="Y245" s="56"/>
      <c r="Z245" s="56"/>
      <c r="AA245" s="56"/>
      <c r="AB245" s="56">
        <v>0.5</v>
      </c>
      <c r="AC245" s="56">
        <v>0.5</v>
      </c>
      <c r="AD245" s="56">
        <v>0.5</v>
      </c>
      <c r="AE245" s="56">
        <v>0.5</v>
      </c>
      <c r="AF245" s="56">
        <v>0.5</v>
      </c>
      <c r="AG245" s="56">
        <v>0.5</v>
      </c>
      <c r="AH245" s="60">
        <v>0.5</v>
      </c>
      <c r="AI245" s="56">
        <v>111</v>
      </c>
      <c r="AJ245" s="56">
        <v>111</v>
      </c>
      <c r="AK245" s="56">
        <v>111</v>
      </c>
      <c r="AL245" s="56">
        <v>111</v>
      </c>
      <c r="AM245" s="56">
        <v>111</v>
      </c>
      <c r="AN245" s="234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</row>
    <row r="246" spans="1:65" ht="15.75" customHeight="1">
      <c r="A246" s="22">
        <f t="shared" si="0"/>
        <v>0</v>
      </c>
      <c r="B246" s="22"/>
      <c r="C246" s="22" t="str">
        <f t="shared" si="1"/>
        <v>134. 111 TPE :bulldogs: [S4] Stuart Westerkam - C (CompleteBelter)</v>
      </c>
      <c r="D246" s="23">
        <f t="shared" si="2"/>
        <v>134</v>
      </c>
      <c r="E246" s="22" t="str">
        <f>VLOOKUP(H246,Analysis!$A$24:$B$33,2,FALSE)</f>
        <v>:bulldogs:</v>
      </c>
      <c r="F246" s="22"/>
      <c r="G246" s="22" t="s">
        <v>1318</v>
      </c>
      <c r="H246" s="40" t="s">
        <v>304</v>
      </c>
      <c r="I246" s="41" t="s">
        <v>1319</v>
      </c>
      <c r="J246" s="41" t="s">
        <v>1320</v>
      </c>
      <c r="K246" s="40" t="s">
        <v>1389</v>
      </c>
      <c r="L246" s="40" t="s">
        <v>103</v>
      </c>
      <c r="M246" s="40" t="s">
        <v>265</v>
      </c>
      <c r="N246" s="42">
        <v>111</v>
      </c>
      <c r="O246" s="43"/>
      <c r="P246" s="43"/>
      <c r="Q246" s="43"/>
      <c r="R246" s="43"/>
      <c r="S246" s="43"/>
      <c r="T246" s="40"/>
      <c r="U246" s="40" t="s">
        <v>32</v>
      </c>
      <c r="V246" s="40" t="s">
        <v>32</v>
      </c>
      <c r="W246" s="42">
        <v>13</v>
      </c>
      <c r="X246" s="40"/>
      <c r="Y246" s="40"/>
      <c r="Z246" s="40"/>
      <c r="AA246" s="40"/>
      <c r="AB246" s="40"/>
      <c r="AC246" s="42"/>
      <c r="AD246" s="42">
        <v>2.5</v>
      </c>
      <c r="AE246" s="42">
        <v>1.25</v>
      </c>
      <c r="AF246" s="42"/>
      <c r="AG246" s="40"/>
      <c r="AH246" s="43"/>
      <c r="AI246" s="42">
        <v>111</v>
      </c>
      <c r="AK246" s="42"/>
      <c r="AL246" s="42"/>
      <c r="AM246" s="42"/>
      <c r="AN246" s="191"/>
      <c r="AO246" s="40" t="s">
        <v>647</v>
      </c>
      <c r="AP246" s="40" t="s">
        <v>1391</v>
      </c>
      <c r="AQ246" s="40" t="s">
        <v>1392</v>
      </c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21"/>
      <c r="BG246" s="21"/>
      <c r="BH246" s="21"/>
      <c r="BI246" s="21"/>
      <c r="BJ246" s="21"/>
      <c r="BK246" s="21"/>
      <c r="BL246" s="21"/>
      <c r="BM246" s="21"/>
    </row>
    <row r="247" spans="1:65" ht="15.75" customHeight="1">
      <c r="A247" s="22">
        <f t="shared" si="0"/>
        <v>0</v>
      </c>
      <c r="B247" s="22"/>
      <c r="C247" s="22" t="str">
        <f t="shared" si="1"/>
        <v>134. 111 TPE :bulldogs: [S2] Addison Steinbach - SP (Sky23)</v>
      </c>
      <c r="D247" s="23">
        <f t="shared" si="2"/>
        <v>134</v>
      </c>
      <c r="E247" s="22" t="str">
        <f>VLOOKUP(H247,Analysis!$A$24:$B$33,2,FALSE)</f>
        <v>:bulldogs:</v>
      </c>
      <c r="F247" s="22"/>
      <c r="G247" s="22" t="s">
        <v>1393</v>
      </c>
      <c r="H247" s="33" t="s">
        <v>304</v>
      </c>
      <c r="I247" s="34" t="s">
        <v>1396</v>
      </c>
      <c r="J247" s="34" t="s">
        <v>1398</v>
      </c>
      <c r="K247" s="33" t="s">
        <v>1401</v>
      </c>
      <c r="L247" s="33" t="s">
        <v>90</v>
      </c>
      <c r="M247" s="33" t="s">
        <v>55</v>
      </c>
      <c r="N247" s="35">
        <v>111</v>
      </c>
      <c r="O247" s="33"/>
      <c r="P247" s="33"/>
      <c r="Q247" s="33"/>
      <c r="R247" s="33"/>
      <c r="S247" s="33"/>
      <c r="T247" s="33"/>
      <c r="U247" s="33" t="s">
        <v>78</v>
      </c>
      <c r="V247" s="33" t="s">
        <v>78</v>
      </c>
      <c r="W247" s="35">
        <v>30</v>
      </c>
      <c r="X247" s="33"/>
      <c r="Y247" s="33"/>
      <c r="Z247" s="33"/>
      <c r="AA247" s="33"/>
      <c r="AB247" s="33"/>
      <c r="AC247" s="33">
        <v>4</v>
      </c>
      <c r="AD247" s="33">
        <v>4</v>
      </c>
      <c r="AE247" s="33">
        <v>0.5</v>
      </c>
      <c r="AF247" s="33"/>
      <c r="AG247" s="33"/>
      <c r="AH247" s="33"/>
      <c r="AI247" s="33">
        <v>111</v>
      </c>
      <c r="AK247" s="33">
        <v>111</v>
      </c>
      <c r="AL247" s="35">
        <v>111</v>
      </c>
      <c r="AM247" s="35">
        <v>111</v>
      </c>
      <c r="AN247" s="170">
        <v>111</v>
      </c>
      <c r="AO247" s="33" t="s">
        <v>647</v>
      </c>
      <c r="AP247" s="33" t="s">
        <v>1402</v>
      </c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21"/>
      <c r="BG247" s="21"/>
      <c r="BH247" s="21"/>
      <c r="BI247" s="21"/>
      <c r="BJ247" s="21"/>
      <c r="BK247" s="21"/>
      <c r="BL247" s="21"/>
      <c r="BM247" s="21"/>
    </row>
    <row r="248" spans="1:65" ht="15.75" customHeight="1">
      <c r="A248" s="22">
        <f t="shared" si="0"/>
        <v>8</v>
      </c>
      <c r="B248" s="22"/>
      <c r="C248" s="22" t="str">
        <f t="shared" si="1"/>
        <v>124. 108 TPE :swifties: [S10] Dinero Torres - SP (chucky267)</v>
      </c>
      <c r="D248" s="23">
        <f t="shared" si="2"/>
        <v>124</v>
      </c>
      <c r="E248" s="4" t="s">
        <v>1078</v>
      </c>
      <c r="F248" s="4"/>
      <c r="G248" s="12"/>
      <c r="H248" s="121" t="s">
        <v>44</v>
      </c>
      <c r="I248" s="263" t="s">
        <v>1405</v>
      </c>
      <c r="J248" s="25" t="s">
        <v>1407</v>
      </c>
      <c r="K248" s="215" t="str">
        <f>IFERROR(TRIM(LEFT(J248,LEN(J248)-4)),"")</f>
        <v>Dinero Torres</v>
      </c>
      <c r="L248" s="215" t="str">
        <f>TRIM(RIGHT(J248,2))</f>
        <v>SP</v>
      </c>
      <c r="M248" s="15" t="s">
        <v>109</v>
      </c>
      <c r="N248" s="121">
        <v>108</v>
      </c>
      <c r="O248" s="40"/>
      <c r="P248" s="40"/>
      <c r="Q248" s="40"/>
      <c r="R248" s="40"/>
      <c r="S248" s="40"/>
      <c r="U248" s="121" t="s">
        <v>38</v>
      </c>
      <c r="V248" s="121" t="s">
        <v>19</v>
      </c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65">
        <v>100</v>
      </c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12"/>
    </row>
    <row r="249" spans="1:65" ht="15.75" customHeight="1">
      <c r="A249" s="22">
        <f t="shared" si="0"/>
        <v>8</v>
      </c>
      <c r="B249" s="22"/>
      <c r="C249" s="22" t="str">
        <f t="shared" si="1"/>
        <v>124. 108 TPE :scorpions: [S10] Arthur Meebles - LF (PoopsMagee)</v>
      </c>
      <c r="D249" s="23">
        <f t="shared" si="2"/>
        <v>124</v>
      </c>
      <c r="E249" s="22" t="str">
        <f>VLOOKUP(H249,Analysis!$A$24:$B$33,2,FALSE)</f>
        <v>:scorpions:</v>
      </c>
      <c r="F249" s="22"/>
      <c r="G249" s="22"/>
      <c r="H249" s="33" t="s">
        <v>10</v>
      </c>
      <c r="I249" s="34" t="s">
        <v>295</v>
      </c>
      <c r="J249" s="34" t="s">
        <v>296</v>
      </c>
      <c r="K249" s="33" t="s">
        <v>1417</v>
      </c>
      <c r="L249" s="33" t="s">
        <v>180</v>
      </c>
      <c r="M249" s="33" t="s">
        <v>298</v>
      </c>
      <c r="N249" s="35">
        <v>108</v>
      </c>
      <c r="O249" s="36" t="s">
        <v>274</v>
      </c>
      <c r="P249" s="36">
        <v>1</v>
      </c>
      <c r="Q249" s="36">
        <v>3</v>
      </c>
      <c r="R249" s="36"/>
      <c r="S249" s="36"/>
      <c r="T249" s="37" t="s">
        <v>285</v>
      </c>
      <c r="U249" s="33" t="s">
        <v>38</v>
      </c>
      <c r="V249" s="33" t="s">
        <v>38</v>
      </c>
      <c r="W249" s="35">
        <v>34</v>
      </c>
      <c r="X249" s="33"/>
      <c r="Y249" s="33"/>
      <c r="Z249" s="33"/>
      <c r="AA249" s="33"/>
      <c r="AB249" s="33"/>
      <c r="AC249" s="35"/>
      <c r="AD249" s="35"/>
      <c r="AE249" s="35"/>
      <c r="AF249" s="35"/>
      <c r="AG249" s="35"/>
      <c r="AH249" s="45"/>
      <c r="AI249" s="35">
        <v>100</v>
      </c>
      <c r="AJ249" s="35"/>
      <c r="AK249" s="35"/>
      <c r="AL249" s="35"/>
      <c r="AN249" s="170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21"/>
      <c r="BG249" s="21"/>
      <c r="BH249" s="21"/>
      <c r="BI249" s="21"/>
      <c r="BJ249" s="21"/>
      <c r="BK249" s="21"/>
      <c r="BL249" s="21"/>
      <c r="BM249" s="21"/>
    </row>
    <row r="250" spans="1:65" ht="15.75" customHeight="1">
      <c r="A250" s="22">
        <f t="shared" si="0"/>
        <v>8</v>
      </c>
      <c r="B250" s="22"/>
      <c r="C250" s="22" t="str">
        <f t="shared" si="1"/>
        <v>124. 108 TPE :crabs: [S10] Orin Valeryn - CL (Plasman)</v>
      </c>
      <c r="D250" s="23">
        <f t="shared" si="2"/>
        <v>124</v>
      </c>
      <c r="E250" s="22" t="str">
        <f>VLOOKUP(H250,Analysis!$A$24:$B$33,2,FALSE)</f>
        <v>:crabs:</v>
      </c>
      <c r="F250" s="22"/>
      <c r="G250" s="22"/>
      <c r="H250" s="40" t="s">
        <v>3</v>
      </c>
      <c r="I250" s="41" t="s">
        <v>1003</v>
      </c>
      <c r="J250" s="41" t="s">
        <v>1004</v>
      </c>
      <c r="K250" s="40" t="s">
        <v>1424</v>
      </c>
      <c r="L250" s="40" t="s">
        <v>336</v>
      </c>
      <c r="M250" s="40" t="s">
        <v>290</v>
      </c>
      <c r="N250" s="42">
        <v>108</v>
      </c>
      <c r="O250" s="43" t="s">
        <v>274</v>
      </c>
      <c r="P250" s="43">
        <v>2</v>
      </c>
      <c r="Q250" s="43">
        <v>2</v>
      </c>
      <c r="R250" s="43">
        <v>2</v>
      </c>
      <c r="S250" s="43"/>
      <c r="T250" s="135" t="s">
        <v>991</v>
      </c>
      <c r="U250" s="40" t="s">
        <v>38</v>
      </c>
      <c r="V250" s="40" t="s">
        <v>38</v>
      </c>
      <c r="W250" s="42">
        <v>24</v>
      </c>
      <c r="X250" s="40"/>
      <c r="Y250" s="40"/>
      <c r="Z250" s="40"/>
      <c r="AA250" s="40"/>
      <c r="AB250" s="40"/>
      <c r="AC250" s="42"/>
      <c r="AD250" s="42"/>
      <c r="AE250" s="42"/>
      <c r="AF250" s="42"/>
      <c r="AG250" s="42"/>
      <c r="AH250" s="44"/>
      <c r="AI250" s="42">
        <v>100</v>
      </c>
      <c r="AJ250" s="42"/>
      <c r="AK250" s="42"/>
      <c r="AL250" s="42"/>
      <c r="AM250" s="42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21"/>
      <c r="BG250" s="21"/>
      <c r="BH250" s="21"/>
      <c r="BI250" s="21"/>
      <c r="BJ250" s="21"/>
      <c r="BK250" s="21"/>
      <c r="BL250" s="21"/>
      <c r="BM250" s="21"/>
    </row>
    <row r="251" spans="1:65" ht="15.75" customHeight="1">
      <c r="A251" s="22">
        <f t="shared" si="0"/>
        <v>0</v>
      </c>
      <c r="B251" s="22"/>
      <c r="C251" s="22" t="str">
        <f t="shared" si="1"/>
        <v>134. 108 TPE :aviators: [S9] Goose Boozer - CL (UnderdogWSNC)</v>
      </c>
      <c r="D251" s="23">
        <f t="shared" si="2"/>
        <v>134</v>
      </c>
      <c r="E251" s="22" t="str">
        <f>VLOOKUP(H251,Analysis!$A$24:$B$33,2,FALSE)</f>
        <v>:aviators:</v>
      </c>
      <c r="F251" s="22"/>
      <c r="G251" s="22"/>
      <c r="H251" s="33" t="s">
        <v>5</v>
      </c>
      <c r="I251" s="34" t="s">
        <v>1385</v>
      </c>
      <c r="J251" s="34" t="s">
        <v>1386</v>
      </c>
      <c r="K251" s="33" t="s">
        <v>1432</v>
      </c>
      <c r="L251" s="33" t="s">
        <v>336</v>
      </c>
      <c r="M251" s="33" t="s">
        <v>109</v>
      </c>
      <c r="N251" s="35">
        <v>108</v>
      </c>
      <c r="O251" s="45">
        <v>3</v>
      </c>
      <c r="P251" s="36">
        <v>3</v>
      </c>
      <c r="Q251" s="36"/>
      <c r="R251" s="36"/>
      <c r="S251" s="36"/>
      <c r="T251" s="33" t="s">
        <v>273</v>
      </c>
      <c r="U251" s="33" t="s">
        <v>37</v>
      </c>
      <c r="V251" s="33" t="s">
        <v>37</v>
      </c>
      <c r="W251" s="33">
        <v>7</v>
      </c>
      <c r="X251" s="33"/>
      <c r="Y251" s="33"/>
      <c r="Z251" s="33"/>
      <c r="AA251" s="33"/>
      <c r="AB251" s="35"/>
      <c r="AC251" s="35"/>
      <c r="AD251" s="35"/>
      <c r="AE251" s="35"/>
      <c r="AF251" s="35"/>
      <c r="AG251" s="35"/>
      <c r="AH251" s="45"/>
      <c r="AI251" s="35">
        <v>108</v>
      </c>
      <c r="AK251" s="35"/>
      <c r="AL251" s="35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21"/>
      <c r="BG251" s="21"/>
      <c r="BH251" s="21"/>
      <c r="BI251" s="21"/>
      <c r="BJ251" s="21"/>
      <c r="BK251" s="21"/>
      <c r="BL251" s="21"/>
      <c r="BM251" s="21"/>
    </row>
    <row r="252" spans="1:65" ht="15.75" customHeight="1">
      <c r="A252" s="22">
        <f t="shared" si="0"/>
        <v>0</v>
      </c>
      <c r="B252" s="22"/>
      <c r="C252" s="22" t="str">
        <f t="shared" si="1"/>
        <v>134. 108 TPE :vandals: [S9] Jack Blll - CL (Good_Ole_Kimmy)</v>
      </c>
      <c r="D252" s="23">
        <f t="shared" si="2"/>
        <v>134</v>
      </c>
      <c r="E252" s="22" t="str">
        <f>VLOOKUP(H252,Analysis!$A$24:$B$33,2,FALSE)</f>
        <v>:vandals:</v>
      </c>
      <c r="F252" s="22"/>
      <c r="G252" s="22"/>
      <c r="H252" s="40" t="s">
        <v>12</v>
      </c>
      <c r="I252" s="41" t="s">
        <v>1379</v>
      </c>
      <c r="J252" s="41" t="s">
        <v>1381</v>
      </c>
      <c r="K252" s="40" t="s">
        <v>1438</v>
      </c>
      <c r="L252" s="40" t="s">
        <v>336</v>
      </c>
      <c r="M252" s="40" t="s">
        <v>290</v>
      </c>
      <c r="N252" s="42">
        <v>108</v>
      </c>
      <c r="O252" s="43">
        <v>1.5</v>
      </c>
      <c r="P252" s="43">
        <v>1.5</v>
      </c>
      <c r="Q252" s="43">
        <v>1.5</v>
      </c>
      <c r="R252" s="43"/>
      <c r="S252" s="43"/>
      <c r="T252" s="40" t="s">
        <v>612</v>
      </c>
      <c r="U252" s="121" t="s">
        <v>37</v>
      </c>
      <c r="V252" s="40" t="s">
        <v>37</v>
      </c>
      <c r="W252" s="42">
        <v>35</v>
      </c>
      <c r="X252" s="40"/>
      <c r="Y252" s="40"/>
      <c r="Z252" s="40"/>
      <c r="AA252" s="40"/>
      <c r="AB252" s="40"/>
      <c r="AC252" s="40"/>
      <c r="AD252" s="40"/>
      <c r="AE252" s="42"/>
      <c r="AF252" s="42"/>
      <c r="AG252" s="42"/>
      <c r="AH252" s="44" t="s">
        <v>274</v>
      </c>
      <c r="AI252" s="42">
        <v>108</v>
      </c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21"/>
      <c r="BG252" s="21"/>
      <c r="BH252" s="21"/>
      <c r="BI252" s="21"/>
      <c r="BJ252" s="21"/>
      <c r="BK252" s="21"/>
      <c r="BL252" s="21"/>
      <c r="BM252" s="21"/>
    </row>
    <row r="253" spans="1:65" ht="15.75" customHeight="1">
      <c r="A253" s="22">
        <f t="shared" si="0"/>
        <v>0</v>
      </c>
      <c r="B253" s="22"/>
      <c r="C253" s="22" t="str">
        <f t="shared" si="1"/>
        <v>134. 108 TPE :vandals: [S9] Tyler Findling - SS (Blandryt)</v>
      </c>
      <c r="D253" s="23">
        <f t="shared" si="2"/>
        <v>134</v>
      </c>
      <c r="E253" s="22" t="str">
        <f>VLOOKUP(H253,Analysis!$A$24:$B$33,2,FALSE)</f>
        <v>:vandals:</v>
      </c>
      <c r="F253" s="22"/>
      <c r="G253" s="21"/>
      <c r="H253" s="33" t="s">
        <v>12</v>
      </c>
      <c r="I253" s="34" t="s">
        <v>922</v>
      </c>
      <c r="J253" s="34" t="s">
        <v>923</v>
      </c>
      <c r="K253" s="33" t="s">
        <v>1447</v>
      </c>
      <c r="L253" s="33" t="s">
        <v>75</v>
      </c>
      <c r="M253" s="33" t="s">
        <v>329</v>
      </c>
      <c r="N253" s="35">
        <v>108</v>
      </c>
      <c r="O253" s="36">
        <v>1.5</v>
      </c>
      <c r="P253" s="36">
        <v>1.5</v>
      </c>
      <c r="Q253" s="36">
        <v>1.5</v>
      </c>
      <c r="R253" s="36"/>
      <c r="S253" s="36"/>
      <c r="T253" s="33" t="s">
        <v>373</v>
      </c>
      <c r="U253" s="33" t="s">
        <v>37</v>
      </c>
      <c r="V253" s="33" t="s">
        <v>37</v>
      </c>
      <c r="W253" s="33">
        <v>24</v>
      </c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6" t="s">
        <v>274</v>
      </c>
      <c r="AI253" s="33">
        <v>108</v>
      </c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21"/>
      <c r="BG253" s="21"/>
      <c r="BH253" s="21"/>
      <c r="BI253" s="21"/>
      <c r="BJ253" s="21"/>
      <c r="BK253" s="21"/>
      <c r="BL253" s="21"/>
      <c r="BM253" s="21"/>
    </row>
    <row r="254" spans="1:65" ht="15.75" customHeight="1">
      <c r="A254" s="22">
        <f t="shared" si="0"/>
        <v>0</v>
      </c>
      <c r="B254" s="22"/>
      <c r="C254" s="22" t="str">
        <f t="shared" si="1"/>
        <v>134. 108 TPE :vandals: [S6] Benjamin Beaux - SS (Macsimusx)</v>
      </c>
      <c r="D254" s="23">
        <f t="shared" si="2"/>
        <v>134</v>
      </c>
      <c r="E254" s="22" t="str">
        <f>VLOOKUP(H254,Analysis!$A$24:$B$33,2,FALSE)</f>
        <v>:vandals:</v>
      </c>
      <c r="F254" s="22"/>
      <c r="G254" s="22" t="s">
        <v>1344</v>
      </c>
      <c r="H254" s="40" t="s">
        <v>12</v>
      </c>
      <c r="I254" s="41" t="s">
        <v>1348</v>
      </c>
      <c r="J254" s="41" t="s">
        <v>1349</v>
      </c>
      <c r="K254" s="40" t="s">
        <v>1455</v>
      </c>
      <c r="L254" s="40" t="s">
        <v>75</v>
      </c>
      <c r="M254" s="40" t="s">
        <v>740</v>
      </c>
      <c r="N254" s="42">
        <v>108</v>
      </c>
      <c r="O254" s="43">
        <v>1</v>
      </c>
      <c r="P254" s="43"/>
      <c r="Q254" s="43"/>
      <c r="R254" s="43"/>
      <c r="S254" s="43"/>
      <c r="T254" s="40" t="s">
        <v>417</v>
      </c>
      <c r="U254" s="40" t="s">
        <v>34</v>
      </c>
      <c r="V254" s="40" t="s">
        <v>35</v>
      </c>
      <c r="W254" s="42">
        <v>13</v>
      </c>
      <c r="X254" s="40"/>
      <c r="Y254" s="40"/>
      <c r="Z254" s="40"/>
      <c r="AA254" s="40"/>
      <c r="AB254" s="40"/>
      <c r="AC254" s="42"/>
      <c r="AD254" s="40"/>
      <c r="AE254" s="40"/>
      <c r="AF254" s="40">
        <v>1</v>
      </c>
      <c r="AG254" s="40">
        <v>1</v>
      </c>
      <c r="AH254" s="43">
        <v>1</v>
      </c>
      <c r="AI254" s="40">
        <v>108</v>
      </c>
      <c r="AJ254" s="40"/>
      <c r="AK254" s="42"/>
      <c r="AL254" s="42"/>
      <c r="AM254" s="40"/>
      <c r="AN254" s="73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21"/>
      <c r="BG254" s="21"/>
      <c r="BH254" s="21"/>
      <c r="BI254" s="21"/>
      <c r="BJ254" s="21"/>
      <c r="BK254" s="21"/>
      <c r="BL254" s="21"/>
      <c r="BM254" s="21"/>
    </row>
    <row r="255" spans="1:65" ht="15.75" customHeight="1">
      <c r="A255" s="22">
        <f t="shared" si="0"/>
        <v>0</v>
      </c>
      <c r="B255" s="22"/>
      <c r="C255" s="22" t="str">
        <f t="shared" si="1"/>
        <v>134. 108 TPE :bulldogs: [S9] Goose Boozer - CL (UnderdogWSNC)</v>
      </c>
      <c r="D255" s="23">
        <f t="shared" si="2"/>
        <v>134</v>
      </c>
      <c r="E255" s="22" t="str">
        <f>VLOOKUP(H255,Analysis!$A$24:$B$33,2,FALSE)</f>
        <v>:bulldogs:</v>
      </c>
      <c r="F255" s="22"/>
      <c r="H255" s="56" t="s">
        <v>304</v>
      </c>
      <c r="I255" s="136" t="s">
        <v>1385</v>
      </c>
      <c r="J255" s="136" t="s">
        <v>1386</v>
      </c>
      <c r="K255" s="56" t="s">
        <v>1432</v>
      </c>
      <c r="L255" s="56" t="s">
        <v>336</v>
      </c>
      <c r="M255" s="56" t="s">
        <v>109</v>
      </c>
      <c r="N255" s="56">
        <v>108</v>
      </c>
      <c r="O255" s="56"/>
      <c r="P255" s="56"/>
      <c r="Q255" s="56"/>
      <c r="R255" s="56"/>
      <c r="S255" s="56"/>
      <c r="T255" s="56"/>
      <c r="U255" s="56" t="s">
        <v>37</v>
      </c>
      <c r="V255" s="56" t="s">
        <v>37</v>
      </c>
      <c r="W255" s="56">
        <v>7</v>
      </c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>
        <v>108</v>
      </c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</row>
    <row r="256" spans="1:65" ht="15.75" customHeight="1">
      <c r="A256" s="22">
        <f t="shared" si="0"/>
        <v>0</v>
      </c>
      <c r="B256" s="22"/>
      <c r="C256" s="22" t="str">
        <f t="shared" si="1"/>
        <v>134. 108 TPE :bulldogs: [S9] Elon Bezos - SS (Jbm3333)</v>
      </c>
      <c r="D256" s="23">
        <f t="shared" si="2"/>
        <v>134</v>
      </c>
      <c r="E256" s="22" t="str">
        <f>VLOOKUP(H256,Analysis!$A$24:$B$33,2,FALSE)</f>
        <v>:bulldogs:</v>
      </c>
      <c r="F256" s="22"/>
      <c r="G256" s="22"/>
      <c r="H256" s="40" t="s">
        <v>304</v>
      </c>
      <c r="I256" s="41" t="s">
        <v>1394</v>
      </c>
      <c r="J256" s="41" t="s">
        <v>1397</v>
      </c>
      <c r="K256" s="40" t="s">
        <v>1468</v>
      </c>
      <c r="L256" s="40" t="s">
        <v>75</v>
      </c>
      <c r="M256" s="40" t="s">
        <v>565</v>
      </c>
      <c r="N256" s="42">
        <v>108</v>
      </c>
      <c r="O256" s="43"/>
      <c r="P256" s="43"/>
      <c r="Q256" s="43"/>
      <c r="R256" s="43"/>
      <c r="S256" s="43"/>
      <c r="T256" s="43"/>
      <c r="U256" s="40" t="s">
        <v>37</v>
      </c>
      <c r="V256" s="40" t="s">
        <v>37</v>
      </c>
      <c r="W256" s="42">
        <v>44</v>
      </c>
      <c r="X256" s="40"/>
      <c r="Y256" s="40"/>
      <c r="Z256" s="40"/>
      <c r="AA256" s="40"/>
      <c r="AB256" s="42"/>
      <c r="AC256" s="42"/>
      <c r="AD256" s="42"/>
      <c r="AE256" s="42"/>
      <c r="AF256" s="42"/>
      <c r="AG256" s="42"/>
      <c r="AH256" s="43"/>
      <c r="AI256" s="42">
        <v>108</v>
      </c>
      <c r="AK256" s="42"/>
      <c r="AL256" s="42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21"/>
      <c r="BG256" s="21"/>
      <c r="BH256" s="21"/>
      <c r="BI256" s="21"/>
      <c r="BJ256" s="21"/>
      <c r="BK256" s="21"/>
      <c r="BL256" s="21"/>
      <c r="BM256" s="21"/>
    </row>
    <row r="257" spans="1:65" ht="15.75" customHeight="1">
      <c r="A257" s="22">
        <f t="shared" si="0"/>
        <v>0</v>
      </c>
      <c r="B257" s="22"/>
      <c r="C257" s="22" t="str">
        <f t="shared" si="1"/>
        <v>134. 108 TPE :bulldogs: [S7] Andrew Cathington - CF (datboi)</v>
      </c>
      <c r="D257" s="23">
        <f t="shared" si="2"/>
        <v>134</v>
      </c>
      <c r="E257" s="22" t="str">
        <f>VLOOKUP(H257,Analysis!$A$24:$B$33,2,FALSE)</f>
        <v>:bulldogs:</v>
      </c>
      <c r="F257" s="22"/>
      <c r="G257" s="22" t="s">
        <v>1352</v>
      </c>
      <c r="H257" s="33" t="s">
        <v>304</v>
      </c>
      <c r="I257" s="34" t="s">
        <v>1354</v>
      </c>
      <c r="J257" s="34" t="s">
        <v>1357</v>
      </c>
      <c r="K257" s="33" t="s">
        <v>1476</v>
      </c>
      <c r="L257" s="33" t="s">
        <v>67</v>
      </c>
      <c r="M257" s="33" t="s">
        <v>68</v>
      </c>
      <c r="N257" s="35">
        <v>108</v>
      </c>
      <c r="O257" s="33"/>
      <c r="P257" s="33"/>
      <c r="Q257" s="33"/>
      <c r="R257" s="33"/>
      <c r="S257" s="33"/>
      <c r="T257" s="33" t="s">
        <v>417</v>
      </c>
      <c r="U257" s="33" t="s">
        <v>35</v>
      </c>
      <c r="V257" s="33" t="s">
        <v>35</v>
      </c>
      <c r="W257" s="35">
        <v>15</v>
      </c>
      <c r="X257" s="33"/>
      <c r="Y257" s="33"/>
      <c r="Z257" s="33"/>
      <c r="AA257" s="33"/>
      <c r="AB257" s="33"/>
      <c r="AC257" s="33"/>
      <c r="AD257" s="33"/>
      <c r="AE257" s="33"/>
      <c r="AF257" s="33"/>
      <c r="AG257" s="33" t="s">
        <v>257</v>
      </c>
      <c r="AH257" s="33"/>
      <c r="AI257" s="33">
        <v>108</v>
      </c>
      <c r="AK257" s="33"/>
      <c r="AL257" s="35"/>
      <c r="AM257" s="35"/>
      <c r="AN257" s="38"/>
      <c r="AO257" s="33" t="s">
        <v>647</v>
      </c>
      <c r="AP257" s="33" t="s">
        <v>1477</v>
      </c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21"/>
      <c r="BG257" s="21"/>
      <c r="BH257" s="21"/>
      <c r="BI257" s="21"/>
      <c r="BJ257" s="21"/>
      <c r="BK257" s="21"/>
      <c r="BL257" s="21"/>
      <c r="BM257" s="21"/>
    </row>
    <row r="258" spans="1:65" ht="15.75" customHeight="1">
      <c r="A258" s="22">
        <f t="shared" si="0"/>
        <v>0</v>
      </c>
      <c r="B258" s="22"/>
      <c r="C258" s="22" t="str">
        <f t="shared" si="1"/>
        <v>134. 108 TPE :bulldogs: [S7] Dino Panini - SP (Nbrown55)</v>
      </c>
      <c r="D258" s="23">
        <f t="shared" si="2"/>
        <v>134</v>
      </c>
      <c r="E258" s="22" t="str">
        <f>VLOOKUP(H258,Analysis!$A$24:$B$33,2,FALSE)</f>
        <v>:bulldogs:</v>
      </c>
      <c r="F258" s="22"/>
      <c r="G258" s="22" t="s">
        <v>1365</v>
      </c>
      <c r="H258" s="40" t="s">
        <v>304</v>
      </c>
      <c r="I258" s="41" t="s">
        <v>1368</v>
      </c>
      <c r="J258" s="41" t="s">
        <v>1370</v>
      </c>
      <c r="K258" s="40" t="s">
        <v>1482</v>
      </c>
      <c r="L258" s="40" t="s">
        <v>90</v>
      </c>
      <c r="M258" s="40" t="s">
        <v>820</v>
      </c>
      <c r="N258" s="42">
        <v>108</v>
      </c>
      <c r="O258" s="40"/>
      <c r="P258" s="40"/>
      <c r="Q258" s="40"/>
      <c r="R258" s="40"/>
      <c r="S258" s="40"/>
      <c r="T258" s="40" t="s">
        <v>417</v>
      </c>
      <c r="U258" s="40" t="s">
        <v>35</v>
      </c>
      <c r="V258" s="40" t="s">
        <v>35</v>
      </c>
      <c r="W258" s="40">
        <v>14</v>
      </c>
      <c r="X258" s="40"/>
      <c r="Y258" s="40"/>
      <c r="Z258" s="40"/>
      <c r="AA258" s="40"/>
      <c r="AB258" s="40"/>
      <c r="AC258" s="40"/>
      <c r="AD258" s="40"/>
      <c r="AE258" s="40"/>
      <c r="AF258" s="40" t="s">
        <v>257</v>
      </c>
      <c r="AG258" s="40"/>
      <c r="AH258" s="40">
        <v>1.5</v>
      </c>
      <c r="AI258" s="40">
        <v>108</v>
      </c>
      <c r="AK258" s="40"/>
      <c r="AL258" s="42"/>
      <c r="AM258" s="42"/>
      <c r="AN258" s="73"/>
      <c r="AO258" s="40" t="s">
        <v>647</v>
      </c>
      <c r="AP258" s="40" t="s">
        <v>1485</v>
      </c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21"/>
      <c r="BG258" s="21"/>
      <c r="BH258" s="21"/>
      <c r="BI258" s="21"/>
      <c r="BJ258" s="21"/>
      <c r="BK258" s="21"/>
      <c r="BL258" s="21"/>
      <c r="BM258" s="21"/>
    </row>
    <row r="259" spans="1:65" ht="15.75" customHeight="1">
      <c r="A259" s="22">
        <f t="shared" si="0"/>
        <v>0</v>
      </c>
      <c r="B259" s="22"/>
      <c r="C259" s="22" t="str">
        <f t="shared" si="1"/>
        <v>134. 108 TPE :bulldogs: [S7] Marc Courtremanche - 3B (Mawcuzz)</v>
      </c>
      <c r="D259" s="23">
        <f t="shared" si="2"/>
        <v>134</v>
      </c>
      <c r="E259" s="22" t="str">
        <f>VLOOKUP(H259,Analysis!$A$24:$B$33,2,FALSE)</f>
        <v>:bulldogs:</v>
      </c>
      <c r="F259" s="22"/>
      <c r="G259" s="26" t="s">
        <v>1373</v>
      </c>
      <c r="H259" s="56" t="s">
        <v>304</v>
      </c>
      <c r="I259" s="136" t="s">
        <v>1376</v>
      </c>
      <c r="J259" s="272" t="s">
        <v>1377</v>
      </c>
      <c r="K259" s="56" t="s">
        <v>1491</v>
      </c>
      <c r="L259" s="56" t="s">
        <v>215</v>
      </c>
      <c r="M259" s="56" t="s">
        <v>97</v>
      </c>
      <c r="N259" s="56">
        <v>108</v>
      </c>
      <c r="O259" s="56"/>
      <c r="P259" s="56"/>
      <c r="Q259" s="56"/>
      <c r="R259" s="56"/>
      <c r="S259" s="56"/>
      <c r="T259" s="56" t="s">
        <v>110</v>
      </c>
      <c r="U259" s="56" t="s">
        <v>35</v>
      </c>
      <c r="V259" s="56" t="s">
        <v>35</v>
      </c>
      <c r="W259" s="56">
        <v>19</v>
      </c>
      <c r="X259" s="56"/>
      <c r="Y259" s="56"/>
      <c r="Z259" s="56"/>
      <c r="AA259" s="56"/>
      <c r="AB259" s="56"/>
      <c r="AC259" s="56"/>
      <c r="AD259" s="56"/>
      <c r="AE259" s="56"/>
      <c r="AF259" s="56"/>
      <c r="AG259" s="56" t="s">
        <v>257</v>
      </c>
      <c r="AH259" s="56">
        <v>3</v>
      </c>
      <c r="AI259" s="56">
        <v>108</v>
      </c>
      <c r="AK259" s="56"/>
      <c r="AL259" s="56"/>
      <c r="AM259" s="56"/>
      <c r="AN259" s="56"/>
      <c r="AO259" s="56" t="s">
        <v>647</v>
      </c>
      <c r="AP259" s="56" t="s">
        <v>1494</v>
      </c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</row>
    <row r="260" spans="1:65" ht="15.75" customHeight="1">
      <c r="A260" s="22">
        <f t="shared" si="0"/>
        <v>0</v>
      </c>
      <c r="B260" s="22"/>
      <c r="C260" s="22" t="str">
        <f t="shared" si="1"/>
        <v>134. 108 TPE :bulldogs: [S5] King Swamp Tro - RF (KingSwampTroll)</v>
      </c>
      <c r="D260" s="23">
        <f t="shared" si="2"/>
        <v>134</v>
      </c>
      <c r="E260" s="22" t="str">
        <f>VLOOKUP(H260,Analysis!$A$24:$B$33,2,FALSE)</f>
        <v>:bulldogs:</v>
      </c>
      <c r="F260" s="22"/>
      <c r="G260" s="26" t="s">
        <v>1338</v>
      </c>
      <c r="H260" s="27" t="s">
        <v>304</v>
      </c>
      <c r="I260" s="29" t="s">
        <v>1339</v>
      </c>
      <c r="J260" s="29" t="s">
        <v>1340</v>
      </c>
      <c r="K260" s="27" t="s">
        <v>1500</v>
      </c>
      <c r="L260" s="27" t="s">
        <v>131</v>
      </c>
      <c r="M260" s="27" t="s">
        <v>192</v>
      </c>
      <c r="N260" s="27">
        <v>108</v>
      </c>
      <c r="O260" s="27"/>
      <c r="P260" s="27"/>
      <c r="Q260" s="27"/>
      <c r="R260" s="27"/>
      <c r="S260" s="27"/>
      <c r="T260" s="27" t="s">
        <v>1174</v>
      </c>
      <c r="U260" s="27" t="s">
        <v>33</v>
      </c>
      <c r="V260" s="27" t="s">
        <v>33</v>
      </c>
      <c r="W260" s="27">
        <v>22</v>
      </c>
      <c r="X260" s="27"/>
      <c r="Y260" s="27"/>
      <c r="Z260" s="27"/>
      <c r="AA260" s="27"/>
      <c r="AB260" s="27"/>
      <c r="AC260" s="27"/>
      <c r="AD260" s="27"/>
      <c r="AE260" s="27">
        <v>2</v>
      </c>
      <c r="AF260" s="27">
        <v>0.625</v>
      </c>
      <c r="AG260" s="27"/>
      <c r="AH260" s="27"/>
      <c r="AI260" s="27">
        <v>108</v>
      </c>
      <c r="AK260" s="27"/>
      <c r="AL260" s="27"/>
      <c r="AM260" s="27"/>
      <c r="AN260" s="27"/>
      <c r="AO260" s="27" t="s">
        <v>647</v>
      </c>
      <c r="AP260" s="27" t="s">
        <v>1501</v>
      </c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</row>
    <row r="261" spans="1:65" ht="15.75" customHeight="1">
      <c r="A261" s="22">
        <f t="shared" si="0"/>
        <v>0</v>
      </c>
      <c r="B261" s="22"/>
      <c r="C261" s="22" t="str">
        <f t="shared" si="1"/>
        <v>134. 108 TPE :bulldogs: [S4] Alex Rolison - SP (adfalcon)</v>
      </c>
      <c r="D261" s="23">
        <f t="shared" si="2"/>
        <v>134</v>
      </c>
      <c r="E261" s="22" t="str">
        <f>VLOOKUP(H261,Analysis!$A$24:$B$33,2,FALSE)</f>
        <v>:bulldogs:</v>
      </c>
      <c r="F261" s="22"/>
      <c r="G261" s="53" t="s">
        <v>1330</v>
      </c>
      <c r="H261" s="54" t="s">
        <v>304</v>
      </c>
      <c r="I261" s="274" t="s">
        <v>1332</v>
      </c>
      <c r="J261" s="274" t="s">
        <v>1333</v>
      </c>
      <c r="K261" s="56" t="s">
        <v>1507</v>
      </c>
      <c r="L261" s="54" t="s">
        <v>90</v>
      </c>
      <c r="M261" s="54" t="s">
        <v>114</v>
      </c>
      <c r="N261" s="58">
        <v>108</v>
      </c>
      <c r="O261" s="61"/>
      <c r="P261" s="61"/>
      <c r="Q261" s="60"/>
      <c r="R261" s="60"/>
      <c r="S261" s="60"/>
      <c r="T261" s="58"/>
      <c r="U261" s="54" t="s">
        <v>32</v>
      </c>
      <c r="V261" s="54" t="s">
        <v>32</v>
      </c>
      <c r="W261" s="54">
        <v>8</v>
      </c>
      <c r="X261" s="54"/>
      <c r="Y261" s="54"/>
      <c r="Z261" s="54"/>
      <c r="AA261" s="56"/>
      <c r="AB261" s="54"/>
      <c r="AC261" s="54"/>
      <c r="AD261" s="54">
        <v>3</v>
      </c>
      <c r="AE261" s="54">
        <v>1.75</v>
      </c>
      <c r="AF261" s="54"/>
      <c r="AG261" s="54"/>
      <c r="AH261" s="61"/>
      <c r="AI261" s="54">
        <v>108</v>
      </c>
      <c r="AK261" s="54">
        <v>100</v>
      </c>
      <c r="AL261" s="54" t="e">
        <v>#REF!</v>
      </c>
      <c r="AM261" s="56"/>
      <c r="AN261" s="56"/>
      <c r="AO261" s="56" t="s">
        <v>647</v>
      </c>
      <c r="AP261" s="56" t="s">
        <v>1509</v>
      </c>
      <c r="AQ261" s="56" t="s">
        <v>1510</v>
      </c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12"/>
      <c r="BG261" s="12"/>
      <c r="BH261" s="12"/>
      <c r="BI261" s="12"/>
      <c r="BJ261" s="12"/>
      <c r="BK261" s="12"/>
      <c r="BL261" s="12"/>
      <c r="BM261" s="12"/>
    </row>
    <row r="262" spans="1:65" ht="15.75" customHeight="1">
      <c r="A262" s="22">
        <f t="shared" si="0"/>
        <v>7</v>
      </c>
      <c r="B262" s="22"/>
      <c r="C262" s="22" t="str">
        <f t="shared" si="1"/>
        <v>128. 107 TPE :crabs: [S10] Tormund Gingerbomb - 3B (GoodLeftUndone)</v>
      </c>
      <c r="D262" s="23">
        <f t="shared" si="2"/>
        <v>128</v>
      </c>
      <c r="E262" s="22" t="str">
        <f>VLOOKUP(H262,Analysis!$A$24:$B$33,2,FALSE)</f>
        <v>:crabs:</v>
      </c>
      <c r="F262" s="22"/>
      <c r="G262" s="22"/>
      <c r="H262" s="40" t="s">
        <v>3</v>
      </c>
      <c r="I262" s="41" t="s">
        <v>1512</v>
      </c>
      <c r="J262" s="41" t="s">
        <v>1514</v>
      </c>
      <c r="K262" s="40" t="s">
        <v>1516</v>
      </c>
      <c r="L262" s="40" t="s">
        <v>215</v>
      </c>
      <c r="M262" s="40" t="s">
        <v>554</v>
      </c>
      <c r="N262" s="42">
        <v>107</v>
      </c>
      <c r="O262" s="44" t="s">
        <v>274</v>
      </c>
      <c r="P262" s="44">
        <v>1.5</v>
      </c>
      <c r="Q262" s="43">
        <v>1.5</v>
      </c>
      <c r="R262" s="43">
        <v>1.5</v>
      </c>
      <c r="S262" s="43"/>
      <c r="T262" s="135" t="s">
        <v>1519</v>
      </c>
      <c r="U262" s="40" t="s">
        <v>38</v>
      </c>
      <c r="V262" s="40" t="s">
        <v>38</v>
      </c>
      <c r="W262" s="42">
        <v>32</v>
      </c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4"/>
      <c r="AI262" s="42">
        <v>100</v>
      </c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21"/>
      <c r="BG262" s="21"/>
      <c r="BH262" s="21"/>
      <c r="BI262" s="21"/>
      <c r="BJ262" s="21"/>
      <c r="BK262" s="21"/>
      <c r="BL262" s="21"/>
      <c r="BM262" s="21"/>
    </row>
    <row r="263" spans="1:65" ht="15.75" customHeight="1">
      <c r="A263" s="22">
        <f t="shared" si="0"/>
        <v>-7</v>
      </c>
      <c r="B263" s="22"/>
      <c r="C263" s="22" t="str">
        <f t="shared" si="1"/>
        <v>284. 106 TPE :crabs: [S9] Olle Sylvegaard - RF (JerseyBorn)</v>
      </c>
      <c r="D263" s="23">
        <f t="shared" si="2"/>
        <v>284</v>
      </c>
      <c r="E263" s="22" t="str">
        <f>VLOOKUP(H263,Analysis!$A$24:$B$33,2,FALSE)</f>
        <v>:crabs:</v>
      </c>
      <c r="F263" s="22"/>
      <c r="G263" s="22"/>
      <c r="H263" s="33" t="s">
        <v>3</v>
      </c>
      <c r="I263" s="34" t="s">
        <v>1006</v>
      </c>
      <c r="J263" s="34" t="s">
        <v>1007</v>
      </c>
      <c r="K263" s="33" t="s">
        <v>1524</v>
      </c>
      <c r="L263" s="33" t="s">
        <v>131</v>
      </c>
      <c r="M263" s="33" t="s">
        <v>132</v>
      </c>
      <c r="N263" s="35">
        <v>106</v>
      </c>
      <c r="O263" s="45">
        <v>1.5</v>
      </c>
      <c r="P263" s="45">
        <v>1.5</v>
      </c>
      <c r="Q263" s="36">
        <v>1.5</v>
      </c>
      <c r="R263" s="36"/>
      <c r="S263" s="36"/>
      <c r="T263" s="33" t="s">
        <v>373</v>
      </c>
      <c r="U263" s="33" t="s">
        <v>37</v>
      </c>
      <c r="V263" s="33" t="s">
        <v>37</v>
      </c>
      <c r="W263" s="35">
        <v>23</v>
      </c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45" t="s">
        <v>274</v>
      </c>
      <c r="AI263" s="35">
        <v>113</v>
      </c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21"/>
      <c r="BG263" s="21"/>
      <c r="BH263" s="21"/>
      <c r="BI263" s="21"/>
      <c r="BJ263" s="21"/>
      <c r="BK263" s="21"/>
      <c r="BL263" s="21"/>
      <c r="BM263" s="21"/>
    </row>
    <row r="264" spans="1:65" ht="15.75" customHeight="1">
      <c r="A264" s="22">
        <f t="shared" si="0"/>
        <v>5</v>
      </c>
      <c r="B264" s="22"/>
      <c r="C264" s="22" t="str">
        <f t="shared" si="1"/>
        <v>129. 105 TPE :wheelers: [S10] Randy Drumbo - C (MasterDolphin19)</v>
      </c>
      <c r="D264" s="23">
        <f t="shared" si="2"/>
        <v>129</v>
      </c>
      <c r="E264" s="4" t="s">
        <v>1526</v>
      </c>
      <c r="F264" s="4"/>
      <c r="H264" s="215" t="s">
        <v>44</v>
      </c>
      <c r="I264" s="263" t="s">
        <v>678</v>
      </c>
      <c r="J264" s="25" t="s">
        <v>679</v>
      </c>
      <c r="K264" s="215" t="str">
        <f>TRIM(LEFT(J264,LEN(J264)-4))</f>
        <v>Randy Drumbo</v>
      </c>
      <c r="L264" s="215" t="str">
        <f>TRIM(RIGHT(J264,2))</f>
        <v>C</v>
      </c>
      <c r="M264" s="65" t="s">
        <v>192</v>
      </c>
      <c r="N264" s="65">
        <v>105</v>
      </c>
      <c r="U264" s="215" t="s">
        <v>38</v>
      </c>
      <c r="V264" s="215" t="s">
        <v>19</v>
      </c>
      <c r="AI264" s="65">
        <v>100</v>
      </c>
    </row>
    <row r="265" spans="1:65" ht="15.75" customHeight="1">
      <c r="A265" s="22">
        <f t="shared" si="0"/>
        <v>0</v>
      </c>
      <c r="B265" s="22"/>
      <c r="C265" s="22" t="str">
        <f t="shared" si="1"/>
        <v>134. 105 TPE :bulldogs: [S4] TJ Sparks - SP (mako1355)</v>
      </c>
      <c r="D265" s="23">
        <f t="shared" si="2"/>
        <v>134</v>
      </c>
      <c r="E265" s="22" t="str">
        <f>VLOOKUP(H265,Analysis!$A$24:$B$33,2,FALSE)</f>
        <v>:bulldogs:</v>
      </c>
      <c r="F265" s="22"/>
      <c r="G265" s="22" t="s">
        <v>1400</v>
      </c>
      <c r="H265" s="33" t="s">
        <v>304</v>
      </c>
      <c r="I265" s="34" t="s">
        <v>1403</v>
      </c>
      <c r="J265" s="34" t="s">
        <v>1406</v>
      </c>
      <c r="K265" s="33" t="s">
        <v>1535</v>
      </c>
      <c r="L265" s="79" t="s">
        <v>90</v>
      </c>
      <c r="M265" s="33" t="s">
        <v>114</v>
      </c>
      <c r="N265" s="35">
        <v>105</v>
      </c>
      <c r="O265" s="45"/>
      <c r="P265" s="45"/>
      <c r="Q265" s="36"/>
      <c r="R265" s="36"/>
      <c r="S265" s="36"/>
      <c r="T265" s="33"/>
      <c r="U265" s="33" t="s">
        <v>32</v>
      </c>
      <c r="V265" s="33" t="s">
        <v>32</v>
      </c>
      <c r="W265" s="35">
        <v>12</v>
      </c>
      <c r="X265" s="33"/>
      <c r="Y265" s="33"/>
      <c r="Z265" s="33"/>
      <c r="AA265" s="33"/>
      <c r="AB265" s="33"/>
      <c r="AC265" s="33"/>
      <c r="AD265" s="33">
        <v>3</v>
      </c>
      <c r="AE265" s="33">
        <v>1.5</v>
      </c>
      <c r="AF265" s="33"/>
      <c r="AG265" s="35"/>
      <c r="AH265" s="45"/>
      <c r="AI265" s="33">
        <v>105</v>
      </c>
      <c r="AK265" s="33">
        <v>100</v>
      </c>
      <c r="AL265" s="33" t="e">
        <v>#REF!</v>
      </c>
      <c r="AM265" s="33"/>
      <c r="AN265" s="33"/>
      <c r="AO265" s="33" t="s">
        <v>647</v>
      </c>
      <c r="AP265" s="33" t="s">
        <v>1538</v>
      </c>
      <c r="AQ265" s="33" t="s">
        <v>1539</v>
      </c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21"/>
      <c r="BG265" s="21"/>
      <c r="BH265" s="21"/>
      <c r="BI265" s="21"/>
      <c r="BJ265" s="21"/>
      <c r="BK265" s="21"/>
      <c r="BL265" s="21"/>
      <c r="BM265" s="21"/>
    </row>
    <row r="266" spans="1:65" ht="15.75" customHeight="1">
      <c r="A266" s="22">
        <f t="shared" si="0"/>
        <v>3</v>
      </c>
      <c r="B266" s="22"/>
      <c r="C266" s="22" t="str">
        <f t="shared" si="1"/>
        <v>132. 103 TPE :aviators: [S10] Paul DiMirio III - 2B (Nykonax)</v>
      </c>
      <c r="D266" s="23">
        <f t="shared" si="2"/>
        <v>132</v>
      </c>
      <c r="E266" s="22" t="str">
        <f>VLOOKUP(H266,Analysis!$A$24:$B$33,2,FALSE)</f>
        <v>:aviators:</v>
      </c>
      <c r="F266" s="22"/>
      <c r="H266" s="27" t="s">
        <v>5</v>
      </c>
      <c r="I266" s="29" t="s">
        <v>830</v>
      </c>
      <c r="J266" s="29" t="s">
        <v>831</v>
      </c>
      <c r="K266" s="27" t="s">
        <v>1544</v>
      </c>
      <c r="L266" s="27" t="s">
        <v>83</v>
      </c>
      <c r="M266" s="27" t="s">
        <v>181</v>
      </c>
      <c r="N266" s="27">
        <v>103</v>
      </c>
      <c r="O266" s="27" t="s">
        <v>274</v>
      </c>
      <c r="P266" s="30">
        <v>1</v>
      </c>
      <c r="Q266" s="30">
        <v>1</v>
      </c>
      <c r="R266" s="30">
        <v>1</v>
      </c>
      <c r="S266" s="27"/>
      <c r="T266" s="27"/>
      <c r="U266" s="27" t="s">
        <v>38</v>
      </c>
      <c r="V266" s="27" t="s">
        <v>38</v>
      </c>
      <c r="W266" s="27">
        <v>37</v>
      </c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>
        <v>100</v>
      </c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</row>
    <row r="267" spans="1:65" ht="15.75" customHeight="1">
      <c r="A267" s="22">
        <f t="shared" si="0"/>
        <v>0</v>
      </c>
      <c r="B267" s="22"/>
      <c r="C267" s="22" t="str">
        <f t="shared" si="1"/>
        <v>134. 103 TPE :bulldogs: [S2] Harvey Bones - SP (Sopath)</v>
      </c>
      <c r="D267" s="23">
        <f t="shared" si="2"/>
        <v>134</v>
      </c>
      <c r="E267" s="22" t="str">
        <f>VLOOKUP(H267,Analysis!$A$24:$B$33,2,FALSE)</f>
        <v>:bulldogs:</v>
      </c>
      <c r="F267" s="22"/>
      <c r="G267" s="22" t="s">
        <v>1547</v>
      </c>
      <c r="H267" s="33" t="s">
        <v>304</v>
      </c>
      <c r="I267" s="34" t="s">
        <v>1550</v>
      </c>
      <c r="J267" s="34" t="s">
        <v>1552</v>
      </c>
      <c r="K267" s="33" t="s">
        <v>1554</v>
      </c>
      <c r="L267" s="33" t="s">
        <v>90</v>
      </c>
      <c r="M267" s="33" t="s">
        <v>55</v>
      </c>
      <c r="N267" s="35">
        <v>103</v>
      </c>
      <c r="O267" s="36"/>
      <c r="P267" s="36"/>
      <c r="Q267" s="36"/>
      <c r="R267" s="36"/>
      <c r="S267" s="36"/>
      <c r="T267" s="33" t="s">
        <v>1174</v>
      </c>
      <c r="U267" s="33" t="s">
        <v>78</v>
      </c>
      <c r="V267" s="33" t="s">
        <v>78</v>
      </c>
      <c r="W267" s="35">
        <v>8</v>
      </c>
      <c r="X267" s="33"/>
      <c r="Y267" s="33"/>
      <c r="Z267" s="33"/>
      <c r="AA267" s="33"/>
      <c r="AB267" s="33"/>
      <c r="AC267" s="33">
        <v>3</v>
      </c>
      <c r="AD267" s="33">
        <v>3</v>
      </c>
      <c r="AE267" s="33">
        <v>0.5</v>
      </c>
      <c r="AF267" s="35">
        <v>0.25</v>
      </c>
      <c r="AG267" s="35"/>
      <c r="AH267" s="45"/>
      <c r="AI267" s="33">
        <v>103</v>
      </c>
      <c r="AK267" s="33">
        <v>103</v>
      </c>
      <c r="AL267" s="33">
        <v>103</v>
      </c>
      <c r="AM267" s="33">
        <v>103</v>
      </c>
      <c r="AN267" s="33">
        <v>103</v>
      </c>
      <c r="AO267" s="33" t="s">
        <v>647</v>
      </c>
      <c r="AP267" s="33" t="s">
        <v>1556</v>
      </c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21"/>
      <c r="BG267" s="21"/>
      <c r="BH267" s="21"/>
      <c r="BI267" s="21"/>
      <c r="BJ267" s="21"/>
      <c r="BK267" s="21"/>
      <c r="BL267" s="21"/>
      <c r="BM267" s="21"/>
    </row>
    <row r="268" spans="1:65" ht="15.75" customHeight="1">
      <c r="A268" s="22">
        <f t="shared" si="0"/>
        <v>0</v>
      </c>
      <c r="B268" s="22"/>
      <c r="C268" s="22" t="str">
        <f t="shared" si="1"/>
        <v>134. 100 TPE :swans: [S10] Randy Savage - SP (TheFlash)</v>
      </c>
      <c r="D268" s="23">
        <f t="shared" si="2"/>
        <v>134</v>
      </c>
      <c r="E268" s="23" t="s">
        <v>1558</v>
      </c>
      <c r="F268" s="23"/>
      <c r="G268" s="12"/>
      <c r="H268" s="121" t="s">
        <v>44</v>
      </c>
      <c r="I268" s="263" t="s">
        <v>1560</v>
      </c>
      <c r="J268" s="25" t="s">
        <v>1562</v>
      </c>
      <c r="K268" s="215" t="str">
        <f t="shared" ref="K268:K270" si="20">IFERROR(TRIM(LEFT(J268,LEN(J268)-4)),"")</f>
        <v>Randy Savage</v>
      </c>
      <c r="L268" s="215" t="str">
        <f t="shared" ref="L268:L270" si="21">TRIM(RIGHT(J268,2))</f>
        <v>SP</v>
      </c>
      <c r="M268" s="15" t="s">
        <v>109</v>
      </c>
      <c r="N268" s="121">
        <v>100</v>
      </c>
      <c r="O268" s="40"/>
      <c r="P268" s="40"/>
      <c r="Q268" s="40"/>
      <c r="R268" s="40"/>
      <c r="S268" s="40"/>
      <c r="U268" s="121" t="s">
        <v>38</v>
      </c>
      <c r="V268" s="121" t="s">
        <v>19</v>
      </c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65">
        <v>100</v>
      </c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12"/>
    </row>
    <row r="269" spans="1:65" ht="15.75" customHeight="1">
      <c r="A269" s="22">
        <f t="shared" si="0"/>
        <v>0</v>
      </c>
      <c r="B269" s="22"/>
      <c r="C269" s="22" t="str">
        <f t="shared" si="1"/>
        <v>134. 100 TPE :bulldogs: [S10] Albert Blueballs - 1B (DONG)</v>
      </c>
      <c r="D269" s="23">
        <f t="shared" si="2"/>
        <v>134</v>
      </c>
      <c r="E269" s="4" t="s">
        <v>647</v>
      </c>
      <c r="F269" s="4"/>
      <c r="G269" s="12"/>
      <c r="H269" s="79" t="s">
        <v>44</v>
      </c>
      <c r="I269" s="259" t="s">
        <v>1053</v>
      </c>
      <c r="J269" s="25" t="s">
        <v>1570</v>
      </c>
      <c r="K269" s="54" t="str">
        <f t="shared" si="20"/>
        <v>Albert Blueballs</v>
      </c>
      <c r="L269" s="54" t="str">
        <f t="shared" si="21"/>
        <v>1B</v>
      </c>
      <c r="M269" s="79" t="s">
        <v>97</v>
      </c>
      <c r="N269" s="79">
        <v>100</v>
      </c>
      <c r="O269" s="33"/>
      <c r="P269" s="33"/>
      <c r="Q269" s="33"/>
      <c r="R269" s="33"/>
      <c r="S269" s="33"/>
      <c r="U269" s="79" t="s">
        <v>38</v>
      </c>
      <c r="V269" s="79" t="s">
        <v>19</v>
      </c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8">
        <v>100</v>
      </c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12"/>
    </row>
    <row r="270" spans="1:65" ht="15.75" customHeight="1">
      <c r="A270" s="22">
        <f t="shared" si="0"/>
        <v>0</v>
      </c>
      <c r="B270" s="22"/>
      <c r="C270" s="22" t="str">
        <f t="shared" si="1"/>
        <v>134. 100 TPE :bulldogs: [S10] Juan Dong - 1B (Ash2020)</v>
      </c>
      <c r="D270" s="23">
        <f t="shared" si="2"/>
        <v>134</v>
      </c>
      <c r="E270" s="4" t="s">
        <v>647</v>
      </c>
      <c r="F270" s="4"/>
      <c r="G270" s="12"/>
      <c r="H270" s="121" t="s">
        <v>44</v>
      </c>
      <c r="I270" s="263" t="s">
        <v>1575</v>
      </c>
      <c r="J270" s="25" t="s">
        <v>1054</v>
      </c>
      <c r="K270" s="215" t="str">
        <f t="shared" si="20"/>
        <v>Juan Dong</v>
      </c>
      <c r="L270" s="215" t="str">
        <f t="shared" si="21"/>
        <v>1B</v>
      </c>
      <c r="M270" s="121" t="s">
        <v>1046</v>
      </c>
      <c r="N270" s="121">
        <v>100</v>
      </c>
      <c r="O270" s="40"/>
      <c r="P270" s="40"/>
      <c r="Q270" s="40"/>
      <c r="R270" s="40"/>
      <c r="S270" s="40"/>
      <c r="U270" s="121" t="s">
        <v>38</v>
      </c>
      <c r="V270" s="121" t="s">
        <v>19</v>
      </c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65">
        <v>100</v>
      </c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12"/>
    </row>
    <row r="271" spans="1:65" ht="15.75" customHeight="1">
      <c r="A271" s="22">
        <f t="shared" si="0"/>
        <v>0</v>
      </c>
      <c r="B271" s="22"/>
      <c r="C271" s="22" t="str">
        <f t="shared" si="1"/>
        <v>134. 100 TPE :sloths: [S9] Dante Zarazel - CF (Dante)</v>
      </c>
      <c r="D271" s="23">
        <f t="shared" si="2"/>
        <v>134</v>
      </c>
      <c r="E271" s="22" t="str">
        <f>VLOOKUP(H271,Analysis!$A$24:$B$33,2,FALSE)</f>
        <v>:sloths:</v>
      </c>
      <c r="F271" s="22"/>
      <c r="G271" s="22"/>
      <c r="H271" s="33" t="s">
        <v>11</v>
      </c>
      <c r="I271" s="34" t="s">
        <v>1581</v>
      </c>
      <c r="J271" s="34" t="s">
        <v>1583</v>
      </c>
      <c r="K271" s="33" t="s">
        <v>1585</v>
      </c>
      <c r="L271" s="33" t="s">
        <v>67</v>
      </c>
      <c r="M271" s="33" t="s">
        <v>565</v>
      </c>
      <c r="N271" s="35">
        <v>100</v>
      </c>
      <c r="O271" s="45" t="s">
        <v>274</v>
      </c>
      <c r="P271" s="45">
        <v>1</v>
      </c>
      <c r="Q271" s="36">
        <v>1</v>
      </c>
      <c r="R271" s="36">
        <v>1</v>
      </c>
      <c r="S271" s="36"/>
      <c r="T271" s="33"/>
      <c r="U271" s="33" t="s">
        <v>37</v>
      </c>
      <c r="V271" s="33" t="s">
        <v>38</v>
      </c>
      <c r="W271" s="35">
        <v>39</v>
      </c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45"/>
      <c r="AI271" s="33">
        <v>100</v>
      </c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21"/>
      <c r="BG271" s="21"/>
      <c r="BH271" s="21"/>
      <c r="BI271" s="21"/>
      <c r="BJ271" s="21"/>
      <c r="BK271" s="21"/>
      <c r="BL271" s="21"/>
      <c r="BM271" s="21"/>
    </row>
    <row r="272" spans="1:65" ht="15.75" customHeight="1">
      <c r="A272" s="22">
        <f t="shared" si="0"/>
        <v>0</v>
      </c>
      <c r="B272" s="22"/>
      <c r="C272" s="22" t="str">
        <f t="shared" si="1"/>
        <v>134. 100 TPE :scorpions: [S10] Ed Barker - SP (🐨Wombat🐨)</v>
      </c>
      <c r="D272" s="23">
        <f t="shared" si="2"/>
        <v>134</v>
      </c>
      <c r="E272" s="22" t="str">
        <f>VLOOKUP(H272,Analysis!$A$24:$B$33,2,FALSE)</f>
        <v>:scorpions:</v>
      </c>
      <c r="F272" s="22"/>
      <c r="G272" s="22"/>
      <c r="H272" s="40" t="s">
        <v>10</v>
      </c>
      <c r="I272" s="41" t="s">
        <v>300</v>
      </c>
      <c r="J272" s="41" t="s">
        <v>302</v>
      </c>
      <c r="K272" s="40" t="s">
        <v>1589</v>
      </c>
      <c r="L272" s="121" t="s">
        <v>90</v>
      </c>
      <c r="M272" s="40" t="s">
        <v>55</v>
      </c>
      <c r="N272" s="42">
        <v>100</v>
      </c>
      <c r="O272" s="44" t="s">
        <v>274</v>
      </c>
      <c r="P272" s="44">
        <v>4</v>
      </c>
      <c r="Q272" s="43">
        <v>4</v>
      </c>
      <c r="R272" s="43"/>
      <c r="S272" s="43"/>
      <c r="T272" s="135" t="s">
        <v>285</v>
      </c>
      <c r="U272" s="40" t="s">
        <v>38</v>
      </c>
      <c r="V272" s="40" t="s">
        <v>38</v>
      </c>
      <c r="W272" s="42">
        <v>14</v>
      </c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4"/>
      <c r="AI272" s="40">
        <v>100</v>
      </c>
      <c r="AJ272" s="40"/>
      <c r="AK272" s="40"/>
      <c r="AL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21"/>
      <c r="BG272" s="21"/>
      <c r="BH272" s="21"/>
      <c r="BI272" s="21"/>
      <c r="BJ272" s="21"/>
      <c r="BK272" s="21"/>
      <c r="BL272" s="21"/>
      <c r="BM272" s="21"/>
    </row>
    <row r="273" spans="1:65" ht="15.75" customHeight="1">
      <c r="A273" s="22">
        <f t="shared" si="0"/>
        <v>0</v>
      </c>
      <c r="B273" s="22"/>
      <c r="C273" s="22" t="str">
        <f t="shared" si="1"/>
        <v>134. 100 TPE :voyagers: [S10] Fliff Cloyd - LF (BigRudy)</v>
      </c>
      <c r="D273" s="23">
        <f t="shared" si="2"/>
        <v>134</v>
      </c>
      <c r="E273" s="22" t="str">
        <f>VLOOKUP(H273,Analysis!$A$24:$B$33,2,FALSE)</f>
        <v>:voyagers:</v>
      </c>
      <c r="F273" s="22"/>
      <c r="G273" s="22"/>
      <c r="H273" s="33" t="s">
        <v>8</v>
      </c>
      <c r="I273" s="34" t="s">
        <v>930</v>
      </c>
      <c r="J273" s="34" t="s">
        <v>932</v>
      </c>
      <c r="K273" s="33" t="s">
        <v>1596</v>
      </c>
      <c r="L273" s="33" t="s">
        <v>180</v>
      </c>
      <c r="M273" s="33" t="s">
        <v>192</v>
      </c>
      <c r="N273" s="35">
        <v>100</v>
      </c>
      <c r="O273" s="36" t="s">
        <v>274</v>
      </c>
      <c r="P273" s="36">
        <v>5</v>
      </c>
      <c r="Q273" s="36">
        <v>5</v>
      </c>
      <c r="R273" s="36">
        <v>5</v>
      </c>
      <c r="S273" s="36"/>
      <c r="T273" s="37" t="s">
        <v>909</v>
      </c>
      <c r="U273" s="33" t="s">
        <v>38</v>
      </c>
      <c r="V273" s="33" t="s">
        <v>38</v>
      </c>
      <c r="W273" s="35">
        <v>30</v>
      </c>
      <c r="X273" s="33"/>
      <c r="Y273" s="33"/>
      <c r="Z273" s="33"/>
      <c r="AA273" s="33"/>
      <c r="AB273" s="35"/>
      <c r="AC273" s="35"/>
      <c r="AD273" s="35"/>
      <c r="AE273" s="35"/>
      <c r="AF273" s="35"/>
      <c r="AG273" s="33"/>
      <c r="AH273" s="36"/>
      <c r="AI273" s="35">
        <v>100</v>
      </c>
      <c r="AK273" s="35"/>
      <c r="AL273" s="35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21"/>
      <c r="BG273" s="21"/>
      <c r="BH273" s="21"/>
      <c r="BI273" s="21"/>
      <c r="BJ273" s="21"/>
      <c r="BK273" s="21"/>
      <c r="BL273" s="21"/>
      <c r="BM273" s="21"/>
    </row>
    <row r="274" spans="1:65" ht="15.75" customHeight="1">
      <c r="A274" s="22">
        <f t="shared" si="0"/>
        <v>0</v>
      </c>
      <c r="B274" s="22"/>
      <c r="C274" s="22" t="str">
        <f t="shared" si="1"/>
        <v>134. 100 TPE :crabs: [S10] Ryusei Makunouchi - C (PDXBaller)</v>
      </c>
      <c r="D274" s="23">
        <f t="shared" si="2"/>
        <v>134</v>
      </c>
      <c r="E274" s="22" t="str">
        <f>VLOOKUP(H274,Analysis!$A$24:$B$33,2,FALSE)</f>
        <v>:crabs:</v>
      </c>
      <c r="F274" s="22"/>
      <c r="H274" s="27" t="s">
        <v>3</v>
      </c>
      <c r="I274" s="29" t="s">
        <v>1008</v>
      </c>
      <c r="J274" s="29" t="s">
        <v>1009</v>
      </c>
      <c r="K274" s="27" t="s">
        <v>1603</v>
      </c>
      <c r="L274" s="27" t="s">
        <v>103</v>
      </c>
      <c r="M274" s="27" t="s">
        <v>298</v>
      </c>
      <c r="N274" s="27">
        <v>100</v>
      </c>
      <c r="O274" s="27" t="s">
        <v>274</v>
      </c>
      <c r="P274" s="30">
        <v>2.5</v>
      </c>
      <c r="Q274" s="30">
        <v>2.5</v>
      </c>
      <c r="R274" s="30"/>
      <c r="S274" s="27"/>
      <c r="T274" s="31" t="s">
        <v>991</v>
      </c>
      <c r="U274" s="27" t="s">
        <v>38</v>
      </c>
      <c r="V274" s="27" t="s">
        <v>38</v>
      </c>
      <c r="W274" s="27">
        <v>13</v>
      </c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>
        <v>100</v>
      </c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</row>
    <row r="275" spans="1:65" ht="15.75" customHeight="1">
      <c r="A275" s="22">
        <f t="shared" si="0"/>
        <v>0</v>
      </c>
      <c r="B275" s="22"/>
      <c r="C275" s="22" t="str">
        <f t="shared" si="1"/>
        <v>134. 100 TPE :crabs: [S10] Glenn Cahill - 3B (DripDropDrippin)</v>
      </c>
      <c r="D275" s="23">
        <f t="shared" si="2"/>
        <v>134</v>
      </c>
      <c r="E275" s="22" t="str">
        <f>VLOOKUP(H275,Analysis!$A$24:$B$33,2,FALSE)</f>
        <v>:crabs:</v>
      </c>
      <c r="F275" s="22"/>
      <c r="G275" s="22"/>
      <c r="H275" s="33" t="s">
        <v>3</v>
      </c>
      <c r="I275" s="34" t="s">
        <v>1590</v>
      </c>
      <c r="J275" s="34" t="s">
        <v>1592</v>
      </c>
      <c r="K275" s="33" t="s">
        <v>1612</v>
      </c>
      <c r="L275" s="33" t="s">
        <v>215</v>
      </c>
      <c r="M275" s="33" t="s">
        <v>132</v>
      </c>
      <c r="N275" s="35">
        <v>100</v>
      </c>
      <c r="O275" s="33" t="s">
        <v>274</v>
      </c>
      <c r="P275" s="36">
        <v>2</v>
      </c>
      <c r="Q275" s="36">
        <v>2</v>
      </c>
      <c r="R275" s="36">
        <v>2</v>
      </c>
      <c r="S275" s="33"/>
      <c r="T275" s="37" t="s">
        <v>991</v>
      </c>
      <c r="U275" s="33" t="s">
        <v>38</v>
      </c>
      <c r="V275" s="33" t="s">
        <v>38</v>
      </c>
      <c r="W275" s="33">
        <v>27</v>
      </c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>
        <v>100</v>
      </c>
      <c r="AJ275" s="33"/>
      <c r="AK275" s="33"/>
      <c r="AL275" s="35"/>
      <c r="AM275" s="35"/>
      <c r="AN275" s="38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21"/>
      <c r="BG275" s="21"/>
      <c r="BH275" s="21"/>
      <c r="BI275" s="21"/>
      <c r="BJ275" s="21"/>
      <c r="BK275" s="21"/>
      <c r="BL275" s="21"/>
      <c r="BM275" s="21"/>
    </row>
    <row r="276" spans="1:65" ht="15.75" customHeight="1">
      <c r="A276" s="22">
        <f t="shared" si="0"/>
        <v>0</v>
      </c>
      <c r="B276" s="22"/>
      <c r="C276" s="22" t="str">
        <f t="shared" si="1"/>
        <v>134. 100 TPE :crabs: [S10] Daquan Nibbason - SP (DaquanNibbason)</v>
      </c>
      <c r="D276" s="23">
        <f t="shared" si="2"/>
        <v>134</v>
      </c>
      <c r="E276" s="22" t="str">
        <f>VLOOKUP(H276,Analysis!$A$24:$B$33,2,FALSE)</f>
        <v>:crabs:</v>
      </c>
      <c r="F276" s="22"/>
      <c r="H276" s="27" t="s">
        <v>3</v>
      </c>
      <c r="I276" s="29" t="s">
        <v>1012</v>
      </c>
      <c r="J276" s="29" t="s">
        <v>1013</v>
      </c>
      <c r="K276" s="27" t="s">
        <v>1620</v>
      </c>
      <c r="L276" s="27" t="s">
        <v>90</v>
      </c>
      <c r="M276" s="27" t="s">
        <v>114</v>
      </c>
      <c r="N276" s="27">
        <v>100</v>
      </c>
      <c r="O276" s="27" t="s">
        <v>274</v>
      </c>
      <c r="P276" s="30">
        <v>1.5</v>
      </c>
      <c r="Q276" s="30">
        <v>1.5</v>
      </c>
      <c r="R276" s="30">
        <v>1.5</v>
      </c>
      <c r="S276" s="27"/>
      <c r="T276" s="31" t="s">
        <v>1014</v>
      </c>
      <c r="U276" s="27" t="s">
        <v>38</v>
      </c>
      <c r="V276" s="27" t="s">
        <v>38</v>
      </c>
      <c r="W276" s="27">
        <v>19</v>
      </c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>
        <v>100</v>
      </c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</row>
    <row r="277" spans="1:65" ht="15.75" customHeight="1">
      <c r="A277" s="22">
        <f t="shared" si="0"/>
        <v>0</v>
      </c>
      <c r="B277" s="22"/>
      <c r="C277" s="22" t="str">
        <f t="shared" si="1"/>
        <v>134. 100 TPE :rangers: [S10] Tyler Finch - SP (dankoa)</v>
      </c>
      <c r="D277" s="23">
        <f t="shared" si="2"/>
        <v>134</v>
      </c>
      <c r="E277" s="22" t="str">
        <f>VLOOKUP(H277,Analysis!$A$24:$B$33,2,FALSE)</f>
        <v>:rangers:</v>
      </c>
      <c r="F277" s="22"/>
      <c r="G277" s="22"/>
      <c r="H277" s="33" t="s">
        <v>9</v>
      </c>
      <c r="I277" s="34" t="s">
        <v>1119</v>
      </c>
      <c r="J277" s="34" t="s">
        <v>1120</v>
      </c>
      <c r="K277" s="33" t="s">
        <v>1628</v>
      </c>
      <c r="L277" s="33" t="s">
        <v>90</v>
      </c>
      <c r="M277" s="33" t="s">
        <v>109</v>
      </c>
      <c r="N277" s="35">
        <v>100</v>
      </c>
      <c r="O277" s="45" t="s">
        <v>274</v>
      </c>
      <c r="P277" s="45">
        <v>1.25</v>
      </c>
      <c r="Q277" s="36">
        <v>1.25</v>
      </c>
      <c r="R277" s="36"/>
      <c r="S277" s="36"/>
      <c r="T277" s="37" t="s">
        <v>1025</v>
      </c>
      <c r="U277" s="33" t="s">
        <v>38</v>
      </c>
      <c r="V277" s="33" t="s">
        <v>38</v>
      </c>
      <c r="W277" s="35">
        <v>31</v>
      </c>
      <c r="X277" s="33"/>
      <c r="Y277" s="33"/>
      <c r="Z277" s="33"/>
      <c r="AA277" s="33"/>
      <c r="AB277" s="33"/>
      <c r="AC277" s="33"/>
      <c r="AD277" s="33"/>
      <c r="AE277" s="35"/>
      <c r="AF277" s="35"/>
      <c r="AG277" s="35"/>
      <c r="AH277" s="45"/>
      <c r="AI277" s="35">
        <v>100</v>
      </c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21"/>
      <c r="BG277" s="21"/>
      <c r="BH277" s="21"/>
      <c r="BI277" s="21"/>
      <c r="BJ277" s="21"/>
      <c r="BK277" s="21"/>
      <c r="BL277" s="21"/>
      <c r="BM277" s="21"/>
    </row>
    <row r="278" spans="1:65" ht="15.75" customHeight="1">
      <c r="A278" s="22">
        <f t="shared" si="0"/>
        <v>0</v>
      </c>
      <c r="B278" s="22"/>
      <c r="C278" s="22" t="str">
        <f t="shared" si="1"/>
        <v>134. 100 TPE :vandals: [S10] Mason Brown 2.0 - LF (Fire-Bred)</v>
      </c>
      <c r="D278" s="23">
        <f t="shared" si="2"/>
        <v>134</v>
      </c>
      <c r="E278" s="22" t="str">
        <f>VLOOKUP(H278,Analysis!$A$24:$B$33,2,FALSE)</f>
        <v>:vandals:</v>
      </c>
      <c r="F278" s="22"/>
      <c r="G278" s="22"/>
      <c r="H278" s="40" t="s">
        <v>12</v>
      </c>
      <c r="I278" s="41" t="s">
        <v>649</v>
      </c>
      <c r="J278" s="41" t="s">
        <v>651</v>
      </c>
      <c r="K278" s="40" t="s">
        <v>1633</v>
      </c>
      <c r="L278" s="40" t="s">
        <v>180</v>
      </c>
      <c r="M278" s="40" t="s">
        <v>554</v>
      </c>
      <c r="N278" s="42">
        <v>100</v>
      </c>
      <c r="O278" s="43">
        <v>2</v>
      </c>
      <c r="P278" s="43">
        <v>2</v>
      </c>
      <c r="Q278" s="43">
        <v>2</v>
      </c>
      <c r="R278" s="43">
        <v>2</v>
      </c>
      <c r="S278" s="43"/>
      <c r="T278" s="40"/>
      <c r="U278" s="40" t="s">
        <v>38</v>
      </c>
      <c r="V278" s="40" t="s">
        <v>38</v>
      </c>
      <c r="W278" s="42">
        <v>26</v>
      </c>
      <c r="X278" s="40"/>
      <c r="Y278" s="40"/>
      <c r="Z278" s="40"/>
      <c r="AA278" s="40"/>
      <c r="AB278" s="40"/>
      <c r="AC278" s="42"/>
      <c r="AD278" s="42"/>
      <c r="AE278" s="42"/>
      <c r="AF278" s="42"/>
      <c r="AG278" s="42"/>
      <c r="AH278" s="44"/>
      <c r="AI278" s="40">
        <v>100</v>
      </c>
      <c r="AJ278" s="42"/>
      <c r="AK278" s="42"/>
      <c r="AL278" s="42"/>
      <c r="AM278" s="42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21"/>
      <c r="BG278" s="21"/>
      <c r="BH278" s="21"/>
      <c r="BI278" s="21"/>
      <c r="BJ278" s="21"/>
      <c r="BK278" s="21"/>
      <c r="BL278" s="21"/>
      <c r="BM278" s="21"/>
    </row>
    <row r="279" spans="1:65" ht="15.75" customHeight="1">
      <c r="A279" s="22">
        <f t="shared" si="0"/>
        <v>0</v>
      </c>
      <c r="B279" s="22"/>
      <c r="C279" s="22" t="str">
        <f t="shared" si="1"/>
        <v>134. 100 TPE :bulldogs: [S9] Stratfer Wakera - SS (sableye2)</v>
      </c>
      <c r="D279" s="23">
        <f t="shared" si="2"/>
        <v>134</v>
      </c>
      <c r="E279" s="22" t="str">
        <f>VLOOKUP(H279,Analysis!$A$24:$B$33,2,FALSE)</f>
        <v>:bulldogs:</v>
      </c>
      <c r="F279" s="22"/>
      <c r="G279" s="22"/>
      <c r="H279" s="33" t="s">
        <v>304</v>
      </c>
      <c r="I279" s="34" t="s">
        <v>1564</v>
      </c>
      <c r="J279" s="34" t="s">
        <v>1565</v>
      </c>
      <c r="K279" s="33" t="s">
        <v>1639</v>
      </c>
      <c r="L279" s="33" t="s">
        <v>75</v>
      </c>
      <c r="M279" s="33" t="s">
        <v>329</v>
      </c>
      <c r="N279" s="80">
        <v>100</v>
      </c>
      <c r="O279" s="45">
        <v>1.25</v>
      </c>
      <c r="P279" s="36"/>
      <c r="Q279" s="36"/>
      <c r="R279" s="36"/>
      <c r="S279" s="36"/>
      <c r="T279" s="33" t="s">
        <v>1568</v>
      </c>
      <c r="U279" s="33" t="s">
        <v>37</v>
      </c>
      <c r="V279" s="33" t="s">
        <v>37</v>
      </c>
      <c r="W279" s="35">
        <v>34</v>
      </c>
      <c r="X279" s="33"/>
      <c r="Y279" s="33"/>
      <c r="Z279" s="33"/>
      <c r="AA279" s="33"/>
      <c r="AB279" s="33"/>
      <c r="AC279" s="33"/>
      <c r="AD279" s="33"/>
      <c r="AE279" s="33"/>
      <c r="AF279" s="35"/>
      <c r="AG279" s="35"/>
      <c r="AH279" s="45">
        <v>4</v>
      </c>
      <c r="AI279" s="33">
        <v>100</v>
      </c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21"/>
      <c r="BG279" s="21"/>
      <c r="BH279" s="21"/>
      <c r="BI279" s="21"/>
      <c r="BJ279" s="21"/>
      <c r="BK279" s="21"/>
      <c r="BL279" s="21"/>
      <c r="BM279" s="21"/>
    </row>
    <row r="280" spans="1:65" ht="15.75" customHeight="1">
      <c r="A280" s="22">
        <f t="shared" si="0"/>
        <v>0</v>
      </c>
      <c r="B280" s="22"/>
      <c r="C280" s="22" t="e">
        <f>D280&amp;". "&amp;N280&amp;" TPE "&amp;E280&amp;" ["&amp;#REF!&amp;"] "&amp;K280&amp;" - "&amp;L280&amp;" ("&amp;I280&amp;")"</f>
        <v>#REF!</v>
      </c>
      <c r="D280" s="23">
        <f t="shared" si="2"/>
        <v>134</v>
      </c>
      <c r="E280" s="22" t="str">
        <f>VLOOKUP(H280,Analysis!$A$24:$B$33,2,FALSE)</f>
        <v>:rangers:</v>
      </c>
      <c r="F280" s="22"/>
      <c r="G280" s="22"/>
      <c r="H280" s="40" t="s">
        <v>9</v>
      </c>
      <c r="I280" s="41" t="s">
        <v>1115</v>
      </c>
      <c r="J280" s="41" t="s">
        <v>1117</v>
      </c>
      <c r="K280" s="40" t="s">
        <v>1645</v>
      </c>
      <c r="L280" s="40" t="s">
        <v>103</v>
      </c>
      <c r="M280" s="40" t="s">
        <v>294</v>
      </c>
      <c r="N280" s="42">
        <v>100</v>
      </c>
      <c r="O280" s="43">
        <v>1</v>
      </c>
      <c r="P280" s="43">
        <v>5</v>
      </c>
      <c r="Q280" s="43">
        <v>5</v>
      </c>
      <c r="R280" s="40"/>
      <c r="S280" s="40"/>
      <c r="T280" s="135" t="s">
        <v>566</v>
      </c>
      <c r="U280" s="40" t="s">
        <v>37</v>
      </c>
      <c r="V280" s="121" t="s">
        <v>37</v>
      </c>
      <c r="W280" s="155">
        <v>26</v>
      </c>
      <c r="Y280" s="40"/>
      <c r="Z280" s="40"/>
      <c r="AA280" s="40"/>
      <c r="AB280" s="40"/>
      <c r="AC280" s="42"/>
      <c r="AD280" s="40"/>
      <c r="AE280" s="40"/>
      <c r="AF280" s="40"/>
      <c r="AG280" s="40"/>
      <c r="AH280" s="40"/>
      <c r="AI280" s="40">
        <v>100</v>
      </c>
      <c r="AJ280" s="40"/>
      <c r="AK280" s="42"/>
      <c r="AL280" s="42"/>
      <c r="AM280" s="40"/>
      <c r="AN280" s="73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21"/>
      <c r="BG280" s="21"/>
      <c r="BH280" s="21"/>
      <c r="BI280" s="21"/>
      <c r="BJ280" s="21"/>
      <c r="BK280" s="21"/>
      <c r="BL280" s="21"/>
      <c r="BM280" s="21"/>
    </row>
    <row r="281" spans="1:65" ht="15.75" customHeight="1">
      <c r="A281" s="22">
        <f t="shared" si="0"/>
        <v>0</v>
      </c>
      <c r="B281" s="22"/>
      <c r="C281" s="22" t="str">
        <f t="shared" ref="C281:C316" si="22">D281&amp;". "&amp;N281&amp;" TPE "&amp;E281&amp;" ["&amp;U281&amp;"] "&amp;K281&amp;" - "&amp;L281&amp;" ("&amp;I281&amp;")"</f>
        <v>134. 100 TPE 0 [S9] Bobby Donger - SP (SnuggleNugget)</v>
      </c>
      <c r="D281" s="23">
        <f t="shared" si="2"/>
        <v>134</v>
      </c>
      <c r="E281" s="22">
        <f>VLOOKUP(H281,Analysis!$A$24:$B$33,2,FALSE)</f>
        <v>0</v>
      </c>
      <c r="F281" s="22"/>
      <c r="G281" s="22"/>
      <c r="H281" s="33" t="s">
        <v>44</v>
      </c>
      <c r="I281" s="34" t="s">
        <v>1542</v>
      </c>
      <c r="J281" s="34" t="s">
        <v>1546</v>
      </c>
      <c r="K281" s="33" t="s">
        <v>1653</v>
      </c>
      <c r="L281" s="33" t="s">
        <v>90</v>
      </c>
      <c r="M281" s="33" t="s">
        <v>109</v>
      </c>
      <c r="N281" s="35">
        <v>100</v>
      </c>
      <c r="O281" s="33"/>
      <c r="P281" s="33"/>
      <c r="Q281" s="33"/>
      <c r="R281" s="33"/>
      <c r="S281" s="33"/>
      <c r="T281" s="33"/>
      <c r="U281" s="33" t="s">
        <v>37</v>
      </c>
      <c r="V281" s="33" t="s">
        <v>38</v>
      </c>
      <c r="W281" s="33">
        <v>54</v>
      </c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>
        <v>100</v>
      </c>
      <c r="AK281" s="33"/>
      <c r="AL281" s="35"/>
      <c r="AM281" s="35"/>
      <c r="AN281" s="38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21"/>
      <c r="BG281" s="21"/>
      <c r="BH281" s="21"/>
      <c r="BI281" s="21"/>
      <c r="BJ281" s="21"/>
      <c r="BK281" s="21"/>
      <c r="BL281" s="21"/>
      <c r="BM281" s="21"/>
    </row>
    <row r="282" spans="1:65" ht="15.75" customHeight="1">
      <c r="A282" s="22">
        <f t="shared" si="0"/>
        <v>0</v>
      </c>
      <c r="B282" s="22"/>
      <c r="C282" s="22" t="str">
        <f t="shared" si="22"/>
        <v>134. 100 TPE 0 [S9] Felix Meier - SP (atcovin)</v>
      </c>
      <c r="D282" s="23">
        <f t="shared" si="2"/>
        <v>134</v>
      </c>
      <c r="E282" s="22">
        <f>VLOOKUP(H282,Analysis!$A$24:$B$33,2,FALSE)</f>
        <v>0</v>
      </c>
      <c r="F282" s="22"/>
      <c r="H282" s="27" t="s">
        <v>44</v>
      </c>
      <c r="I282" s="29" t="s">
        <v>1549</v>
      </c>
      <c r="J282" s="29" t="s">
        <v>1551</v>
      </c>
      <c r="K282" s="27" t="s">
        <v>1659</v>
      </c>
      <c r="L282" s="27" t="s">
        <v>90</v>
      </c>
      <c r="M282" s="27" t="s">
        <v>109</v>
      </c>
      <c r="N282" s="27">
        <v>100</v>
      </c>
      <c r="O282" s="27"/>
      <c r="P282" s="27"/>
      <c r="Q282" s="27"/>
      <c r="R282" s="27"/>
      <c r="S282" s="27"/>
      <c r="T282" s="27"/>
      <c r="U282" s="27" t="s">
        <v>37</v>
      </c>
      <c r="V282" s="27" t="s">
        <v>38</v>
      </c>
      <c r="W282" s="27">
        <v>62</v>
      </c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>
        <v>100</v>
      </c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</row>
    <row r="283" spans="1:65" ht="15.75" customHeight="1">
      <c r="A283" s="22">
        <f t="shared" si="0"/>
        <v>0</v>
      </c>
      <c r="B283" s="22"/>
      <c r="C283" s="22" t="str">
        <f t="shared" si="22"/>
        <v>134. 100 TPE 0 [S9] Brady McKenzie - SP (BradyMac2438)</v>
      </c>
      <c r="D283" s="23">
        <f t="shared" si="2"/>
        <v>134</v>
      </c>
      <c r="E283" s="22">
        <f>VLOOKUP(H283,Analysis!$A$24:$B$33,2,FALSE)</f>
        <v>0</v>
      </c>
      <c r="F283" s="22"/>
      <c r="H283" s="56" t="s">
        <v>44</v>
      </c>
      <c r="I283" s="136" t="s">
        <v>1555</v>
      </c>
      <c r="J283" s="136" t="s">
        <v>1559</v>
      </c>
      <c r="K283" s="56" t="s">
        <v>1663</v>
      </c>
      <c r="L283" s="56" t="s">
        <v>90</v>
      </c>
      <c r="M283" s="56" t="s">
        <v>458</v>
      </c>
      <c r="N283" s="56">
        <v>100</v>
      </c>
      <c r="O283" s="56"/>
      <c r="P283" s="56"/>
      <c r="Q283" s="56"/>
      <c r="R283" s="56"/>
      <c r="S283" s="56"/>
      <c r="T283" s="56"/>
      <c r="U283" s="56" t="s">
        <v>37</v>
      </c>
      <c r="V283" s="56" t="s">
        <v>38</v>
      </c>
      <c r="W283" s="56">
        <v>70</v>
      </c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>
        <v>100</v>
      </c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</row>
    <row r="284" spans="1:65" ht="15.75" customHeight="1">
      <c r="A284" s="22">
        <f t="shared" si="0"/>
        <v>0</v>
      </c>
      <c r="B284" s="22"/>
      <c r="C284" s="22" t="str">
        <f t="shared" si="22"/>
        <v>134. 100 TPE :bulldogs: [S7] Troy Castlefield-Pfloo - C (Joester09)</v>
      </c>
      <c r="D284" s="23">
        <f t="shared" si="2"/>
        <v>134</v>
      </c>
      <c r="E284" s="22" t="str">
        <f>VLOOKUP(H284,Analysis!$A$24:$B$33,2,FALSE)</f>
        <v>:bulldogs:</v>
      </c>
      <c r="F284" s="22"/>
      <c r="G284" s="22" t="s">
        <v>1534</v>
      </c>
      <c r="H284" s="40" t="s">
        <v>304</v>
      </c>
      <c r="I284" s="41" t="s">
        <v>1483</v>
      </c>
      <c r="J284" s="41" t="s">
        <v>1540</v>
      </c>
      <c r="K284" s="40" t="s">
        <v>1670</v>
      </c>
      <c r="L284" s="40" t="s">
        <v>103</v>
      </c>
      <c r="M284" s="40" t="s">
        <v>132</v>
      </c>
      <c r="N284" s="42">
        <v>100</v>
      </c>
      <c r="O284" s="43"/>
      <c r="P284" s="43"/>
      <c r="Q284" s="43"/>
      <c r="R284" s="43"/>
      <c r="S284" s="43"/>
      <c r="T284" s="40" t="s">
        <v>516</v>
      </c>
      <c r="U284" s="40" t="s">
        <v>35</v>
      </c>
      <c r="V284" s="40" t="s">
        <v>35</v>
      </c>
      <c r="W284" s="40">
        <v>28</v>
      </c>
      <c r="X284" s="40"/>
      <c r="Y284" s="40"/>
      <c r="Z284" s="40"/>
      <c r="AA284" s="40"/>
      <c r="AB284" s="40"/>
      <c r="AC284" s="40"/>
      <c r="AD284" s="40"/>
      <c r="AE284" s="40"/>
      <c r="AF284" s="40" t="s">
        <v>257</v>
      </c>
      <c r="AG284" s="40">
        <v>1</v>
      </c>
      <c r="AH284" s="43">
        <v>1</v>
      </c>
      <c r="AI284" s="40">
        <v>100</v>
      </c>
      <c r="AK284" s="40"/>
      <c r="AL284" s="42"/>
      <c r="AM284" s="42"/>
      <c r="AN284" s="73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21"/>
      <c r="BG284" s="21"/>
      <c r="BH284" s="21"/>
      <c r="BI284" s="21"/>
      <c r="BJ284" s="21"/>
      <c r="BK284" s="21"/>
      <c r="BL284" s="21"/>
      <c r="BM284" s="21"/>
    </row>
    <row r="285" spans="1:65" ht="15.75" customHeight="1">
      <c r="A285" s="22">
        <f t="shared" si="0"/>
        <v>0</v>
      </c>
      <c r="B285" s="22"/>
      <c r="C285" s="22" t="str">
        <f t="shared" si="22"/>
        <v>134. 100 TPE :bulldogs: [S9] Billy Bob Booker V - 2B (BaseScoutX1)</v>
      </c>
      <c r="D285" s="23">
        <f t="shared" si="2"/>
        <v>134</v>
      </c>
      <c r="E285" s="22" t="str">
        <f>VLOOKUP(H285,Analysis!$A$24:$B$33,2,FALSE)</f>
        <v>:bulldogs:</v>
      </c>
      <c r="F285" s="22"/>
      <c r="G285" s="22"/>
      <c r="H285" s="33" t="s">
        <v>304</v>
      </c>
      <c r="I285" s="34" t="s">
        <v>1454</v>
      </c>
      <c r="J285" s="34" t="s">
        <v>1572</v>
      </c>
      <c r="K285" s="33" t="s">
        <v>1677</v>
      </c>
      <c r="L285" s="33" t="s">
        <v>83</v>
      </c>
      <c r="M285" s="33" t="s">
        <v>97</v>
      </c>
      <c r="N285" s="35">
        <v>100</v>
      </c>
      <c r="O285" s="33"/>
      <c r="P285" s="33"/>
      <c r="Q285" s="33"/>
      <c r="R285" s="33"/>
      <c r="S285" s="33"/>
      <c r="T285" s="33"/>
      <c r="U285" s="33" t="s">
        <v>37</v>
      </c>
      <c r="V285" s="33" t="s">
        <v>37</v>
      </c>
      <c r="W285" s="35">
        <v>50</v>
      </c>
      <c r="X285" s="33"/>
      <c r="Y285" s="33"/>
      <c r="Z285" s="33"/>
      <c r="AA285" s="33"/>
      <c r="AB285" s="33"/>
      <c r="AC285" s="35"/>
      <c r="AD285" s="35"/>
      <c r="AE285" s="33"/>
      <c r="AF285" s="33"/>
      <c r="AG285" s="33"/>
      <c r="AH285" s="33"/>
      <c r="AI285" s="35">
        <v>100</v>
      </c>
      <c r="AK285" s="35"/>
      <c r="AL285" s="35"/>
      <c r="AM285" s="35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21"/>
      <c r="BG285" s="21"/>
      <c r="BH285" s="21"/>
      <c r="BI285" s="21"/>
      <c r="BJ285" s="21"/>
      <c r="BK285" s="21"/>
      <c r="BL285" s="21"/>
      <c r="BM285" s="21"/>
    </row>
    <row r="286" spans="1:65" ht="15.75" customHeight="1">
      <c r="A286" s="22">
        <f t="shared" si="0"/>
        <v>0</v>
      </c>
      <c r="B286" s="22"/>
      <c r="C286" s="22" t="str">
        <f t="shared" si="22"/>
        <v>134. 100 TPE :bulldogs: [S9] Jaxsin Tyler - LF (Kellertime)</v>
      </c>
      <c r="D286" s="23">
        <f t="shared" si="2"/>
        <v>134</v>
      </c>
      <c r="E286" s="22" t="str">
        <f>VLOOKUP(H286,Analysis!$A$24:$B$33,2,FALSE)</f>
        <v>:bulldogs:</v>
      </c>
      <c r="F286" s="22"/>
      <c r="G286" s="22"/>
      <c r="H286" s="40" t="s">
        <v>304</v>
      </c>
      <c r="I286" s="41" t="s">
        <v>1574</v>
      </c>
      <c r="J286" s="41" t="s">
        <v>1577</v>
      </c>
      <c r="K286" s="40" t="s">
        <v>1681</v>
      </c>
      <c r="L286" s="40" t="s">
        <v>180</v>
      </c>
      <c r="M286" s="40" t="s">
        <v>298</v>
      </c>
      <c r="N286" s="42">
        <v>100</v>
      </c>
      <c r="O286" s="40"/>
      <c r="P286" s="40"/>
      <c r="Q286" s="40"/>
      <c r="R286" s="40"/>
      <c r="S286" s="40"/>
      <c r="T286" s="40"/>
      <c r="U286" s="40" t="s">
        <v>37</v>
      </c>
      <c r="V286" s="40" t="s">
        <v>37</v>
      </c>
      <c r="W286" s="42">
        <v>41</v>
      </c>
      <c r="X286" s="40"/>
      <c r="Y286" s="40"/>
      <c r="Z286" s="40"/>
      <c r="AA286" s="40"/>
      <c r="AB286" s="40"/>
      <c r="AC286" s="42"/>
      <c r="AD286" s="40"/>
      <c r="AE286" s="42"/>
      <c r="AF286" s="40"/>
      <c r="AG286" s="40"/>
      <c r="AH286" s="40"/>
      <c r="AI286" s="42">
        <v>100</v>
      </c>
      <c r="AK286" s="42"/>
      <c r="AL286" s="42"/>
      <c r="AM286" s="42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21"/>
      <c r="BG286" s="21"/>
      <c r="BH286" s="21"/>
      <c r="BI286" s="21"/>
      <c r="BJ286" s="21"/>
      <c r="BK286" s="21"/>
      <c r="BL286" s="21"/>
      <c r="BM286" s="21"/>
    </row>
    <row r="287" spans="1:65" ht="15.75" customHeight="1">
      <c r="A287" s="22">
        <f t="shared" si="0"/>
        <v>0</v>
      </c>
      <c r="B287" s="22"/>
      <c r="C287" s="22" t="str">
        <f t="shared" si="22"/>
        <v>134. 100 TPE :bulldogs: [S6] Leonard Churc - 2B (Goofus Maximus)</v>
      </c>
      <c r="D287" s="23">
        <f t="shared" si="2"/>
        <v>134</v>
      </c>
      <c r="E287" s="22" t="str">
        <f>VLOOKUP(H287,Analysis!$A$24:$B$33,2,FALSE)</f>
        <v>:bulldogs:</v>
      </c>
      <c r="F287" s="22"/>
      <c r="G287" s="26" t="s">
        <v>1467</v>
      </c>
      <c r="H287" s="56" t="s">
        <v>304</v>
      </c>
      <c r="I287" s="136" t="s">
        <v>1469</v>
      </c>
      <c r="J287" s="136" t="s">
        <v>1471</v>
      </c>
      <c r="K287" s="56" t="s">
        <v>1688</v>
      </c>
      <c r="L287" s="56" t="s">
        <v>83</v>
      </c>
      <c r="M287" s="56" t="s">
        <v>151</v>
      </c>
      <c r="N287" s="56">
        <v>100</v>
      </c>
      <c r="O287" s="60"/>
      <c r="P287" s="60"/>
      <c r="Q287" s="60"/>
      <c r="R287" s="60"/>
      <c r="S287" s="60"/>
      <c r="T287" s="56"/>
      <c r="U287" s="56" t="s">
        <v>34</v>
      </c>
      <c r="V287" s="56" t="s">
        <v>34</v>
      </c>
      <c r="W287" s="56">
        <v>12</v>
      </c>
      <c r="X287" s="56" t="s">
        <v>374</v>
      </c>
      <c r="Y287" s="56">
        <v>6</v>
      </c>
      <c r="Z287" s="56">
        <v>7</v>
      </c>
      <c r="AA287" s="56"/>
      <c r="AB287" s="56"/>
      <c r="AC287" s="56"/>
      <c r="AD287" s="56"/>
      <c r="AE287" s="56">
        <v>2</v>
      </c>
      <c r="AF287" s="56">
        <v>2</v>
      </c>
      <c r="AG287" s="56">
        <v>2</v>
      </c>
      <c r="AH287" s="60">
        <v>2</v>
      </c>
      <c r="AI287" s="56">
        <v>100</v>
      </c>
      <c r="AK287" s="56"/>
      <c r="AL287" s="56"/>
      <c r="AM287" s="56"/>
      <c r="AN287" s="56"/>
      <c r="AO287" s="56" t="s">
        <v>647</v>
      </c>
      <c r="AP287" s="56" t="s">
        <v>1690</v>
      </c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</row>
    <row r="288" spans="1:65" ht="15.75" customHeight="1">
      <c r="A288" s="22">
        <f t="shared" si="0"/>
        <v>0</v>
      </c>
      <c r="B288" s="22"/>
      <c r="C288" s="22" t="str">
        <f t="shared" si="22"/>
        <v>134. 100 TPE :bulldogs: [S6] Michael Oxar - SP (TYP0)</v>
      </c>
      <c r="D288" s="23">
        <f t="shared" si="2"/>
        <v>134</v>
      </c>
      <c r="E288" s="22" t="str">
        <f>VLOOKUP(H288,Analysis!$A$24:$B$33,2,FALSE)</f>
        <v>:bulldogs:</v>
      </c>
      <c r="F288" s="22"/>
      <c r="G288" s="26" t="s">
        <v>1473</v>
      </c>
      <c r="H288" s="27" t="s">
        <v>304</v>
      </c>
      <c r="I288" s="29" t="s">
        <v>1475</v>
      </c>
      <c r="J288" s="29" t="s">
        <v>1478</v>
      </c>
      <c r="K288" s="27" t="s">
        <v>1695</v>
      </c>
      <c r="L288" s="27" t="s">
        <v>90</v>
      </c>
      <c r="M288" s="27" t="s">
        <v>699</v>
      </c>
      <c r="N288" s="27">
        <v>100</v>
      </c>
      <c r="O288" s="30"/>
      <c r="P288" s="30"/>
      <c r="Q288" s="30"/>
      <c r="R288" s="30"/>
      <c r="S288" s="30"/>
      <c r="T288" s="27"/>
      <c r="U288" s="27" t="s">
        <v>34</v>
      </c>
      <c r="V288" s="27" t="s">
        <v>34</v>
      </c>
      <c r="W288" s="27">
        <v>14</v>
      </c>
      <c r="X288" s="27" t="s">
        <v>374</v>
      </c>
      <c r="Y288" s="27">
        <v>6</v>
      </c>
      <c r="Z288" s="27">
        <v>13</v>
      </c>
      <c r="AA288" s="27"/>
      <c r="AB288" s="27"/>
      <c r="AC288" s="27"/>
      <c r="AD288" s="27"/>
      <c r="AE288" s="27">
        <v>1.5</v>
      </c>
      <c r="AF288" s="27">
        <v>1.5</v>
      </c>
      <c r="AG288" s="27">
        <v>1.5</v>
      </c>
      <c r="AH288" s="30">
        <v>1.5</v>
      </c>
      <c r="AI288" s="27">
        <v>100</v>
      </c>
      <c r="AK288" s="27"/>
      <c r="AL288" s="27"/>
      <c r="AM288" s="27"/>
      <c r="AN288" s="27"/>
      <c r="AO288" s="27" t="s">
        <v>647</v>
      </c>
      <c r="AP288" s="27" t="s">
        <v>1697</v>
      </c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</row>
    <row r="289" spans="1:65" ht="15.75" customHeight="1">
      <c r="A289" s="22">
        <f t="shared" si="0"/>
        <v>0</v>
      </c>
      <c r="B289" s="22"/>
      <c r="C289" s="22" t="str">
        <f t="shared" si="22"/>
        <v>134. 100 TPE :bulldogs: [S6] Justin Morelan - 3B (aceguy)</v>
      </c>
      <c r="D289" s="23">
        <f t="shared" si="2"/>
        <v>134</v>
      </c>
      <c r="E289" s="22" t="str">
        <f>VLOOKUP(H289,Analysis!$A$24:$B$33,2,FALSE)</f>
        <v>:bulldogs:</v>
      </c>
      <c r="F289" s="22"/>
      <c r="G289" s="26" t="s">
        <v>1263</v>
      </c>
      <c r="H289" s="56" t="s">
        <v>304</v>
      </c>
      <c r="I289" s="136" t="s">
        <v>1481</v>
      </c>
      <c r="J289" s="136" t="s">
        <v>1484</v>
      </c>
      <c r="K289" s="56" t="s">
        <v>1702</v>
      </c>
      <c r="L289" s="56" t="s">
        <v>215</v>
      </c>
      <c r="M289" s="56" t="s">
        <v>159</v>
      </c>
      <c r="N289" s="56">
        <v>100</v>
      </c>
      <c r="O289" s="56"/>
      <c r="P289" s="56"/>
      <c r="Q289" s="56"/>
      <c r="R289" s="56"/>
      <c r="S289" s="56"/>
      <c r="T289" s="56" t="s">
        <v>942</v>
      </c>
      <c r="U289" s="56" t="s">
        <v>34</v>
      </c>
      <c r="V289" s="56" t="s">
        <v>34</v>
      </c>
      <c r="W289" s="56">
        <v>17</v>
      </c>
      <c r="X289" s="56" t="s">
        <v>374</v>
      </c>
      <c r="Y289" s="56">
        <v>6</v>
      </c>
      <c r="Z289" s="56">
        <v>10</v>
      </c>
      <c r="AA289" s="56"/>
      <c r="AB289" s="56"/>
      <c r="AC289" s="56"/>
      <c r="AD289" s="56"/>
      <c r="AE289" s="56">
        <v>1.5</v>
      </c>
      <c r="AF289" s="56">
        <v>1.5</v>
      </c>
      <c r="AG289" s="56"/>
      <c r="AH289" s="56"/>
      <c r="AI289" s="56">
        <v>100</v>
      </c>
      <c r="AK289" s="56"/>
      <c r="AL289" s="56"/>
      <c r="AM289" s="56"/>
      <c r="AN289" s="56"/>
      <c r="AO289" s="56" t="s">
        <v>647</v>
      </c>
      <c r="AP289" s="56" t="s">
        <v>1704</v>
      </c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</row>
    <row r="290" spans="1:65" ht="15.75" customHeight="1">
      <c r="A290" s="22">
        <f t="shared" si="0"/>
        <v>0</v>
      </c>
      <c r="B290" s="22"/>
      <c r="C290" s="22" t="str">
        <f t="shared" si="22"/>
        <v>134. 100 TPE :bulldogs: [S6] Martinez Pedro - SP (qtwillis)</v>
      </c>
      <c r="D290" s="23">
        <f t="shared" si="2"/>
        <v>134</v>
      </c>
      <c r="E290" s="22" t="str">
        <f>VLOOKUP(H290,Analysis!$A$24:$B$33,2,FALSE)</f>
        <v>:bulldogs:</v>
      </c>
      <c r="F290" s="22"/>
      <c r="G290" s="22" t="s">
        <v>1487</v>
      </c>
      <c r="H290" s="40" t="s">
        <v>304</v>
      </c>
      <c r="I290" s="41" t="s">
        <v>1489</v>
      </c>
      <c r="J290" s="41" t="s">
        <v>1492</v>
      </c>
      <c r="K290" s="40" t="s">
        <v>1709</v>
      </c>
      <c r="L290" s="40" t="s">
        <v>90</v>
      </c>
      <c r="M290" s="40" t="s">
        <v>109</v>
      </c>
      <c r="N290" s="42">
        <v>100</v>
      </c>
      <c r="O290" s="43"/>
      <c r="P290" s="43"/>
      <c r="Q290" s="43"/>
      <c r="R290" s="43"/>
      <c r="S290" s="43"/>
      <c r="T290" s="40" t="s">
        <v>1048</v>
      </c>
      <c r="U290" s="40" t="s">
        <v>34</v>
      </c>
      <c r="V290" s="40" t="s">
        <v>34</v>
      </c>
      <c r="W290" s="42">
        <v>27</v>
      </c>
      <c r="X290" s="40"/>
      <c r="Y290" s="40"/>
      <c r="Z290" s="40"/>
      <c r="AA290" s="40"/>
      <c r="AB290" s="40"/>
      <c r="AC290" s="40"/>
      <c r="AD290" s="42"/>
      <c r="AE290" s="42"/>
      <c r="AF290" s="40">
        <v>3</v>
      </c>
      <c r="AG290" s="40">
        <v>0.5</v>
      </c>
      <c r="AH290" s="44">
        <v>1</v>
      </c>
      <c r="AI290" s="42">
        <v>100</v>
      </c>
      <c r="AK290" s="175"/>
      <c r="AL290" s="40"/>
      <c r="AM290" s="40"/>
      <c r="AN290" s="40"/>
      <c r="AO290" s="40" t="s">
        <v>647</v>
      </c>
      <c r="AP290" s="40" t="s">
        <v>1710</v>
      </c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21"/>
      <c r="BG290" s="21"/>
      <c r="BH290" s="21"/>
      <c r="BI290" s="21"/>
      <c r="BJ290" s="21"/>
      <c r="BK290" s="21"/>
      <c r="BL290" s="21"/>
      <c r="BM290" s="21"/>
    </row>
    <row r="291" spans="1:65" ht="15.75" customHeight="1">
      <c r="A291" s="22">
        <f t="shared" si="0"/>
        <v>0</v>
      </c>
      <c r="B291" s="22"/>
      <c r="C291" s="22" t="str">
        <f t="shared" si="22"/>
        <v>134. 100 TPE :bulldogs: [S6] Cole Davenport - SP (lordbubbington)</v>
      </c>
      <c r="D291" s="23">
        <f t="shared" si="2"/>
        <v>134</v>
      </c>
      <c r="E291" s="22" t="str">
        <f>VLOOKUP(H291,Analysis!$A$24:$B$33,2,FALSE)</f>
        <v>:bulldogs:</v>
      </c>
      <c r="F291" s="22"/>
      <c r="G291" s="22" t="s">
        <v>1495</v>
      </c>
      <c r="H291" s="33" t="s">
        <v>304</v>
      </c>
      <c r="I291" s="34" t="s">
        <v>1497</v>
      </c>
      <c r="J291" s="34" t="s">
        <v>1498</v>
      </c>
      <c r="K291" s="33" t="s">
        <v>1712</v>
      </c>
      <c r="L291" s="33" t="s">
        <v>90</v>
      </c>
      <c r="M291" s="33" t="s">
        <v>109</v>
      </c>
      <c r="N291" s="35">
        <v>100</v>
      </c>
      <c r="O291" s="36"/>
      <c r="P291" s="36"/>
      <c r="Q291" s="36"/>
      <c r="R291" s="36"/>
      <c r="S291" s="36"/>
      <c r="T291" s="33"/>
      <c r="U291" s="33" t="s">
        <v>34</v>
      </c>
      <c r="V291" s="33" t="s">
        <v>34</v>
      </c>
      <c r="W291" s="35">
        <v>39</v>
      </c>
      <c r="X291" s="33"/>
      <c r="Y291" s="33"/>
      <c r="Z291" s="33"/>
      <c r="AA291" s="33"/>
      <c r="AB291" s="33"/>
      <c r="AC291" s="35"/>
      <c r="AD291" s="35"/>
      <c r="AE291" s="35"/>
      <c r="AF291" s="35"/>
      <c r="AG291" s="35"/>
      <c r="AH291" s="36"/>
      <c r="AI291" s="35">
        <v>100</v>
      </c>
      <c r="AK291" s="35"/>
      <c r="AL291" s="35"/>
      <c r="AM291" s="35"/>
      <c r="AN291" s="33"/>
      <c r="AO291" s="33" t="s">
        <v>647</v>
      </c>
      <c r="AP291" s="33" t="s">
        <v>1713</v>
      </c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21"/>
      <c r="BG291" s="21"/>
      <c r="BH291" s="21"/>
      <c r="BI291" s="21"/>
      <c r="BJ291" s="21"/>
      <c r="BK291" s="21"/>
      <c r="BL291" s="21"/>
      <c r="BM291" s="21"/>
    </row>
    <row r="292" spans="1:65" ht="15.75" customHeight="1">
      <c r="A292" s="22">
        <f t="shared" si="0"/>
        <v>0</v>
      </c>
      <c r="B292" s="22"/>
      <c r="C292" s="22" t="str">
        <f t="shared" si="22"/>
        <v>134. 100 TPE :bulldogs: [S6] Tiddlywink McTicklestick - SP (Clint Eastwood)</v>
      </c>
      <c r="D292" s="23">
        <f t="shared" si="2"/>
        <v>134</v>
      </c>
      <c r="E292" s="22" t="str">
        <f>VLOOKUP(H292,Analysis!$A$24:$B$33,2,FALSE)</f>
        <v>:bulldogs:</v>
      </c>
      <c r="F292" s="22"/>
      <c r="G292" s="22" t="s">
        <v>1503</v>
      </c>
      <c r="H292" s="40" t="s">
        <v>304</v>
      </c>
      <c r="I292" s="41" t="s">
        <v>1449</v>
      </c>
      <c r="J292" s="41" t="s">
        <v>1505</v>
      </c>
      <c r="K292" s="40" t="s">
        <v>1715</v>
      </c>
      <c r="L292" s="40" t="s">
        <v>90</v>
      </c>
      <c r="M292" s="40" t="s">
        <v>55</v>
      </c>
      <c r="N292" s="42">
        <v>100</v>
      </c>
      <c r="O292" s="40"/>
      <c r="P292" s="40"/>
      <c r="Q292" s="40"/>
      <c r="R292" s="40"/>
      <c r="S292" s="40"/>
      <c r="T292" s="40"/>
      <c r="U292" s="40" t="s">
        <v>34</v>
      </c>
      <c r="V292" s="40" t="s">
        <v>34</v>
      </c>
      <c r="W292" s="42">
        <v>28</v>
      </c>
      <c r="X292" s="40" t="s">
        <v>266</v>
      </c>
      <c r="Y292" s="40">
        <v>6</v>
      </c>
      <c r="Z292" s="40">
        <v>16</v>
      </c>
      <c r="AA292" s="40" t="s">
        <v>375</v>
      </c>
      <c r="AB292" s="40"/>
      <c r="AC292" s="42"/>
      <c r="AD292" s="42"/>
      <c r="AE292" s="42"/>
      <c r="AF292" s="40"/>
      <c r="AG292" s="40"/>
      <c r="AH292" s="40"/>
      <c r="AI292" s="42">
        <v>100</v>
      </c>
      <c r="AK292" s="42"/>
      <c r="AL292" s="42"/>
      <c r="AM292" s="42"/>
      <c r="AN292" s="40"/>
      <c r="AO292" s="40" t="s">
        <v>647</v>
      </c>
      <c r="AP292" s="40" t="s">
        <v>1717</v>
      </c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21"/>
      <c r="BG292" s="21"/>
      <c r="BH292" s="21"/>
      <c r="BI292" s="21"/>
      <c r="BJ292" s="21"/>
      <c r="BK292" s="21"/>
      <c r="BL292" s="21"/>
      <c r="BM292" s="21"/>
    </row>
    <row r="293" spans="1:65" ht="15.75" customHeight="1">
      <c r="A293" s="22">
        <f t="shared" si="0"/>
        <v>0</v>
      </c>
      <c r="B293" s="22"/>
      <c r="C293" s="22" t="str">
        <f t="shared" si="22"/>
        <v>134. 100 TPE :bulldogs: [S6] Chase Preza - 1B (Preza)</v>
      </c>
      <c r="D293" s="23">
        <f t="shared" si="2"/>
        <v>134</v>
      </c>
      <c r="E293" s="22" t="str">
        <f>VLOOKUP(H293,Analysis!$A$24:$B$33,2,FALSE)</f>
        <v>:bulldogs:</v>
      </c>
      <c r="F293" s="22"/>
      <c r="G293" s="26" t="s">
        <v>1513</v>
      </c>
      <c r="H293" s="56" t="s">
        <v>304</v>
      </c>
      <c r="I293" s="136" t="s">
        <v>1515</v>
      </c>
      <c r="J293" s="136" t="s">
        <v>1517</v>
      </c>
      <c r="K293" s="56" t="s">
        <v>1718</v>
      </c>
      <c r="L293" s="56" t="s">
        <v>187</v>
      </c>
      <c r="M293" s="56" t="s">
        <v>225</v>
      </c>
      <c r="N293" s="56">
        <v>100</v>
      </c>
      <c r="O293" s="56"/>
      <c r="P293" s="56"/>
      <c r="Q293" s="56"/>
      <c r="R293" s="56"/>
      <c r="S293" s="56"/>
      <c r="T293" s="56"/>
      <c r="U293" s="56" t="s">
        <v>34</v>
      </c>
      <c r="V293" s="56" t="s">
        <v>34</v>
      </c>
      <c r="W293" s="56">
        <v>26</v>
      </c>
      <c r="X293" s="56" t="s">
        <v>266</v>
      </c>
      <c r="Y293" s="56">
        <v>6</v>
      </c>
      <c r="Z293" s="56">
        <v>12</v>
      </c>
      <c r="AA293" s="56" t="s">
        <v>375</v>
      </c>
      <c r="AB293" s="56"/>
      <c r="AC293" s="56"/>
      <c r="AD293" s="56"/>
      <c r="AE293" s="56"/>
      <c r="AF293" s="56"/>
      <c r="AG293" s="56"/>
      <c r="AH293" s="56"/>
      <c r="AI293" s="56">
        <v>100</v>
      </c>
      <c r="AK293" s="56"/>
      <c r="AL293" s="56"/>
      <c r="AM293" s="56"/>
      <c r="AN293" s="56"/>
      <c r="AO293" s="56" t="s">
        <v>647</v>
      </c>
      <c r="AP293" s="56" t="s">
        <v>1719</v>
      </c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</row>
    <row r="294" spans="1:65" ht="15.75" customHeight="1">
      <c r="A294" s="22">
        <f t="shared" si="0"/>
        <v>0</v>
      </c>
      <c r="B294" s="22"/>
      <c r="C294" s="22" t="str">
        <f t="shared" si="22"/>
        <v>134. 100 TPE :bulldogs: [S6] Aidan Broderick - RF (abrod8)</v>
      </c>
      <c r="D294" s="23">
        <f t="shared" si="2"/>
        <v>134</v>
      </c>
      <c r="E294" s="22" t="str">
        <f>VLOOKUP(H294,Analysis!$A$24:$B$33,2,FALSE)</f>
        <v>:bulldogs:</v>
      </c>
      <c r="F294" s="22"/>
      <c r="G294" s="92" t="s">
        <v>1521</v>
      </c>
      <c r="H294" s="40" t="s">
        <v>304</v>
      </c>
      <c r="I294" s="41" t="s">
        <v>1528</v>
      </c>
      <c r="J294" s="41" t="s">
        <v>1529</v>
      </c>
      <c r="K294" s="40" t="s">
        <v>1720</v>
      </c>
      <c r="L294" s="40" t="s">
        <v>131</v>
      </c>
      <c r="M294" s="40" t="s">
        <v>159</v>
      </c>
      <c r="N294" s="42">
        <v>100</v>
      </c>
      <c r="O294" s="40"/>
      <c r="P294" s="40"/>
      <c r="Q294" s="40"/>
      <c r="R294" s="40"/>
      <c r="S294" s="40"/>
      <c r="T294" s="40"/>
      <c r="U294" s="40" t="s">
        <v>34</v>
      </c>
      <c r="V294" s="40" t="s">
        <v>34</v>
      </c>
      <c r="W294" s="40">
        <v>45</v>
      </c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>
        <v>100</v>
      </c>
      <c r="AK294" s="40"/>
      <c r="AL294" s="40"/>
      <c r="AM294" s="40"/>
      <c r="AN294" s="40"/>
      <c r="AO294" s="40" t="s">
        <v>647</v>
      </c>
      <c r="AP294" s="40" t="s">
        <v>1721</v>
      </c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21"/>
      <c r="BG294" s="21"/>
      <c r="BH294" s="21"/>
      <c r="BI294" s="21"/>
      <c r="BJ294" s="21"/>
      <c r="BK294" s="21"/>
      <c r="BL294" s="21"/>
      <c r="BM294" s="21"/>
    </row>
    <row r="295" spans="1:65" ht="15.75" customHeight="1">
      <c r="A295" s="22">
        <f t="shared" si="0"/>
        <v>0</v>
      </c>
      <c r="B295" s="22"/>
      <c r="C295" s="22" t="str">
        <f t="shared" si="22"/>
        <v>134. 100 TPE :bulldogs: [S5] Cesar Ellis - CL (cesarb182)</v>
      </c>
      <c r="D295" s="23">
        <f t="shared" si="2"/>
        <v>134</v>
      </c>
      <c r="E295" s="22" t="str">
        <f>VLOOKUP(H295,Analysis!$A$24:$B$33,2,FALSE)</f>
        <v>:bulldogs:</v>
      </c>
      <c r="F295" s="22"/>
      <c r="G295" s="105" t="s">
        <v>1461</v>
      </c>
      <c r="H295" s="58" t="s">
        <v>304</v>
      </c>
      <c r="I295" s="274" t="s">
        <v>1462</v>
      </c>
      <c r="J295" s="274" t="s">
        <v>1464</v>
      </c>
      <c r="K295" s="54" t="s">
        <v>1722</v>
      </c>
      <c r="L295" s="54" t="s">
        <v>336</v>
      </c>
      <c r="M295" s="58" t="s">
        <v>55</v>
      </c>
      <c r="N295" s="58">
        <v>100</v>
      </c>
      <c r="O295" s="56"/>
      <c r="P295" s="56"/>
      <c r="Q295" s="56"/>
      <c r="R295" s="314"/>
      <c r="S295" s="314"/>
      <c r="T295" s="56"/>
      <c r="U295" s="56" t="s">
        <v>33</v>
      </c>
      <c r="V295" s="56" t="s">
        <v>33</v>
      </c>
      <c r="W295" s="56">
        <v>31</v>
      </c>
      <c r="X295" s="56"/>
      <c r="Y295" s="56"/>
      <c r="Z295" s="56"/>
      <c r="AA295" s="56"/>
      <c r="AB295" s="56"/>
      <c r="AC295" s="56"/>
      <c r="AD295" s="56"/>
      <c r="AE295" s="56">
        <v>1</v>
      </c>
      <c r="AF295" s="56">
        <v>1</v>
      </c>
      <c r="AG295" s="56">
        <v>1</v>
      </c>
      <c r="AH295" s="56"/>
      <c r="AI295" s="56">
        <v>100</v>
      </c>
      <c r="AK295" s="56"/>
      <c r="AL295" s="56"/>
      <c r="AM295" s="56"/>
      <c r="AN295" s="56"/>
      <c r="AO295" s="56" t="s">
        <v>647</v>
      </c>
      <c r="AP295" s="56" t="s">
        <v>1723</v>
      </c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</row>
    <row r="296" spans="1:65" ht="15.75" customHeight="1">
      <c r="A296" s="22">
        <f t="shared" si="0"/>
        <v>0</v>
      </c>
      <c r="B296" s="22"/>
      <c r="C296" s="22" t="str">
        <f t="shared" si="22"/>
        <v>134. 100 TPE :bulldogs: [S3] Nico Evans - 3B (Tyler)</v>
      </c>
      <c r="D296" s="23">
        <f t="shared" si="2"/>
        <v>134</v>
      </c>
      <c r="E296" s="22" t="str">
        <f>VLOOKUP(H296,Analysis!$A$24:$B$33,2,FALSE)</f>
        <v>:bulldogs:</v>
      </c>
      <c r="F296" s="22"/>
      <c r="G296" s="26" t="s">
        <v>1445</v>
      </c>
      <c r="H296" s="27" t="s">
        <v>304</v>
      </c>
      <c r="I296" s="29" t="s">
        <v>1448</v>
      </c>
      <c r="J296" s="29" t="s">
        <v>1450</v>
      </c>
      <c r="K296" s="27" t="s">
        <v>1724</v>
      </c>
      <c r="L296" s="27" t="s">
        <v>215</v>
      </c>
      <c r="M296" s="27"/>
      <c r="N296" s="27">
        <v>100</v>
      </c>
      <c r="O296" s="27"/>
      <c r="P296" s="27"/>
      <c r="Q296" s="27"/>
      <c r="R296" s="27"/>
      <c r="S296" s="27"/>
      <c r="T296" s="27"/>
      <c r="U296" s="27" t="s">
        <v>126</v>
      </c>
      <c r="V296" s="27" t="s">
        <v>126</v>
      </c>
      <c r="W296" s="27">
        <v>35</v>
      </c>
      <c r="X296" s="27"/>
      <c r="Y296" s="27"/>
      <c r="Z296" s="27"/>
      <c r="AA296" s="27"/>
      <c r="AB296" s="27" t="s">
        <v>1036</v>
      </c>
      <c r="AC296" s="27"/>
      <c r="AD296" s="27"/>
      <c r="AE296" s="27"/>
      <c r="AF296" s="27"/>
      <c r="AG296" s="27"/>
      <c r="AH296" s="27"/>
      <c r="AI296" s="27">
        <v>100</v>
      </c>
      <c r="AK296" s="27"/>
      <c r="AL296" s="27"/>
      <c r="AM296" s="27">
        <v>100</v>
      </c>
      <c r="AN296" s="27">
        <v>100</v>
      </c>
      <c r="AO296" s="27" t="s">
        <v>647</v>
      </c>
      <c r="AP296" s="27" t="s">
        <v>1725</v>
      </c>
      <c r="AQ296" s="27" t="s">
        <v>1726</v>
      </c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</row>
    <row r="297" spans="1:65" ht="15.75" customHeight="1">
      <c r="A297" s="22">
        <f t="shared" si="0"/>
        <v>0</v>
      </c>
      <c r="B297" s="22"/>
      <c r="C297" s="22" t="str">
        <f t="shared" si="22"/>
        <v>134. 100 TPE :bulldogs: [S3] Kahlil Callahan - CL (leftyonleftycrime)</v>
      </c>
      <c r="D297" s="23">
        <f t="shared" si="2"/>
        <v>134</v>
      </c>
      <c r="E297" s="22" t="str">
        <f>VLOOKUP(H297,Analysis!$A$24:$B$33,2,FALSE)</f>
        <v>:bulldogs:</v>
      </c>
      <c r="F297" s="22"/>
      <c r="G297" s="92" t="s">
        <v>741</v>
      </c>
      <c r="H297" s="33" t="s">
        <v>304</v>
      </c>
      <c r="I297" s="34" t="s">
        <v>742</v>
      </c>
      <c r="J297" s="34" t="s">
        <v>744</v>
      </c>
      <c r="K297" s="33" t="s">
        <v>1727</v>
      </c>
      <c r="L297" s="33" t="s">
        <v>336</v>
      </c>
      <c r="M297" s="33" t="s">
        <v>109</v>
      </c>
      <c r="N297" s="35">
        <v>100</v>
      </c>
      <c r="O297" s="33"/>
      <c r="P297" s="33"/>
      <c r="Q297" s="33"/>
      <c r="R297" s="33"/>
      <c r="S297" s="33"/>
      <c r="T297" s="33"/>
      <c r="U297" s="33" t="s">
        <v>126</v>
      </c>
      <c r="V297" s="33" t="s">
        <v>126</v>
      </c>
      <c r="W297" s="33">
        <v>19</v>
      </c>
      <c r="X297" s="33"/>
      <c r="Y297" s="33"/>
      <c r="Z297" s="33"/>
      <c r="AA297" s="33"/>
      <c r="AB297" s="33"/>
      <c r="AC297" s="33">
        <v>3</v>
      </c>
      <c r="AD297" s="33"/>
      <c r="AE297" s="33">
        <v>0.37</v>
      </c>
      <c r="AF297" s="33"/>
      <c r="AG297" s="33"/>
      <c r="AH297" s="33"/>
      <c r="AI297" s="33">
        <v>100</v>
      </c>
      <c r="AK297" s="33">
        <v>100</v>
      </c>
      <c r="AL297" s="33">
        <v>100</v>
      </c>
      <c r="AM297" s="33">
        <v>100</v>
      </c>
      <c r="AN297" s="33">
        <v>100</v>
      </c>
      <c r="AO297" s="33" t="s">
        <v>647</v>
      </c>
      <c r="AP297" s="33" t="s">
        <v>1728</v>
      </c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21"/>
      <c r="BG297" s="21"/>
      <c r="BH297" s="21"/>
      <c r="BI297" s="21"/>
      <c r="BJ297" s="21"/>
      <c r="BK297" s="21"/>
      <c r="BL297" s="21"/>
      <c r="BM297" s="21"/>
    </row>
    <row r="298" spans="1:65" ht="15.75" customHeight="1">
      <c r="A298" s="22">
        <f t="shared" si="0"/>
        <v>0</v>
      </c>
      <c r="B298" s="22"/>
      <c r="C298" s="22" t="str">
        <f t="shared" si="22"/>
        <v>134. 100 TPE :bulldogs: [S2] Peter R Kotsay - CL (Peter R Kotsay)</v>
      </c>
      <c r="D298" s="23">
        <f t="shared" si="2"/>
        <v>134</v>
      </c>
      <c r="E298" s="22" t="str">
        <f>VLOOKUP(H298,Analysis!$A$24:$B$33,2,FALSE)</f>
        <v>:bulldogs:</v>
      </c>
      <c r="F298" s="22"/>
      <c r="G298" s="26" t="s">
        <v>1418</v>
      </c>
      <c r="H298" s="27" t="s">
        <v>304</v>
      </c>
      <c r="I298" s="29" t="s">
        <v>1419</v>
      </c>
      <c r="J298" s="29" t="s">
        <v>1421</v>
      </c>
      <c r="K298" s="27" t="s">
        <v>1419</v>
      </c>
      <c r="L298" s="27" t="s">
        <v>336</v>
      </c>
      <c r="M298" s="27" t="s">
        <v>820</v>
      </c>
      <c r="N298" s="27">
        <v>100</v>
      </c>
      <c r="O298" s="27"/>
      <c r="P298" s="27"/>
      <c r="Q298" s="27"/>
      <c r="R298" s="27"/>
      <c r="S298" s="27"/>
      <c r="T298" s="27"/>
      <c r="U298" s="27" t="s">
        <v>78</v>
      </c>
      <c r="V298" s="27" t="s">
        <v>78</v>
      </c>
      <c r="W298" s="27" t="s">
        <v>1232</v>
      </c>
      <c r="X298" s="27"/>
      <c r="Y298" s="27"/>
      <c r="Z298" s="27"/>
      <c r="AA298" s="27"/>
      <c r="AB298" s="27" t="s">
        <v>1036</v>
      </c>
      <c r="AC298" s="27"/>
      <c r="AD298" s="27"/>
      <c r="AE298" s="27"/>
      <c r="AF298" s="27"/>
      <c r="AG298" s="27"/>
      <c r="AH298" s="27"/>
      <c r="AI298" s="27">
        <v>100</v>
      </c>
      <c r="AK298" s="27"/>
      <c r="AL298" s="27"/>
      <c r="AM298" s="27">
        <v>100</v>
      </c>
      <c r="AN298" s="27">
        <v>100</v>
      </c>
      <c r="AO298" s="27" t="s">
        <v>647</v>
      </c>
      <c r="AP298" s="27" t="s">
        <v>1729</v>
      </c>
      <c r="AQ298" s="27" t="s">
        <v>1730</v>
      </c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</row>
    <row r="299" spans="1:65" ht="15.75" customHeight="1">
      <c r="A299" s="22">
        <f t="shared" si="0"/>
        <v>0</v>
      </c>
      <c r="B299" s="22"/>
      <c r="C299" s="22" t="str">
        <f t="shared" si="22"/>
        <v>134. 100 TPE :bulldogs: [S2] Rex Pennebaker - 2B (Mcdirty3)</v>
      </c>
      <c r="D299" s="23">
        <f t="shared" si="2"/>
        <v>134</v>
      </c>
      <c r="E299" s="22" t="str">
        <f>VLOOKUP(H299,Analysis!$A$24:$B$33,2,FALSE)</f>
        <v>:bulldogs:</v>
      </c>
      <c r="F299" s="22"/>
      <c r="G299" s="22" t="s">
        <v>1731</v>
      </c>
      <c r="H299" s="33" t="s">
        <v>304</v>
      </c>
      <c r="I299" s="34" t="s">
        <v>1732</v>
      </c>
      <c r="J299" s="34" t="s">
        <v>1733</v>
      </c>
      <c r="K299" s="33" t="s">
        <v>1734</v>
      </c>
      <c r="L299" s="33" t="s">
        <v>83</v>
      </c>
      <c r="M299" s="33" t="s">
        <v>104</v>
      </c>
      <c r="N299" s="35">
        <v>100</v>
      </c>
      <c r="O299" s="36"/>
      <c r="P299" s="36"/>
      <c r="Q299" s="36"/>
      <c r="R299" s="36"/>
      <c r="S299" s="36"/>
      <c r="T299" s="33"/>
      <c r="U299" s="33" t="s">
        <v>78</v>
      </c>
      <c r="V299" s="33" t="s">
        <v>78</v>
      </c>
      <c r="W299" s="35">
        <v>41</v>
      </c>
      <c r="X299" s="33"/>
      <c r="Y299" s="33"/>
      <c r="Z299" s="33"/>
      <c r="AA299" s="33"/>
      <c r="AB299" s="33"/>
      <c r="AC299" s="35">
        <v>0.5</v>
      </c>
      <c r="AD299" s="35"/>
      <c r="AE299" s="35"/>
      <c r="AF299" s="35"/>
      <c r="AG299" s="35"/>
      <c r="AH299" s="45"/>
      <c r="AI299" s="35">
        <v>100</v>
      </c>
      <c r="AK299" s="35"/>
      <c r="AL299" s="35">
        <v>100</v>
      </c>
      <c r="AM299" s="35">
        <v>100</v>
      </c>
      <c r="AN299" s="33"/>
      <c r="AO299" s="33" t="s">
        <v>647</v>
      </c>
      <c r="AP299" s="33" t="s">
        <v>1735</v>
      </c>
      <c r="AQ299" s="33" t="s">
        <v>1736</v>
      </c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21"/>
      <c r="BG299" s="21"/>
      <c r="BH299" s="21"/>
      <c r="BI299" s="21"/>
      <c r="BJ299" s="21"/>
      <c r="BK299" s="21"/>
      <c r="BL299" s="21"/>
      <c r="BM299" s="21"/>
    </row>
    <row r="300" spans="1:65" ht="15.75" customHeight="1">
      <c r="A300" s="22">
        <f t="shared" si="0"/>
        <v>0</v>
      </c>
      <c r="B300" s="22"/>
      <c r="C300" s="22" t="str">
        <f t="shared" si="22"/>
        <v>134. 100 TPE :bulldogs: [S2] Sam Sinister - SS (Someguy9500)</v>
      </c>
      <c r="D300" s="23">
        <f t="shared" si="2"/>
        <v>134</v>
      </c>
      <c r="E300" s="22" t="str">
        <f>VLOOKUP(H300,Analysis!$A$24:$B$33,2,FALSE)</f>
        <v>:bulldogs:</v>
      </c>
      <c r="F300" s="22"/>
      <c r="G300" s="22" t="s">
        <v>1737</v>
      </c>
      <c r="H300" s="40" t="s">
        <v>304</v>
      </c>
      <c r="I300" s="41" t="s">
        <v>1738</v>
      </c>
      <c r="J300" s="41" t="s">
        <v>1739</v>
      </c>
      <c r="K300" s="40" t="s">
        <v>1740</v>
      </c>
      <c r="L300" s="40" t="s">
        <v>75</v>
      </c>
      <c r="M300" s="40" t="s">
        <v>159</v>
      </c>
      <c r="N300" s="42">
        <v>100</v>
      </c>
      <c r="O300" s="43"/>
      <c r="P300" s="43"/>
      <c r="Q300" s="43"/>
      <c r="R300" s="43"/>
      <c r="S300" s="43"/>
      <c r="T300" s="40"/>
      <c r="U300" s="40" t="s">
        <v>78</v>
      </c>
      <c r="V300" s="40" t="s">
        <v>78</v>
      </c>
      <c r="W300" s="42">
        <v>29</v>
      </c>
      <c r="X300" s="40"/>
      <c r="Y300" s="40"/>
      <c r="Z300" s="40"/>
      <c r="AA300" s="40"/>
      <c r="AB300" s="42"/>
      <c r="AC300" s="42">
        <v>2</v>
      </c>
      <c r="AD300" s="42"/>
      <c r="AE300" s="42"/>
      <c r="AF300" s="42"/>
      <c r="AG300" s="42"/>
      <c r="AH300" s="44"/>
      <c r="AI300" s="42">
        <v>100</v>
      </c>
      <c r="AK300" s="42"/>
      <c r="AL300" s="42">
        <v>100</v>
      </c>
      <c r="AM300" s="40">
        <v>100</v>
      </c>
      <c r="AN300" s="40"/>
      <c r="AO300" s="40" t="s">
        <v>647</v>
      </c>
      <c r="AP300" s="40" t="s">
        <v>1741</v>
      </c>
      <c r="AQ300" s="40" t="s">
        <v>1742</v>
      </c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21"/>
      <c r="BG300" s="21"/>
      <c r="BH300" s="21"/>
      <c r="BI300" s="21"/>
      <c r="BJ300" s="21"/>
      <c r="BK300" s="21"/>
      <c r="BL300" s="21"/>
      <c r="BM300" s="21"/>
    </row>
    <row r="301" spans="1:65" ht="15.75" customHeight="1">
      <c r="A301" s="22">
        <f t="shared" si="0"/>
        <v>0</v>
      </c>
      <c r="B301" s="22"/>
      <c r="C301" s="22" t="str">
        <f t="shared" si="22"/>
        <v>134. 100 TPE :bulldogs: [S2] Kruton Bazko - CL (Kruton)</v>
      </c>
      <c r="D301" s="23">
        <f t="shared" si="2"/>
        <v>134</v>
      </c>
      <c r="E301" s="22" t="str">
        <f>VLOOKUP(H301,Analysis!$A$24:$B$33,2,FALSE)</f>
        <v>:bulldogs:</v>
      </c>
      <c r="F301" s="22"/>
      <c r="G301" s="22" t="s">
        <v>1743</v>
      </c>
      <c r="H301" s="33" t="s">
        <v>304</v>
      </c>
      <c r="I301" s="34" t="s">
        <v>1744</v>
      </c>
      <c r="J301" s="34" t="s">
        <v>1745</v>
      </c>
      <c r="K301" s="33" t="s">
        <v>1746</v>
      </c>
      <c r="L301" s="33" t="s">
        <v>336</v>
      </c>
      <c r="M301" s="33" t="s">
        <v>55</v>
      </c>
      <c r="N301" s="35">
        <v>100</v>
      </c>
      <c r="O301" s="36"/>
      <c r="P301" s="36"/>
      <c r="Q301" s="36"/>
      <c r="R301" s="36"/>
      <c r="S301" s="36"/>
      <c r="T301" s="33"/>
      <c r="U301" s="33" t="s">
        <v>78</v>
      </c>
      <c r="V301" s="33" t="s">
        <v>78</v>
      </c>
      <c r="W301" s="35">
        <v>18</v>
      </c>
      <c r="X301" s="33"/>
      <c r="Y301" s="33"/>
      <c r="Z301" s="33"/>
      <c r="AA301" s="33"/>
      <c r="AB301" s="33"/>
      <c r="AC301" s="35">
        <v>0.5</v>
      </c>
      <c r="AD301" s="35"/>
      <c r="AE301" s="35"/>
      <c r="AF301" s="35"/>
      <c r="AG301" s="33"/>
      <c r="AH301" s="36"/>
      <c r="AI301" s="35">
        <v>100</v>
      </c>
      <c r="AK301" s="35"/>
      <c r="AL301" s="35">
        <v>100</v>
      </c>
      <c r="AM301" s="35">
        <v>100</v>
      </c>
      <c r="AN301" s="33"/>
      <c r="AO301" s="33" t="s">
        <v>647</v>
      </c>
      <c r="AP301" s="33" t="s">
        <v>1747</v>
      </c>
      <c r="AQ301" s="33" t="s">
        <v>1748</v>
      </c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21"/>
      <c r="BG301" s="21"/>
      <c r="BH301" s="21"/>
      <c r="BI301" s="21"/>
      <c r="BJ301" s="21"/>
      <c r="BK301" s="21"/>
      <c r="BL301" s="21"/>
      <c r="BM301" s="21"/>
    </row>
    <row r="302" spans="1:65" ht="15.75" customHeight="1">
      <c r="A302" s="22">
        <f t="shared" si="0"/>
        <v>0</v>
      </c>
      <c r="B302" s="22"/>
      <c r="C302" s="22" t="str">
        <f t="shared" si="22"/>
        <v>134. 100 TPE :bulldogs: [S2] John Luther - CL (Twitchy)</v>
      </c>
      <c r="D302" s="23">
        <f t="shared" si="2"/>
        <v>134</v>
      </c>
      <c r="E302" s="22" t="str">
        <f>VLOOKUP(H302,Analysis!$A$24:$B$33,2,FALSE)</f>
        <v>:bulldogs:</v>
      </c>
      <c r="F302" s="22"/>
      <c r="G302" s="92" t="s">
        <v>1749</v>
      </c>
      <c r="H302" s="40" t="s">
        <v>304</v>
      </c>
      <c r="I302" s="41" t="s">
        <v>1750</v>
      </c>
      <c r="J302" s="41" t="s">
        <v>1751</v>
      </c>
      <c r="K302" s="40" t="s">
        <v>1752</v>
      </c>
      <c r="L302" s="40" t="s">
        <v>336</v>
      </c>
      <c r="M302" s="40" t="s">
        <v>55</v>
      </c>
      <c r="N302" s="42">
        <v>100</v>
      </c>
      <c r="O302" s="40"/>
      <c r="P302" s="40"/>
      <c r="Q302" s="40"/>
      <c r="R302" s="40"/>
      <c r="S302" s="40"/>
      <c r="T302" s="40"/>
      <c r="U302" s="40" t="s">
        <v>78</v>
      </c>
      <c r="V302" s="40" t="s">
        <v>78</v>
      </c>
      <c r="W302" s="40">
        <v>44</v>
      </c>
      <c r="X302" s="40"/>
      <c r="Y302" s="40"/>
      <c r="Z302" s="40"/>
      <c r="AA302" s="40"/>
      <c r="AB302" s="40"/>
      <c r="AC302" s="40">
        <v>0.5</v>
      </c>
      <c r="AD302" s="40"/>
      <c r="AE302" s="40"/>
      <c r="AF302" s="40"/>
      <c r="AG302" s="40"/>
      <c r="AH302" s="40"/>
      <c r="AI302" s="40">
        <v>100</v>
      </c>
      <c r="AK302" s="40">
        <v>100</v>
      </c>
      <c r="AL302" s="40">
        <v>100</v>
      </c>
      <c r="AM302" s="40">
        <v>100</v>
      </c>
      <c r="AN302" s="40">
        <v>100</v>
      </c>
      <c r="AO302" s="40" t="s">
        <v>647</v>
      </c>
      <c r="AP302" s="40" t="s">
        <v>1753</v>
      </c>
      <c r="AQ302" s="40" t="s">
        <v>1754</v>
      </c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21"/>
      <c r="BG302" s="21"/>
      <c r="BH302" s="21"/>
      <c r="BI302" s="21"/>
      <c r="BJ302" s="21"/>
      <c r="BK302" s="21"/>
      <c r="BL302" s="21"/>
      <c r="BM302" s="21"/>
    </row>
    <row r="303" spans="1:65" ht="15.75" customHeight="1">
      <c r="A303" s="22">
        <f t="shared" si="0"/>
        <v>0</v>
      </c>
      <c r="B303" s="22"/>
      <c r="C303" s="22" t="str">
        <f t="shared" si="22"/>
        <v>134. 100 TPE :bulldogs: [S2] Bouf LeBeef - CL (bl0903)</v>
      </c>
      <c r="D303" s="23">
        <f t="shared" si="2"/>
        <v>134</v>
      </c>
      <c r="E303" s="22" t="str">
        <f>VLOOKUP(H303,Analysis!$A$24:$B$33,2,FALSE)</f>
        <v>:bulldogs:</v>
      </c>
      <c r="F303" s="22"/>
      <c r="G303" s="26" t="s">
        <v>1755</v>
      </c>
      <c r="H303" s="56" t="s">
        <v>304</v>
      </c>
      <c r="I303" s="136" t="s">
        <v>1756</v>
      </c>
      <c r="J303" s="136" t="s">
        <v>1757</v>
      </c>
      <c r="K303" s="56" t="s">
        <v>1758</v>
      </c>
      <c r="L303" s="56" t="s">
        <v>336</v>
      </c>
      <c r="M303" s="56" t="s">
        <v>55</v>
      </c>
      <c r="N303" s="56">
        <v>100</v>
      </c>
      <c r="O303" s="56"/>
      <c r="P303" s="56"/>
      <c r="Q303" s="56"/>
      <c r="R303" s="56"/>
      <c r="S303" s="56"/>
      <c r="T303" s="56"/>
      <c r="U303" s="56" t="s">
        <v>78</v>
      </c>
      <c r="V303" s="56" t="s">
        <v>78</v>
      </c>
      <c r="W303" s="56">
        <v>39</v>
      </c>
      <c r="X303" s="56"/>
      <c r="Y303" s="56"/>
      <c r="Z303" s="56"/>
      <c r="AA303" s="56"/>
      <c r="AB303" s="56"/>
      <c r="AC303" s="56">
        <v>0.5</v>
      </c>
      <c r="AD303" s="56"/>
      <c r="AE303" s="56"/>
      <c r="AF303" s="56"/>
      <c r="AG303" s="56"/>
      <c r="AH303" s="56"/>
      <c r="AI303" s="56">
        <v>100</v>
      </c>
      <c r="AK303" s="56">
        <v>100</v>
      </c>
      <c r="AL303" s="56">
        <v>100</v>
      </c>
      <c r="AM303" s="56">
        <v>100</v>
      </c>
      <c r="AN303" s="56">
        <v>100</v>
      </c>
      <c r="AO303" s="56" t="s">
        <v>647</v>
      </c>
      <c r="AP303" s="56" t="s">
        <v>1759</v>
      </c>
      <c r="AQ303" s="56" t="s">
        <v>1760</v>
      </c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</row>
    <row r="304" spans="1:65" ht="15.75" customHeight="1">
      <c r="A304" s="22">
        <f t="shared" si="0"/>
        <v>0</v>
      </c>
      <c r="B304" s="22"/>
      <c r="C304" s="22" t="str">
        <f t="shared" si="22"/>
        <v>134. 100 TPE :bulldogs: [S2] Hans Herjólfur - CL (NYRangers2227)</v>
      </c>
      <c r="D304" s="23">
        <f t="shared" si="2"/>
        <v>134</v>
      </c>
      <c r="E304" s="22" t="str">
        <f>VLOOKUP(H304,Analysis!$A$24:$B$33,2,FALSE)</f>
        <v>:bulldogs:</v>
      </c>
      <c r="F304" s="22"/>
      <c r="G304" s="92" t="s">
        <v>1761</v>
      </c>
      <c r="H304" s="40" t="s">
        <v>304</v>
      </c>
      <c r="I304" s="41" t="s">
        <v>1762</v>
      </c>
      <c r="J304" s="41" t="s">
        <v>1763</v>
      </c>
      <c r="K304" s="40" t="s">
        <v>1764</v>
      </c>
      <c r="L304" s="40" t="s">
        <v>336</v>
      </c>
      <c r="M304" s="40" t="s">
        <v>109</v>
      </c>
      <c r="N304" s="42">
        <v>100</v>
      </c>
      <c r="O304" s="40"/>
      <c r="P304" s="40"/>
      <c r="Q304" s="40"/>
      <c r="R304" s="40"/>
      <c r="S304" s="40"/>
      <c r="T304" s="40"/>
      <c r="U304" s="40" t="s">
        <v>78</v>
      </c>
      <c r="V304" s="40" t="s">
        <v>126</v>
      </c>
      <c r="W304" s="40">
        <v>21</v>
      </c>
      <c r="X304" s="40"/>
      <c r="Y304" s="40"/>
      <c r="Z304" s="40"/>
      <c r="AA304" s="40"/>
      <c r="AB304" s="40" t="s">
        <v>1036</v>
      </c>
      <c r="AC304" s="40"/>
      <c r="AD304" s="40">
        <v>0.5</v>
      </c>
      <c r="AE304" s="40"/>
      <c r="AF304" s="40"/>
      <c r="AG304" s="40"/>
      <c r="AH304" s="40"/>
      <c r="AI304" s="40">
        <v>100</v>
      </c>
      <c r="AK304" s="40">
        <v>100</v>
      </c>
      <c r="AL304" s="40" t="e">
        <v>#REF!</v>
      </c>
      <c r="AM304" s="40">
        <v>100</v>
      </c>
      <c r="AN304" s="40">
        <v>100</v>
      </c>
      <c r="AO304" s="40" t="s">
        <v>647</v>
      </c>
      <c r="AP304" s="40" t="s">
        <v>1765</v>
      </c>
      <c r="AQ304" s="40" t="s">
        <v>1766</v>
      </c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21"/>
      <c r="BG304" s="21"/>
      <c r="BH304" s="21"/>
      <c r="BI304" s="21"/>
      <c r="BJ304" s="21"/>
      <c r="BK304" s="21"/>
      <c r="BL304" s="21"/>
      <c r="BM304" s="21"/>
    </row>
    <row r="305" spans="1:65" ht="15.75" customHeight="1">
      <c r="A305" s="22">
        <f t="shared" si="0"/>
        <v>0</v>
      </c>
      <c r="B305" s="22"/>
      <c r="C305" s="22" t="str">
        <f t="shared" si="22"/>
        <v>134. 100 TPE :bulldogs: [S2] Mike Paolin - C (Mpaolino88)</v>
      </c>
      <c r="D305" s="23">
        <f t="shared" si="2"/>
        <v>134</v>
      </c>
      <c r="E305" s="22" t="str">
        <f>VLOOKUP(H305,Analysis!$A$24:$B$33,2,FALSE)</f>
        <v>:bulldogs:</v>
      </c>
      <c r="F305" s="22"/>
      <c r="G305" s="26" t="s">
        <v>1767</v>
      </c>
      <c r="H305" s="56" t="s">
        <v>304</v>
      </c>
      <c r="I305" s="136" t="s">
        <v>1768</v>
      </c>
      <c r="J305" s="136" t="s">
        <v>1769</v>
      </c>
      <c r="K305" s="56" t="s">
        <v>1770</v>
      </c>
      <c r="L305" s="56" t="s">
        <v>103</v>
      </c>
      <c r="M305" s="56" t="s">
        <v>132</v>
      </c>
      <c r="N305" s="56">
        <v>100</v>
      </c>
      <c r="O305" s="56"/>
      <c r="P305" s="56"/>
      <c r="Q305" s="56"/>
      <c r="R305" s="56"/>
      <c r="S305" s="56"/>
      <c r="T305" s="56"/>
      <c r="U305" s="56" t="s">
        <v>78</v>
      </c>
      <c r="V305" s="56" t="s">
        <v>78</v>
      </c>
      <c r="W305" s="56">
        <v>26</v>
      </c>
      <c r="X305" s="56"/>
      <c r="Y305" s="56"/>
      <c r="Z305" s="56"/>
      <c r="AA305" s="56"/>
      <c r="AB305" s="56"/>
      <c r="AC305" s="56">
        <v>2</v>
      </c>
      <c r="AD305" s="56">
        <v>1</v>
      </c>
      <c r="AE305" s="56"/>
      <c r="AF305" s="56"/>
      <c r="AG305" s="56"/>
      <c r="AH305" s="56"/>
      <c r="AI305" s="56">
        <v>100</v>
      </c>
      <c r="AK305" s="56">
        <v>100</v>
      </c>
      <c r="AL305" s="56">
        <v>100</v>
      </c>
      <c r="AM305" s="56">
        <v>100</v>
      </c>
      <c r="AN305" s="56">
        <v>100</v>
      </c>
      <c r="AO305" s="56" t="s">
        <v>647</v>
      </c>
      <c r="AP305" s="56" t="s">
        <v>1771</v>
      </c>
      <c r="AQ305" s="56" t="s">
        <v>1772</v>
      </c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</row>
    <row r="306" spans="1:65" ht="15.75" customHeight="1">
      <c r="A306" s="22">
        <f t="shared" si="0"/>
        <v>0</v>
      </c>
      <c r="B306" s="22"/>
      <c r="C306" s="22" t="str">
        <f t="shared" si="22"/>
        <v>134. 100 TPE :bulldogs: [S2] Gray Goose McGillicuddy - CL (Ramicus)</v>
      </c>
      <c r="D306" s="23">
        <f t="shared" si="2"/>
        <v>134</v>
      </c>
      <c r="E306" s="22" t="str">
        <f>VLOOKUP(H306,Analysis!$A$24:$B$33,2,FALSE)</f>
        <v>:bulldogs:</v>
      </c>
      <c r="F306" s="22"/>
      <c r="G306" s="22" t="s">
        <v>1409</v>
      </c>
      <c r="H306" s="40" t="s">
        <v>304</v>
      </c>
      <c r="I306" s="41" t="s">
        <v>1411</v>
      </c>
      <c r="J306" s="41" t="s">
        <v>1413</v>
      </c>
      <c r="K306" s="40" t="s">
        <v>1773</v>
      </c>
      <c r="L306" s="40" t="s">
        <v>336</v>
      </c>
      <c r="M306" s="40"/>
      <c r="N306" s="42">
        <v>100</v>
      </c>
      <c r="O306" s="43"/>
      <c r="P306" s="43"/>
      <c r="Q306" s="43"/>
      <c r="R306" s="43"/>
      <c r="S306" s="43"/>
      <c r="T306" s="40"/>
      <c r="U306" s="40" t="s">
        <v>78</v>
      </c>
      <c r="V306" s="40" t="s">
        <v>126</v>
      </c>
      <c r="W306" s="42">
        <v>24</v>
      </c>
      <c r="X306" s="40"/>
      <c r="Y306" s="42"/>
      <c r="Z306" s="42"/>
      <c r="AA306" s="40"/>
      <c r="AB306" s="40" t="s">
        <v>1036</v>
      </c>
      <c r="AC306" s="40"/>
      <c r="AD306" s="40"/>
      <c r="AE306" s="42"/>
      <c r="AF306" s="42"/>
      <c r="AG306" s="42"/>
      <c r="AH306" s="44"/>
      <c r="AI306" s="40">
        <v>100</v>
      </c>
      <c r="AK306" s="40"/>
      <c r="AL306" s="40"/>
      <c r="AM306" s="40">
        <v>100</v>
      </c>
      <c r="AN306" s="40">
        <v>100</v>
      </c>
      <c r="AO306" s="40" t="s">
        <v>647</v>
      </c>
      <c r="AP306" s="40" t="s">
        <v>1774</v>
      </c>
      <c r="AQ306" s="40" t="s">
        <v>1775</v>
      </c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21"/>
      <c r="BG306" s="21"/>
      <c r="BH306" s="21"/>
      <c r="BI306" s="21"/>
      <c r="BJ306" s="21"/>
      <c r="BK306" s="21"/>
      <c r="BL306" s="21"/>
      <c r="BM306" s="21"/>
    </row>
    <row r="307" spans="1:65" ht="15.75" customHeight="1">
      <c r="A307" s="22">
        <f t="shared" si="0"/>
        <v>0</v>
      </c>
      <c r="B307" s="22"/>
      <c r="C307" s="22" t="str">
        <f t="shared" si="22"/>
        <v>134. 100 TPE :bulldogs: [S2] Evan Becke - 1B (Evan_beckett)</v>
      </c>
      <c r="D307" s="23">
        <f t="shared" si="2"/>
        <v>134</v>
      </c>
      <c r="E307" s="22" t="str">
        <f>VLOOKUP(H307,Analysis!$A$24:$B$33,2,FALSE)</f>
        <v>:bulldogs:</v>
      </c>
      <c r="F307" s="22"/>
      <c r="G307" s="92" t="s">
        <v>1776</v>
      </c>
      <c r="H307" s="33" t="s">
        <v>304</v>
      </c>
      <c r="I307" s="34" t="s">
        <v>1777</v>
      </c>
      <c r="J307" s="34" t="s">
        <v>1778</v>
      </c>
      <c r="K307" s="33" t="s">
        <v>1779</v>
      </c>
      <c r="L307" s="33" t="s">
        <v>187</v>
      </c>
      <c r="M307" s="33"/>
      <c r="N307" s="35">
        <v>100</v>
      </c>
      <c r="O307" s="33"/>
      <c r="P307" s="33"/>
      <c r="Q307" s="33"/>
      <c r="R307" s="33"/>
      <c r="S307" s="33"/>
      <c r="T307" s="33"/>
      <c r="U307" s="33" t="s">
        <v>78</v>
      </c>
      <c r="V307" s="33" t="s">
        <v>78</v>
      </c>
      <c r="W307" s="33" t="s">
        <v>1232</v>
      </c>
      <c r="X307" s="33"/>
      <c r="Y307" s="33"/>
      <c r="Z307" s="33"/>
      <c r="AA307" s="33"/>
      <c r="AB307" s="33" t="s">
        <v>1036</v>
      </c>
      <c r="AC307" s="33"/>
      <c r="AD307" s="33"/>
      <c r="AE307" s="33"/>
      <c r="AF307" s="33"/>
      <c r="AG307" s="33"/>
      <c r="AH307" s="33"/>
      <c r="AI307" s="33">
        <v>100</v>
      </c>
      <c r="AK307" s="33"/>
      <c r="AL307" s="33"/>
      <c r="AM307" s="33">
        <v>100</v>
      </c>
      <c r="AN307" s="33">
        <v>100</v>
      </c>
      <c r="AO307" s="33" t="s">
        <v>647</v>
      </c>
      <c r="AP307" s="33" t="s">
        <v>1780</v>
      </c>
      <c r="AQ307" s="33" t="s">
        <v>1781</v>
      </c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21"/>
      <c r="BG307" s="21"/>
      <c r="BH307" s="21"/>
      <c r="BI307" s="21"/>
      <c r="BJ307" s="21"/>
      <c r="BK307" s="21"/>
      <c r="BL307" s="21"/>
      <c r="BM307" s="21"/>
    </row>
    <row r="308" spans="1:65" ht="15.75" customHeight="1">
      <c r="A308" s="22">
        <f t="shared" si="0"/>
        <v>0</v>
      </c>
      <c r="B308" s="22"/>
      <c r="C308" s="22" t="str">
        <f t="shared" si="22"/>
        <v>134. 100 TPE :bulldogs: [S2] Badr Ajlouni - CF (badrajlouni)</v>
      </c>
      <c r="D308" s="23">
        <f t="shared" si="2"/>
        <v>134</v>
      </c>
      <c r="E308" s="22" t="str">
        <f>VLOOKUP(H308,Analysis!$A$24:$B$33,2,FALSE)</f>
        <v>:bulldogs:</v>
      </c>
      <c r="F308" s="22"/>
      <c r="G308" s="92" t="s">
        <v>1782</v>
      </c>
      <c r="H308" s="40" t="s">
        <v>304</v>
      </c>
      <c r="I308" s="41" t="s">
        <v>1783</v>
      </c>
      <c r="J308" s="41" t="s">
        <v>1784</v>
      </c>
      <c r="K308" s="40" t="s">
        <v>1785</v>
      </c>
      <c r="L308" s="40" t="s">
        <v>67</v>
      </c>
      <c r="M308" s="40"/>
      <c r="N308" s="42">
        <v>100</v>
      </c>
      <c r="O308" s="40"/>
      <c r="P308" s="40"/>
      <c r="Q308" s="40"/>
      <c r="R308" s="40"/>
      <c r="S308" s="40"/>
      <c r="T308" s="40"/>
      <c r="U308" s="40" t="s">
        <v>78</v>
      </c>
      <c r="V308" s="40" t="s">
        <v>126</v>
      </c>
      <c r="W308" s="40">
        <v>29</v>
      </c>
      <c r="X308" s="40"/>
      <c r="Y308" s="40"/>
      <c r="Z308" s="40"/>
      <c r="AA308" s="40"/>
      <c r="AB308" s="40" t="s">
        <v>1036</v>
      </c>
      <c r="AC308" s="40"/>
      <c r="AD308" s="40"/>
      <c r="AE308" s="40"/>
      <c r="AF308" s="40"/>
      <c r="AG308" s="40"/>
      <c r="AH308" s="40"/>
      <c r="AI308" s="40">
        <v>100</v>
      </c>
      <c r="AK308" s="40"/>
      <c r="AL308" s="40"/>
      <c r="AM308" s="40">
        <v>100</v>
      </c>
      <c r="AN308" s="40">
        <v>100</v>
      </c>
      <c r="AO308" s="40" t="s">
        <v>647</v>
      </c>
      <c r="AP308" s="40" t="s">
        <v>1786</v>
      </c>
      <c r="AQ308" s="40" t="s">
        <v>1787</v>
      </c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21"/>
      <c r="BG308" s="21"/>
      <c r="BH308" s="21"/>
      <c r="BI308" s="21"/>
      <c r="BJ308" s="21"/>
      <c r="BK308" s="21"/>
      <c r="BL308" s="21"/>
      <c r="BM308" s="21"/>
    </row>
    <row r="309" spans="1:65" ht="15.75" customHeight="1">
      <c r="A309" s="22">
        <f t="shared" si="0"/>
        <v>0</v>
      </c>
      <c r="B309" s="22"/>
      <c r="C309" s="22" t="str">
        <f t="shared" si="22"/>
        <v>134. 100 TPE :bulldogs: [S2] Austin Schwar - SP (Cubzlover84)</v>
      </c>
      <c r="D309" s="23">
        <f t="shared" si="2"/>
        <v>134</v>
      </c>
      <c r="E309" s="22" t="str">
        <f>VLOOKUP(H309,Analysis!$A$24:$B$33,2,FALSE)</f>
        <v>:bulldogs:</v>
      </c>
      <c r="F309" s="22"/>
      <c r="G309" s="92" t="s">
        <v>1788</v>
      </c>
      <c r="H309" s="33" t="s">
        <v>304</v>
      </c>
      <c r="I309" s="34" t="s">
        <v>1789</v>
      </c>
      <c r="J309" s="34" t="s">
        <v>1790</v>
      </c>
      <c r="K309" s="33" t="s">
        <v>1791</v>
      </c>
      <c r="L309" s="33" t="s">
        <v>90</v>
      </c>
      <c r="M309" s="33"/>
      <c r="N309" s="35">
        <v>100</v>
      </c>
      <c r="O309" s="33"/>
      <c r="P309" s="33"/>
      <c r="Q309" s="33"/>
      <c r="R309" s="33"/>
      <c r="S309" s="33"/>
      <c r="T309" s="33"/>
      <c r="U309" s="33" t="s">
        <v>78</v>
      </c>
      <c r="V309" s="33" t="s">
        <v>78</v>
      </c>
      <c r="W309" s="33" t="s">
        <v>1232</v>
      </c>
      <c r="X309" s="33"/>
      <c r="Y309" s="33"/>
      <c r="Z309" s="33"/>
      <c r="AA309" s="33"/>
      <c r="AB309" s="33" t="s">
        <v>1036</v>
      </c>
      <c r="AC309" s="33"/>
      <c r="AD309" s="33"/>
      <c r="AE309" s="33"/>
      <c r="AF309" s="33"/>
      <c r="AG309" s="33"/>
      <c r="AH309" s="33"/>
      <c r="AI309" s="33">
        <v>100</v>
      </c>
      <c r="AK309" s="33"/>
      <c r="AL309" s="33"/>
      <c r="AM309" s="33">
        <v>100</v>
      </c>
      <c r="AN309" s="33">
        <v>100</v>
      </c>
      <c r="AO309" s="33" t="s">
        <v>647</v>
      </c>
      <c r="AP309" s="33" t="s">
        <v>1792</v>
      </c>
      <c r="AQ309" s="33" t="s">
        <v>1793</v>
      </c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21"/>
      <c r="BG309" s="21"/>
      <c r="BH309" s="21"/>
      <c r="BI309" s="21"/>
      <c r="BJ309" s="21"/>
      <c r="BK309" s="21"/>
      <c r="BL309" s="21"/>
      <c r="BM309" s="21"/>
    </row>
    <row r="310" spans="1:65" ht="15.75" customHeight="1">
      <c r="A310" s="22">
        <f t="shared" si="0"/>
        <v>0</v>
      </c>
      <c r="B310" s="22"/>
      <c r="C310" s="22" t="str">
        <f t="shared" si="22"/>
        <v>134. 100 TPE :bulldogs: [S2] Mike Honcho - SS (Bhill_Kosbi)</v>
      </c>
      <c r="D310" s="23">
        <f t="shared" si="2"/>
        <v>134</v>
      </c>
      <c r="E310" s="22" t="str">
        <f>VLOOKUP(H310,Analysis!$A$24:$B$33,2,FALSE)</f>
        <v>:bulldogs:</v>
      </c>
      <c r="F310" s="22"/>
      <c r="G310" s="26" t="s">
        <v>1794</v>
      </c>
      <c r="H310" s="27" t="s">
        <v>304</v>
      </c>
      <c r="I310" s="29" t="s">
        <v>1795</v>
      </c>
      <c r="J310" s="29" t="s">
        <v>1796</v>
      </c>
      <c r="K310" s="27" t="s">
        <v>1797</v>
      </c>
      <c r="L310" s="27" t="s">
        <v>75</v>
      </c>
      <c r="M310" s="27"/>
      <c r="N310" s="27">
        <v>100</v>
      </c>
      <c r="O310" s="27"/>
      <c r="P310" s="27"/>
      <c r="Q310" s="27"/>
      <c r="R310" s="27"/>
      <c r="S310" s="27"/>
      <c r="T310" s="27"/>
      <c r="U310" s="27" t="s">
        <v>78</v>
      </c>
      <c r="V310" s="27" t="s">
        <v>78</v>
      </c>
      <c r="W310" s="27" t="s">
        <v>1232</v>
      </c>
      <c r="X310" s="27"/>
      <c r="Y310" s="27"/>
      <c r="Z310" s="27"/>
      <c r="AA310" s="27"/>
      <c r="AB310" s="27" t="s">
        <v>1036</v>
      </c>
      <c r="AC310" s="27"/>
      <c r="AD310" s="27"/>
      <c r="AE310" s="27"/>
      <c r="AF310" s="27"/>
      <c r="AG310" s="27"/>
      <c r="AH310" s="27"/>
      <c r="AI310" s="27">
        <v>100</v>
      </c>
      <c r="AK310" s="27"/>
      <c r="AL310" s="27"/>
      <c r="AM310" s="27">
        <v>100</v>
      </c>
      <c r="AN310" s="27">
        <v>100</v>
      </c>
      <c r="AO310" s="27" t="s">
        <v>647</v>
      </c>
      <c r="AP310" s="27" t="s">
        <v>1798</v>
      </c>
      <c r="AQ310" s="27" t="s">
        <v>1799</v>
      </c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</row>
    <row r="311" spans="1:65" ht="15.75" customHeight="1">
      <c r="A311" s="22">
        <f t="shared" si="0"/>
        <v>0</v>
      </c>
      <c r="B311" s="22"/>
      <c r="C311" s="22" t="str">
        <f t="shared" si="22"/>
        <v>134. 100 TPE :bulldogs: [S2] Mam Siller - 3B (NeckBird)</v>
      </c>
      <c r="D311" s="23">
        <f t="shared" si="2"/>
        <v>134</v>
      </c>
      <c r="E311" s="22" t="str">
        <f>VLOOKUP(H311,Analysis!$A$24:$B$33,2,FALSE)</f>
        <v>:bulldogs:</v>
      </c>
      <c r="F311" s="22"/>
      <c r="G311" s="26" t="s">
        <v>1800</v>
      </c>
      <c r="H311" s="56" t="s">
        <v>304</v>
      </c>
      <c r="I311" s="136" t="s">
        <v>1801</v>
      </c>
      <c r="J311" s="136" t="s">
        <v>1802</v>
      </c>
      <c r="K311" s="56" t="s">
        <v>1803</v>
      </c>
      <c r="L311" s="56" t="s">
        <v>215</v>
      </c>
      <c r="M311" s="56" t="s">
        <v>132</v>
      </c>
      <c r="N311" s="56">
        <v>100</v>
      </c>
      <c r="O311" s="56"/>
      <c r="P311" s="56"/>
      <c r="Q311" s="56"/>
      <c r="R311" s="56"/>
      <c r="S311" s="56"/>
      <c r="T311" s="56"/>
      <c r="U311" s="56" t="s">
        <v>78</v>
      </c>
      <c r="V311" s="56" t="s">
        <v>78</v>
      </c>
      <c r="W311" s="56">
        <v>31</v>
      </c>
      <c r="X311" s="56"/>
      <c r="Y311" s="56"/>
      <c r="Z311" s="56"/>
      <c r="AA311" s="56"/>
      <c r="AB311" s="56"/>
      <c r="AC311" s="56">
        <v>0.75</v>
      </c>
      <c r="AD311" s="56">
        <v>0.75</v>
      </c>
      <c r="AE311" s="56"/>
      <c r="AF311" s="56"/>
      <c r="AG311" s="56"/>
      <c r="AH311" s="56"/>
      <c r="AI311" s="56">
        <v>100</v>
      </c>
      <c r="AK311" s="56">
        <v>100</v>
      </c>
      <c r="AL311" s="56">
        <v>100</v>
      </c>
      <c r="AM311" s="56">
        <v>100</v>
      </c>
      <c r="AN311" s="56">
        <v>100</v>
      </c>
      <c r="AO311" s="56" t="s">
        <v>647</v>
      </c>
      <c r="AP311" s="56" t="s">
        <v>1804</v>
      </c>
      <c r="AQ311" s="56" t="s">
        <v>1805</v>
      </c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</row>
    <row r="312" spans="1:65" ht="15.75" customHeight="1">
      <c r="A312" s="22">
        <f t="shared" si="0"/>
        <v>0</v>
      </c>
      <c r="B312" s="22"/>
      <c r="C312" s="22" t="str">
        <f t="shared" si="22"/>
        <v>134. 100 TPE :bulldogs: [S2] Marc Garvey - CF (mjg13x)</v>
      </c>
      <c r="D312" s="23">
        <f t="shared" si="2"/>
        <v>134</v>
      </c>
      <c r="E312" s="22" t="str">
        <f>VLOOKUP(H312,Analysis!$A$24:$B$33,2,FALSE)</f>
        <v>:bulldogs:</v>
      </c>
      <c r="F312" s="22"/>
      <c r="G312" s="26" t="s">
        <v>1806</v>
      </c>
      <c r="H312" s="27" t="s">
        <v>304</v>
      </c>
      <c r="I312" s="29" t="s">
        <v>1807</v>
      </c>
      <c r="J312" s="29" t="s">
        <v>1808</v>
      </c>
      <c r="K312" s="27" t="s">
        <v>1809</v>
      </c>
      <c r="L312" s="27" t="s">
        <v>67</v>
      </c>
      <c r="M312" s="27" t="s">
        <v>904</v>
      </c>
      <c r="N312" s="27">
        <v>100</v>
      </c>
      <c r="O312" s="27"/>
      <c r="P312" s="27"/>
      <c r="Q312" s="27"/>
      <c r="R312" s="27"/>
      <c r="S312" s="27"/>
      <c r="T312" s="27"/>
      <c r="U312" s="27" t="s">
        <v>78</v>
      </c>
      <c r="V312" s="27" t="s">
        <v>78</v>
      </c>
      <c r="W312" s="27">
        <v>23</v>
      </c>
      <c r="X312" s="27"/>
      <c r="Y312" s="27"/>
      <c r="Z312" s="27"/>
      <c r="AA312" s="27"/>
      <c r="AB312" s="27"/>
      <c r="AC312" s="27">
        <v>2</v>
      </c>
      <c r="AD312" s="27">
        <v>2</v>
      </c>
      <c r="AE312" s="27">
        <v>0.5</v>
      </c>
      <c r="AF312" s="27"/>
      <c r="AG312" s="27"/>
      <c r="AH312" s="27"/>
      <c r="AI312" s="27">
        <v>100</v>
      </c>
      <c r="AK312" s="27">
        <v>100</v>
      </c>
      <c r="AL312" s="27">
        <v>100</v>
      </c>
      <c r="AM312" s="27">
        <v>100</v>
      </c>
      <c r="AN312" s="27">
        <v>100</v>
      </c>
      <c r="AO312" s="27" t="s">
        <v>647</v>
      </c>
      <c r="AP312" s="27" t="s">
        <v>1810</v>
      </c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</row>
    <row r="313" spans="1:65" ht="15.75" customHeight="1">
      <c r="A313" s="22">
        <f t="shared" si="0"/>
        <v>0</v>
      </c>
      <c r="B313" s="22"/>
      <c r="C313" s="22" t="str">
        <f t="shared" si="22"/>
        <v>134. 100 TPE :armadillos:  [S10] Gregory Stevens - 1B (Lt. Gregory Stevens)</v>
      </c>
      <c r="D313" s="23">
        <f t="shared" si="2"/>
        <v>134</v>
      </c>
      <c r="E313" s="23" t="s">
        <v>1811</v>
      </c>
      <c r="F313" s="23"/>
      <c r="G313" s="22"/>
      <c r="H313" s="33" t="s">
        <v>44</v>
      </c>
      <c r="I313" s="34" t="s">
        <v>1426</v>
      </c>
      <c r="J313" s="34" t="s">
        <v>1427</v>
      </c>
      <c r="K313" s="33" t="s">
        <v>1812</v>
      </c>
      <c r="L313" s="33" t="s">
        <v>187</v>
      </c>
      <c r="M313" s="33" t="s">
        <v>97</v>
      </c>
      <c r="N313" s="35">
        <v>100</v>
      </c>
      <c r="O313" s="36"/>
      <c r="P313" s="36"/>
      <c r="Q313" s="36"/>
      <c r="R313" s="33"/>
      <c r="S313" s="33"/>
      <c r="T313" s="33"/>
      <c r="U313" s="33" t="s">
        <v>38</v>
      </c>
      <c r="V313" s="33" t="s">
        <v>38</v>
      </c>
      <c r="W313" s="35">
        <v>35</v>
      </c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6"/>
      <c r="AI313" s="33">
        <v>100</v>
      </c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21"/>
      <c r="BG313" s="21"/>
      <c r="BH313" s="21"/>
      <c r="BI313" s="21"/>
      <c r="BJ313" s="21"/>
      <c r="BK313" s="21"/>
      <c r="BL313" s="21"/>
      <c r="BM313" s="21"/>
    </row>
    <row r="314" spans="1:65" ht="15.75" customHeight="1">
      <c r="A314" s="22">
        <f t="shared" si="0"/>
        <v>0</v>
      </c>
      <c r="B314" s="22"/>
      <c r="C314" s="22" t="str">
        <f t="shared" si="22"/>
        <v>134. 100 TPE :swans: [S10] Gary Banks - SS (robinson5932)</v>
      </c>
      <c r="D314" s="23">
        <f t="shared" si="2"/>
        <v>134</v>
      </c>
      <c r="E314" s="23" t="s">
        <v>1558</v>
      </c>
      <c r="F314" s="23"/>
      <c r="G314" s="22"/>
      <c r="H314" s="40" t="s">
        <v>44</v>
      </c>
      <c r="I314" s="41" t="s">
        <v>1430</v>
      </c>
      <c r="J314" s="41" t="s">
        <v>1433</v>
      </c>
      <c r="K314" s="40" t="s">
        <v>1813</v>
      </c>
      <c r="L314" s="40" t="s">
        <v>75</v>
      </c>
      <c r="M314" s="40" t="s">
        <v>554</v>
      </c>
      <c r="N314" s="42">
        <v>100</v>
      </c>
      <c r="O314" s="40"/>
      <c r="P314" s="40"/>
      <c r="Q314" s="40"/>
      <c r="R314" s="40"/>
      <c r="S314" s="40"/>
      <c r="T314" s="40"/>
      <c r="U314" s="40" t="s">
        <v>38</v>
      </c>
      <c r="V314" s="40" t="s">
        <v>38</v>
      </c>
      <c r="W314" s="42">
        <v>40</v>
      </c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>
        <v>100</v>
      </c>
      <c r="AK314" s="40"/>
      <c r="AL314" s="42"/>
      <c r="AM314" s="42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21"/>
      <c r="BG314" s="21"/>
      <c r="BH314" s="21"/>
      <c r="BI314" s="21"/>
      <c r="BJ314" s="21"/>
      <c r="BK314" s="21"/>
      <c r="BL314" s="21"/>
      <c r="BM314" s="21"/>
    </row>
    <row r="315" spans="1:65" ht="15.75" customHeight="1">
      <c r="A315" s="22">
        <f t="shared" si="0"/>
        <v>0</v>
      </c>
      <c r="B315" s="22"/>
      <c r="C315" s="22" t="str">
        <f t="shared" si="22"/>
        <v>134. 100 TPE :swans: [S10] Jared Wideman - 3B (jaredwideman)</v>
      </c>
      <c r="D315" s="23">
        <f t="shared" si="2"/>
        <v>134</v>
      </c>
      <c r="E315" s="23" t="s">
        <v>1558</v>
      </c>
      <c r="F315" s="23"/>
      <c r="G315" s="22"/>
      <c r="H315" s="33" t="s">
        <v>44</v>
      </c>
      <c r="I315" s="34" t="s">
        <v>1435</v>
      </c>
      <c r="J315" s="34" t="s">
        <v>1436</v>
      </c>
      <c r="K315" s="33" t="s">
        <v>1814</v>
      </c>
      <c r="L315" s="33" t="s">
        <v>215</v>
      </c>
      <c r="M315" s="33" t="s">
        <v>1046</v>
      </c>
      <c r="N315" s="35">
        <v>100</v>
      </c>
      <c r="O315" s="33"/>
      <c r="P315" s="33"/>
      <c r="Q315" s="33"/>
      <c r="R315" s="33"/>
      <c r="S315" s="33"/>
      <c r="T315" s="33"/>
      <c r="U315" s="33" t="s">
        <v>38</v>
      </c>
      <c r="V315" s="33" t="s">
        <v>38</v>
      </c>
      <c r="W315" s="33">
        <v>52</v>
      </c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>
        <v>100</v>
      </c>
      <c r="AK315" s="33"/>
      <c r="AL315" s="35"/>
      <c r="AM315" s="35"/>
      <c r="AN315" s="38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21"/>
      <c r="BG315" s="21"/>
      <c r="BH315" s="21"/>
      <c r="BI315" s="21"/>
      <c r="BJ315" s="21"/>
      <c r="BK315" s="21"/>
      <c r="BL315" s="21"/>
      <c r="BM315" s="21"/>
    </row>
    <row r="316" spans="1:65" ht="15.75" customHeight="1">
      <c r="A316" s="22">
        <f t="shared" si="0"/>
        <v>0</v>
      </c>
      <c r="B316" s="22"/>
      <c r="C316" s="22" t="str">
        <f t="shared" si="22"/>
        <v>134. 100 TPE :swifties: [S10] Orlando Mcclain - C (PandOGod)</v>
      </c>
      <c r="D316" s="23">
        <f t="shared" si="2"/>
        <v>134</v>
      </c>
      <c r="E316" s="4" t="s">
        <v>1078</v>
      </c>
      <c r="F316" s="4"/>
      <c r="H316" s="27" t="s">
        <v>44</v>
      </c>
      <c r="I316" s="29" t="s">
        <v>1441</v>
      </c>
      <c r="J316" s="29" t="s">
        <v>1443</v>
      </c>
      <c r="K316" s="27" t="s">
        <v>1815</v>
      </c>
      <c r="L316" s="27" t="s">
        <v>103</v>
      </c>
      <c r="M316" s="27" t="s">
        <v>298</v>
      </c>
      <c r="N316" s="27">
        <v>100</v>
      </c>
      <c r="O316" s="27"/>
      <c r="P316" s="27"/>
      <c r="Q316" s="27"/>
      <c r="R316" s="27"/>
      <c r="S316" s="27"/>
      <c r="T316" s="27"/>
      <c r="U316" s="27" t="s">
        <v>38</v>
      </c>
      <c r="V316" s="27" t="s">
        <v>38</v>
      </c>
      <c r="W316" s="27">
        <v>78</v>
      </c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>
        <v>100</v>
      </c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</row>
    <row r="317" spans="1:65" ht="15.75" customHeight="1">
      <c r="H317" s="56"/>
      <c r="I317" s="272"/>
      <c r="J317" s="272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</row>
    <row r="318" spans="1:65" ht="15.75" customHeight="1">
      <c r="H318" s="27"/>
      <c r="I318" s="315"/>
      <c r="J318" s="315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</row>
    <row r="319" spans="1:65" ht="15.75" customHeight="1">
      <c r="H319" s="56"/>
      <c r="I319" s="272"/>
      <c r="J319" s="272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</row>
    <row r="320" spans="1:65" ht="15.75" customHeight="1">
      <c r="H320" s="27"/>
      <c r="I320" s="315"/>
      <c r="J320" s="315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</row>
    <row r="321" spans="8:57" ht="15.75" customHeight="1">
      <c r="H321" s="56"/>
      <c r="I321" s="272"/>
      <c r="J321" s="272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</row>
    <row r="322" spans="8:57" ht="15.75" customHeight="1">
      <c r="H322" s="27"/>
      <c r="I322" s="315"/>
      <c r="J322" s="315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</row>
    <row r="323" spans="8:57" ht="15.75" customHeight="1">
      <c r="H323" s="56"/>
      <c r="I323" s="272"/>
      <c r="J323" s="272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</row>
    <row r="324" spans="8:57" ht="15.75" customHeight="1">
      <c r="H324" s="27"/>
      <c r="I324" s="315"/>
      <c r="J324" s="315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</row>
    <row r="325" spans="8:57" ht="15.75" customHeight="1">
      <c r="H325" s="56"/>
      <c r="I325" s="272"/>
      <c r="J325" s="272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</row>
    <row r="326" spans="8:57" ht="15.75" customHeight="1">
      <c r="H326" s="27"/>
      <c r="I326" s="315"/>
      <c r="J326" s="315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</row>
    <row r="327" spans="8:57" ht="15.75" customHeight="1">
      <c r="H327" s="56"/>
      <c r="I327" s="272"/>
      <c r="J327" s="272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</row>
    <row r="328" spans="8:57" ht="15.75" customHeight="1">
      <c r="H328" s="27"/>
      <c r="I328" s="315"/>
      <c r="J328" s="315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</row>
    <row r="329" spans="8:57" ht="15.75" customHeight="1">
      <c r="H329" s="56"/>
      <c r="I329" s="272"/>
      <c r="J329" s="272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</row>
    <row r="330" spans="8:57" ht="15.75" customHeight="1">
      <c r="H330" s="27"/>
      <c r="I330" s="315"/>
      <c r="J330" s="315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</row>
    <row r="331" spans="8:57" ht="15.75" customHeight="1">
      <c r="H331" s="56"/>
      <c r="I331" s="272"/>
      <c r="J331" s="272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</row>
    <row r="332" spans="8:57" ht="15.75" customHeight="1">
      <c r="H332" s="27"/>
      <c r="I332" s="315"/>
      <c r="J332" s="315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</row>
    <row r="333" spans="8:57" ht="15.75" customHeight="1">
      <c r="H333" s="56"/>
      <c r="I333" s="272"/>
      <c r="J333" s="272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</row>
    <row r="334" spans="8:57" ht="15.75" customHeight="1">
      <c r="H334" s="27"/>
      <c r="I334" s="315"/>
      <c r="J334" s="315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</row>
    <row r="335" spans="8:57" ht="15.75" customHeight="1">
      <c r="H335" s="56"/>
      <c r="I335" s="272"/>
      <c r="J335" s="272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</row>
    <row r="336" spans="8:57" ht="15.75" customHeight="1">
      <c r="H336" s="27"/>
      <c r="I336" s="315"/>
      <c r="J336" s="315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</row>
    <row r="337" spans="8:57" ht="15.75" customHeight="1">
      <c r="H337" s="56"/>
      <c r="I337" s="272"/>
      <c r="J337" s="272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</row>
    <row r="338" spans="8:57" ht="15.75" customHeight="1">
      <c r="H338" s="27"/>
      <c r="I338" s="315"/>
      <c r="J338" s="315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</row>
    <row r="339" spans="8:57" ht="15.75" customHeight="1">
      <c r="H339" s="56"/>
      <c r="I339" s="272"/>
      <c r="J339" s="272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</row>
    <row r="340" spans="8:57" ht="15.75" customHeight="1">
      <c r="H340" s="27"/>
      <c r="I340" s="315"/>
      <c r="J340" s="315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</row>
    <row r="341" spans="8:57" ht="15.75" customHeight="1">
      <c r="H341" s="56"/>
      <c r="I341" s="272"/>
      <c r="J341" s="272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</row>
    <row r="342" spans="8:57" ht="15.75" customHeight="1">
      <c r="H342" s="27"/>
      <c r="I342" s="315"/>
      <c r="J342" s="315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</row>
    <row r="343" spans="8:57" ht="15.75" customHeight="1">
      <c r="H343" s="56"/>
      <c r="I343" s="272"/>
      <c r="J343" s="272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</row>
    <row r="344" spans="8:57" ht="15.75" customHeight="1">
      <c r="H344" s="27"/>
      <c r="I344" s="315"/>
      <c r="J344" s="315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</row>
    <row r="345" spans="8:57" ht="15.75" customHeight="1">
      <c r="H345" s="56"/>
      <c r="I345" s="272"/>
      <c r="J345" s="272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</row>
    <row r="346" spans="8:57" ht="15.75" customHeight="1">
      <c r="H346" s="27"/>
      <c r="I346" s="315"/>
      <c r="J346" s="315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</row>
    <row r="347" spans="8:57" ht="15.75" customHeight="1">
      <c r="H347" s="56"/>
      <c r="I347" s="272"/>
      <c r="J347" s="272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</row>
    <row r="348" spans="8:57" ht="15.75" customHeight="1">
      <c r="H348" s="27"/>
      <c r="I348" s="315"/>
      <c r="J348" s="315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</row>
    <row r="349" spans="8:57" ht="15.75" customHeight="1">
      <c r="H349" s="56"/>
      <c r="I349" s="272"/>
      <c r="J349" s="272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</row>
    <row r="350" spans="8:57" ht="15.75" customHeight="1">
      <c r="H350" s="27"/>
      <c r="I350" s="315"/>
      <c r="J350" s="315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</row>
    <row r="351" spans="8:57" ht="15.75" customHeight="1">
      <c r="H351" s="56"/>
      <c r="I351" s="272"/>
      <c r="J351" s="272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</row>
    <row r="352" spans="8:57" ht="15.75" customHeight="1">
      <c r="H352" s="27"/>
      <c r="I352" s="315"/>
      <c r="J352" s="315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</row>
    <row r="353" spans="8:57" ht="15.75" customHeight="1">
      <c r="H353" s="56"/>
      <c r="I353" s="272"/>
      <c r="J353" s="272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</row>
    <row r="354" spans="8:57" ht="15.75" customHeight="1">
      <c r="H354" s="27"/>
      <c r="I354" s="315"/>
      <c r="J354" s="315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</row>
    <row r="355" spans="8:57" ht="15.75" customHeight="1">
      <c r="H355" s="56"/>
      <c r="I355" s="272"/>
      <c r="J355" s="272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</row>
    <row r="356" spans="8:57" ht="15.75" customHeight="1">
      <c r="H356" s="27"/>
      <c r="I356" s="315"/>
      <c r="J356" s="315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</row>
    <row r="357" spans="8:57" ht="15.75" customHeight="1">
      <c r="H357" s="56"/>
      <c r="I357" s="272"/>
      <c r="J357" s="272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</row>
    <row r="358" spans="8:57" ht="15.75" customHeight="1">
      <c r="H358" s="27"/>
      <c r="I358" s="315"/>
      <c r="J358" s="315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</row>
    <row r="359" spans="8:57" ht="15.75" customHeight="1">
      <c r="H359" s="56"/>
      <c r="I359" s="272"/>
      <c r="J359" s="272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</row>
    <row r="360" spans="8:57" ht="15.75" customHeight="1">
      <c r="H360" s="27"/>
      <c r="I360" s="315"/>
      <c r="J360" s="315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</row>
    <row r="361" spans="8:57" ht="15.75" customHeight="1">
      <c r="H361" s="56"/>
      <c r="I361" s="272"/>
      <c r="J361" s="272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</row>
    <row r="362" spans="8:57" ht="15.75" customHeight="1">
      <c r="H362" s="27"/>
      <c r="I362" s="315"/>
      <c r="J362" s="315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</row>
    <row r="363" spans="8:57" ht="15.75" customHeight="1">
      <c r="H363" s="56"/>
      <c r="I363" s="272"/>
      <c r="J363" s="272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</row>
    <row r="364" spans="8:57" ht="15.75" customHeight="1">
      <c r="H364" s="27"/>
      <c r="I364" s="315"/>
      <c r="J364" s="315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</row>
    <row r="365" spans="8:57" ht="15.75" customHeight="1">
      <c r="H365" s="56"/>
      <c r="I365" s="272"/>
      <c r="J365" s="272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</row>
    <row r="366" spans="8:57" ht="15.75" customHeight="1">
      <c r="H366" s="27"/>
      <c r="I366" s="315"/>
      <c r="J366" s="315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</row>
    <row r="367" spans="8:57" ht="15.75" customHeight="1">
      <c r="H367" s="56"/>
      <c r="I367" s="272"/>
      <c r="J367" s="272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</row>
    <row r="368" spans="8:57" ht="15.75" customHeight="1">
      <c r="H368" s="27"/>
      <c r="I368" s="315"/>
      <c r="J368" s="315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</row>
    <row r="369" spans="8:57" ht="15.75" customHeight="1">
      <c r="H369" s="56"/>
      <c r="I369" s="272"/>
      <c r="J369" s="272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</row>
    <row r="370" spans="8:57" ht="15.75" customHeight="1">
      <c r="H370" s="27"/>
      <c r="I370" s="315"/>
      <c r="J370" s="315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</row>
    <row r="371" spans="8:57" ht="15.75" customHeight="1">
      <c r="H371" s="56"/>
      <c r="I371" s="272"/>
      <c r="J371" s="272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</row>
    <row r="372" spans="8:57" ht="15.75" customHeight="1">
      <c r="H372" s="27"/>
      <c r="I372" s="315"/>
      <c r="J372" s="315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</row>
    <row r="373" spans="8:57" ht="15.75" customHeight="1">
      <c r="H373" s="56"/>
      <c r="I373" s="272"/>
      <c r="J373" s="272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</row>
    <row r="374" spans="8:57" ht="15.75" customHeight="1">
      <c r="H374" s="27"/>
      <c r="I374" s="315"/>
      <c r="J374" s="315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</row>
    <row r="375" spans="8:57" ht="15.75" customHeight="1">
      <c r="H375" s="56"/>
      <c r="I375" s="272"/>
      <c r="J375" s="272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</row>
    <row r="376" spans="8:57" ht="15.75" customHeight="1">
      <c r="H376" s="27"/>
      <c r="I376" s="315"/>
      <c r="J376" s="315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</row>
    <row r="377" spans="8:57" ht="15.75" customHeight="1">
      <c r="H377" s="56"/>
      <c r="I377" s="272"/>
      <c r="J377" s="272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</row>
    <row r="378" spans="8:57" ht="15.75" customHeight="1">
      <c r="H378" s="27"/>
      <c r="I378" s="315"/>
      <c r="J378" s="315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</row>
    <row r="379" spans="8:57" ht="15.75" customHeight="1">
      <c r="H379" s="56"/>
      <c r="I379" s="272"/>
      <c r="J379" s="272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</row>
    <row r="380" spans="8:57" ht="15.75" customHeight="1">
      <c r="H380" s="27"/>
      <c r="I380" s="315"/>
      <c r="J380" s="315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</row>
    <row r="381" spans="8:57" ht="15.75" customHeight="1">
      <c r="H381" s="56"/>
      <c r="I381" s="272"/>
      <c r="J381" s="272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</row>
    <row r="382" spans="8:57" ht="15.75" customHeight="1">
      <c r="H382" s="27"/>
      <c r="I382" s="315"/>
      <c r="J382" s="315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</row>
    <row r="383" spans="8:57" ht="15.75" customHeight="1">
      <c r="H383" s="56"/>
      <c r="I383" s="272"/>
      <c r="J383" s="272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</row>
    <row r="384" spans="8:57" ht="15.75" customHeight="1">
      <c r="H384" s="27"/>
      <c r="I384" s="315"/>
      <c r="J384" s="315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</row>
    <row r="385" spans="8:57" ht="15.75" customHeight="1">
      <c r="H385" s="56"/>
      <c r="I385" s="272"/>
      <c r="J385" s="272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</row>
    <row r="386" spans="8:57" ht="15.75" customHeight="1">
      <c r="H386" s="27"/>
      <c r="I386" s="315"/>
      <c r="J386" s="315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</row>
    <row r="387" spans="8:57" ht="15.75" customHeight="1">
      <c r="H387" s="56"/>
      <c r="I387" s="272"/>
      <c r="J387" s="272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</row>
    <row r="388" spans="8:57" ht="15.75" customHeight="1">
      <c r="H388" s="27"/>
      <c r="I388" s="315"/>
      <c r="J388" s="315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</row>
    <row r="389" spans="8:57" ht="15.75" customHeight="1">
      <c r="H389" s="56"/>
      <c r="I389" s="272"/>
      <c r="J389" s="272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</row>
    <row r="390" spans="8:57" ht="15.75" customHeight="1">
      <c r="H390" s="27"/>
      <c r="I390" s="315"/>
      <c r="J390" s="315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</row>
    <row r="391" spans="8:57" ht="15.75" customHeight="1">
      <c r="H391" s="56"/>
      <c r="I391" s="272"/>
      <c r="J391" s="272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</row>
    <row r="392" spans="8:57" ht="15.75" customHeight="1">
      <c r="H392" s="27"/>
      <c r="I392" s="315"/>
      <c r="J392" s="315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</row>
    <row r="393" spans="8:57" ht="15.75" customHeight="1">
      <c r="H393" s="56"/>
      <c r="I393" s="272"/>
      <c r="J393" s="272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</row>
    <row r="394" spans="8:57" ht="15.75" customHeight="1">
      <c r="H394" s="27"/>
      <c r="I394" s="315"/>
      <c r="J394" s="315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</row>
    <row r="395" spans="8:57" ht="15.75" customHeight="1">
      <c r="H395" s="56"/>
      <c r="I395" s="272"/>
      <c r="J395" s="272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</row>
    <row r="396" spans="8:57" ht="15.75" customHeight="1">
      <c r="H396" s="27"/>
      <c r="I396" s="315"/>
      <c r="J396" s="315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</row>
    <row r="397" spans="8:57" ht="15.75" customHeight="1">
      <c r="H397" s="56"/>
      <c r="I397" s="272"/>
      <c r="J397" s="272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</row>
    <row r="398" spans="8:57" ht="15.75" customHeight="1">
      <c r="H398" s="27"/>
      <c r="I398" s="315"/>
      <c r="J398" s="315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</row>
    <row r="399" spans="8:57" ht="15.75" customHeight="1">
      <c r="H399" s="56"/>
      <c r="I399" s="272"/>
      <c r="J399" s="272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</row>
    <row r="400" spans="8:57" ht="15.75" customHeight="1">
      <c r="H400" s="27"/>
      <c r="I400" s="315"/>
      <c r="J400" s="315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</row>
    <row r="401" spans="8:57" ht="15.75" customHeight="1">
      <c r="H401" s="56"/>
      <c r="I401" s="272"/>
      <c r="J401" s="272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</row>
    <row r="402" spans="8:57" ht="15.75" customHeight="1">
      <c r="H402" s="27"/>
      <c r="I402" s="315"/>
      <c r="J402" s="315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</row>
    <row r="403" spans="8:57" ht="15.75" customHeight="1">
      <c r="H403" s="56"/>
      <c r="I403" s="272"/>
      <c r="J403" s="272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</row>
    <row r="404" spans="8:57" ht="15.75" customHeight="1">
      <c r="H404" s="27"/>
      <c r="I404" s="315"/>
      <c r="J404" s="315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</row>
    <row r="405" spans="8:57" ht="15.75" customHeight="1">
      <c r="H405" s="56"/>
      <c r="I405" s="272"/>
      <c r="J405" s="272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</row>
    <row r="406" spans="8:57" ht="15.75" customHeight="1">
      <c r="H406" s="27"/>
      <c r="I406" s="315"/>
      <c r="J406" s="315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</row>
    <row r="407" spans="8:57" ht="15.75" customHeight="1">
      <c r="H407" s="56"/>
      <c r="I407" s="272"/>
      <c r="J407" s="272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</row>
    <row r="408" spans="8:57" ht="15.75" customHeight="1">
      <c r="H408" s="27"/>
      <c r="I408" s="315"/>
      <c r="J408" s="315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</row>
    <row r="409" spans="8:57" ht="15.75" customHeight="1">
      <c r="H409" s="56"/>
      <c r="I409" s="272"/>
      <c r="J409" s="272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</row>
    <row r="410" spans="8:57" ht="15.75" customHeight="1">
      <c r="H410" s="27"/>
      <c r="I410" s="315"/>
      <c r="J410" s="315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</row>
    <row r="411" spans="8:57" ht="15.75" customHeight="1">
      <c r="H411" s="56"/>
      <c r="I411" s="272"/>
      <c r="J411" s="272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</row>
    <row r="412" spans="8:57" ht="15.75" customHeight="1">
      <c r="H412" s="27"/>
      <c r="I412" s="315"/>
      <c r="J412" s="315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</row>
    <row r="413" spans="8:57" ht="15.75" customHeight="1">
      <c r="H413" s="56"/>
      <c r="I413" s="272"/>
      <c r="J413" s="272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</row>
    <row r="414" spans="8:57" ht="15.75" customHeight="1">
      <c r="H414" s="27"/>
      <c r="I414" s="315"/>
      <c r="J414" s="315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</row>
    <row r="415" spans="8:57" ht="15.75" customHeight="1">
      <c r="H415" s="56"/>
      <c r="I415" s="272"/>
      <c r="J415" s="272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</row>
    <row r="416" spans="8:57" ht="15.75" customHeight="1">
      <c r="H416" s="27"/>
      <c r="I416" s="315"/>
      <c r="J416" s="315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</row>
    <row r="417" spans="8:57" ht="15.75" customHeight="1">
      <c r="H417" s="56"/>
      <c r="I417" s="272"/>
      <c r="J417" s="272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</row>
    <row r="418" spans="8:57" ht="15.75" customHeight="1">
      <c r="H418" s="27"/>
      <c r="I418" s="315"/>
      <c r="J418" s="315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</row>
    <row r="419" spans="8:57" ht="15.75" customHeight="1">
      <c r="H419" s="56"/>
      <c r="I419" s="272"/>
      <c r="J419" s="272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</row>
    <row r="420" spans="8:57" ht="15.75" customHeight="1">
      <c r="H420" s="27"/>
      <c r="I420" s="315"/>
      <c r="J420" s="315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</row>
    <row r="421" spans="8:57" ht="15.75" customHeight="1">
      <c r="H421" s="56"/>
      <c r="I421" s="272"/>
      <c r="J421" s="272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</row>
    <row r="422" spans="8:57" ht="15.75" customHeight="1">
      <c r="H422" s="27"/>
      <c r="I422" s="315"/>
      <c r="J422" s="315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</row>
    <row r="423" spans="8:57" ht="15.75" customHeight="1">
      <c r="H423" s="56"/>
      <c r="I423" s="272"/>
      <c r="J423" s="272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</row>
    <row r="424" spans="8:57" ht="15.75" customHeight="1">
      <c r="H424" s="27"/>
      <c r="I424" s="315"/>
      <c r="J424" s="315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</row>
    <row r="425" spans="8:57" ht="15.75" customHeight="1">
      <c r="H425" s="56"/>
      <c r="I425" s="272"/>
      <c r="J425" s="272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</row>
    <row r="426" spans="8:57" ht="15.75" customHeight="1">
      <c r="H426" s="27"/>
      <c r="I426" s="315"/>
      <c r="J426" s="315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</row>
    <row r="427" spans="8:57" ht="15.75" customHeight="1">
      <c r="H427" s="56"/>
      <c r="I427" s="272"/>
      <c r="J427" s="272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</row>
    <row r="428" spans="8:57" ht="15.75" customHeight="1">
      <c r="H428" s="27"/>
      <c r="I428" s="315"/>
      <c r="J428" s="315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</row>
    <row r="429" spans="8:57" ht="15.75" customHeight="1">
      <c r="H429" s="56"/>
      <c r="I429" s="272"/>
      <c r="J429" s="272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</row>
    <row r="430" spans="8:57" ht="15.75" customHeight="1">
      <c r="H430" s="27"/>
      <c r="I430" s="315"/>
      <c r="J430" s="315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</row>
    <row r="431" spans="8:57" ht="15.75" customHeight="1">
      <c r="H431" s="56"/>
      <c r="I431" s="272"/>
      <c r="J431" s="272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</row>
    <row r="432" spans="8:57" ht="15.75" customHeight="1">
      <c r="H432" s="27"/>
      <c r="I432" s="315"/>
      <c r="J432" s="315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</row>
    <row r="433" spans="8:57" ht="15.75" customHeight="1">
      <c r="H433" s="56"/>
      <c r="I433" s="272"/>
      <c r="J433" s="272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</row>
    <row r="434" spans="8:57" ht="15.75" customHeight="1">
      <c r="H434" s="27"/>
      <c r="I434" s="315"/>
      <c r="J434" s="315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</row>
    <row r="435" spans="8:57" ht="15.75" customHeight="1">
      <c r="H435" s="56"/>
      <c r="I435" s="272"/>
      <c r="J435" s="272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</row>
    <row r="436" spans="8:57" ht="15.75" customHeight="1">
      <c r="H436" s="27"/>
      <c r="I436" s="315"/>
      <c r="J436" s="315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</row>
    <row r="437" spans="8:57" ht="15.75" customHeight="1">
      <c r="H437" s="56"/>
      <c r="I437" s="272"/>
      <c r="J437" s="272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</row>
    <row r="438" spans="8:57" ht="15.75" customHeight="1">
      <c r="H438" s="27"/>
      <c r="I438" s="315"/>
      <c r="J438" s="315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</row>
    <row r="439" spans="8:57" ht="15.75" customHeight="1">
      <c r="H439" s="56"/>
      <c r="I439" s="272"/>
      <c r="J439" s="272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</row>
    <row r="440" spans="8:57" ht="15.75" customHeight="1">
      <c r="H440" s="27"/>
      <c r="I440" s="315"/>
      <c r="J440" s="315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</row>
    <row r="441" spans="8:57" ht="15.75" customHeight="1">
      <c r="H441" s="56"/>
      <c r="I441" s="272"/>
      <c r="J441" s="272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</row>
    <row r="442" spans="8:57" ht="15.75" customHeight="1">
      <c r="H442" s="27"/>
      <c r="I442" s="315"/>
      <c r="J442" s="315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</row>
    <row r="443" spans="8:57" ht="15.75" customHeight="1">
      <c r="H443" s="56"/>
      <c r="I443" s="272"/>
      <c r="J443" s="272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</row>
    <row r="444" spans="8:57" ht="15.75" customHeight="1">
      <c r="H444" s="27"/>
      <c r="I444" s="315"/>
      <c r="J444" s="315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</row>
    <row r="445" spans="8:57" ht="15.75" customHeight="1">
      <c r="H445" s="56"/>
      <c r="I445" s="272"/>
      <c r="J445" s="272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</row>
    <row r="446" spans="8:57" ht="15.75" customHeight="1">
      <c r="H446" s="27"/>
      <c r="I446" s="315"/>
      <c r="J446" s="315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</row>
    <row r="447" spans="8:57" ht="15.75" customHeight="1">
      <c r="H447" s="56"/>
      <c r="I447" s="272"/>
      <c r="J447" s="272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</row>
    <row r="448" spans="8:57" ht="15.75" customHeight="1">
      <c r="H448" s="27"/>
      <c r="I448" s="315"/>
      <c r="J448" s="315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</row>
    <row r="449" spans="8:57" ht="15.75" customHeight="1">
      <c r="H449" s="56"/>
      <c r="I449" s="272"/>
      <c r="J449" s="272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</row>
    <row r="450" spans="8:57" ht="15.75" customHeight="1">
      <c r="H450" s="27"/>
      <c r="I450" s="315"/>
      <c r="J450" s="315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</row>
    <row r="451" spans="8:57" ht="15.75" customHeight="1">
      <c r="H451" s="56"/>
      <c r="I451" s="272"/>
      <c r="J451" s="272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</row>
    <row r="452" spans="8:57" ht="15.75" customHeight="1">
      <c r="H452" s="27"/>
      <c r="I452" s="315"/>
      <c r="J452" s="315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</row>
    <row r="453" spans="8:57" ht="15.75" customHeight="1">
      <c r="H453" s="56"/>
      <c r="I453" s="272"/>
      <c r="J453" s="272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</row>
    <row r="454" spans="8:57" ht="15.75" customHeight="1">
      <c r="H454" s="27"/>
      <c r="I454" s="315"/>
      <c r="J454" s="315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</row>
    <row r="455" spans="8:57" ht="15.75" customHeight="1">
      <c r="H455" s="56"/>
      <c r="I455" s="272"/>
      <c r="J455" s="272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</row>
    <row r="456" spans="8:57" ht="15.75" customHeight="1">
      <c r="H456" s="27"/>
      <c r="I456" s="315"/>
      <c r="J456" s="315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</row>
    <row r="457" spans="8:57" ht="15.75" customHeight="1">
      <c r="H457" s="56"/>
      <c r="I457" s="272"/>
      <c r="J457" s="272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</row>
    <row r="458" spans="8:57" ht="15.75" customHeight="1">
      <c r="H458" s="27"/>
      <c r="I458" s="315"/>
      <c r="J458" s="315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</row>
    <row r="459" spans="8:57" ht="15.75" customHeight="1">
      <c r="H459" s="56"/>
      <c r="I459" s="272"/>
      <c r="J459" s="272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</row>
    <row r="460" spans="8:57" ht="15.75" customHeight="1">
      <c r="H460" s="27"/>
      <c r="I460" s="315"/>
      <c r="J460" s="315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</row>
    <row r="461" spans="8:57" ht="15.75" customHeight="1">
      <c r="H461" s="56"/>
      <c r="I461" s="272"/>
      <c r="J461" s="272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</row>
    <row r="462" spans="8:57" ht="15.75" customHeight="1">
      <c r="H462" s="27"/>
      <c r="I462" s="315"/>
      <c r="J462" s="315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</row>
    <row r="463" spans="8:57" ht="15.75" customHeight="1">
      <c r="H463" s="56"/>
      <c r="I463" s="272"/>
      <c r="J463" s="272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</row>
    <row r="464" spans="8:57" ht="15.75" customHeight="1">
      <c r="H464" s="27"/>
      <c r="I464" s="315"/>
      <c r="J464" s="315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</row>
    <row r="465" spans="8:57" ht="15.75" customHeight="1">
      <c r="H465" s="56"/>
      <c r="I465" s="272"/>
      <c r="J465" s="272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</row>
    <row r="466" spans="8:57" ht="15.75" customHeight="1">
      <c r="H466" s="27"/>
      <c r="I466" s="315"/>
      <c r="J466" s="315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</row>
    <row r="467" spans="8:57" ht="15.75" customHeight="1">
      <c r="H467" s="56"/>
      <c r="I467" s="272"/>
      <c r="J467" s="272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</row>
    <row r="468" spans="8:57" ht="15.75" customHeight="1">
      <c r="H468" s="27"/>
      <c r="I468" s="315"/>
      <c r="J468" s="315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</row>
    <row r="469" spans="8:57" ht="15.75" customHeight="1">
      <c r="H469" s="56"/>
      <c r="I469" s="272"/>
      <c r="J469" s="272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</row>
    <row r="470" spans="8:57" ht="15.75" customHeight="1">
      <c r="H470" s="27"/>
      <c r="I470" s="315"/>
      <c r="J470" s="315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</row>
    <row r="471" spans="8:57" ht="15.75" customHeight="1">
      <c r="H471" s="56"/>
      <c r="I471" s="272"/>
      <c r="J471" s="272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</row>
    <row r="472" spans="8:57" ht="15.75" customHeight="1">
      <c r="H472" s="27"/>
      <c r="I472" s="315"/>
      <c r="J472" s="315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</row>
    <row r="473" spans="8:57" ht="15.75" customHeight="1">
      <c r="H473" s="56"/>
      <c r="I473" s="272"/>
      <c r="J473" s="272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</row>
    <row r="474" spans="8:57" ht="15.75" customHeight="1">
      <c r="H474" s="27"/>
      <c r="I474" s="315"/>
      <c r="J474" s="315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</row>
    <row r="475" spans="8:57" ht="15.75" customHeight="1">
      <c r="H475" s="56"/>
      <c r="I475" s="272"/>
      <c r="J475" s="272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</row>
    <row r="476" spans="8:57" ht="15.75" customHeight="1">
      <c r="H476" s="27"/>
      <c r="I476" s="315"/>
      <c r="J476" s="315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</row>
    <row r="477" spans="8:57" ht="15.75" customHeight="1">
      <c r="H477" s="56"/>
      <c r="I477" s="272"/>
      <c r="J477" s="272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</row>
    <row r="478" spans="8:57" ht="15.75" customHeight="1">
      <c r="H478" s="27"/>
      <c r="I478" s="315"/>
      <c r="J478" s="315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</row>
    <row r="479" spans="8:57" ht="15.75" customHeight="1">
      <c r="H479" s="56"/>
      <c r="I479" s="272"/>
      <c r="J479" s="272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</row>
    <row r="480" spans="8:57" ht="15.75" customHeight="1">
      <c r="H480" s="27"/>
      <c r="I480" s="315"/>
      <c r="J480" s="315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</row>
    <row r="481" spans="8:57" ht="15.75" customHeight="1">
      <c r="H481" s="56"/>
      <c r="I481" s="272"/>
      <c r="J481" s="272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</row>
    <row r="482" spans="8:57" ht="15.75" customHeight="1">
      <c r="H482" s="27"/>
      <c r="I482" s="315"/>
      <c r="J482" s="315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</row>
    <row r="483" spans="8:57" ht="15.75" customHeight="1">
      <c r="H483" s="56"/>
      <c r="I483" s="272"/>
      <c r="J483" s="272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</row>
    <row r="484" spans="8:57" ht="15.75" customHeight="1">
      <c r="H484" s="27"/>
      <c r="I484" s="315"/>
      <c r="J484" s="315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</row>
    <row r="485" spans="8:57" ht="15.75" customHeight="1">
      <c r="H485" s="56"/>
      <c r="I485" s="272"/>
      <c r="J485" s="272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</row>
    <row r="486" spans="8:57" ht="15.75" customHeight="1">
      <c r="H486" s="27"/>
      <c r="I486" s="315"/>
      <c r="J486" s="315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</row>
    <row r="487" spans="8:57" ht="15.75" customHeight="1">
      <c r="H487" s="56"/>
      <c r="I487" s="272"/>
      <c r="J487" s="272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</row>
    <row r="488" spans="8:57" ht="15.75" customHeight="1">
      <c r="H488" s="27"/>
      <c r="I488" s="315"/>
      <c r="J488" s="315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</row>
    <row r="489" spans="8:57" ht="15.75" customHeight="1">
      <c r="H489" s="56"/>
      <c r="I489" s="272"/>
      <c r="J489" s="272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</row>
    <row r="490" spans="8:57" ht="15.75" customHeight="1">
      <c r="H490" s="27"/>
      <c r="I490" s="315"/>
      <c r="J490" s="315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</row>
    <row r="491" spans="8:57" ht="15.75" customHeight="1">
      <c r="H491" s="56"/>
      <c r="I491" s="272"/>
      <c r="J491" s="272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</row>
    <row r="492" spans="8:57" ht="15.75" customHeight="1">
      <c r="H492" s="27"/>
      <c r="I492" s="315"/>
      <c r="J492" s="315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</row>
    <row r="493" spans="8:57" ht="15.75" customHeight="1">
      <c r="H493" s="56"/>
      <c r="I493" s="272"/>
      <c r="J493" s="272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</row>
    <row r="494" spans="8:57" ht="15.75" customHeight="1">
      <c r="H494" s="27"/>
      <c r="I494" s="315"/>
      <c r="J494" s="315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</row>
    <row r="495" spans="8:57" ht="15.75" customHeight="1">
      <c r="H495" s="56"/>
      <c r="I495" s="272"/>
      <c r="J495" s="272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</row>
    <row r="496" spans="8:57" ht="15.75" customHeight="1">
      <c r="H496" s="27"/>
      <c r="I496" s="315"/>
      <c r="J496" s="315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</row>
    <row r="497" spans="8:57" ht="15.75" customHeight="1">
      <c r="H497" s="56"/>
      <c r="I497" s="272"/>
      <c r="J497" s="272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</row>
    <row r="498" spans="8:57" ht="15.75" customHeight="1">
      <c r="H498" s="27"/>
      <c r="I498" s="315"/>
      <c r="J498" s="315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</row>
    <row r="499" spans="8:57" ht="15.75" customHeight="1">
      <c r="H499" s="56"/>
      <c r="I499" s="272"/>
      <c r="J499" s="272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</row>
    <row r="500" spans="8:57" ht="15.75" customHeight="1">
      <c r="H500" s="27"/>
      <c r="I500" s="315"/>
      <c r="J500" s="315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</row>
    <row r="501" spans="8:57" ht="15.75" customHeight="1">
      <c r="H501" s="56"/>
      <c r="I501" s="272"/>
      <c r="J501" s="272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</row>
    <row r="502" spans="8:57" ht="15.75" customHeight="1">
      <c r="H502" s="27"/>
      <c r="I502" s="315"/>
      <c r="J502" s="315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</row>
    <row r="503" spans="8:57" ht="15.75" customHeight="1">
      <c r="H503" s="56"/>
      <c r="I503" s="272"/>
      <c r="J503" s="272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</row>
    <row r="504" spans="8:57" ht="15.75" customHeight="1">
      <c r="H504" s="27"/>
      <c r="I504" s="315"/>
      <c r="J504" s="315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</row>
    <row r="505" spans="8:57" ht="15.75" customHeight="1">
      <c r="H505" s="56"/>
      <c r="I505" s="272"/>
      <c r="J505" s="272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</row>
    <row r="506" spans="8:57" ht="15.75" customHeight="1">
      <c r="H506" s="27"/>
      <c r="I506" s="315"/>
      <c r="J506" s="315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</row>
    <row r="507" spans="8:57" ht="15.75" customHeight="1">
      <c r="H507" s="56"/>
      <c r="I507" s="272"/>
      <c r="J507" s="272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</row>
    <row r="508" spans="8:57" ht="15.75" customHeight="1">
      <c r="H508" s="27"/>
      <c r="I508" s="315"/>
      <c r="J508" s="315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</row>
    <row r="509" spans="8:57" ht="15.75" customHeight="1">
      <c r="H509" s="56"/>
      <c r="I509" s="272"/>
      <c r="J509" s="272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</row>
    <row r="510" spans="8:57" ht="15.75" customHeight="1">
      <c r="H510" s="27"/>
      <c r="I510" s="315"/>
      <c r="J510" s="315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</row>
    <row r="511" spans="8:57" ht="15.75" customHeight="1">
      <c r="H511" s="56"/>
      <c r="I511" s="272"/>
      <c r="J511" s="272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</row>
    <row r="512" spans="8:57" ht="15.75" customHeight="1">
      <c r="H512" s="27"/>
      <c r="I512" s="315"/>
      <c r="J512" s="315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</row>
    <row r="513" spans="8:57" ht="15.75" customHeight="1">
      <c r="H513" s="56"/>
      <c r="I513" s="272"/>
      <c r="J513" s="272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</row>
    <row r="514" spans="8:57" ht="15.75" customHeight="1">
      <c r="H514" s="27"/>
      <c r="I514" s="315"/>
      <c r="J514" s="315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</row>
    <row r="515" spans="8:57" ht="15.75" customHeight="1">
      <c r="H515" s="56"/>
      <c r="I515" s="272"/>
      <c r="J515" s="272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</row>
    <row r="516" spans="8:57" ht="15.75" customHeight="1">
      <c r="H516" s="27"/>
      <c r="I516" s="315"/>
      <c r="J516" s="315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</row>
    <row r="517" spans="8:57" ht="15.75" customHeight="1">
      <c r="H517" s="56"/>
      <c r="I517" s="272"/>
      <c r="J517" s="272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</row>
    <row r="518" spans="8:57" ht="15.75" customHeight="1">
      <c r="H518" s="27"/>
      <c r="I518" s="315"/>
      <c r="J518" s="315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</row>
    <row r="519" spans="8:57" ht="15.75" customHeight="1">
      <c r="H519" s="56"/>
      <c r="I519" s="272"/>
      <c r="J519" s="272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</row>
    <row r="520" spans="8:57" ht="15.75" customHeight="1">
      <c r="H520" s="27"/>
      <c r="I520" s="315"/>
      <c r="J520" s="315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</row>
    <row r="521" spans="8:57" ht="15.75" customHeight="1">
      <c r="H521" s="56"/>
      <c r="I521" s="272"/>
      <c r="J521" s="272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</row>
    <row r="522" spans="8:57" ht="15.75" customHeight="1">
      <c r="H522" s="27"/>
      <c r="I522" s="315"/>
      <c r="J522" s="315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</row>
    <row r="523" spans="8:57" ht="15.75" customHeight="1">
      <c r="H523" s="56"/>
      <c r="I523" s="272"/>
      <c r="J523" s="272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</row>
    <row r="524" spans="8:57" ht="15.75" customHeight="1">
      <c r="H524" s="27"/>
      <c r="I524" s="315"/>
      <c r="J524" s="315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</row>
    <row r="525" spans="8:57" ht="15.75" customHeight="1">
      <c r="H525" s="56"/>
      <c r="I525" s="272"/>
      <c r="J525" s="272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</row>
    <row r="526" spans="8:57" ht="15.75" customHeight="1">
      <c r="H526" s="27"/>
      <c r="I526" s="315"/>
      <c r="J526" s="315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</row>
    <row r="527" spans="8:57" ht="15.75" customHeight="1">
      <c r="H527" s="56"/>
      <c r="I527" s="272"/>
      <c r="J527" s="272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</row>
    <row r="528" spans="8:57" ht="15.75" customHeight="1">
      <c r="H528" s="27"/>
      <c r="I528" s="315"/>
      <c r="J528" s="315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</row>
    <row r="529" spans="8:57" ht="15.75" customHeight="1">
      <c r="H529" s="56"/>
      <c r="I529" s="272"/>
      <c r="J529" s="272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</row>
    <row r="530" spans="8:57" ht="15.75" customHeight="1">
      <c r="H530" s="27"/>
      <c r="I530" s="315"/>
      <c r="J530" s="315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</row>
    <row r="531" spans="8:57" ht="15.75" customHeight="1">
      <c r="H531" s="56"/>
      <c r="I531" s="272"/>
      <c r="J531" s="272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</row>
    <row r="532" spans="8:57" ht="15.75" customHeight="1">
      <c r="H532" s="27"/>
      <c r="I532" s="315"/>
      <c r="J532" s="315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</row>
    <row r="533" spans="8:57" ht="15.75" customHeight="1">
      <c r="H533" s="56"/>
      <c r="I533" s="272"/>
      <c r="J533" s="272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</row>
    <row r="534" spans="8:57" ht="15.75" customHeight="1">
      <c r="H534" s="27"/>
      <c r="I534" s="315"/>
      <c r="J534" s="315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</row>
    <row r="535" spans="8:57" ht="15.75" customHeight="1">
      <c r="H535" s="56"/>
      <c r="I535" s="272"/>
      <c r="J535" s="272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</row>
    <row r="536" spans="8:57" ht="15.75" customHeight="1">
      <c r="H536" s="27"/>
      <c r="I536" s="315"/>
      <c r="J536" s="315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</row>
    <row r="537" spans="8:57" ht="15.75" customHeight="1">
      <c r="H537" s="56"/>
      <c r="I537" s="272"/>
      <c r="J537" s="272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</row>
    <row r="538" spans="8:57" ht="15.75" customHeight="1">
      <c r="H538" s="27"/>
      <c r="I538" s="315"/>
      <c r="J538" s="315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</row>
    <row r="539" spans="8:57" ht="15.75" customHeight="1">
      <c r="H539" s="56"/>
      <c r="I539" s="272"/>
      <c r="J539" s="272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</row>
    <row r="540" spans="8:57" ht="15.75" customHeight="1">
      <c r="H540" s="27"/>
      <c r="I540" s="315"/>
      <c r="J540" s="315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</row>
    <row r="541" spans="8:57" ht="15.75" customHeight="1">
      <c r="H541" s="56"/>
      <c r="I541" s="272"/>
      <c r="J541" s="272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</row>
    <row r="542" spans="8:57" ht="15.75" customHeight="1">
      <c r="H542" s="27"/>
      <c r="I542" s="315"/>
      <c r="J542" s="315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</row>
    <row r="543" spans="8:57" ht="15.75" customHeight="1">
      <c r="H543" s="56"/>
      <c r="I543" s="272"/>
      <c r="J543" s="272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</row>
    <row r="544" spans="8:57" ht="15.75" customHeight="1">
      <c r="H544" s="27"/>
      <c r="I544" s="315"/>
      <c r="J544" s="315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</row>
    <row r="545" spans="8:57" ht="15.75" customHeight="1">
      <c r="H545" s="56"/>
      <c r="I545" s="272"/>
      <c r="J545" s="272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</row>
    <row r="546" spans="8:57" ht="15.75" customHeight="1">
      <c r="H546" s="27"/>
      <c r="I546" s="315"/>
      <c r="J546" s="315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</row>
    <row r="547" spans="8:57" ht="15.75" customHeight="1">
      <c r="H547" s="56"/>
      <c r="I547" s="272"/>
      <c r="J547" s="272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</row>
    <row r="548" spans="8:57" ht="15.75" customHeight="1">
      <c r="H548" s="27"/>
      <c r="I548" s="315"/>
      <c r="J548" s="315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</row>
    <row r="549" spans="8:57" ht="15.75" customHeight="1">
      <c r="H549" s="56"/>
      <c r="I549" s="272"/>
      <c r="J549" s="272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</row>
    <row r="550" spans="8:57" ht="15.75" customHeight="1">
      <c r="H550" s="27"/>
      <c r="I550" s="315"/>
      <c r="J550" s="315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</row>
    <row r="551" spans="8:57" ht="15.75" customHeight="1">
      <c r="H551" s="56"/>
      <c r="I551" s="272"/>
      <c r="J551" s="272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</row>
    <row r="552" spans="8:57" ht="15.75" customHeight="1">
      <c r="H552" s="27"/>
      <c r="I552" s="315"/>
      <c r="J552" s="315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</row>
    <row r="553" spans="8:57" ht="15.75" customHeight="1">
      <c r="H553" s="56"/>
      <c r="I553" s="272"/>
      <c r="J553" s="272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</row>
    <row r="554" spans="8:57" ht="15.75" customHeight="1">
      <c r="H554" s="27"/>
      <c r="I554" s="315"/>
      <c r="J554" s="315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</row>
    <row r="555" spans="8:57" ht="15.75" customHeight="1">
      <c r="H555" s="56"/>
      <c r="I555" s="272"/>
      <c r="J555" s="272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</row>
    <row r="556" spans="8:57" ht="15.75" customHeight="1">
      <c r="H556" s="27"/>
      <c r="I556" s="315"/>
      <c r="J556" s="315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</row>
    <row r="557" spans="8:57" ht="15.75" customHeight="1">
      <c r="H557" s="56"/>
      <c r="I557" s="272"/>
      <c r="J557" s="272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</row>
    <row r="558" spans="8:57" ht="15.75" customHeight="1">
      <c r="H558" s="27"/>
      <c r="I558" s="315"/>
      <c r="J558" s="315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</row>
    <row r="559" spans="8:57" ht="15.75" customHeight="1">
      <c r="H559" s="56"/>
      <c r="I559" s="272"/>
      <c r="J559" s="272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</row>
    <row r="560" spans="8:57" ht="15.75" customHeight="1">
      <c r="H560" s="27"/>
      <c r="I560" s="315"/>
      <c r="J560" s="315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</row>
    <row r="561" spans="8:57" ht="15.75" customHeight="1">
      <c r="H561" s="56"/>
      <c r="I561" s="272"/>
      <c r="J561" s="272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</row>
    <row r="562" spans="8:57" ht="15.75" customHeight="1">
      <c r="H562" s="27"/>
      <c r="I562" s="315"/>
      <c r="J562" s="315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</row>
    <row r="563" spans="8:57" ht="15.75" customHeight="1">
      <c r="H563" s="56"/>
      <c r="I563" s="272"/>
      <c r="J563" s="272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</row>
    <row r="564" spans="8:57" ht="15.75" customHeight="1">
      <c r="H564" s="27"/>
      <c r="I564" s="315"/>
      <c r="J564" s="315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</row>
    <row r="565" spans="8:57" ht="15.75" customHeight="1">
      <c r="H565" s="56"/>
      <c r="I565" s="272"/>
      <c r="J565" s="272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</row>
    <row r="566" spans="8:57" ht="15.75" customHeight="1">
      <c r="H566" s="27"/>
      <c r="I566" s="315"/>
      <c r="J566" s="315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</row>
    <row r="567" spans="8:57" ht="15.75" customHeight="1">
      <c r="H567" s="56"/>
      <c r="I567" s="272"/>
      <c r="J567" s="272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</row>
    <row r="568" spans="8:57" ht="15.75" customHeight="1">
      <c r="H568" s="27"/>
      <c r="I568" s="315"/>
      <c r="J568" s="315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</row>
    <row r="569" spans="8:57" ht="15.75" customHeight="1">
      <c r="H569" s="56"/>
      <c r="I569" s="272"/>
      <c r="J569" s="272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</row>
    <row r="570" spans="8:57" ht="15.75" customHeight="1">
      <c r="H570" s="27"/>
      <c r="I570" s="315"/>
      <c r="J570" s="315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</row>
    <row r="571" spans="8:57" ht="15.75" customHeight="1">
      <c r="H571" s="56"/>
      <c r="I571" s="272"/>
      <c r="J571" s="272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</row>
    <row r="572" spans="8:57" ht="15.75" customHeight="1">
      <c r="H572" s="27"/>
      <c r="I572" s="315"/>
      <c r="J572" s="315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</row>
    <row r="573" spans="8:57" ht="15.75" customHeight="1">
      <c r="H573" s="56"/>
      <c r="I573" s="272"/>
      <c r="J573" s="272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</row>
    <row r="574" spans="8:57" ht="15.75" customHeight="1">
      <c r="H574" s="27"/>
      <c r="I574" s="315"/>
      <c r="J574" s="315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</row>
    <row r="575" spans="8:57" ht="15.75" customHeight="1">
      <c r="H575" s="56"/>
      <c r="I575" s="272"/>
      <c r="J575" s="272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</row>
    <row r="576" spans="8:57" ht="15.75" customHeight="1">
      <c r="H576" s="27"/>
      <c r="I576" s="315"/>
      <c r="J576" s="315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</row>
    <row r="577" spans="8:57" ht="15.75" customHeight="1">
      <c r="H577" s="56"/>
      <c r="I577" s="272"/>
      <c r="J577" s="272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</row>
    <row r="578" spans="8:57" ht="15.75" customHeight="1">
      <c r="H578" s="27"/>
      <c r="I578" s="315"/>
      <c r="J578" s="315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</row>
    <row r="579" spans="8:57" ht="15.75" customHeight="1">
      <c r="H579" s="56"/>
      <c r="I579" s="272"/>
      <c r="J579" s="272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</row>
    <row r="580" spans="8:57" ht="15.75" customHeight="1">
      <c r="H580" s="27"/>
      <c r="I580" s="315"/>
      <c r="J580" s="315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</row>
    <row r="581" spans="8:57" ht="15.75" customHeight="1">
      <c r="H581" s="56"/>
      <c r="I581" s="272"/>
      <c r="J581" s="272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</row>
    <row r="582" spans="8:57" ht="15.75" customHeight="1">
      <c r="H582" s="27"/>
      <c r="I582" s="315"/>
      <c r="J582" s="315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</row>
    <row r="583" spans="8:57" ht="15.75" customHeight="1">
      <c r="H583" s="56"/>
      <c r="I583" s="272"/>
      <c r="J583" s="272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</row>
    <row r="584" spans="8:57" ht="15.75" customHeight="1">
      <c r="H584" s="27"/>
      <c r="I584" s="315"/>
      <c r="J584" s="315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</row>
    <row r="585" spans="8:57" ht="15.75" customHeight="1">
      <c r="H585" s="56"/>
      <c r="I585" s="272"/>
      <c r="J585" s="272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</row>
    <row r="586" spans="8:57" ht="15.75" customHeight="1">
      <c r="H586" s="27"/>
      <c r="I586" s="315"/>
      <c r="J586" s="315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</row>
    <row r="587" spans="8:57" ht="15.75" customHeight="1">
      <c r="H587" s="56"/>
      <c r="I587" s="272"/>
      <c r="J587" s="272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</row>
    <row r="588" spans="8:57" ht="15.75" customHeight="1">
      <c r="H588" s="27"/>
      <c r="I588" s="315"/>
      <c r="J588" s="315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</row>
    <row r="589" spans="8:57" ht="15.75" customHeight="1">
      <c r="H589" s="56"/>
      <c r="I589" s="272"/>
      <c r="J589" s="272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</row>
    <row r="590" spans="8:57" ht="15.75" customHeight="1">
      <c r="H590" s="27"/>
      <c r="I590" s="315"/>
      <c r="J590" s="315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</row>
    <row r="591" spans="8:57" ht="15.75" customHeight="1">
      <c r="H591" s="56"/>
      <c r="I591" s="272"/>
      <c r="J591" s="272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</row>
    <row r="592" spans="8:57" ht="15.75" customHeight="1">
      <c r="H592" s="27"/>
      <c r="I592" s="315"/>
      <c r="J592" s="315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</row>
    <row r="593" spans="8:57" ht="15.75" customHeight="1">
      <c r="H593" s="56"/>
      <c r="I593" s="272"/>
      <c r="J593" s="272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</row>
    <row r="594" spans="8:57" ht="15.75" customHeight="1">
      <c r="H594" s="27"/>
      <c r="I594" s="315"/>
      <c r="J594" s="315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</row>
    <row r="595" spans="8:57" ht="15.75" customHeight="1">
      <c r="H595" s="56"/>
      <c r="I595" s="272"/>
      <c r="J595" s="272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</row>
    <row r="596" spans="8:57" ht="15.75" customHeight="1">
      <c r="H596" s="27"/>
      <c r="I596" s="315"/>
      <c r="J596" s="315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</row>
    <row r="597" spans="8:57" ht="15.75" customHeight="1">
      <c r="H597" s="56"/>
      <c r="I597" s="272"/>
      <c r="J597" s="272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</row>
    <row r="598" spans="8:57" ht="15.75" customHeight="1">
      <c r="H598" s="27"/>
      <c r="I598" s="315"/>
      <c r="J598" s="315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</row>
    <row r="599" spans="8:57" ht="15.75" customHeight="1">
      <c r="H599" s="56"/>
      <c r="I599" s="272"/>
      <c r="J599" s="272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</row>
    <row r="600" spans="8:57" ht="15.75" customHeight="1">
      <c r="H600" s="27"/>
      <c r="I600" s="315"/>
      <c r="J600" s="315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</row>
    <row r="601" spans="8:57" ht="15.75" customHeight="1">
      <c r="H601" s="56"/>
      <c r="I601" s="272"/>
      <c r="J601" s="272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</row>
    <row r="602" spans="8:57" ht="15.75" customHeight="1">
      <c r="H602" s="27"/>
      <c r="I602" s="315"/>
      <c r="J602" s="315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</row>
    <row r="603" spans="8:57" ht="15.75" customHeight="1">
      <c r="H603" s="56"/>
      <c r="I603" s="272"/>
      <c r="J603" s="272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</row>
    <row r="604" spans="8:57" ht="15.75" customHeight="1">
      <c r="H604" s="27"/>
      <c r="I604" s="315"/>
      <c r="J604" s="315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</row>
    <row r="605" spans="8:57" ht="15.75" customHeight="1">
      <c r="H605" s="56"/>
      <c r="I605" s="272"/>
      <c r="J605" s="272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</row>
    <row r="606" spans="8:57" ht="15.75" customHeight="1">
      <c r="H606" s="27"/>
      <c r="I606" s="315"/>
      <c r="J606" s="315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</row>
    <row r="607" spans="8:57" ht="15.75" customHeight="1">
      <c r="H607" s="56"/>
      <c r="I607" s="272"/>
      <c r="J607" s="272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</row>
    <row r="608" spans="8:57" ht="15.75" customHeight="1">
      <c r="H608" s="27"/>
      <c r="I608" s="315"/>
      <c r="J608" s="315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</row>
    <row r="609" spans="8:57" ht="15.75" customHeight="1">
      <c r="H609" s="56"/>
      <c r="I609" s="272"/>
      <c r="J609" s="272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</row>
    <row r="610" spans="8:57" ht="15.75" customHeight="1">
      <c r="H610" s="27"/>
      <c r="I610" s="315"/>
      <c r="J610" s="315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</row>
    <row r="611" spans="8:57" ht="15.75" customHeight="1">
      <c r="H611" s="56"/>
      <c r="I611" s="272"/>
      <c r="J611" s="272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</row>
    <row r="612" spans="8:57" ht="15.75" customHeight="1">
      <c r="H612" s="27"/>
      <c r="I612" s="315"/>
      <c r="J612" s="315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</row>
    <row r="613" spans="8:57" ht="15.75" customHeight="1">
      <c r="H613" s="56"/>
      <c r="I613" s="272"/>
      <c r="J613" s="272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</row>
    <row r="614" spans="8:57" ht="15.75" customHeight="1">
      <c r="H614" s="27"/>
      <c r="I614" s="315"/>
      <c r="J614" s="315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</row>
    <row r="615" spans="8:57" ht="15.75" customHeight="1">
      <c r="H615" s="56"/>
      <c r="I615" s="272"/>
      <c r="J615" s="272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</row>
    <row r="616" spans="8:57" ht="15.75" customHeight="1">
      <c r="H616" s="27"/>
      <c r="I616" s="315"/>
      <c r="J616" s="315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</row>
    <row r="617" spans="8:57" ht="15.75" customHeight="1">
      <c r="H617" s="56"/>
      <c r="I617" s="272"/>
      <c r="J617" s="272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</row>
    <row r="618" spans="8:57" ht="15.75" customHeight="1">
      <c r="H618" s="27"/>
      <c r="I618" s="315"/>
      <c r="J618" s="315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</row>
    <row r="619" spans="8:57" ht="15.75" customHeight="1">
      <c r="H619" s="56"/>
      <c r="I619" s="272"/>
      <c r="J619" s="272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</row>
    <row r="620" spans="8:57" ht="15.75" customHeight="1">
      <c r="H620" s="27"/>
      <c r="I620" s="315"/>
      <c r="J620" s="315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</row>
    <row r="621" spans="8:57" ht="15.75" customHeight="1">
      <c r="H621" s="56"/>
      <c r="I621" s="272"/>
      <c r="J621" s="272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</row>
    <row r="622" spans="8:57" ht="15.75" customHeight="1">
      <c r="H622" s="27"/>
      <c r="I622" s="315"/>
      <c r="J622" s="315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</row>
    <row r="623" spans="8:57" ht="15.75" customHeight="1">
      <c r="H623" s="56"/>
      <c r="I623" s="272"/>
      <c r="J623" s="272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</row>
    <row r="624" spans="8:57" ht="15.75" customHeight="1">
      <c r="H624" s="27"/>
      <c r="I624" s="315"/>
      <c r="J624" s="315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</row>
    <row r="625" spans="8:57" ht="15.75" customHeight="1">
      <c r="H625" s="56"/>
      <c r="I625" s="272"/>
      <c r="J625" s="272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</row>
    <row r="626" spans="8:57" ht="15.75" customHeight="1">
      <c r="H626" s="27"/>
      <c r="I626" s="315"/>
      <c r="J626" s="315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</row>
    <row r="627" spans="8:57" ht="15.75" customHeight="1">
      <c r="H627" s="56"/>
      <c r="I627" s="272"/>
      <c r="J627" s="272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</row>
    <row r="628" spans="8:57" ht="15.75" customHeight="1">
      <c r="H628" s="27"/>
      <c r="I628" s="315"/>
      <c r="J628" s="315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</row>
    <row r="629" spans="8:57" ht="15.75" customHeight="1">
      <c r="H629" s="56"/>
      <c r="I629" s="272"/>
      <c r="J629" s="272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</row>
    <row r="630" spans="8:57" ht="15.75" customHeight="1">
      <c r="H630" s="27"/>
      <c r="I630" s="315"/>
      <c r="J630" s="315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</row>
    <row r="631" spans="8:57" ht="15.75" customHeight="1">
      <c r="H631" s="56"/>
      <c r="I631" s="272"/>
      <c r="J631" s="272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</row>
    <row r="632" spans="8:57" ht="15.75" customHeight="1">
      <c r="H632" s="27"/>
      <c r="I632" s="315"/>
      <c r="J632" s="315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</row>
    <row r="633" spans="8:57" ht="15.75" customHeight="1">
      <c r="H633" s="56"/>
      <c r="I633" s="272"/>
      <c r="J633" s="272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</row>
    <row r="634" spans="8:57" ht="15.75" customHeight="1">
      <c r="H634" s="27"/>
      <c r="I634" s="315"/>
      <c r="J634" s="315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</row>
    <row r="635" spans="8:57" ht="15.75" customHeight="1">
      <c r="H635" s="56"/>
      <c r="I635" s="272"/>
      <c r="J635" s="272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</row>
    <row r="636" spans="8:57" ht="15.75" customHeight="1">
      <c r="H636" s="27"/>
      <c r="I636" s="315"/>
      <c r="J636" s="315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</row>
    <row r="637" spans="8:57" ht="15.75" customHeight="1">
      <c r="H637" s="56"/>
      <c r="I637" s="272"/>
      <c r="J637" s="272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</row>
    <row r="638" spans="8:57" ht="15.75" customHeight="1">
      <c r="H638" s="27"/>
      <c r="I638" s="315"/>
      <c r="J638" s="315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</row>
    <row r="639" spans="8:57" ht="15.75" customHeight="1">
      <c r="H639" s="56"/>
      <c r="I639" s="272"/>
      <c r="J639" s="272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</row>
    <row r="640" spans="8:57" ht="15.75" customHeight="1">
      <c r="H640" s="27"/>
      <c r="I640" s="315"/>
      <c r="J640" s="315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</row>
    <row r="641" spans="8:57" ht="15.75" customHeight="1">
      <c r="H641" s="56"/>
      <c r="I641" s="272"/>
      <c r="J641" s="272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</row>
    <row r="642" spans="8:57" ht="15.75" customHeight="1">
      <c r="H642" s="27"/>
      <c r="I642" s="315"/>
      <c r="J642" s="315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</row>
    <row r="643" spans="8:57" ht="15.75" customHeight="1">
      <c r="H643" s="56"/>
      <c r="I643" s="272"/>
      <c r="J643" s="272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</row>
    <row r="644" spans="8:57" ht="15.75" customHeight="1">
      <c r="H644" s="27"/>
      <c r="I644" s="315"/>
      <c r="J644" s="315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</row>
    <row r="645" spans="8:57" ht="15.75" customHeight="1">
      <c r="H645" s="56"/>
      <c r="I645" s="272"/>
      <c r="J645" s="272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</row>
    <row r="646" spans="8:57" ht="15.75" customHeight="1">
      <c r="H646" s="27"/>
      <c r="I646" s="315"/>
      <c r="J646" s="315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</row>
    <row r="647" spans="8:57" ht="15.75" customHeight="1">
      <c r="H647" s="56"/>
      <c r="I647" s="272"/>
      <c r="J647" s="272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</row>
    <row r="648" spans="8:57" ht="15.75" customHeight="1">
      <c r="H648" s="27"/>
      <c r="I648" s="315"/>
      <c r="J648" s="315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</row>
    <row r="649" spans="8:57" ht="15.75" customHeight="1">
      <c r="H649" s="56"/>
      <c r="I649" s="272"/>
      <c r="J649" s="272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</row>
    <row r="650" spans="8:57" ht="15.75" customHeight="1">
      <c r="H650" s="27"/>
      <c r="I650" s="315"/>
      <c r="J650" s="315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</row>
    <row r="651" spans="8:57" ht="15.75" customHeight="1">
      <c r="H651" s="56"/>
      <c r="I651" s="272"/>
      <c r="J651" s="272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</row>
    <row r="652" spans="8:57" ht="15.75" customHeight="1">
      <c r="H652" s="27"/>
      <c r="I652" s="315"/>
      <c r="J652" s="315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</row>
    <row r="653" spans="8:57" ht="15.75" customHeight="1">
      <c r="H653" s="56"/>
      <c r="I653" s="272"/>
      <c r="J653" s="272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</row>
    <row r="654" spans="8:57" ht="15.75" customHeight="1">
      <c r="H654" s="27"/>
      <c r="I654" s="315"/>
      <c r="J654" s="315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</row>
    <row r="655" spans="8:57" ht="15.75" customHeight="1">
      <c r="H655" s="56"/>
      <c r="I655" s="272"/>
      <c r="J655" s="272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</row>
    <row r="656" spans="8:57" ht="15.75" customHeight="1">
      <c r="H656" s="27"/>
      <c r="I656" s="315"/>
      <c r="J656" s="315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</row>
    <row r="657" spans="8:57" ht="15.75" customHeight="1">
      <c r="H657" s="56"/>
      <c r="I657" s="272"/>
      <c r="J657" s="272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</row>
    <row r="658" spans="8:57" ht="15.75" customHeight="1">
      <c r="H658" s="27"/>
      <c r="I658" s="315"/>
      <c r="J658" s="315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</row>
    <row r="659" spans="8:57" ht="15.75" customHeight="1">
      <c r="H659" s="56"/>
      <c r="I659" s="272"/>
      <c r="J659" s="272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</row>
    <row r="660" spans="8:57" ht="15.75" customHeight="1">
      <c r="H660" s="27"/>
      <c r="I660" s="315"/>
      <c r="J660" s="315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</row>
    <row r="661" spans="8:57" ht="15.75" customHeight="1">
      <c r="H661" s="56"/>
      <c r="I661" s="272"/>
      <c r="J661" s="272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</row>
    <row r="662" spans="8:57" ht="15.75" customHeight="1">
      <c r="H662" s="27"/>
      <c r="I662" s="315"/>
      <c r="J662" s="315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</row>
    <row r="663" spans="8:57" ht="15.75" customHeight="1">
      <c r="H663" s="56"/>
      <c r="I663" s="272"/>
      <c r="J663" s="272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</row>
    <row r="664" spans="8:57" ht="15.75" customHeight="1">
      <c r="H664" s="27"/>
      <c r="I664" s="315"/>
      <c r="J664" s="315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</row>
    <row r="665" spans="8:57" ht="15.75" customHeight="1">
      <c r="H665" s="56"/>
      <c r="I665" s="272"/>
      <c r="J665" s="272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</row>
    <row r="666" spans="8:57" ht="15.75" customHeight="1">
      <c r="H666" s="27"/>
      <c r="I666" s="315"/>
      <c r="J666" s="315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</row>
    <row r="667" spans="8:57" ht="15.75" customHeight="1">
      <c r="H667" s="56"/>
      <c r="I667" s="272"/>
      <c r="J667" s="272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</row>
    <row r="668" spans="8:57" ht="15.75" customHeight="1">
      <c r="H668" s="27"/>
      <c r="I668" s="315"/>
      <c r="J668" s="315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</row>
    <row r="669" spans="8:57" ht="15.75" customHeight="1">
      <c r="H669" s="56"/>
      <c r="I669" s="272"/>
      <c r="J669" s="272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</row>
    <row r="670" spans="8:57" ht="15.75" customHeight="1">
      <c r="H670" s="27"/>
      <c r="I670" s="315"/>
      <c r="J670" s="315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</row>
    <row r="671" spans="8:57" ht="15.75" customHeight="1">
      <c r="H671" s="56"/>
      <c r="I671" s="272"/>
      <c r="J671" s="272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</row>
    <row r="672" spans="8:57" ht="15.75" customHeight="1">
      <c r="H672" s="27"/>
      <c r="I672" s="315"/>
      <c r="J672" s="315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</row>
    <row r="673" spans="8:57" ht="15.75" customHeight="1">
      <c r="H673" s="56"/>
      <c r="I673" s="272"/>
      <c r="J673" s="272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</row>
    <row r="674" spans="8:57" ht="15.75" customHeight="1">
      <c r="H674" s="27"/>
      <c r="I674" s="315"/>
      <c r="J674" s="315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</row>
    <row r="675" spans="8:57" ht="15.75" customHeight="1">
      <c r="H675" s="56"/>
      <c r="I675" s="272"/>
      <c r="J675" s="272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</row>
    <row r="676" spans="8:57" ht="15.75" customHeight="1">
      <c r="H676" s="27"/>
      <c r="I676" s="315"/>
      <c r="J676" s="315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</row>
    <row r="677" spans="8:57" ht="15.75" customHeight="1">
      <c r="H677" s="56"/>
      <c r="I677" s="272"/>
      <c r="J677" s="272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</row>
    <row r="678" spans="8:57" ht="15.75" customHeight="1">
      <c r="H678" s="27"/>
      <c r="I678" s="315"/>
      <c r="J678" s="315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</row>
    <row r="679" spans="8:57" ht="15.75" customHeight="1">
      <c r="H679" s="56"/>
      <c r="I679" s="272"/>
      <c r="J679" s="272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</row>
    <row r="680" spans="8:57" ht="15.75" customHeight="1">
      <c r="H680" s="27"/>
      <c r="I680" s="315"/>
      <c r="J680" s="315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</row>
    <row r="681" spans="8:57" ht="15.75" customHeight="1">
      <c r="H681" s="56"/>
      <c r="I681" s="272"/>
      <c r="J681" s="272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</row>
    <row r="682" spans="8:57" ht="15.75" customHeight="1">
      <c r="H682" s="27"/>
      <c r="I682" s="315"/>
      <c r="J682" s="315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</row>
    <row r="683" spans="8:57" ht="15.75" customHeight="1">
      <c r="H683" s="56"/>
      <c r="I683" s="272"/>
      <c r="J683" s="272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</row>
    <row r="684" spans="8:57" ht="15.75" customHeight="1">
      <c r="H684" s="27"/>
      <c r="I684" s="315"/>
      <c r="J684" s="315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</row>
    <row r="685" spans="8:57" ht="15.75" customHeight="1">
      <c r="H685" s="56"/>
      <c r="I685" s="272"/>
      <c r="J685" s="272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</row>
    <row r="686" spans="8:57" ht="15.75" customHeight="1">
      <c r="H686" s="27"/>
      <c r="I686" s="315"/>
      <c r="J686" s="315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</row>
    <row r="687" spans="8:57" ht="15.75" customHeight="1">
      <c r="H687" s="56"/>
      <c r="I687" s="272"/>
      <c r="J687" s="272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</row>
    <row r="688" spans="8:57" ht="15.75" customHeight="1">
      <c r="H688" s="27"/>
      <c r="I688" s="315"/>
      <c r="J688" s="315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</row>
    <row r="689" spans="8:57" ht="15.75" customHeight="1">
      <c r="H689" s="56"/>
      <c r="I689" s="272"/>
      <c r="J689" s="272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</row>
    <row r="690" spans="8:57" ht="15.75" customHeight="1">
      <c r="H690" s="27"/>
      <c r="I690" s="315"/>
      <c r="J690" s="315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</row>
    <row r="691" spans="8:57" ht="15.75" customHeight="1">
      <c r="H691" s="56"/>
      <c r="I691" s="272"/>
      <c r="J691" s="272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</row>
    <row r="692" spans="8:57" ht="15.75" customHeight="1">
      <c r="H692" s="27"/>
      <c r="I692" s="315"/>
      <c r="J692" s="315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</row>
    <row r="693" spans="8:57" ht="15.75" customHeight="1">
      <c r="H693" s="56"/>
      <c r="I693" s="272"/>
      <c r="J693" s="272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</row>
    <row r="694" spans="8:57" ht="15.75" customHeight="1">
      <c r="H694" s="27"/>
      <c r="I694" s="315"/>
      <c r="J694" s="315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</row>
    <row r="695" spans="8:57" ht="15.75" customHeight="1">
      <c r="H695" s="56"/>
      <c r="I695" s="272"/>
      <c r="J695" s="272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</row>
    <row r="696" spans="8:57" ht="15.75" customHeight="1">
      <c r="H696" s="27"/>
      <c r="I696" s="315"/>
      <c r="J696" s="315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</row>
    <row r="697" spans="8:57" ht="15.75" customHeight="1">
      <c r="H697" s="56"/>
      <c r="I697" s="272"/>
      <c r="J697" s="272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</row>
    <row r="698" spans="8:57" ht="15.75" customHeight="1">
      <c r="H698" s="27"/>
      <c r="I698" s="315"/>
      <c r="J698" s="315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</row>
    <row r="699" spans="8:57" ht="15.75" customHeight="1">
      <c r="H699" s="56"/>
      <c r="I699" s="272"/>
      <c r="J699" s="272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</row>
    <row r="700" spans="8:57" ht="15.75" customHeight="1">
      <c r="H700" s="27"/>
      <c r="I700" s="315"/>
      <c r="J700" s="315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</row>
    <row r="701" spans="8:57" ht="15.75" customHeight="1">
      <c r="H701" s="56"/>
      <c r="I701" s="272"/>
      <c r="J701" s="272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</row>
    <row r="702" spans="8:57" ht="15.75" customHeight="1">
      <c r="H702" s="27"/>
      <c r="I702" s="315"/>
      <c r="J702" s="315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</row>
    <row r="703" spans="8:57" ht="15.75" customHeight="1">
      <c r="H703" s="56"/>
      <c r="I703" s="272"/>
      <c r="J703" s="272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</row>
    <row r="704" spans="8:57" ht="15.75" customHeight="1">
      <c r="H704" s="27"/>
      <c r="I704" s="315"/>
      <c r="J704" s="315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</row>
    <row r="705" spans="8:57" ht="15.75" customHeight="1">
      <c r="H705" s="56"/>
      <c r="I705" s="272"/>
      <c r="J705" s="272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</row>
    <row r="706" spans="8:57" ht="15.75" customHeight="1">
      <c r="H706" s="27"/>
      <c r="I706" s="315"/>
      <c r="J706" s="315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</row>
    <row r="707" spans="8:57" ht="15.75" customHeight="1">
      <c r="H707" s="56"/>
      <c r="I707" s="272"/>
      <c r="J707" s="272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</row>
    <row r="708" spans="8:57" ht="15.75" customHeight="1">
      <c r="H708" s="27"/>
      <c r="I708" s="315"/>
      <c r="J708" s="315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</row>
    <row r="709" spans="8:57" ht="15.75" customHeight="1">
      <c r="H709" s="56"/>
      <c r="I709" s="272"/>
      <c r="J709" s="272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</row>
    <row r="710" spans="8:57" ht="15.75" customHeight="1">
      <c r="H710" s="27"/>
      <c r="I710" s="315"/>
      <c r="J710" s="315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</row>
    <row r="711" spans="8:57" ht="15.75" customHeight="1">
      <c r="H711" s="56"/>
      <c r="I711" s="272"/>
      <c r="J711" s="272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</row>
    <row r="712" spans="8:57" ht="15.75" customHeight="1">
      <c r="H712" s="27"/>
      <c r="I712" s="315"/>
      <c r="J712" s="315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</row>
    <row r="713" spans="8:57" ht="15.75" customHeight="1">
      <c r="H713" s="56"/>
      <c r="I713" s="272"/>
      <c r="J713" s="272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</row>
    <row r="714" spans="8:57" ht="15.75" customHeight="1">
      <c r="H714" s="27"/>
      <c r="I714" s="315"/>
      <c r="J714" s="315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</row>
    <row r="715" spans="8:57" ht="15.75" customHeight="1">
      <c r="H715" s="56"/>
      <c r="I715" s="272"/>
      <c r="J715" s="272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</row>
    <row r="716" spans="8:57" ht="15.75" customHeight="1">
      <c r="H716" s="27"/>
      <c r="I716" s="315"/>
      <c r="J716" s="315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</row>
    <row r="717" spans="8:57" ht="15.75" customHeight="1">
      <c r="H717" s="56"/>
      <c r="I717" s="272"/>
      <c r="J717" s="272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  <c r="BD717" s="56"/>
      <c r="BE717" s="56"/>
    </row>
    <row r="718" spans="8:57" ht="15.75" customHeight="1">
      <c r="H718" s="27"/>
      <c r="I718" s="315"/>
      <c r="J718" s="315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</row>
    <row r="719" spans="8:57" ht="15.75" customHeight="1">
      <c r="H719" s="56"/>
      <c r="I719" s="272"/>
      <c r="J719" s="272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</row>
    <row r="720" spans="8:57" ht="15.75" customHeight="1">
      <c r="H720" s="27"/>
      <c r="I720" s="315"/>
      <c r="J720" s="315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</row>
    <row r="721" spans="8:57" ht="15.75" customHeight="1">
      <c r="H721" s="56"/>
      <c r="I721" s="272"/>
      <c r="J721" s="272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</row>
    <row r="722" spans="8:57" ht="15.75" customHeight="1">
      <c r="H722" s="27"/>
      <c r="I722" s="315"/>
      <c r="J722" s="315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</row>
    <row r="723" spans="8:57" ht="15.75" customHeight="1">
      <c r="H723" s="56"/>
      <c r="I723" s="272"/>
      <c r="J723" s="272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</row>
    <row r="724" spans="8:57" ht="15.75" customHeight="1">
      <c r="H724" s="27"/>
      <c r="I724" s="315"/>
      <c r="J724" s="315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</row>
    <row r="725" spans="8:57" ht="15.75" customHeight="1">
      <c r="H725" s="56"/>
      <c r="I725" s="272"/>
      <c r="J725" s="272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</row>
    <row r="726" spans="8:57" ht="15.75" customHeight="1">
      <c r="H726" s="27"/>
      <c r="I726" s="315"/>
      <c r="J726" s="315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</row>
    <row r="727" spans="8:57" ht="15.75" customHeight="1">
      <c r="H727" s="56"/>
      <c r="I727" s="272"/>
      <c r="J727" s="272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</row>
    <row r="728" spans="8:57" ht="15.75" customHeight="1">
      <c r="H728" s="27"/>
      <c r="I728" s="315"/>
      <c r="J728" s="315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</row>
    <row r="729" spans="8:57" ht="15.75" customHeight="1">
      <c r="H729" s="56"/>
      <c r="I729" s="272"/>
      <c r="J729" s="272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</row>
    <row r="730" spans="8:57" ht="15.75" customHeight="1">
      <c r="H730" s="27"/>
      <c r="I730" s="315"/>
      <c r="J730" s="315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</row>
    <row r="731" spans="8:57" ht="15.75" customHeight="1">
      <c r="H731" s="56"/>
      <c r="I731" s="272"/>
      <c r="J731" s="272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</row>
    <row r="732" spans="8:57" ht="15.75" customHeight="1">
      <c r="H732" s="27"/>
      <c r="I732" s="315"/>
      <c r="J732" s="315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</row>
    <row r="733" spans="8:57" ht="15.75" customHeight="1">
      <c r="H733" s="56"/>
      <c r="I733" s="272"/>
      <c r="J733" s="272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</row>
    <row r="734" spans="8:57" ht="15.75" customHeight="1">
      <c r="H734" s="27"/>
      <c r="I734" s="315"/>
      <c r="J734" s="315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</row>
    <row r="735" spans="8:57" ht="15.75" customHeight="1">
      <c r="H735" s="56"/>
      <c r="I735" s="272"/>
      <c r="J735" s="272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</row>
    <row r="736" spans="8:57" ht="15.75" customHeight="1">
      <c r="H736" s="27"/>
      <c r="I736" s="315"/>
      <c r="J736" s="315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</row>
    <row r="737" spans="8:57" ht="15.75" customHeight="1">
      <c r="H737" s="56"/>
      <c r="I737" s="272"/>
      <c r="J737" s="272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</row>
    <row r="738" spans="8:57" ht="15.75" customHeight="1">
      <c r="H738" s="27"/>
      <c r="I738" s="315"/>
      <c r="J738" s="315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</row>
    <row r="739" spans="8:57" ht="15.75" customHeight="1">
      <c r="H739" s="56"/>
      <c r="I739" s="272"/>
      <c r="J739" s="272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</row>
    <row r="740" spans="8:57" ht="15.75" customHeight="1">
      <c r="H740" s="27"/>
      <c r="I740" s="315"/>
      <c r="J740" s="315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</row>
    <row r="741" spans="8:57" ht="15.75" customHeight="1">
      <c r="H741" s="56"/>
      <c r="I741" s="272"/>
      <c r="J741" s="272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</row>
    <row r="742" spans="8:57" ht="15.75" customHeight="1">
      <c r="H742" s="27"/>
      <c r="I742" s="315"/>
      <c r="J742" s="315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</row>
    <row r="743" spans="8:57" ht="15.75" customHeight="1">
      <c r="H743" s="56"/>
      <c r="I743" s="272"/>
      <c r="J743" s="272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  <c r="BD743" s="56"/>
      <c r="BE743" s="56"/>
    </row>
    <row r="744" spans="8:57" ht="15.75" customHeight="1">
      <c r="H744" s="27"/>
      <c r="I744" s="315"/>
      <c r="J744" s="315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</row>
    <row r="745" spans="8:57" ht="15.75" customHeight="1">
      <c r="H745" s="56"/>
      <c r="I745" s="272"/>
      <c r="J745" s="272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</row>
    <row r="746" spans="8:57" ht="15.75" customHeight="1">
      <c r="H746" s="27"/>
      <c r="I746" s="315"/>
      <c r="J746" s="315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</row>
    <row r="747" spans="8:57" ht="15.75" customHeight="1">
      <c r="H747" s="56"/>
      <c r="I747" s="272"/>
      <c r="J747" s="272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</row>
    <row r="748" spans="8:57" ht="15.75" customHeight="1">
      <c r="H748" s="27"/>
      <c r="I748" s="315"/>
      <c r="J748" s="315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</row>
    <row r="749" spans="8:57" ht="15.75" customHeight="1">
      <c r="H749" s="56"/>
      <c r="I749" s="272"/>
      <c r="J749" s="272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</row>
    <row r="750" spans="8:57" ht="15.75" customHeight="1">
      <c r="H750" s="27"/>
      <c r="I750" s="315"/>
      <c r="J750" s="315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</row>
    <row r="751" spans="8:57" ht="15.75" customHeight="1">
      <c r="H751" s="56"/>
      <c r="I751" s="272"/>
      <c r="J751" s="272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</row>
    <row r="752" spans="8:57" ht="15.75" customHeight="1">
      <c r="H752" s="27"/>
      <c r="I752" s="315"/>
      <c r="J752" s="315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</row>
    <row r="753" spans="8:57" ht="15.75" customHeight="1">
      <c r="H753" s="56"/>
      <c r="I753" s="272"/>
      <c r="J753" s="272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  <c r="BD753" s="56"/>
      <c r="BE753" s="56"/>
    </row>
    <row r="754" spans="8:57" ht="15.75" customHeight="1">
      <c r="H754" s="27"/>
      <c r="I754" s="315"/>
      <c r="J754" s="315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</row>
    <row r="755" spans="8:57" ht="15.75" customHeight="1">
      <c r="H755" s="56"/>
      <c r="I755" s="272"/>
      <c r="J755" s="272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  <c r="BD755" s="56"/>
      <c r="BE755" s="56"/>
    </row>
    <row r="756" spans="8:57" ht="15.75" customHeight="1">
      <c r="H756" s="27"/>
      <c r="I756" s="315"/>
      <c r="J756" s="315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</row>
    <row r="757" spans="8:57" ht="15.75" customHeight="1">
      <c r="H757" s="56"/>
      <c r="I757" s="272"/>
      <c r="J757" s="272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</row>
    <row r="758" spans="8:57" ht="15.75" customHeight="1">
      <c r="H758" s="27"/>
      <c r="I758" s="315"/>
      <c r="J758" s="315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</row>
    <row r="759" spans="8:57" ht="15.75" customHeight="1">
      <c r="H759" s="56"/>
      <c r="I759" s="272"/>
      <c r="J759" s="272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</row>
    <row r="760" spans="8:57" ht="15.75" customHeight="1">
      <c r="H760" s="27"/>
      <c r="I760" s="315"/>
      <c r="J760" s="315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</row>
    <row r="761" spans="8:57" ht="15.75" customHeight="1">
      <c r="H761" s="56"/>
      <c r="I761" s="272"/>
      <c r="J761" s="272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</row>
    <row r="762" spans="8:57" ht="15.75" customHeight="1">
      <c r="H762" s="27"/>
      <c r="I762" s="315"/>
      <c r="J762" s="315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</row>
    <row r="763" spans="8:57" ht="15.75" customHeight="1">
      <c r="H763" s="56"/>
      <c r="I763" s="272"/>
      <c r="J763" s="272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</row>
    <row r="764" spans="8:57" ht="15.75" customHeight="1">
      <c r="H764" s="27"/>
      <c r="I764" s="315"/>
      <c r="J764" s="315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</row>
    <row r="765" spans="8:57" ht="15.75" customHeight="1">
      <c r="H765" s="56"/>
      <c r="I765" s="272"/>
      <c r="J765" s="272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</row>
    <row r="766" spans="8:57" ht="15.75" customHeight="1">
      <c r="H766" s="27"/>
      <c r="I766" s="315"/>
      <c r="J766" s="315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</row>
    <row r="767" spans="8:57" ht="15.75" customHeight="1">
      <c r="H767" s="56"/>
      <c r="I767" s="272"/>
      <c r="J767" s="272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</row>
    <row r="768" spans="8:57" ht="15.75" customHeight="1">
      <c r="H768" s="27"/>
      <c r="I768" s="315"/>
      <c r="J768" s="315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</row>
    <row r="769" spans="8:57" ht="15.75" customHeight="1">
      <c r="H769" s="56"/>
      <c r="I769" s="272"/>
      <c r="J769" s="272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  <c r="BD769" s="56"/>
      <c r="BE769" s="56"/>
    </row>
    <row r="770" spans="8:57" ht="15.75" customHeight="1">
      <c r="H770" s="27"/>
      <c r="I770" s="315"/>
      <c r="J770" s="315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</row>
    <row r="771" spans="8:57" ht="15.75" customHeight="1">
      <c r="H771" s="56"/>
      <c r="I771" s="272"/>
      <c r="J771" s="272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</row>
    <row r="772" spans="8:57" ht="15.75" customHeight="1">
      <c r="H772" s="27"/>
      <c r="I772" s="315"/>
      <c r="J772" s="315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</row>
    <row r="773" spans="8:57" ht="15.75" customHeight="1">
      <c r="H773" s="56"/>
      <c r="I773" s="272"/>
      <c r="J773" s="272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</row>
    <row r="774" spans="8:57" ht="15.75" customHeight="1">
      <c r="H774" s="27"/>
      <c r="I774" s="315"/>
      <c r="J774" s="315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</row>
    <row r="775" spans="8:57" ht="15.75" customHeight="1">
      <c r="H775" s="56"/>
      <c r="I775" s="272"/>
      <c r="J775" s="272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</row>
    <row r="776" spans="8:57" ht="15.75" customHeight="1">
      <c r="H776" s="27"/>
      <c r="I776" s="315"/>
      <c r="J776" s="315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</row>
    <row r="777" spans="8:57" ht="15.75" customHeight="1">
      <c r="H777" s="56"/>
      <c r="I777" s="272"/>
      <c r="J777" s="272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</row>
    <row r="778" spans="8:57" ht="15.75" customHeight="1">
      <c r="H778" s="27"/>
      <c r="I778" s="315"/>
      <c r="J778" s="315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</row>
    <row r="779" spans="8:57" ht="15.75" customHeight="1">
      <c r="H779" s="56"/>
      <c r="I779" s="272"/>
      <c r="J779" s="272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</row>
    <row r="780" spans="8:57" ht="15.75" customHeight="1">
      <c r="H780" s="27"/>
      <c r="I780" s="315"/>
      <c r="J780" s="315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</row>
    <row r="781" spans="8:57" ht="15.75" customHeight="1">
      <c r="H781" s="56"/>
      <c r="I781" s="272"/>
      <c r="J781" s="272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  <c r="BD781" s="56"/>
      <c r="BE781" s="56"/>
    </row>
    <row r="782" spans="8:57" ht="15.75" customHeight="1">
      <c r="H782" s="27"/>
      <c r="I782" s="315"/>
      <c r="J782" s="315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</row>
    <row r="783" spans="8:57" ht="15.75" customHeight="1">
      <c r="H783" s="56"/>
      <c r="I783" s="272"/>
      <c r="J783" s="272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</row>
    <row r="784" spans="8:57" ht="15.75" customHeight="1">
      <c r="H784" s="27"/>
      <c r="I784" s="315"/>
      <c r="J784" s="315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</row>
    <row r="785" spans="8:57" ht="15.75" customHeight="1">
      <c r="H785" s="56"/>
      <c r="I785" s="272"/>
      <c r="J785" s="272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</row>
    <row r="786" spans="8:57" ht="15.75" customHeight="1">
      <c r="H786" s="27"/>
      <c r="I786" s="315"/>
      <c r="J786" s="315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</row>
    <row r="787" spans="8:57" ht="15.75" customHeight="1">
      <c r="H787" s="56"/>
      <c r="I787" s="272"/>
      <c r="J787" s="272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</row>
    <row r="788" spans="8:57" ht="15.75" customHeight="1">
      <c r="H788" s="27"/>
      <c r="I788" s="315"/>
      <c r="J788" s="315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</row>
    <row r="789" spans="8:57" ht="15.75" customHeight="1">
      <c r="H789" s="56"/>
      <c r="I789" s="272"/>
      <c r="J789" s="272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</row>
    <row r="790" spans="8:57" ht="15.75" customHeight="1">
      <c r="H790" s="27"/>
      <c r="I790" s="315"/>
      <c r="J790" s="315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</row>
    <row r="791" spans="8:57" ht="15.75" customHeight="1">
      <c r="H791" s="56"/>
      <c r="I791" s="272"/>
      <c r="J791" s="272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</row>
    <row r="792" spans="8:57" ht="15.75" customHeight="1">
      <c r="H792" s="27"/>
      <c r="I792" s="315"/>
      <c r="J792" s="315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</row>
    <row r="793" spans="8:57" ht="15.75" customHeight="1">
      <c r="H793" s="56"/>
      <c r="I793" s="272"/>
      <c r="J793" s="272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</row>
    <row r="794" spans="8:57" ht="15.75" customHeight="1">
      <c r="H794" s="27"/>
      <c r="I794" s="315"/>
      <c r="J794" s="315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</row>
    <row r="795" spans="8:57" ht="15.75" customHeight="1">
      <c r="H795" s="56"/>
      <c r="I795" s="272"/>
      <c r="J795" s="272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</row>
    <row r="796" spans="8:57" ht="15.75" customHeight="1">
      <c r="H796" s="27"/>
      <c r="I796" s="315"/>
      <c r="J796" s="315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</row>
    <row r="797" spans="8:57" ht="15.75" customHeight="1">
      <c r="H797" s="56"/>
      <c r="I797" s="272"/>
      <c r="J797" s="272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</row>
    <row r="798" spans="8:57" ht="15.75" customHeight="1">
      <c r="H798" s="27"/>
      <c r="I798" s="315"/>
      <c r="J798" s="315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</row>
    <row r="799" spans="8:57" ht="15.75" customHeight="1">
      <c r="H799" s="56"/>
      <c r="I799" s="272"/>
      <c r="J799" s="272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</row>
    <row r="800" spans="8:57" ht="15.75" customHeight="1">
      <c r="H800" s="27"/>
      <c r="I800" s="315"/>
      <c r="J800" s="315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</row>
    <row r="801" spans="8:57" ht="15.75" customHeight="1">
      <c r="H801" s="56"/>
      <c r="I801" s="272"/>
      <c r="J801" s="272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</row>
    <row r="802" spans="8:57" ht="15.75" customHeight="1">
      <c r="H802" s="27"/>
      <c r="I802" s="315"/>
      <c r="J802" s="315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</row>
    <row r="803" spans="8:57" ht="15.75" customHeight="1">
      <c r="H803" s="56"/>
      <c r="I803" s="272"/>
      <c r="J803" s="272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</row>
    <row r="804" spans="8:57" ht="15.75" customHeight="1">
      <c r="H804" s="27"/>
      <c r="I804" s="315"/>
      <c r="J804" s="315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</row>
    <row r="805" spans="8:57" ht="15.75" customHeight="1">
      <c r="H805" s="56"/>
      <c r="I805" s="272"/>
      <c r="J805" s="272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</row>
    <row r="806" spans="8:57" ht="15.75" customHeight="1">
      <c r="H806" s="27"/>
      <c r="I806" s="315"/>
      <c r="J806" s="315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</row>
    <row r="807" spans="8:57" ht="15.75" customHeight="1">
      <c r="H807" s="56"/>
      <c r="I807" s="272"/>
      <c r="J807" s="272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</row>
    <row r="808" spans="8:57" ht="15.75" customHeight="1">
      <c r="H808" s="27"/>
      <c r="I808" s="315"/>
      <c r="J808" s="315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</row>
    <row r="809" spans="8:57" ht="15.75" customHeight="1">
      <c r="H809" s="56"/>
      <c r="I809" s="272"/>
      <c r="J809" s="272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</row>
    <row r="810" spans="8:57" ht="15.75" customHeight="1">
      <c r="H810" s="27"/>
      <c r="I810" s="315"/>
      <c r="J810" s="315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</row>
    <row r="811" spans="8:57" ht="15.75" customHeight="1">
      <c r="H811" s="56"/>
      <c r="I811" s="272"/>
      <c r="J811" s="272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</row>
    <row r="812" spans="8:57" ht="15.75" customHeight="1">
      <c r="H812" s="27"/>
      <c r="I812" s="315"/>
      <c r="J812" s="315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</row>
    <row r="813" spans="8:57" ht="15.75" customHeight="1">
      <c r="H813" s="56"/>
      <c r="I813" s="272"/>
      <c r="J813" s="272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</row>
    <row r="814" spans="8:57" ht="15.75" customHeight="1">
      <c r="H814" s="27"/>
      <c r="I814" s="315"/>
      <c r="J814" s="315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</row>
    <row r="815" spans="8:57" ht="15.75" customHeight="1">
      <c r="H815" s="56"/>
      <c r="I815" s="272"/>
      <c r="J815" s="272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</row>
    <row r="816" spans="8:57" ht="15.75" customHeight="1">
      <c r="H816" s="27"/>
      <c r="I816" s="315"/>
      <c r="J816" s="315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</row>
    <row r="817" spans="8:57" ht="15.75" customHeight="1">
      <c r="H817" s="56"/>
      <c r="I817" s="272"/>
      <c r="J817" s="272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</row>
    <row r="818" spans="8:57" ht="15.75" customHeight="1">
      <c r="H818" s="27"/>
      <c r="I818" s="315"/>
      <c r="J818" s="315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</row>
    <row r="819" spans="8:57" ht="15.75" customHeight="1">
      <c r="H819" s="56"/>
      <c r="I819" s="272"/>
      <c r="J819" s="272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</row>
    <row r="820" spans="8:57" ht="15.75" customHeight="1">
      <c r="H820" s="27"/>
      <c r="I820" s="315"/>
      <c r="J820" s="315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</row>
    <row r="821" spans="8:57" ht="15.75" customHeight="1">
      <c r="H821" s="56"/>
      <c r="I821" s="272"/>
      <c r="J821" s="272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</row>
    <row r="822" spans="8:57" ht="15.75" customHeight="1">
      <c r="H822" s="27"/>
      <c r="I822" s="315"/>
      <c r="J822" s="315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</row>
    <row r="823" spans="8:57" ht="15.75" customHeight="1">
      <c r="H823" s="56"/>
      <c r="I823" s="272"/>
      <c r="J823" s="272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</row>
    <row r="824" spans="8:57" ht="15.75" customHeight="1">
      <c r="H824" s="27"/>
      <c r="I824" s="315"/>
      <c r="J824" s="315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</row>
    <row r="825" spans="8:57" ht="15.75" customHeight="1">
      <c r="H825" s="56"/>
      <c r="I825" s="272"/>
      <c r="J825" s="272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</row>
    <row r="826" spans="8:57" ht="15.75" customHeight="1">
      <c r="H826" s="27"/>
      <c r="I826" s="315"/>
      <c r="J826" s="315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</row>
    <row r="827" spans="8:57" ht="15.75" customHeight="1">
      <c r="H827" s="56"/>
      <c r="I827" s="272"/>
      <c r="J827" s="272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</row>
    <row r="828" spans="8:57" ht="15.75" customHeight="1">
      <c r="H828" s="27"/>
      <c r="I828" s="315"/>
      <c r="J828" s="315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</row>
    <row r="829" spans="8:57" ht="15.75" customHeight="1">
      <c r="H829" s="56"/>
      <c r="I829" s="272"/>
      <c r="J829" s="272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</row>
    <row r="830" spans="8:57" ht="15.75" customHeight="1">
      <c r="H830" s="27"/>
      <c r="I830" s="315"/>
      <c r="J830" s="315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</row>
    <row r="831" spans="8:57" ht="15.75" customHeight="1">
      <c r="H831" s="56"/>
      <c r="I831" s="272"/>
      <c r="J831" s="272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</row>
    <row r="832" spans="8:57" ht="15.75" customHeight="1">
      <c r="H832" s="27"/>
      <c r="I832" s="315"/>
      <c r="J832" s="315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</row>
    <row r="833" spans="8:57" ht="15.75" customHeight="1">
      <c r="H833" s="56"/>
      <c r="I833" s="272"/>
      <c r="J833" s="272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</row>
    <row r="834" spans="8:57" ht="15.75" customHeight="1">
      <c r="H834" s="27"/>
      <c r="I834" s="315"/>
      <c r="J834" s="315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</row>
    <row r="835" spans="8:57" ht="15.75" customHeight="1">
      <c r="H835" s="56"/>
      <c r="I835" s="272"/>
      <c r="J835" s="272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</row>
    <row r="836" spans="8:57" ht="15.75" customHeight="1">
      <c r="H836" s="27"/>
      <c r="I836" s="315"/>
      <c r="J836" s="315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</row>
    <row r="837" spans="8:57" ht="15.75" customHeight="1">
      <c r="H837" s="56"/>
      <c r="I837" s="272"/>
      <c r="J837" s="272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</row>
    <row r="838" spans="8:57" ht="15.75" customHeight="1">
      <c r="H838" s="27"/>
      <c r="I838" s="315"/>
      <c r="J838" s="315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</row>
    <row r="839" spans="8:57" ht="15.75" customHeight="1">
      <c r="H839" s="56"/>
      <c r="I839" s="272"/>
      <c r="J839" s="272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</row>
    <row r="840" spans="8:57" ht="15.75" customHeight="1">
      <c r="H840" s="27"/>
      <c r="I840" s="315"/>
      <c r="J840" s="315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</row>
    <row r="841" spans="8:57" ht="15.75" customHeight="1">
      <c r="H841" s="56"/>
      <c r="I841" s="272"/>
      <c r="J841" s="272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</row>
    <row r="842" spans="8:57" ht="15.75" customHeight="1">
      <c r="H842" s="27"/>
      <c r="I842" s="315"/>
      <c r="J842" s="315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</row>
    <row r="843" spans="8:57" ht="15.75" customHeight="1">
      <c r="H843" s="56"/>
      <c r="I843" s="272"/>
      <c r="J843" s="272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</row>
    <row r="844" spans="8:57" ht="15.75" customHeight="1">
      <c r="H844" s="27"/>
      <c r="I844" s="315"/>
      <c r="J844" s="315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</row>
    <row r="845" spans="8:57" ht="15.75" customHeight="1">
      <c r="H845" s="56"/>
      <c r="I845" s="272"/>
      <c r="J845" s="272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</row>
    <row r="846" spans="8:57" ht="15.75" customHeight="1">
      <c r="H846" s="27"/>
      <c r="I846" s="315"/>
      <c r="J846" s="315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</row>
    <row r="847" spans="8:57" ht="15.75" customHeight="1">
      <c r="H847" s="56"/>
      <c r="I847" s="272"/>
      <c r="J847" s="272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</row>
    <row r="848" spans="8:57" ht="15.75" customHeight="1">
      <c r="H848" s="27"/>
      <c r="I848" s="315"/>
      <c r="J848" s="315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</row>
    <row r="849" spans="8:57" ht="15.75" customHeight="1">
      <c r="H849" s="56"/>
      <c r="I849" s="272"/>
      <c r="J849" s="272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</row>
    <row r="850" spans="8:57" ht="15.75" customHeight="1">
      <c r="H850" s="27"/>
      <c r="I850" s="315"/>
      <c r="J850" s="315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</row>
    <row r="851" spans="8:57" ht="15.75" customHeight="1">
      <c r="H851" s="56"/>
      <c r="I851" s="272"/>
      <c r="J851" s="272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</row>
    <row r="852" spans="8:57" ht="15.75" customHeight="1">
      <c r="H852" s="27"/>
      <c r="I852" s="315"/>
      <c r="J852" s="315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</row>
    <row r="853" spans="8:57" ht="15.75" customHeight="1">
      <c r="H853" s="56"/>
      <c r="I853" s="272"/>
      <c r="J853" s="272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</row>
    <row r="854" spans="8:57" ht="15.75" customHeight="1">
      <c r="H854" s="27"/>
      <c r="I854" s="315"/>
      <c r="J854" s="315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</row>
    <row r="855" spans="8:57" ht="15.75" customHeight="1">
      <c r="H855" s="56"/>
      <c r="I855" s="272"/>
      <c r="J855" s="272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</row>
    <row r="856" spans="8:57" ht="15.75" customHeight="1">
      <c r="H856" s="27"/>
      <c r="I856" s="315"/>
      <c r="J856" s="315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</row>
    <row r="857" spans="8:57" ht="15.75" customHeight="1">
      <c r="H857" s="56"/>
      <c r="I857" s="272"/>
      <c r="J857" s="272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/>
    </row>
    <row r="858" spans="8:57" ht="15.75" customHeight="1">
      <c r="H858" s="27"/>
      <c r="I858" s="315"/>
      <c r="J858" s="315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</row>
    <row r="859" spans="8:57" ht="15.75" customHeight="1">
      <c r="H859" s="56"/>
      <c r="I859" s="272"/>
      <c r="J859" s="272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</row>
    <row r="860" spans="8:57" ht="15.75" customHeight="1">
      <c r="H860" s="27"/>
      <c r="I860" s="315"/>
      <c r="J860" s="315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</row>
    <row r="861" spans="8:57" ht="15.75" customHeight="1">
      <c r="H861" s="56"/>
      <c r="I861" s="272"/>
      <c r="J861" s="272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</row>
    <row r="862" spans="8:57" ht="15.75" customHeight="1">
      <c r="H862" s="27"/>
      <c r="I862" s="315"/>
      <c r="J862" s="315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</row>
    <row r="863" spans="8:57" ht="15.75" customHeight="1">
      <c r="H863" s="56"/>
      <c r="I863" s="272"/>
      <c r="J863" s="272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/>
      <c r="BE863" s="56"/>
    </row>
    <row r="864" spans="8:57" ht="15.75" customHeight="1">
      <c r="H864" s="27"/>
      <c r="I864" s="315"/>
      <c r="J864" s="315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</row>
    <row r="865" spans="8:57" ht="15.75" customHeight="1">
      <c r="H865" s="56"/>
      <c r="I865" s="272"/>
      <c r="J865" s="272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</row>
    <row r="866" spans="8:57" ht="15.75" customHeight="1">
      <c r="H866" s="27"/>
      <c r="I866" s="315"/>
      <c r="J866" s="315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</row>
    <row r="867" spans="8:57" ht="15.75" customHeight="1">
      <c r="H867" s="56"/>
      <c r="I867" s="272"/>
      <c r="J867" s="272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</row>
    <row r="868" spans="8:57" ht="15.75" customHeight="1">
      <c r="H868" s="27"/>
      <c r="I868" s="315"/>
      <c r="J868" s="315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</row>
    <row r="869" spans="8:57" ht="15.75" customHeight="1">
      <c r="H869" s="56"/>
      <c r="I869" s="272"/>
      <c r="J869" s="272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</row>
    <row r="870" spans="8:57" ht="15.75" customHeight="1">
      <c r="H870" s="27"/>
      <c r="I870" s="315"/>
      <c r="J870" s="315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</row>
    <row r="871" spans="8:57" ht="15.75" customHeight="1">
      <c r="H871" s="56"/>
      <c r="I871" s="272"/>
      <c r="J871" s="272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  <c r="BD871" s="56"/>
      <c r="BE871" s="56"/>
    </row>
    <row r="872" spans="8:57" ht="15.75" customHeight="1">
      <c r="H872" s="27"/>
      <c r="I872" s="315"/>
      <c r="J872" s="315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</row>
    <row r="873" spans="8:57" ht="15.75" customHeight="1">
      <c r="H873" s="56"/>
      <c r="I873" s="272"/>
      <c r="J873" s="272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  <c r="BD873" s="56"/>
      <c r="BE873" s="56"/>
    </row>
    <row r="874" spans="8:57" ht="15.75" customHeight="1">
      <c r="H874" s="27"/>
      <c r="I874" s="315"/>
      <c r="J874" s="315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</row>
    <row r="875" spans="8:57" ht="15.75" customHeight="1">
      <c r="H875" s="56"/>
      <c r="I875" s="272"/>
      <c r="J875" s="272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</row>
    <row r="876" spans="8:57" ht="15.75" customHeight="1">
      <c r="H876" s="27"/>
      <c r="I876" s="315"/>
      <c r="J876" s="315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</row>
    <row r="877" spans="8:57" ht="15.75" customHeight="1">
      <c r="H877" s="56"/>
      <c r="I877" s="272"/>
      <c r="J877" s="272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</row>
    <row r="878" spans="8:57" ht="15.75" customHeight="1">
      <c r="H878" s="27"/>
      <c r="I878" s="315"/>
      <c r="J878" s="315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</row>
    <row r="879" spans="8:57" ht="15.75" customHeight="1">
      <c r="H879" s="56"/>
      <c r="I879" s="272"/>
      <c r="J879" s="272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  <c r="BD879" s="56"/>
      <c r="BE879" s="56"/>
    </row>
    <row r="880" spans="8:57" ht="15.75" customHeight="1">
      <c r="H880" s="27"/>
      <c r="I880" s="315"/>
      <c r="J880" s="315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</row>
    <row r="881" spans="8:57" ht="15.75" customHeight="1">
      <c r="H881" s="56"/>
      <c r="I881" s="272"/>
      <c r="J881" s="272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  <c r="BD881" s="56"/>
      <c r="BE881" s="56"/>
    </row>
    <row r="882" spans="8:57" ht="15.75" customHeight="1">
      <c r="H882" s="27"/>
      <c r="I882" s="315"/>
      <c r="J882" s="315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</row>
    <row r="883" spans="8:57" ht="15.75" customHeight="1">
      <c r="H883" s="56"/>
      <c r="I883" s="272"/>
      <c r="J883" s="272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</row>
    <row r="884" spans="8:57" ht="15.75" customHeight="1">
      <c r="H884" s="27"/>
      <c r="I884" s="315"/>
      <c r="J884" s="315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</row>
    <row r="885" spans="8:57" ht="15.75" customHeight="1">
      <c r="H885" s="56"/>
      <c r="I885" s="272"/>
      <c r="J885" s="272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  <c r="BD885" s="56"/>
      <c r="BE885" s="56"/>
    </row>
    <row r="886" spans="8:57" ht="15.75" customHeight="1">
      <c r="H886" s="27"/>
      <c r="I886" s="315"/>
      <c r="J886" s="315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</row>
    <row r="887" spans="8:57" ht="15.75" customHeight="1">
      <c r="H887" s="56"/>
      <c r="I887" s="272"/>
      <c r="J887" s="272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  <c r="BD887" s="56"/>
      <c r="BE887" s="56"/>
    </row>
    <row r="888" spans="8:57" ht="15.75" customHeight="1">
      <c r="H888" s="27"/>
      <c r="I888" s="315"/>
      <c r="J888" s="315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</row>
    <row r="889" spans="8:57" ht="15.75" customHeight="1">
      <c r="H889" s="56"/>
      <c r="I889" s="272"/>
      <c r="J889" s="272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  <c r="BD889" s="56"/>
      <c r="BE889" s="56"/>
    </row>
    <row r="890" spans="8:57" ht="15.75" customHeight="1">
      <c r="H890" s="27"/>
      <c r="I890" s="315"/>
      <c r="J890" s="315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</row>
    <row r="891" spans="8:57" ht="15.75" customHeight="1">
      <c r="H891" s="56"/>
      <c r="I891" s="272"/>
      <c r="J891" s="272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</row>
    <row r="892" spans="8:57" ht="15.75" customHeight="1">
      <c r="H892" s="27"/>
      <c r="I892" s="315"/>
      <c r="J892" s="315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</row>
    <row r="893" spans="8:57" ht="15.75" customHeight="1">
      <c r="H893" s="56"/>
      <c r="I893" s="272"/>
      <c r="J893" s="272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  <c r="BD893" s="56"/>
      <c r="BE893" s="56"/>
    </row>
    <row r="894" spans="8:57" ht="15.75" customHeight="1">
      <c r="H894" s="27"/>
      <c r="I894" s="315"/>
      <c r="J894" s="315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</row>
    <row r="895" spans="8:57" ht="15.75" customHeight="1">
      <c r="H895" s="56"/>
      <c r="I895" s="272"/>
      <c r="J895" s="272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  <c r="BD895" s="56"/>
      <c r="BE895" s="56"/>
    </row>
    <row r="896" spans="8:57" ht="15.75" customHeight="1">
      <c r="H896" s="27"/>
      <c r="I896" s="315"/>
      <c r="J896" s="315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</row>
    <row r="897" spans="8:57" ht="15.75" customHeight="1">
      <c r="H897" s="56"/>
      <c r="I897" s="272"/>
      <c r="J897" s="272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</row>
    <row r="898" spans="8:57" ht="15.75" customHeight="1">
      <c r="H898" s="27"/>
      <c r="I898" s="315"/>
      <c r="J898" s="315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</row>
    <row r="899" spans="8:57" ht="15.75" customHeight="1">
      <c r="H899" s="56"/>
      <c r="I899" s="272"/>
      <c r="J899" s="272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  <c r="BD899" s="56"/>
      <c r="BE899" s="56"/>
    </row>
    <row r="900" spans="8:57" ht="15.75" customHeight="1">
      <c r="H900" s="27"/>
      <c r="I900" s="315"/>
      <c r="J900" s="315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</row>
    <row r="901" spans="8:57" ht="15.75" customHeight="1">
      <c r="H901" s="56"/>
      <c r="I901" s="272"/>
      <c r="J901" s="272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  <c r="BD901" s="56"/>
      <c r="BE901" s="56"/>
    </row>
    <row r="902" spans="8:57" ht="15.75" customHeight="1">
      <c r="H902" s="27"/>
      <c r="I902" s="315"/>
      <c r="J902" s="315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</row>
  </sheetData>
  <autoFilter ref="C1:AQ317" xr:uid="{00000000-0009-0000-0000-000003000000}"/>
  <hyperlinks>
    <hyperlink ref="G2" r:id="rId1" xr:uid="{00000000-0004-0000-0300-000000000000}"/>
    <hyperlink ref="I2" r:id="rId2" xr:uid="{00000000-0004-0000-0300-000001000000}"/>
    <hyperlink ref="J2" r:id="rId3" xr:uid="{00000000-0004-0000-0300-000002000000}"/>
    <hyperlink ref="T2" r:id="rId4" xr:uid="{00000000-0004-0000-0300-000003000000}"/>
    <hyperlink ref="G3" r:id="rId5" xr:uid="{00000000-0004-0000-0300-000004000000}"/>
    <hyperlink ref="I3" r:id="rId6" xr:uid="{00000000-0004-0000-0300-000005000000}"/>
    <hyperlink ref="J3" r:id="rId7" xr:uid="{00000000-0004-0000-0300-000006000000}"/>
    <hyperlink ref="T3" r:id="rId8" xr:uid="{00000000-0004-0000-0300-000007000000}"/>
    <hyperlink ref="G4" r:id="rId9" xr:uid="{00000000-0004-0000-0300-000008000000}"/>
    <hyperlink ref="I4" r:id="rId10" xr:uid="{00000000-0004-0000-0300-000009000000}"/>
    <hyperlink ref="J4" r:id="rId11" xr:uid="{00000000-0004-0000-0300-00000A000000}"/>
    <hyperlink ref="G5" r:id="rId12" xr:uid="{00000000-0004-0000-0300-00000B000000}"/>
    <hyperlink ref="I5" r:id="rId13" xr:uid="{00000000-0004-0000-0300-00000C000000}"/>
    <hyperlink ref="J5" r:id="rId14" xr:uid="{00000000-0004-0000-0300-00000D000000}"/>
    <hyperlink ref="G6" r:id="rId15" xr:uid="{00000000-0004-0000-0300-00000E000000}"/>
    <hyperlink ref="I6" r:id="rId16" xr:uid="{00000000-0004-0000-0300-00000F000000}"/>
    <hyperlink ref="J6" r:id="rId17" xr:uid="{00000000-0004-0000-0300-000010000000}"/>
    <hyperlink ref="G7" r:id="rId18" xr:uid="{00000000-0004-0000-0300-000011000000}"/>
    <hyperlink ref="I7" r:id="rId19" xr:uid="{00000000-0004-0000-0300-000012000000}"/>
    <hyperlink ref="J7" r:id="rId20" xr:uid="{00000000-0004-0000-0300-000013000000}"/>
    <hyperlink ref="G8" r:id="rId21" xr:uid="{00000000-0004-0000-0300-000014000000}"/>
    <hyperlink ref="I8" r:id="rId22" xr:uid="{00000000-0004-0000-0300-000015000000}"/>
    <hyperlink ref="J8" r:id="rId23" xr:uid="{00000000-0004-0000-0300-000016000000}"/>
    <hyperlink ref="G9" r:id="rId24" xr:uid="{00000000-0004-0000-0300-000017000000}"/>
    <hyperlink ref="I9" r:id="rId25" xr:uid="{00000000-0004-0000-0300-000018000000}"/>
    <hyperlink ref="J9" r:id="rId26" xr:uid="{00000000-0004-0000-0300-000019000000}"/>
    <hyperlink ref="G10" r:id="rId27" xr:uid="{00000000-0004-0000-0300-00001A000000}"/>
    <hyperlink ref="I10" r:id="rId28" xr:uid="{00000000-0004-0000-0300-00001B000000}"/>
    <hyperlink ref="J10" r:id="rId29" xr:uid="{00000000-0004-0000-0300-00001C000000}"/>
    <hyperlink ref="G11" r:id="rId30" xr:uid="{00000000-0004-0000-0300-00001D000000}"/>
    <hyperlink ref="I11" r:id="rId31" xr:uid="{00000000-0004-0000-0300-00001E000000}"/>
    <hyperlink ref="J11" r:id="rId32" xr:uid="{00000000-0004-0000-0300-00001F000000}"/>
    <hyperlink ref="G12" r:id="rId33" xr:uid="{00000000-0004-0000-0300-000020000000}"/>
    <hyperlink ref="I12" r:id="rId34" xr:uid="{00000000-0004-0000-0300-000021000000}"/>
    <hyperlink ref="J12" r:id="rId35" xr:uid="{00000000-0004-0000-0300-000022000000}"/>
    <hyperlink ref="G13" r:id="rId36" xr:uid="{00000000-0004-0000-0300-000023000000}"/>
    <hyperlink ref="I13" r:id="rId37" xr:uid="{00000000-0004-0000-0300-000024000000}"/>
    <hyperlink ref="J13" r:id="rId38" xr:uid="{00000000-0004-0000-0300-000025000000}"/>
    <hyperlink ref="G14" r:id="rId39" xr:uid="{00000000-0004-0000-0300-000026000000}"/>
    <hyperlink ref="I14" r:id="rId40" xr:uid="{00000000-0004-0000-0300-000027000000}"/>
    <hyperlink ref="J14" r:id="rId41" xr:uid="{00000000-0004-0000-0300-000028000000}"/>
    <hyperlink ref="G15" r:id="rId42" xr:uid="{00000000-0004-0000-0300-000029000000}"/>
    <hyperlink ref="I15" r:id="rId43" xr:uid="{00000000-0004-0000-0300-00002A000000}"/>
    <hyperlink ref="J15" r:id="rId44" xr:uid="{00000000-0004-0000-0300-00002B000000}"/>
    <hyperlink ref="G16" r:id="rId45" xr:uid="{00000000-0004-0000-0300-00002C000000}"/>
    <hyperlink ref="I16" r:id="rId46" xr:uid="{00000000-0004-0000-0300-00002D000000}"/>
    <hyperlink ref="J16" r:id="rId47" xr:uid="{00000000-0004-0000-0300-00002E000000}"/>
    <hyperlink ref="G17" r:id="rId48" xr:uid="{00000000-0004-0000-0300-00002F000000}"/>
    <hyperlink ref="I17" r:id="rId49" xr:uid="{00000000-0004-0000-0300-000030000000}"/>
    <hyperlink ref="J17" r:id="rId50" xr:uid="{00000000-0004-0000-0300-000031000000}"/>
    <hyperlink ref="G18" r:id="rId51" xr:uid="{00000000-0004-0000-0300-000032000000}"/>
    <hyperlink ref="I18" r:id="rId52" xr:uid="{00000000-0004-0000-0300-000033000000}"/>
    <hyperlink ref="J18" r:id="rId53" xr:uid="{00000000-0004-0000-0300-000034000000}"/>
    <hyperlink ref="G19" r:id="rId54" xr:uid="{00000000-0004-0000-0300-000035000000}"/>
    <hyperlink ref="I19" r:id="rId55" xr:uid="{00000000-0004-0000-0300-000036000000}"/>
    <hyperlink ref="J19" r:id="rId56" xr:uid="{00000000-0004-0000-0300-000037000000}"/>
    <hyperlink ref="G20" r:id="rId57" xr:uid="{00000000-0004-0000-0300-000038000000}"/>
    <hyperlink ref="I20" r:id="rId58" xr:uid="{00000000-0004-0000-0300-000039000000}"/>
    <hyperlink ref="J20" r:id="rId59" xr:uid="{00000000-0004-0000-0300-00003A000000}"/>
    <hyperlink ref="G21" r:id="rId60" xr:uid="{00000000-0004-0000-0300-00003B000000}"/>
    <hyperlink ref="I21" r:id="rId61" xr:uid="{00000000-0004-0000-0300-00003C000000}"/>
    <hyperlink ref="J21" r:id="rId62" xr:uid="{00000000-0004-0000-0300-00003D000000}"/>
    <hyperlink ref="G22" r:id="rId63" xr:uid="{00000000-0004-0000-0300-00003E000000}"/>
    <hyperlink ref="I22" r:id="rId64" xr:uid="{00000000-0004-0000-0300-00003F000000}"/>
    <hyperlink ref="J22" r:id="rId65" xr:uid="{00000000-0004-0000-0300-000040000000}"/>
    <hyperlink ref="G23" r:id="rId66" xr:uid="{00000000-0004-0000-0300-000041000000}"/>
    <hyperlink ref="I23" r:id="rId67" xr:uid="{00000000-0004-0000-0300-000042000000}"/>
    <hyperlink ref="J23" r:id="rId68" xr:uid="{00000000-0004-0000-0300-000043000000}"/>
    <hyperlink ref="G24" r:id="rId69" xr:uid="{00000000-0004-0000-0300-000044000000}"/>
    <hyperlink ref="I24" r:id="rId70" xr:uid="{00000000-0004-0000-0300-000045000000}"/>
    <hyperlink ref="J24" r:id="rId71" xr:uid="{00000000-0004-0000-0300-000046000000}"/>
    <hyperlink ref="G25" r:id="rId72" xr:uid="{00000000-0004-0000-0300-000047000000}"/>
    <hyperlink ref="I25" r:id="rId73" xr:uid="{00000000-0004-0000-0300-000048000000}"/>
    <hyperlink ref="J25" r:id="rId74" xr:uid="{00000000-0004-0000-0300-000049000000}"/>
    <hyperlink ref="G26" r:id="rId75" xr:uid="{00000000-0004-0000-0300-00004A000000}"/>
    <hyperlink ref="I26" r:id="rId76" xr:uid="{00000000-0004-0000-0300-00004B000000}"/>
    <hyperlink ref="J26" r:id="rId77" xr:uid="{00000000-0004-0000-0300-00004C000000}"/>
    <hyperlink ref="G27" r:id="rId78" xr:uid="{00000000-0004-0000-0300-00004D000000}"/>
    <hyperlink ref="I27" r:id="rId79" xr:uid="{00000000-0004-0000-0300-00004E000000}"/>
    <hyperlink ref="J27" r:id="rId80" xr:uid="{00000000-0004-0000-0300-00004F000000}"/>
    <hyperlink ref="G28" r:id="rId81" xr:uid="{00000000-0004-0000-0300-000050000000}"/>
    <hyperlink ref="I28" r:id="rId82" xr:uid="{00000000-0004-0000-0300-000051000000}"/>
    <hyperlink ref="J28" r:id="rId83" xr:uid="{00000000-0004-0000-0300-000052000000}"/>
    <hyperlink ref="G29" r:id="rId84" xr:uid="{00000000-0004-0000-0300-000053000000}"/>
    <hyperlink ref="I29" r:id="rId85" xr:uid="{00000000-0004-0000-0300-000054000000}"/>
    <hyperlink ref="J29" r:id="rId86" xr:uid="{00000000-0004-0000-0300-000055000000}"/>
    <hyperlink ref="G30" r:id="rId87" xr:uid="{00000000-0004-0000-0300-000056000000}"/>
    <hyperlink ref="I30" r:id="rId88" xr:uid="{00000000-0004-0000-0300-000057000000}"/>
    <hyperlink ref="J30" r:id="rId89" xr:uid="{00000000-0004-0000-0300-000058000000}"/>
    <hyperlink ref="G31" r:id="rId90" xr:uid="{00000000-0004-0000-0300-000059000000}"/>
    <hyperlink ref="I31" r:id="rId91" xr:uid="{00000000-0004-0000-0300-00005A000000}"/>
    <hyperlink ref="J31" r:id="rId92" xr:uid="{00000000-0004-0000-0300-00005B000000}"/>
    <hyperlink ref="G32" r:id="rId93" xr:uid="{00000000-0004-0000-0300-00005C000000}"/>
    <hyperlink ref="I32" r:id="rId94" xr:uid="{00000000-0004-0000-0300-00005D000000}"/>
    <hyperlink ref="J32" r:id="rId95" xr:uid="{00000000-0004-0000-0300-00005E000000}"/>
    <hyperlink ref="G33" r:id="rId96" xr:uid="{00000000-0004-0000-0300-00005F000000}"/>
    <hyperlink ref="I33" r:id="rId97" xr:uid="{00000000-0004-0000-0300-000060000000}"/>
    <hyperlink ref="J33" r:id="rId98" xr:uid="{00000000-0004-0000-0300-000061000000}"/>
    <hyperlink ref="G34" r:id="rId99" xr:uid="{00000000-0004-0000-0300-000062000000}"/>
    <hyperlink ref="I34" r:id="rId100" xr:uid="{00000000-0004-0000-0300-000063000000}"/>
    <hyperlink ref="J34" r:id="rId101" xr:uid="{00000000-0004-0000-0300-000064000000}"/>
    <hyperlink ref="G35" r:id="rId102" xr:uid="{00000000-0004-0000-0300-000065000000}"/>
    <hyperlink ref="I35" r:id="rId103" xr:uid="{00000000-0004-0000-0300-000066000000}"/>
    <hyperlink ref="J35" r:id="rId104" xr:uid="{00000000-0004-0000-0300-000067000000}"/>
    <hyperlink ref="G36" r:id="rId105" xr:uid="{00000000-0004-0000-0300-000068000000}"/>
    <hyperlink ref="I36" r:id="rId106" xr:uid="{00000000-0004-0000-0300-000069000000}"/>
    <hyperlink ref="J36" r:id="rId107" xr:uid="{00000000-0004-0000-0300-00006A000000}"/>
    <hyperlink ref="G37" r:id="rId108" xr:uid="{00000000-0004-0000-0300-00006B000000}"/>
    <hyperlink ref="I37" r:id="rId109" xr:uid="{00000000-0004-0000-0300-00006C000000}"/>
    <hyperlink ref="J37" r:id="rId110" xr:uid="{00000000-0004-0000-0300-00006D000000}"/>
    <hyperlink ref="G38" r:id="rId111" xr:uid="{00000000-0004-0000-0300-00006E000000}"/>
    <hyperlink ref="I38" r:id="rId112" xr:uid="{00000000-0004-0000-0300-00006F000000}"/>
    <hyperlink ref="J38" r:id="rId113" xr:uid="{00000000-0004-0000-0300-000070000000}"/>
    <hyperlink ref="G39" r:id="rId114" xr:uid="{00000000-0004-0000-0300-000071000000}"/>
    <hyperlink ref="I39" r:id="rId115" xr:uid="{00000000-0004-0000-0300-000072000000}"/>
    <hyperlink ref="J39" r:id="rId116" xr:uid="{00000000-0004-0000-0300-000073000000}"/>
    <hyperlink ref="G40" r:id="rId117" xr:uid="{00000000-0004-0000-0300-000074000000}"/>
    <hyperlink ref="I40" r:id="rId118" xr:uid="{00000000-0004-0000-0300-000075000000}"/>
    <hyperlink ref="J40" r:id="rId119" xr:uid="{00000000-0004-0000-0300-000076000000}"/>
    <hyperlink ref="G41" r:id="rId120" xr:uid="{00000000-0004-0000-0300-000077000000}"/>
    <hyperlink ref="I41" r:id="rId121" xr:uid="{00000000-0004-0000-0300-000078000000}"/>
    <hyperlink ref="J41" r:id="rId122" xr:uid="{00000000-0004-0000-0300-000079000000}"/>
    <hyperlink ref="G42" r:id="rId123" xr:uid="{00000000-0004-0000-0300-00007A000000}"/>
    <hyperlink ref="I42" r:id="rId124" xr:uid="{00000000-0004-0000-0300-00007B000000}"/>
    <hyperlink ref="J42" r:id="rId125" xr:uid="{00000000-0004-0000-0300-00007C000000}"/>
    <hyperlink ref="G43" r:id="rId126" xr:uid="{00000000-0004-0000-0300-00007D000000}"/>
    <hyperlink ref="I43" r:id="rId127" xr:uid="{00000000-0004-0000-0300-00007E000000}"/>
    <hyperlink ref="J43" r:id="rId128" xr:uid="{00000000-0004-0000-0300-00007F000000}"/>
    <hyperlink ref="G44" r:id="rId129" xr:uid="{00000000-0004-0000-0300-000080000000}"/>
    <hyperlink ref="I44" r:id="rId130" xr:uid="{00000000-0004-0000-0300-000081000000}"/>
    <hyperlink ref="J44" r:id="rId131" xr:uid="{00000000-0004-0000-0300-000082000000}"/>
    <hyperlink ref="G45" r:id="rId132" xr:uid="{00000000-0004-0000-0300-000083000000}"/>
    <hyperlink ref="I45" r:id="rId133" xr:uid="{00000000-0004-0000-0300-000084000000}"/>
    <hyperlink ref="J45" r:id="rId134" xr:uid="{00000000-0004-0000-0300-000085000000}"/>
    <hyperlink ref="G46" r:id="rId135" xr:uid="{00000000-0004-0000-0300-000086000000}"/>
    <hyperlink ref="I46" r:id="rId136" xr:uid="{00000000-0004-0000-0300-000087000000}"/>
    <hyperlink ref="J46" r:id="rId137" xr:uid="{00000000-0004-0000-0300-000088000000}"/>
    <hyperlink ref="T46" r:id="rId138" xr:uid="{00000000-0004-0000-0300-000089000000}"/>
    <hyperlink ref="G47" r:id="rId139" xr:uid="{00000000-0004-0000-0300-00008A000000}"/>
    <hyperlink ref="I47" r:id="rId140" xr:uid="{00000000-0004-0000-0300-00008B000000}"/>
    <hyperlink ref="J47" r:id="rId141" xr:uid="{00000000-0004-0000-0300-00008C000000}"/>
    <hyperlink ref="G48" r:id="rId142" location="entry32489" xr:uid="{00000000-0004-0000-0300-00008D000000}"/>
    <hyperlink ref="I48" r:id="rId143" xr:uid="{00000000-0004-0000-0300-00008E000000}"/>
    <hyperlink ref="J48" r:id="rId144" xr:uid="{00000000-0004-0000-0300-00008F000000}"/>
    <hyperlink ref="G49" r:id="rId145" xr:uid="{00000000-0004-0000-0300-000090000000}"/>
    <hyperlink ref="I49" r:id="rId146" xr:uid="{00000000-0004-0000-0300-000091000000}"/>
    <hyperlink ref="J49" r:id="rId147" xr:uid="{00000000-0004-0000-0300-000092000000}"/>
    <hyperlink ref="G50" r:id="rId148" xr:uid="{00000000-0004-0000-0300-000093000000}"/>
    <hyperlink ref="I50" r:id="rId149" xr:uid="{00000000-0004-0000-0300-000094000000}"/>
    <hyperlink ref="J50" r:id="rId150" xr:uid="{00000000-0004-0000-0300-000095000000}"/>
    <hyperlink ref="G51" r:id="rId151" xr:uid="{00000000-0004-0000-0300-000096000000}"/>
    <hyperlink ref="I51" r:id="rId152" xr:uid="{00000000-0004-0000-0300-000097000000}"/>
    <hyperlink ref="J51" r:id="rId153" xr:uid="{00000000-0004-0000-0300-000098000000}"/>
    <hyperlink ref="G52" r:id="rId154" xr:uid="{00000000-0004-0000-0300-000099000000}"/>
    <hyperlink ref="I52" r:id="rId155" xr:uid="{00000000-0004-0000-0300-00009A000000}"/>
    <hyperlink ref="J52" r:id="rId156" xr:uid="{00000000-0004-0000-0300-00009B000000}"/>
    <hyperlink ref="T52" r:id="rId157" xr:uid="{00000000-0004-0000-0300-00009C000000}"/>
    <hyperlink ref="G53" r:id="rId158" xr:uid="{00000000-0004-0000-0300-00009D000000}"/>
    <hyperlink ref="I53" r:id="rId159" xr:uid="{00000000-0004-0000-0300-00009E000000}"/>
    <hyperlink ref="J53" r:id="rId160" xr:uid="{00000000-0004-0000-0300-00009F000000}"/>
    <hyperlink ref="G54" r:id="rId161" xr:uid="{00000000-0004-0000-0300-0000A0000000}"/>
    <hyperlink ref="I54" r:id="rId162" xr:uid="{00000000-0004-0000-0300-0000A1000000}"/>
    <hyperlink ref="J54" r:id="rId163" xr:uid="{00000000-0004-0000-0300-0000A2000000}"/>
    <hyperlink ref="G55" r:id="rId164" xr:uid="{00000000-0004-0000-0300-0000A3000000}"/>
    <hyperlink ref="I55" r:id="rId165" xr:uid="{00000000-0004-0000-0300-0000A4000000}"/>
    <hyperlink ref="J55" r:id="rId166" xr:uid="{00000000-0004-0000-0300-0000A5000000}"/>
    <hyperlink ref="G56" r:id="rId167" xr:uid="{00000000-0004-0000-0300-0000A6000000}"/>
    <hyperlink ref="I56" r:id="rId168" xr:uid="{00000000-0004-0000-0300-0000A7000000}"/>
    <hyperlink ref="J56" r:id="rId169" xr:uid="{00000000-0004-0000-0300-0000A8000000}"/>
    <hyperlink ref="G57" r:id="rId170" xr:uid="{00000000-0004-0000-0300-0000A9000000}"/>
    <hyperlink ref="I57" r:id="rId171" xr:uid="{00000000-0004-0000-0300-0000AA000000}"/>
    <hyperlink ref="J57" r:id="rId172" xr:uid="{00000000-0004-0000-0300-0000AB000000}"/>
    <hyperlink ref="G58" r:id="rId173" xr:uid="{00000000-0004-0000-0300-0000AC000000}"/>
    <hyperlink ref="I58" r:id="rId174" xr:uid="{00000000-0004-0000-0300-0000AD000000}"/>
    <hyperlink ref="J58" r:id="rId175" xr:uid="{00000000-0004-0000-0300-0000AE000000}"/>
    <hyperlink ref="T58" r:id="rId176" xr:uid="{00000000-0004-0000-0300-0000AF000000}"/>
    <hyperlink ref="G59" r:id="rId177" xr:uid="{00000000-0004-0000-0300-0000B0000000}"/>
    <hyperlink ref="I59" r:id="rId178" xr:uid="{00000000-0004-0000-0300-0000B1000000}"/>
    <hyperlink ref="J59" r:id="rId179" xr:uid="{00000000-0004-0000-0300-0000B2000000}"/>
    <hyperlink ref="G60" r:id="rId180" xr:uid="{00000000-0004-0000-0300-0000B3000000}"/>
    <hyperlink ref="I60" r:id="rId181" xr:uid="{00000000-0004-0000-0300-0000B4000000}"/>
    <hyperlink ref="J60" r:id="rId182" xr:uid="{00000000-0004-0000-0300-0000B5000000}"/>
    <hyperlink ref="G61" r:id="rId183" xr:uid="{00000000-0004-0000-0300-0000B6000000}"/>
    <hyperlink ref="I61" r:id="rId184" xr:uid="{00000000-0004-0000-0300-0000B7000000}"/>
    <hyperlink ref="J61" r:id="rId185" xr:uid="{00000000-0004-0000-0300-0000B8000000}"/>
    <hyperlink ref="G62" r:id="rId186" xr:uid="{00000000-0004-0000-0300-0000B9000000}"/>
    <hyperlink ref="I62" r:id="rId187" xr:uid="{00000000-0004-0000-0300-0000BA000000}"/>
    <hyperlink ref="J62" r:id="rId188" xr:uid="{00000000-0004-0000-0300-0000BB000000}"/>
    <hyperlink ref="G63" r:id="rId189" xr:uid="{00000000-0004-0000-0300-0000BC000000}"/>
    <hyperlink ref="I63" r:id="rId190" xr:uid="{00000000-0004-0000-0300-0000BD000000}"/>
    <hyperlink ref="J63" r:id="rId191" xr:uid="{00000000-0004-0000-0300-0000BE000000}"/>
    <hyperlink ref="G64" r:id="rId192" xr:uid="{00000000-0004-0000-0300-0000BF000000}"/>
    <hyperlink ref="I64" r:id="rId193" xr:uid="{00000000-0004-0000-0300-0000C0000000}"/>
    <hyperlink ref="J64" r:id="rId194" xr:uid="{00000000-0004-0000-0300-0000C1000000}"/>
    <hyperlink ref="G65" r:id="rId195" xr:uid="{00000000-0004-0000-0300-0000C2000000}"/>
    <hyperlink ref="I65" r:id="rId196" xr:uid="{00000000-0004-0000-0300-0000C3000000}"/>
    <hyperlink ref="J65" r:id="rId197" xr:uid="{00000000-0004-0000-0300-0000C4000000}"/>
    <hyperlink ref="G66" r:id="rId198" xr:uid="{00000000-0004-0000-0300-0000C5000000}"/>
    <hyperlink ref="I66" r:id="rId199" xr:uid="{00000000-0004-0000-0300-0000C6000000}"/>
    <hyperlink ref="J66" r:id="rId200" xr:uid="{00000000-0004-0000-0300-0000C7000000}"/>
    <hyperlink ref="G67" r:id="rId201" xr:uid="{00000000-0004-0000-0300-0000C8000000}"/>
    <hyperlink ref="I67" r:id="rId202" xr:uid="{00000000-0004-0000-0300-0000C9000000}"/>
    <hyperlink ref="J67" r:id="rId203" xr:uid="{00000000-0004-0000-0300-0000CA000000}"/>
    <hyperlink ref="G68" r:id="rId204" xr:uid="{00000000-0004-0000-0300-0000CB000000}"/>
    <hyperlink ref="I68" r:id="rId205" xr:uid="{00000000-0004-0000-0300-0000CC000000}"/>
    <hyperlink ref="J68" r:id="rId206" xr:uid="{00000000-0004-0000-0300-0000CD000000}"/>
    <hyperlink ref="G69" r:id="rId207" xr:uid="{00000000-0004-0000-0300-0000CE000000}"/>
    <hyperlink ref="I69" r:id="rId208" xr:uid="{00000000-0004-0000-0300-0000CF000000}"/>
    <hyperlink ref="J69" r:id="rId209" xr:uid="{00000000-0004-0000-0300-0000D0000000}"/>
    <hyperlink ref="G70" r:id="rId210" xr:uid="{00000000-0004-0000-0300-0000D1000000}"/>
    <hyperlink ref="I70" r:id="rId211" xr:uid="{00000000-0004-0000-0300-0000D2000000}"/>
    <hyperlink ref="G71" r:id="rId212" xr:uid="{00000000-0004-0000-0300-0000D3000000}"/>
    <hyperlink ref="I71" r:id="rId213" xr:uid="{00000000-0004-0000-0300-0000D4000000}"/>
    <hyperlink ref="J71" r:id="rId214" xr:uid="{00000000-0004-0000-0300-0000D5000000}"/>
    <hyperlink ref="G72" r:id="rId215" xr:uid="{00000000-0004-0000-0300-0000D6000000}"/>
    <hyperlink ref="I72" r:id="rId216" xr:uid="{00000000-0004-0000-0300-0000D7000000}"/>
    <hyperlink ref="J72" r:id="rId217" xr:uid="{00000000-0004-0000-0300-0000D8000000}"/>
    <hyperlink ref="G73" r:id="rId218" xr:uid="{00000000-0004-0000-0300-0000D9000000}"/>
    <hyperlink ref="I73" r:id="rId219" xr:uid="{00000000-0004-0000-0300-0000DA000000}"/>
    <hyperlink ref="J73" r:id="rId220" xr:uid="{00000000-0004-0000-0300-0000DB000000}"/>
    <hyperlink ref="G74" r:id="rId221" xr:uid="{00000000-0004-0000-0300-0000DC000000}"/>
    <hyperlink ref="I74" r:id="rId222" xr:uid="{00000000-0004-0000-0300-0000DD000000}"/>
    <hyperlink ref="J74" r:id="rId223" xr:uid="{00000000-0004-0000-0300-0000DE000000}"/>
    <hyperlink ref="G75" r:id="rId224" xr:uid="{00000000-0004-0000-0300-0000DF000000}"/>
    <hyperlink ref="I75" r:id="rId225" xr:uid="{00000000-0004-0000-0300-0000E0000000}"/>
    <hyperlink ref="J75" r:id="rId226" xr:uid="{00000000-0004-0000-0300-0000E1000000}"/>
    <hyperlink ref="G76" r:id="rId227" xr:uid="{00000000-0004-0000-0300-0000E2000000}"/>
    <hyperlink ref="I76" r:id="rId228" xr:uid="{00000000-0004-0000-0300-0000E3000000}"/>
    <hyperlink ref="J76" r:id="rId229" xr:uid="{00000000-0004-0000-0300-0000E4000000}"/>
    <hyperlink ref="T76" r:id="rId230" xr:uid="{00000000-0004-0000-0300-0000E5000000}"/>
    <hyperlink ref="G77" r:id="rId231" xr:uid="{00000000-0004-0000-0300-0000E6000000}"/>
    <hyperlink ref="I77" r:id="rId232" xr:uid="{00000000-0004-0000-0300-0000E7000000}"/>
    <hyperlink ref="J77" r:id="rId233" xr:uid="{00000000-0004-0000-0300-0000E8000000}"/>
    <hyperlink ref="G78" r:id="rId234" xr:uid="{00000000-0004-0000-0300-0000E9000000}"/>
    <hyperlink ref="I78" r:id="rId235" xr:uid="{00000000-0004-0000-0300-0000EA000000}"/>
    <hyperlink ref="J78" r:id="rId236" xr:uid="{00000000-0004-0000-0300-0000EB000000}"/>
    <hyperlink ref="G79" r:id="rId237" xr:uid="{00000000-0004-0000-0300-0000EC000000}"/>
    <hyperlink ref="I79" r:id="rId238" xr:uid="{00000000-0004-0000-0300-0000ED000000}"/>
    <hyperlink ref="J79" r:id="rId239" xr:uid="{00000000-0004-0000-0300-0000EE000000}"/>
    <hyperlink ref="G80" r:id="rId240" xr:uid="{00000000-0004-0000-0300-0000EF000000}"/>
    <hyperlink ref="I80" r:id="rId241" xr:uid="{00000000-0004-0000-0300-0000F0000000}"/>
    <hyperlink ref="J80" r:id="rId242" xr:uid="{00000000-0004-0000-0300-0000F1000000}"/>
    <hyperlink ref="G81" r:id="rId243" xr:uid="{00000000-0004-0000-0300-0000F2000000}"/>
    <hyperlink ref="I81" r:id="rId244" xr:uid="{00000000-0004-0000-0300-0000F3000000}"/>
    <hyperlink ref="J81" r:id="rId245" xr:uid="{00000000-0004-0000-0300-0000F4000000}"/>
    <hyperlink ref="G82" r:id="rId246" xr:uid="{00000000-0004-0000-0300-0000F5000000}"/>
    <hyperlink ref="I82" r:id="rId247" xr:uid="{00000000-0004-0000-0300-0000F6000000}"/>
    <hyperlink ref="J82" r:id="rId248" xr:uid="{00000000-0004-0000-0300-0000F7000000}"/>
    <hyperlink ref="I83" r:id="rId249" xr:uid="{00000000-0004-0000-0300-0000F8000000}"/>
    <hyperlink ref="J83" r:id="rId250" xr:uid="{00000000-0004-0000-0300-0000F9000000}"/>
    <hyperlink ref="T83" r:id="rId251" xr:uid="{00000000-0004-0000-0300-0000FA000000}"/>
    <hyperlink ref="G84" r:id="rId252" xr:uid="{00000000-0004-0000-0300-0000FB000000}"/>
    <hyperlink ref="I84" r:id="rId253" xr:uid="{00000000-0004-0000-0300-0000FC000000}"/>
    <hyperlink ref="J84" r:id="rId254" xr:uid="{00000000-0004-0000-0300-0000FD000000}"/>
    <hyperlink ref="G85" r:id="rId255" xr:uid="{00000000-0004-0000-0300-0000FE000000}"/>
    <hyperlink ref="I85" r:id="rId256" xr:uid="{00000000-0004-0000-0300-0000FF000000}"/>
    <hyperlink ref="J85" r:id="rId257" xr:uid="{00000000-0004-0000-0300-000000010000}"/>
    <hyperlink ref="G86" r:id="rId258" xr:uid="{00000000-0004-0000-0300-000001010000}"/>
    <hyperlink ref="I86" r:id="rId259" xr:uid="{00000000-0004-0000-0300-000002010000}"/>
    <hyperlink ref="J86" r:id="rId260" xr:uid="{00000000-0004-0000-0300-000003010000}"/>
    <hyperlink ref="G87" r:id="rId261" xr:uid="{00000000-0004-0000-0300-000004010000}"/>
    <hyperlink ref="I87" r:id="rId262" xr:uid="{00000000-0004-0000-0300-000005010000}"/>
    <hyperlink ref="J87" r:id="rId263" xr:uid="{00000000-0004-0000-0300-000006010000}"/>
    <hyperlink ref="G88" r:id="rId264" xr:uid="{00000000-0004-0000-0300-000007010000}"/>
    <hyperlink ref="I88" r:id="rId265" xr:uid="{00000000-0004-0000-0300-000008010000}"/>
    <hyperlink ref="J88" r:id="rId266" xr:uid="{00000000-0004-0000-0300-000009010000}"/>
    <hyperlink ref="T88" r:id="rId267" xr:uid="{00000000-0004-0000-0300-00000A010000}"/>
    <hyperlink ref="I89" r:id="rId268" xr:uid="{00000000-0004-0000-0300-00000B010000}"/>
    <hyperlink ref="J89" r:id="rId269" xr:uid="{00000000-0004-0000-0300-00000C010000}"/>
    <hyperlink ref="G90" r:id="rId270" xr:uid="{00000000-0004-0000-0300-00000D010000}"/>
    <hyperlink ref="I90" r:id="rId271" xr:uid="{00000000-0004-0000-0300-00000E010000}"/>
    <hyperlink ref="J90" r:id="rId272" xr:uid="{00000000-0004-0000-0300-00000F010000}"/>
    <hyperlink ref="G91" r:id="rId273" xr:uid="{00000000-0004-0000-0300-000010010000}"/>
    <hyperlink ref="I91" r:id="rId274" xr:uid="{00000000-0004-0000-0300-000011010000}"/>
    <hyperlink ref="J91" r:id="rId275" xr:uid="{00000000-0004-0000-0300-000012010000}"/>
    <hyperlink ref="G92" r:id="rId276" xr:uid="{00000000-0004-0000-0300-000013010000}"/>
    <hyperlink ref="I92" r:id="rId277" xr:uid="{00000000-0004-0000-0300-000014010000}"/>
    <hyperlink ref="J92" r:id="rId278" xr:uid="{00000000-0004-0000-0300-000015010000}"/>
    <hyperlink ref="G93" r:id="rId279" xr:uid="{00000000-0004-0000-0300-000016010000}"/>
    <hyperlink ref="I93" r:id="rId280" xr:uid="{00000000-0004-0000-0300-000017010000}"/>
    <hyperlink ref="J93" r:id="rId281" xr:uid="{00000000-0004-0000-0300-000018010000}"/>
    <hyperlink ref="G94" r:id="rId282" xr:uid="{00000000-0004-0000-0300-000019010000}"/>
    <hyperlink ref="I94" r:id="rId283" xr:uid="{00000000-0004-0000-0300-00001A010000}"/>
    <hyperlink ref="J94" r:id="rId284" xr:uid="{00000000-0004-0000-0300-00001B010000}"/>
    <hyperlink ref="I95" r:id="rId285" xr:uid="{00000000-0004-0000-0300-00001C010000}"/>
    <hyperlink ref="J95" r:id="rId286" xr:uid="{00000000-0004-0000-0300-00001D010000}"/>
    <hyperlink ref="I96" r:id="rId287" xr:uid="{00000000-0004-0000-0300-00001E010000}"/>
    <hyperlink ref="J96" r:id="rId288" xr:uid="{00000000-0004-0000-0300-00001F010000}"/>
    <hyperlink ref="G97" r:id="rId289" xr:uid="{00000000-0004-0000-0300-000020010000}"/>
    <hyperlink ref="I97" r:id="rId290" xr:uid="{00000000-0004-0000-0300-000021010000}"/>
    <hyperlink ref="J97" r:id="rId291" xr:uid="{00000000-0004-0000-0300-000022010000}"/>
    <hyperlink ref="G98" r:id="rId292" xr:uid="{00000000-0004-0000-0300-000023010000}"/>
    <hyperlink ref="I98" r:id="rId293" xr:uid="{00000000-0004-0000-0300-000024010000}"/>
    <hyperlink ref="J98" r:id="rId294" xr:uid="{00000000-0004-0000-0300-000025010000}"/>
    <hyperlink ref="I99" r:id="rId295" xr:uid="{00000000-0004-0000-0300-000026010000}"/>
    <hyperlink ref="J99" r:id="rId296" xr:uid="{00000000-0004-0000-0300-000027010000}"/>
    <hyperlink ref="I100" r:id="rId297" xr:uid="{00000000-0004-0000-0300-000028010000}"/>
    <hyperlink ref="J100" r:id="rId298" xr:uid="{00000000-0004-0000-0300-000029010000}"/>
    <hyperlink ref="T100" r:id="rId299" xr:uid="{00000000-0004-0000-0300-00002A010000}"/>
    <hyperlink ref="G101" r:id="rId300" xr:uid="{00000000-0004-0000-0300-00002B010000}"/>
    <hyperlink ref="I101" r:id="rId301" xr:uid="{00000000-0004-0000-0300-00002C010000}"/>
    <hyperlink ref="J101" r:id="rId302" xr:uid="{00000000-0004-0000-0300-00002D010000}"/>
    <hyperlink ref="I102" r:id="rId303" xr:uid="{00000000-0004-0000-0300-00002E010000}"/>
    <hyperlink ref="J102" r:id="rId304" xr:uid="{00000000-0004-0000-0300-00002F010000}"/>
    <hyperlink ref="T102" r:id="rId305" xr:uid="{00000000-0004-0000-0300-000030010000}"/>
    <hyperlink ref="I103" r:id="rId306" xr:uid="{00000000-0004-0000-0300-000031010000}"/>
    <hyperlink ref="J103" r:id="rId307" xr:uid="{00000000-0004-0000-0300-000032010000}"/>
    <hyperlink ref="G104" r:id="rId308" xr:uid="{00000000-0004-0000-0300-000033010000}"/>
    <hyperlink ref="I104" r:id="rId309" xr:uid="{00000000-0004-0000-0300-000034010000}"/>
    <hyperlink ref="J104" r:id="rId310" xr:uid="{00000000-0004-0000-0300-000035010000}"/>
    <hyperlink ref="I105" r:id="rId311" xr:uid="{00000000-0004-0000-0300-000036010000}"/>
    <hyperlink ref="J105" r:id="rId312" xr:uid="{00000000-0004-0000-0300-000037010000}"/>
    <hyperlink ref="T105" r:id="rId313" xr:uid="{00000000-0004-0000-0300-000038010000}"/>
    <hyperlink ref="G106" r:id="rId314" xr:uid="{00000000-0004-0000-0300-000039010000}"/>
    <hyperlink ref="I106" r:id="rId315" xr:uid="{00000000-0004-0000-0300-00003A010000}"/>
    <hyperlink ref="J106" r:id="rId316" xr:uid="{00000000-0004-0000-0300-00003B010000}"/>
    <hyperlink ref="I107" r:id="rId317" xr:uid="{00000000-0004-0000-0300-00003C010000}"/>
    <hyperlink ref="J107" r:id="rId318" xr:uid="{00000000-0004-0000-0300-00003D010000}"/>
    <hyperlink ref="I108" r:id="rId319" xr:uid="{00000000-0004-0000-0300-00003E010000}"/>
    <hyperlink ref="J108" r:id="rId320" xr:uid="{00000000-0004-0000-0300-00003F010000}"/>
    <hyperlink ref="I109" r:id="rId321" xr:uid="{00000000-0004-0000-0300-000040010000}"/>
    <hyperlink ref="J109" r:id="rId322" xr:uid="{00000000-0004-0000-0300-000041010000}"/>
    <hyperlink ref="I110" r:id="rId323" xr:uid="{00000000-0004-0000-0300-000042010000}"/>
    <hyperlink ref="J110" r:id="rId324" xr:uid="{00000000-0004-0000-0300-000043010000}"/>
    <hyperlink ref="G111" r:id="rId325" xr:uid="{00000000-0004-0000-0300-000044010000}"/>
    <hyperlink ref="I111" r:id="rId326" xr:uid="{00000000-0004-0000-0300-000045010000}"/>
    <hyperlink ref="J111" r:id="rId327" xr:uid="{00000000-0004-0000-0300-000046010000}"/>
    <hyperlink ref="G112" r:id="rId328" xr:uid="{00000000-0004-0000-0300-000047010000}"/>
    <hyperlink ref="I112" r:id="rId329" xr:uid="{00000000-0004-0000-0300-000048010000}"/>
    <hyperlink ref="J112" r:id="rId330" xr:uid="{00000000-0004-0000-0300-000049010000}"/>
    <hyperlink ref="G113" r:id="rId331" xr:uid="{00000000-0004-0000-0300-00004A010000}"/>
    <hyperlink ref="I113" r:id="rId332" xr:uid="{00000000-0004-0000-0300-00004B010000}"/>
    <hyperlink ref="J113" r:id="rId333" xr:uid="{00000000-0004-0000-0300-00004C010000}"/>
    <hyperlink ref="G114" r:id="rId334" xr:uid="{00000000-0004-0000-0300-00004D010000}"/>
    <hyperlink ref="I114" r:id="rId335" xr:uid="{00000000-0004-0000-0300-00004E010000}"/>
    <hyperlink ref="J114" r:id="rId336" xr:uid="{00000000-0004-0000-0300-00004F010000}"/>
    <hyperlink ref="I115" r:id="rId337" xr:uid="{00000000-0004-0000-0300-000050010000}"/>
    <hyperlink ref="J115" r:id="rId338" xr:uid="{00000000-0004-0000-0300-000051010000}"/>
    <hyperlink ref="I116" r:id="rId339" xr:uid="{00000000-0004-0000-0300-000052010000}"/>
    <hyperlink ref="J116" r:id="rId340" xr:uid="{00000000-0004-0000-0300-000053010000}"/>
    <hyperlink ref="G117" r:id="rId341" xr:uid="{00000000-0004-0000-0300-000054010000}"/>
    <hyperlink ref="I117" r:id="rId342" xr:uid="{00000000-0004-0000-0300-000055010000}"/>
    <hyperlink ref="G118" r:id="rId343" xr:uid="{00000000-0004-0000-0300-000056010000}"/>
    <hyperlink ref="I118" r:id="rId344" xr:uid="{00000000-0004-0000-0300-000057010000}"/>
    <hyperlink ref="J118" r:id="rId345" xr:uid="{00000000-0004-0000-0300-000058010000}"/>
    <hyperlink ref="G119" r:id="rId346" xr:uid="{00000000-0004-0000-0300-000059010000}"/>
    <hyperlink ref="I119" r:id="rId347" xr:uid="{00000000-0004-0000-0300-00005A010000}"/>
    <hyperlink ref="J119" r:id="rId348" xr:uid="{00000000-0004-0000-0300-00005B010000}"/>
    <hyperlink ref="G120" r:id="rId349" xr:uid="{00000000-0004-0000-0300-00005C010000}"/>
    <hyperlink ref="I120" r:id="rId350" xr:uid="{00000000-0004-0000-0300-00005D010000}"/>
    <hyperlink ref="J120" r:id="rId351" xr:uid="{00000000-0004-0000-0300-00005E010000}"/>
    <hyperlink ref="G121" r:id="rId352" xr:uid="{00000000-0004-0000-0300-00005F010000}"/>
    <hyperlink ref="I121" r:id="rId353" xr:uid="{00000000-0004-0000-0300-000060010000}"/>
    <hyperlink ref="J121" r:id="rId354" xr:uid="{00000000-0004-0000-0300-000061010000}"/>
    <hyperlink ref="I122" r:id="rId355" xr:uid="{00000000-0004-0000-0300-000062010000}"/>
    <hyperlink ref="J122" r:id="rId356" xr:uid="{00000000-0004-0000-0300-000063010000}"/>
    <hyperlink ref="I123" r:id="rId357" xr:uid="{00000000-0004-0000-0300-000064010000}"/>
    <hyperlink ref="J123" r:id="rId358" xr:uid="{00000000-0004-0000-0300-000065010000}"/>
    <hyperlink ref="G124" r:id="rId359" xr:uid="{00000000-0004-0000-0300-000066010000}"/>
    <hyperlink ref="I124" r:id="rId360" xr:uid="{00000000-0004-0000-0300-000067010000}"/>
    <hyperlink ref="J124" r:id="rId361" xr:uid="{00000000-0004-0000-0300-000068010000}"/>
    <hyperlink ref="I125" r:id="rId362" xr:uid="{00000000-0004-0000-0300-000069010000}"/>
    <hyperlink ref="J125" r:id="rId363" xr:uid="{00000000-0004-0000-0300-00006A010000}"/>
    <hyperlink ref="T125" r:id="rId364" xr:uid="{00000000-0004-0000-0300-00006B010000}"/>
    <hyperlink ref="G126" r:id="rId365" xr:uid="{00000000-0004-0000-0300-00006C010000}"/>
    <hyperlink ref="I126" r:id="rId366" xr:uid="{00000000-0004-0000-0300-00006D010000}"/>
    <hyperlink ref="J126" r:id="rId367" xr:uid="{00000000-0004-0000-0300-00006E010000}"/>
    <hyperlink ref="I127" r:id="rId368" xr:uid="{00000000-0004-0000-0300-00006F010000}"/>
    <hyperlink ref="J127" r:id="rId369" xr:uid="{00000000-0004-0000-0300-000070010000}"/>
    <hyperlink ref="I128" r:id="rId370" xr:uid="{00000000-0004-0000-0300-000071010000}"/>
    <hyperlink ref="J128" r:id="rId371" xr:uid="{00000000-0004-0000-0300-000072010000}"/>
    <hyperlink ref="T128" r:id="rId372" xr:uid="{00000000-0004-0000-0300-000073010000}"/>
    <hyperlink ref="G129" r:id="rId373" xr:uid="{00000000-0004-0000-0300-000074010000}"/>
    <hyperlink ref="I129" r:id="rId374" xr:uid="{00000000-0004-0000-0300-000075010000}"/>
    <hyperlink ref="J129" r:id="rId375" xr:uid="{00000000-0004-0000-0300-000076010000}"/>
    <hyperlink ref="I130" r:id="rId376" xr:uid="{00000000-0004-0000-0300-000077010000}"/>
    <hyperlink ref="J130" r:id="rId377" xr:uid="{00000000-0004-0000-0300-000078010000}"/>
    <hyperlink ref="G131" r:id="rId378" xr:uid="{00000000-0004-0000-0300-000079010000}"/>
    <hyperlink ref="I131" r:id="rId379" xr:uid="{00000000-0004-0000-0300-00007A010000}"/>
    <hyperlink ref="J131" r:id="rId380" xr:uid="{00000000-0004-0000-0300-00007B010000}"/>
    <hyperlink ref="I132" r:id="rId381" xr:uid="{00000000-0004-0000-0300-00007C010000}"/>
    <hyperlink ref="J132" r:id="rId382" xr:uid="{00000000-0004-0000-0300-00007D010000}"/>
    <hyperlink ref="G133" r:id="rId383" xr:uid="{00000000-0004-0000-0300-00007E010000}"/>
    <hyperlink ref="I133" r:id="rId384" xr:uid="{00000000-0004-0000-0300-00007F010000}"/>
    <hyperlink ref="J133" r:id="rId385" xr:uid="{00000000-0004-0000-0300-000080010000}"/>
    <hyperlink ref="G134" r:id="rId386" xr:uid="{00000000-0004-0000-0300-000081010000}"/>
    <hyperlink ref="I134" r:id="rId387" xr:uid="{00000000-0004-0000-0300-000082010000}"/>
    <hyperlink ref="J134" r:id="rId388" xr:uid="{00000000-0004-0000-0300-000083010000}"/>
    <hyperlink ref="I135" r:id="rId389" xr:uid="{00000000-0004-0000-0300-000084010000}"/>
    <hyperlink ref="J135" r:id="rId390" xr:uid="{00000000-0004-0000-0300-000085010000}"/>
    <hyperlink ref="G136" r:id="rId391" xr:uid="{00000000-0004-0000-0300-000086010000}"/>
    <hyperlink ref="I136" r:id="rId392" xr:uid="{00000000-0004-0000-0300-000087010000}"/>
    <hyperlink ref="J136" r:id="rId393" xr:uid="{00000000-0004-0000-0300-000088010000}"/>
    <hyperlink ref="G137" r:id="rId394" xr:uid="{00000000-0004-0000-0300-000089010000}"/>
    <hyperlink ref="I137" r:id="rId395" xr:uid="{00000000-0004-0000-0300-00008A010000}"/>
    <hyperlink ref="J137" r:id="rId396" xr:uid="{00000000-0004-0000-0300-00008B010000}"/>
    <hyperlink ref="G138" r:id="rId397" xr:uid="{00000000-0004-0000-0300-00008C010000}"/>
    <hyperlink ref="I138" r:id="rId398" xr:uid="{00000000-0004-0000-0300-00008D010000}"/>
    <hyperlink ref="J138" r:id="rId399" xr:uid="{00000000-0004-0000-0300-00008E010000}"/>
    <hyperlink ref="I139" r:id="rId400" xr:uid="{00000000-0004-0000-0300-00008F010000}"/>
    <hyperlink ref="J139" r:id="rId401" xr:uid="{00000000-0004-0000-0300-000090010000}"/>
    <hyperlink ref="T139" r:id="rId402" xr:uid="{00000000-0004-0000-0300-000091010000}"/>
    <hyperlink ref="G140" r:id="rId403" xr:uid="{00000000-0004-0000-0300-000092010000}"/>
    <hyperlink ref="I140" r:id="rId404" xr:uid="{00000000-0004-0000-0300-000093010000}"/>
    <hyperlink ref="J140" r:id="rId405" xr:uid="{00000000-0004-0000-0300-000094010000}"/>
    <hyperlink ref="G141" r:id="rId406" xr:uid="{00000000-0004-0000-0300-000095010000}"/>
    <hyperlink ref="I141" r:id="rId407" xr:uid="{00000000-0004-0000-0300-000096010000}"/>
    <hyperlink ref="J141" r:id="rId408" xr:uid="{00000000-0004-0000-0300-000097010000}"/>
    <hyperlink ref="G142" r:id="rId409" xr:uid="{00000000-0004-0000-0300-000098010000}"/>
    <hyperlink ref="I142" r:id="rId410" xr:uid="{00000000-0004-0000-0300-000099010000}"/>
    <hyperlink ref="J142" r:id="rId411" xr:uid="{00000000-0004-0000-0300-00009A010000}"/>
    <hyperlink ref="I143" r:id="rId412" xr:uid="{00000000-0004-0000-0300-00009B010000}"/>
    <hyperlink ref="J143" r:id="rId413" xr:uid="{00000000-0004-0000-0300-00009C010000}"/>
    <hyperlink ref="G144" r:id="rId414" xr:uid="{00000000-0004-0000-0300-00009D010000}"/>
    <hyperlink ref="I144" r:id="rId415" xr:uid="{00000000-0004-0000-0300-00009E010000}"/>
    <hyperlink ref="J144" r:id="rId416" xr:uid="{00000000-0004-0000-0300-00009F010000}"/>
    <hyperlink ref="G145" r:id="rId417" xr:uid="{00000000-0004-0000-0300-0000A0010000}"/>
    <hyperlink ref="I145" r:id="rId418" xr:uid="{00000000-0004-0000-0300-0000A1010000}"/>
    <hyperlink ref="J145" r:id="rId419" xr:uid="{00000000-0004-0000-0300-0000A2010000}"/>
    <hyperlink ref="G146" r:id="rId420" xr:uid="{00000000-0004-0000-0300-0000A3010000}"/>
    <hyperlink ref="I146" r:id="rId421" xr:uid="{00000000-0004-0000-0300-0000A4010000}"/>
    <hyperlink ref="J146" r:id="rId422" xr:uid="{00000000-0004-0000-0300-0000A5010000}"/>
    <hyperlink ref="I147" r:id="rId423" xr:uid="{00000000-0004-0000-0300-0000A6010000}"/>
    <hyperlink ref="J147" r:id="rId424" xr:uid="{00000000-0004-0000-0300-0000A7010000}"/>
    <hyperlink ref="G148" r:id="rId425" xr:uid="{00000000-0004-0000-0300-0000A8010000}"/>
    <hyperlink ref="I148" r:id="rId426" xr:uid="{00000000-0004-0000-0300-0000A9010000}"/>
    <hyperlink ref="J148" r:id="rId427" xr:uid="{00000000-0004-0000-0300-0000AA010000}"/>
    <hyperlink ref="G149" r:id="rId428" xr:uid="{00000000-0004-0000-0300-0000AB010000}"/>
    <hyperlink ref="I149" r:id="rId429" xr:uid="{00000000-0004-0000-0300-0000AC010000}"/>
    <hyperlink ref="J149" r:id="rId430" xr:uid="{00000000-0004-0000-0300-0000AD010000}"/>
    <hyperlink ref="G150" r:id="rId431" xr:uid="{00000000-0004-0000-0300-0000AE010000}"/>
    <hyperlink ref="I150" r:id="rId432" xr:uid="{00000000-0004-0000-0300-0000AF010000}"/>
    <hyperlink ref="J150" r:id="rId433" xr:uid="{00000000-0004-0000-0300-0000B0010000}"/>
    <hyperlink ref="G151" r:id="rId434" xr:uid="{00000000-0004-0000-0300-0000B1010000}"/>
    <hyperlink ref="I151" r:id="rId435" xr:uid="{00000000-0004-0000-0300-0000B2010000}"/>
    <hyperlink ref="J151" r:id="rId436" xr:uid="{00000000-0004-0000-0300-0000B3010000}"/>
    <hyperlink ref="I152" r:id="rId437" xr:uid="{00000000-0004-0000-0300-0000B4010000}"/>
    <hyperlink ref="J152" r:id="rId438" xr:uid="{00000000-0004-0000-0300-0000B5010000}"/>
    <hyperlink ref="G153" r:id="rId439" xr:uid="{00000000-0004-0000-0300-0000B6010000}"/>
    <hyperlink ref="I153" r:id="rId440" xr:uid="{00000000-0004-0000-0300-0000B7010000}"/>
    <hyperlink ref="J153" r:id="rId441" xr:uid="{00000000-0004-0000-0300-0000B8010000}"/>
    <hyperlink ref="G154" r:id="rId442" xr:uid="{00000000-0004-0000-0300-0000B9010000}"/>
    <hyperlink ref="I154" r:id="rId443" xr:uid="{00000000-0004-0000-0300-0000BA010000}"/>
    <hyperlink ref="J154" r:id="rId444" xr:uid="{00000000-0004-0000-0300-0000BB010000}"/>
    <hyperlink ref="G155" r:id="rId445" xr:uid="{00000000-0004-0000-0300-0000BC010000}"/>
    <hyperlink ref="I155" r:id="rId446" xr:uid="{00000000-0004-0000-0300-0000BD010000}"/>
    <hyperlink ref="J155" r:id="rId447" xr:uid="{00000000-0004-0000-0300-0000BE010000}"/>
    <hyperlink ref="G156" r:id="rId448" xr:uid="{00000000-0004-0000-0300-0000BF010000}"/>
    <hyperlink ref="I156" r:id="rId449" xr:uid="{00000000-0004-0000-0300-0000C0010000}"/>
    <hyperlink ref="J156" r:id="rId450" xr:uid="{00000000-0004-0000-0300-0000C1010000}"/>
    <hyperlink ref="G157" r:id="rId451" xr:uid="{00000000-0004-0000-0300-0000C2010000}"/>
    <hyperlink ref="I157" r:id="rId452" xr:uid="{00000000-0004-0000-0300-0000C3010000}"/>
    <hyperlink ref="J157" r:id="rId453" xr:uid="{00000000-0004-0000-0300-0000C4010000}"/>
    <hyperlink ref="I158" r:id="rId454" xr:uid="{00000000-0004-0000-0300-0000C5010000}"/>
    <hyperlink ref="J158" r:id="rId455" xr:uid="{00000000-0004-0000-0300-0000C6010000}"/>
    <hyperlink ref="I159" r:id="rId456" xr:uid="{00000000-0004-0000-0300-0000C7010000}"/>
    <hyperlink ref="J159" r:id="rId457" xr:uid="{00000000-0004-0000-0300-0000C8010000}"/>
    <hyperlink ref="I160" r:id="rId458" xr:uid="{00000000-0004-0000-0300-0000C9010000}"/>
    <hyperlink ref="J160" r:id="rId459" xr:uid="{00000000-0004-0000-0300-0000CA010000}"/>
    <hyperlink ref="G161" r:id="rId460" xr:uid="{00000000-0004-0000-0300-0000CB010000}"/>
    <hyperlink ref="I161" r:id="rId461" xr:uid="{00000000-0004-0000-0300-0000CC010000}"/>
    <hyperlink ref="J161" r:id="rId462" xr:uid="{00000000-0004-0000-0300-0000CD010000}"/>
    <hyperlink ref="G162" r:id="rId463" xr:uid="{00000000-0004-0000-0300-0000CE010000}"/>
    <hyperlink ref="I162" r:id="rId464" xr:uid="{00000000-0004-0000-0300-0000CF010000}"/>
    <hyperlink ref="J162" r:id="rId465" xr:uid="{00000000-0004-0000-0300-0000D0010000}"/>
    <hyperlink ref="G163" r:id="rId466" xr:uid="{00000000-0004-0000-0300-0000D1010000}"/>
    <hyperlink ref="I163" r:id="rId467" xr:uid="{00000000-0004-0000-0300-0000D2010000}"/>
    <hyperlink ref="J163" r:id="rId468" xr:uid="{00000000-0004-0000-0300-0000D3010000}"/>
    <hyperlink ref="I164" r:id="rId469" xr:uid="{00000000-0004-0000-0300-0000D4010000}"/>
    <hyperlink ref="J164" r:id="rId470" xr:uid="{00000000-0004-0000-0300-0000D5010000}"/>
    <hyperlink ref="G165" r:id="rId471" xr:uid="{00000000-0004-0000-0300-0000D6010000}"/>
    <hyperlink ref="I165" r:id="rId472" xr:uid="{00000000-0004-0000-0300-0000D7010000}"/>
    <hyperlink ref="J165" r:id="rId473" xr:uid="{00000000-0004-0000-0300-0000D8010000}"/>
    <hyperlink ref="I166" r:id="rId474" xr:uid="{00000000-0004-0000-0300-0000D9010000}"/>
    <hyperlink ref="J166" r:id="rId475" xr:uid="{00000000-0004-0000-0300-0000DA010000}"/>
    <hyperlink ref="G167" r:id="rId476" xr:uid="{00000000-0004-0000-0300-0000DB010000}"/>
    <hyperlink ref="I167" r:id="rId477" xr:uid="{00000000-0004-0000-0300-0000DC010000}"/>
    <hyperlink ref="J167" r:id="rId478" xr:uid="{00000000-0004-0000-0300-0000DD010000}"/>
    <hyperlink ref="I168" r:id="rId479" xr:uid="{00000000-0004-0000-0300-0000DE010000}"/>
    <hyperlink ref="J168" r:id="rId480" xr:uid="{00000000-0004-0000-0300-0000DF010000}"/>
    <hyperlink ref="T168" r:id="rId481" xr:uid="{00000000-0004-0000-0300-0000E0010000}"/>
    <hyperlink ref="G169" r:id="rId482" xr:uid="{00000000-0004-0000-0300-0000E1010000}"/>
    <hyperlink ref="I169" r:id="rId483" xr:uid="{00000000-0004-0000-0300-0000E2010000}"/>
    <hyperlink ref="J169" r:id="rId484" xr:uid="{00000000-0004-0000-0300-0000E3010000}"/>
    <hyperlink ref="I170" r:id="rId485" xr:uid="{00000000-0004-0000-0300-0000E4010000}"/>
    <hyperlink ref="J170" r:id="rId486" xr:uid="{00000000-0004-0000-0300-0000E5010000}"/>
    <hyperlink ref="T170" r:id="rId487" xr:uid="{00000000-0004-0000-0300-0000E6010000}"/>
    <hyperlink ref="I171" r:id="rId488" xr:uid="{00000000-0004-0000-0300-0000E7010000}"/>
    <hyperlink ref="J171" r:id="rId489" xr:uid="{00000000-0004-0000-0300-0000E8010000}"/>
    <hyperlink ref="T171" r:id="rId490" xr:uid="{00000000-0004-0000-0300-0000E9010000}"/>
    <hyperlink ref="G172" r:id="rId491" xr:uid="{00000000-0004-0000-0300-0000EA010000}"/>
    <hyperlink ref="I172" r:id="rId492" xr:uid="{00000000-0004-0000-0300-0000EB010000}"/>
    <hyperlink ref="J172" r:id="rId493" xr:uid="{00000000-0004-0000-0300-0000EC010000}"/>
    <hyperlink ref="G173" r:id="rId494" location="entry32473" xr:uid="{00000000-0004-0000-0300-0000ED010000}"/>
    <hyperlink ref="I173" r:id="rId495" xr:uid="{00000000-0004-0000-0300-0000EE010000}"/>
    <hyperlink ref="J173" r:id="rId496" xr:uid="{00000000-0004-0000-0300-0000EF010000}"/>
    <hyperlink ref="I174" r:id="rId497" xr:uid="{00000000-0004-0000-0300-0000F0010000}"/>
    <hyperlink ref="J174" r:id="rId498" xr:uid="{00000000-0004-0000-0300-0000F1010000}"/>
    <hyperlink ref="I175" r:id="rId499" xr:uid="{00000000-0004-0000-0300-0000F2010000}"/>
    <hyperlink ref="J175" r:id="rId500" xr:uid="{00000000-0004-0000-0300-0000F3010000}"/>
    <hyperlink ref="G176" r:id="rId501" xr:uid="{00000000-0004-0000-0300-0000F4010000}"/>
    <hyperlink ref="I176" r:id="rId502" xr:uid="{00000000-0004-0000-0300-0000F5010000}"/>
    <hyperlink ref="J176" r:id="rId503" xr:uid="{00000000-0004-0000-0300-0000F6010000}"/>
    <hyperlink ref="I177" r:id="rId504" xr:uid="{00000000-0004-0000-0300-0000F7010000}"/>
    <hyperlink ref="J177" r:id="rId505" xr:uid="{00000000-0004-0000-0300-0000F8010000}"/>
    <hyperlink ref="T177" r:id="rId506" xr:uid="{00000000-0004-0000-0300-0000F9010000}"/>
    <hyperlink ref="G178" r:id="rId507" xr:uid="{00000000-0004-0000-0300-0000FA010000}"/>
    <hyperlink ref="I178" r:id="rId508" xr:uid="{00000000-0004-0000-0300-0000FB010000}"/>
    <hyperlink ref="J178" r:id="rId509" xr:uid="{00000000-0004-0000-0300-0000FC010000}"/>
    <hyperlink ref="G179" r:id="rId510" xr:uid="{00000000-0004-0000-0300-0000FD010000}"/>
    <hyperlink ref="I179" r:id="rId511" xr:uid="{00000000-0004-0000-0300-0000FE010000}"/>
    <hyperlink ref="J179" r:id="rId512" xr:uid="{00000000-0004-0000-0300-0000FF010000}"/>
    <hyperlink ref="I180" r:id="rId513" xr:uid="{00000000-0004-0000-0300-000000020000}"/>
    <hyperlink ref="J180" r:id="rId514" xr:uid="{00000000-0004-0000-0300-000001020000}"/>
    <hyperlink ref="I181" r:id="rId515" xr:uid="{00000000-0004-0000-0300-000002020000}"/>
    <hyperlink ref="J181" r:id="rId516" xr:uid="{00000000-0004-0000-0300-000003020000}"/>
    <hyperlink ref="I182" r:id="rId517" xr:uid="{00000000-0004-0000-0300-000004020000}"/>
    <hyperlink ref="J182" r:id="rId518" xr:uid="{00000000-0004-0000-0300-000005020000}"/>
    <hyperlink ref="T182" r:id="rId519" xr:uid="{00000000-0004-0000-0300-000006020000}"/>
    <hyperlink ref="I183" r:id="rId520" xr:uid="{00000000-0004-0000-0300-000007020000}"/>
    <hyperlink ref="J183" r:id="rId521" xr:uid="{00000000-0004-0000-0300-000008020000}"/>
    <hyperlink ref="T183" r:id="rId522" xr:uid="{00000000-0004-0000-0300-000009020000}"/>
    <hyperlink ref="G184" r:id="rId523" xr:uid="{00000000-0004-0000-0300-00000A020000}"/>
    <hyperlink ref="I184" r:id="rId524" xr:uid="{00000000-0004-0000-0300-00000B020000}"/>
    <hyperlink ref="J184" r:id="rId525" xr:uid="{00000000-0004-0000-0300-00000C020000}"/>
    <hyperlink ref="G185" r:id="rId526" xr:uid="{00000000-0004-0000-0300-00000D020000}"/>
    <hyperlink ref="I185" r:id="rId527" xr:uid="{00000000-0004-0000-0300-00000E020000}"/>
    <hyperlink ref="J185" r:id="rId528" xr:uid="{00000000-0004-0000-0300-00000F020000}"/>
    <hyperlink ref="G186" r:id="rId529" xr:uid="{00000000-0004-0000-0300-000010020000}"/>
    <hyperlink ref="I186" r:id="rId530" xr:uid="{00000000-0004-0000-0300-000011020000}"/>
    <hyperlink ref="J186" r:id="rId531" xr:uid="{00000000-0004-0000-0300-000012020000}"/>
    <hyperlink ref="G187" r:id="rId532" xr:uid="{00000000-0004-0000-0300-000013020000}"/>
    <hyperlink ref="I187" r:id="rId533" xr:uid="{00000000-0004-0000-0300-000014020000}"/>
    <hyperlink ref="J187" r:id="rId534" xr:uid="{00000000-0004-0000-0300-000015020000}"/>
    <hyperlink ref="G188" r:id="rId535" xr:uid="{00000000-0004-0000-0300-000016020000}"/>
    <hyperlink ref="I188" r:id="rId536" xr:uid="{00000000-0004-0000-0300-000017020000}"/>
    <hyperlink ref="J188" r:id="rId537" xr:uid="{00000000-0004-0000-0300-000018020000}"/>
    <hyperlink ref="G189" r:id="rId538" xr:uid="{00000000-0004-0000-0300-000019020000}"/>
    <hyperlink ref="I189" r:id="rId539" xr:uid="{00000000-0004-0000-0300-00001A020000}"/>
    <hyperlink ref="J189" r:id="rId540" xr:uid="{00000000-0004-0000-0300-00001B020000}"/>
    <hyperlink ref="I190" r:id="rId541" xr:uid="{00000000-0004-0000-0300-00001C020000}"/>
    <hyperlink ref="J190" r:id="rId542" xr:uid="{00000000-0004-0000-0300-00001D020000}"/>
    <hyperlink ref="I191" r:id="rId543" xr:uid="{00000000-0004-0000-0300-00001E020000}"/>
    <hyperlink ref="J191" r:id="rId544" xr:uid="{00000000-0004-0000-0300-00001F020000}"/>
    <hyperlink ref="I192" r:id="rId545" xr:uid="{00000000-0004-0000-0300-000020020000}"/>
    <hyperlink ref="J192" r:id="rId546" xr:uid="{00000000-0004-0000-0300-000021020000}"/>
    <hyperlink ref="G193" r:id="rId547" xr:uid="{00000000-0004-0000-0300-000022020000}"/>
    <hyperlink ref="I193" r:id="rId548" xr:uid="{00000000-0004-0000-0300-000023020000}"/>
    <hyperlink ref="J193" r:id="rId549" xr:uid="{00000000-0004-0000-0300-000024020000}"/>
    <hyperlink ref="G194" r:id="rId550" xr:uid="{00000000-0004-0000-0300-000025020000}"/>
    <hyperlink ref="I194" r:id="rId551" xr:uid="{00000000-0004-0000-0300-000026020000}"/>
    <hyperlink ref="J194" r:id="rId552" xr:uid="{00000000-0004-0000-0300-000027020000}"/>
    <hyperlink ref="G195" r:id="rId553" xr:uid="{00000000-0004-0000-0300-000028020000}"/>
    <hyperlink ref="I195" r:id="rId554" xr:uid="{00000000-0004-0000-0300-000029020000}"/>
    <hyperlink ref="J195" r:id="rId555" xr:uid="{00000000-0004-0000-0300-00002A020000}"/>
    <hyperlink ref="G196" r:id="rId556" xr:uid="{00000000-0004-0000-0300-00002B020000}"/>
    <hyperlink ref="I196" r:id="rId557" xr:uid="{00000000-0004-0000-0300-00002C020000}"/>
    <hyperlink ref="J196" r:id="rId558" xr:uid="{00000000-0004-0000-0300-00002D020000}"/>
    <hyperlink ref="I197" r:id="rId559" xr:uid="{00000000-0004-0000-0300-00002E020000}"/>
    <hyperlink ref="J197" r:id="rId560" xr:uid="{00000000-0004-0000-0300-00002F020000}"/>
    <hyperlink ref="T197" r:id="rId561" xr:uid="{00000000-0004-0000-0300-000030020000}"/>
    <hyperlink ref="I198" r:id="rId562" xr:uid="{00000000-0004-0000-0300-000031020000}"/>
    <hyperlink ref="J198" r:id="rId563" xr:uid="{00000000-0004-0000-0300-000032020000}"/>
    <hyperlink ref="T198" r:id="rId564" xr:uid="{00000000-0004-0000-0300-000033020000}"/>
    <hyperlink ref="I199" r:id="rId565" xr:uid="{00000000-0004-0000-0300-000034020000}"/>
    <hyperlink ref="J199" r:id="rId566" xr:uid="{00000000-0004-0000-0300-000035020000}"/>
    <hyperlink ref="T199" r:id="rId567" xr:uid="{00000000-0004-0000-0300-000036020000}"/>
    <hyperlink ref="G200" r:id="rId568" xr:uid="{00000000-0004-0000-0300-000037020000}"/>
    <hyperlink ref="I200" r:id="rId569" display="http://probaseballexperience.jcink.net/index.php?showuser=5" xr:uid="{00000000-0004-0000-0300-000038020000}"/>
    <hyperlink ref="J200" r:id="rId570" xr:uid="{00000000-0004-0000-0300-000039020000}"/>
    <hyperlink ref="G201" r:id="rId571" xr:uid="{00000000-0004-0000-0300-00003A020000}"/>
    <hyperlink ref="I201" r:id="rId572" xr:uid="{00000000-0004-0000-0300-00003B020000}"/>
    <hyperlink ref="J201" r:id="rId573" xr:uid="{00000000-0004-0000-0300-00003C020000}"/>
    <hyperlink ref="I202" r:id="rId574" xr:uid="{00000000-0004-0000-0300-00003D020000}"/>
    <hyperlink ref="J202" r:id="rId575" xr:uid="{00000000-0004-0000-0300-00003E020000}"/>
    <hyperlink ref="I203" r:id="rId576" xr:uid="{00000000-0004-0000-0300-00003F020000}"/>
    <hyperlink ref="J203" r:id="rId577" xr:uid="{00000000-0004-0000-0300-000040020000}"/>
    <hyperlink ref="T203" r:id="rId578" xr:uid="{00000000-0004-0000-0300-000041020000}"/>
    <hyperlink ref="G204" r:id="rId579" xr:uid="{00000000-0004-0000-0300-000042020000}"/>
    <hyperlink ref="I204" r:id="rId580" xr:uid="{00000000-0004-0000-0300-000043020000}"/>
    <hyperlink ref="J204" r:id="rId581" xr:uid="{00000000-0004-0000-0300-000044020000}"/>
    <hyperlink ref="G205" r:id="rId582" xr:uid="{00000000-0004-0000-0300-000045020000}"/>
    <hyperlink ref="I205" r:id="rId583" xr:uid="{00000000-0004-0000-0300-000046020000}"/>
    <hyperlink ref="J205" r:id="rId584" xr:uid="{00000000-0004-0000-0300-000047020000}"/>
    <hyperlink ref="G206" r:id="rId585" xr:uid="{00000000-0004-0000-0300-000048020000}"/>
    <hyperlink ref="I206" r:id="rId586" xr:uid="{00000000-0004-0000-0300-000049020000}"/>
    <hyperlink ref="J206" r:id="rId587" xr:uid="{00000000-0004-0000-0300-00004A020000}"/>
    <hyperlink ref="I207" r:id="rId588" xr:uid="{00000000-0004-0000-0300-00004B020000}"/>
    <hyperlink ref="J207" r:id="rId589" xr:uid="{00000000-0004-0000-0300-00004C020000}"/>
    <hyperlink ref="T207" r:id="rId590" xr:uid="{00000000-0004-0000-0300-00004D020000}"/>
    <hyperlink ref="I208" r:id="rId591" xr:uid="{00000000-0004-0000-0300-00004E020000}"/>
    <hyperlink ref="J208" r:id="rId592" xr:uid="{00000000-0004-0000-0300-00004F020000}"/>
    <hyperlink ref="T208" r:id="rId593" xr:uid="{00000000-0004-0000-0300-000050020000}"/>
    <hyperlink ref="I209" r:id="rId594" xr:uid="{00000000-0004-0000-0300-000051020000}"/>
    <hyperlink ref="J209" r:id="rId595" xr:uid="{00000000-0004-0000-0300-000052020000}"/>
    <hyperlink ref="G210" r:id="rId596" xr:uid="{00000000-0004-0000-0300-000053020000}"/>
    <hyperlink ref="I210" r:id="rId597" xr:uid="{00000000-0004-0000-0300-000054020000}"/>
    <hyperlink ref="J210" r:id="rId598" xr:uid="{00000000-0004-0000-0300-000055020000}"/>
    <hyperlink ref="G211" r:id="rId599" xr:uid="{00000000-0004-0000-0300-000056020000}"/>
    <hyperlink ref="I211" r:id="rId600" xr:uid="{00000000-0004-0000-0300-000057020000}"/>
    <hyperlink ref="J211" r:id="rId601" xr:uid="{00000000-0004-0000-0300-000058020000}"/>
    <hyperlink ref="G212" r:id="rId602" xr:uid="{00000000-0004-0000-0300-000059020000}"/>
    <hyperlink ref="I212" r:id="rId603" xr:uid="{00000000-0004-0000-0300-00005A020000}"/>
    <hyperlink ref="J212" r:id="rId604" xr:uid="{00000000-0004-0000-0300-00005B020000}"/>
    <hyperlink ref="G213" r:id="rId605" xr:uid="{00000000-0004-0000-0300-00005C020000}"/>
    <hyperlink ref="I213" r:id="rId606" xr:uid="{00000000-0004-0000-0300-00005D020000}"/>
    <hyperlink ref="J213" r:id="rId607" xr:uid="{00000000-0004-0000-0300-00005E020000}"/>
    <hyperlink ref="G214" r:id="rId608" xr:uid="{00000000-0004-0000-0300-00005F020000}"/>
    <hyperlink ref="I214" r:id="rId609" xr:uid="{00000000-0004-0000-0300-000060020000}"/>
    <hyperlink ref="J214" r:id="rId610" xr:uid="{00000000-0004-0000-0300-000061020000}"/>
    <hyperlink ref="I215" r:id="rId611" xr:uid="{00000000-0004-0000-0300-000062020000}"/>
    <hyperlink ref="J215" r:id="rId612" xr:uid="{00000000-0004-0000-0300-000063020000}"/>
    <hyperlink ref="T215" r:id="rId613" location="entry63484" xr:uid="{00000000-0004-0000-0300-000064020000}"/>
    <hyperlink ref="I216" r:id="rId614" xr:uid="{00000000-0004-0000-0300-000065020000}"/>
    <hyperlink ref="J216" r:id="rId615" xr:uid="{00000000-0004-0000-0300-000066020000}"/>
    <hyperlink ref="I217" r:id="rId616" xr:uid="{00000000-0004-0000-0300-000067020000}"/>
    <hyperlink ref="J217" r:id="rId617" xr:uid="{00000000-0004-0000-0300-000068020000}"/>
    <hyperlink ref="T217" r:id="rId618" xr:uid="{00000000-0004-0000-0300-000069020000}"/>
    <hyperlink ref="G218" r:id="rId619" xr:uid="{00000000-0004-0000-0300-00006A020000}"/>
    <hyperlink ref="I218" r:id="rId620" xr:uid="{00000000-0004-0000-0300-00006B020000}"/>
    <hyperlink ref="J218" r:id="rId621" xr:uid="{00000000-0004-0000-0300-00006C020000}"/>
    <hyperlink ref="G219" r:id="rId622" xr:uid="{00000000-0004-0000-0300-00006D020000}"/>
    <hyperlink ref="I219" r:id="rId623" xr:uid="{00000000-0004-0000-0300-00006E020000}"/>
    <hyperlink ref="J219" r:id="rId624" xr:uid="{00000000-0004-0000-0300-00006F020000}"/>
    <hyperlink ref="I220" r:id="rId625" xr:uid="{00000000-0004-0000-0300-000070020000}"/>
    <hyperlink ref="J220" r:id="rId626" xr:uid="{00000000-0004-0000-0300-000071020000}"/>
    <hyperlink ref="T220" r:id="rId627" xr:uid="{00000000-0004-0000-0300-000072020000}"/>
    <hyperlink ref="G221" r:id="rId628" xr:uid="{00000000-0004-0000-0300-000073020000}"/>
    <hyperlink ref="I221" r:id="rId629" xr:uid="{00000000-0004-0000-0300-000074020000}"/>
    <hyperlink ref="J221" r:id="rId630" xr:uid="{00000000-0004-0000-0300-000075020000}"/>
    <hyperlink ref="G222" r:id="rId631" xr:uid="{00000000-0004-0000-0300-000076020000}"/>
    <hyperlink ref="I222" r:id="rId632" xr:uid="{00000000-0004-0000-0300-000077020000}"/>
    <hyperlink ref="J222" r:id="rId633" xr:uid="{00000000-0004-0000-0300-000078020000}"/>
    <hyperlink ref="I223" r:id="rId634" xr:uid="{00000000-0004-0000-0300-000079020000}"/>
    <hyperlink ref="J223" r:id="rId635" xr:uid="{00000000-0004-0000-0300-00007A020000}"/>
    <hyperlink ref="G224" r:id="rId636" xr:uid="{00000000-0004-0000-0300-00007B020000}"/>
    <hyperlink ref="I224" r:id="rId637" xr:uid="{00000000-0004-0000-0300-00007C020000}"/>
    <hyperlink ref="J224" r:id="rId638" xr:uid="{00000000-0004-0000-0300-00007D020000}"/>
    <hyperlink ref="G225" r:id="rId639" xr:uid="{00000000-0004-0000-0300-00007E020000}"/>
    <hyperlink ref="I225" r:id="rId640" xr:uid="{00000000-0004-0000-0300-00007F020000}"/>
    <hyperlink ref="J225" r:id="rId641" xr:uid="{00000000-0004-0000-0300-000080020000}"/>
    <hyperlink ref="I226" r:id="rId642" xr:uid="{00000000-0004-0000-0300-000081020000}"/>
    <hyperlink ref="J226" r:id="rId643" xr:uid="{00000000-0004-0000-0300-000082020000}"/>
    <hyperlink ref="T226" r:id="rId644" xr:uid="{00000000-0004-0000-0300-000083020000}"/>
    <hyperlink ref="G227" r:id="rId645" xr:uid="{00000000-0004-0000-0300-000084020000}"/>
    <hyperlink ref="I227" r:id="rId646" xr:uid="{00000000-0004-0000-0300-000085020000}"/>
    <hyperlink ref="J227" r:id="rId647" xr:uid="{00000000-0004-0000-0300-000086020000}"/>
    <hyperlink ref="G228" r:id="rId648" xr:uid="{00000000-0004-0000-0300-000087020000}"/>
    <hyperlink ref="I228" r:id="rId649" xr:uid="{00000000-0004-0000-0300-000088020000}"/>
    <hyperlink ref="J228" r:id="rId650" xr:uid="{00000000-0004-0000-0300-000089020000}"/>
    <hyperlink ref="G229" r:id="rId651" xr:uid="{00000000-0004-0000-0300-00008A020000}"/>
    <hyperlink ref="I229" r:id="rId652" xr:uid="{00000000-0004-0000-0300-00008B020000}"/>
    <hyperlink ref="J229" r:id="rId653" xr:uid="{00000000-0004-0000-0300-00008C020000}"/>
    <hyperlink ref="G230" r:id="rId654" xr:uid="{00000000-0004-0000-0300-00008D020000}"/>
    <hyperlink ref="I230" r:id="rId655" xr:uid="{00000000-0004-0000-0300-00008E020000}"/>
    <hyperlink ref="J230" r:id="rId656" xr:uid="{00000000-0004-0000-0300-00008F020000}"/>
    <hyperlink ref="I231" r:id="rId657" xr:uid="{00000000-0004-0000-0300-000090020000}"/>
    <hyperlink ref="J231" r:id="rId658" xr:uid="{00000000-0004-0000-0300-000091020000}"/>
    <hyperlink ref="I232" r:id="rId659" xr:uid="{00000000-0004-0000-0300-000092020000}"/>
    <hyperlink ref="J232" r:id="rId660" xr:uid="{00000000-0004-0000-0300-000093020000}"/>
    <hyperlink ref="T232" r:id="rId661" xr:uid="{00000000-0004-0000-0300-000094020000}"/>
    <hyperlink ref="I233" r:id="rId662" xr:uid="{00000000-0004-0000-0300-000095020000}"/>
    <hyperlink ref="J233" r:id="rId663" xr:uid="{00000000-0004-0000-0300-000096020000}"/>
    <hyperlink ref="G234" r:id="rId664" xr:uid="{00000000-0004-0000-0300-000097020000}"/>
    <hyperlink ref="I234" r:id="rId665" xr:uid="{00000000-0004-0000-0300-000098020000}"/>
    <hyperlink ref="J234" r:id="rId666" xr:uid="{00000000-0004-0000-0300-000099020000}"/>
    <hyperlink ref="G235" r:id="rId667" xr:uid="{00000000-0004-0000-0300-00009A020000}"/>
    <hyperlink ref="I235" r:id="rId668" xr:uid="{00000000-0004-0000-0300-00009B020000}"/>
    <hyperlink ref="J235" r:id="rId669" xr:uid="{00000000-0004-0000-0300-00009C020000}"/>
    <hyperlink ref="I236" r:id="rId670" xr:uid="{00000000-0004-0000-0300-00009D020000}"/>
    <hyperlink ref="J236" r:id="rId671" xr:uid="{00000000-0004-0000-0300-00009E020000}"/>
    <hyperlink ref="G237" r:id="rId672" xr:uid="{00000000-0004-0000-0300-00009F020000}"/>
    <hyperlink ref="I237" r:id="rId673" xr:uid="{00000000-0004-0000-0300-0000A0020000}"/>
    <hyperlink ref="J237" r:id="rId674" xr:uid="{00000000-0004-0000-0300-0000A1020000}"/>
    <hyperlink ref="G238" r:id="rId675" xr:uid="{00000000-0004-0000-0300-0000A2020000}"/>
    <hyperlink ref="I238" r:id="rId676" xr:uid="{00000000-0004-0000-0300-0000A3020000}"/>
    <hyperlink ref="J238" r:id="rId677" xr:uid="{00000000-0004-0000-0300-0000A4020000}"/>
    <hyperlink ref="G239" r:id="rId678" xr:uid="{00000000-0004-0000-0300-0000A5020000}"/>
    <hyperlink ref="I239" r:id="rId679" xr:uid="{00000000-0004-0000-0300-0000A6020000}"/>
    <hyperlink ref="J239" r:id="rId680" xr:uid="{00000000-0004-0000-0300-0000A7020000}"/>
    <hyperlink ref="G240" r:id="rId681" xr:uid="{00000000-0004-0000-0300-0000A8020000}"/>
    <hyperlink ref="I240" r:id="rId682" xr:uid="{00000000-0004-0000-0300-0000A9020000}"/>
    <hyperlink ref="J240" r:id="rId683" xr:uid="{00000000-0004-0000-0300-0000AA020000}"/>
    <hyperlink ref="G241" r:id="rId684" xr:uid="{00000000-0004-0000-0300-0000AB020000}"/>
    <hyperlink ref="I241" r:id="rId685" xr:uid="{00000000-0004-0000-0300-0000AC020000}"/>
    <hyperlink ref="J241" r:id="rId686" xr:uid="{00000000-0004-0000-0300-0000AD020000}"/>
    <hyperlink ref="G242" r:id="rId687" xr:uid="{00000000-0004-0000-0300-0000AE020000}"/>
    <hyperlink ref="I242" r:id="rId688" xr:uid="{00000000-0004-0000-0300-0000AF020000}"/>
    <hyperlink ref="J242" r:id="rId689" xr:uid="{00000000-0004-0000-0300-0000B0020000}"/>
    <hyperlink ref="G243" r:id="rId690" xr:uid="{00000000-0004-0000-0300-0000B1020000}"/>
    <hyperlink ref="I243" r:id="rId691" xr:uid="{00000000-0004-0000-0300-0000B2020000}"/>
    <hyperlink ref="J243" r:id="rId692" xr:uid="{00000000-0004-0000-0300-0000B3020000}"/>
    <hyperlink ref="I244" r:id="rId693" xr:uid="{00000000-0004-0000-0300-0000B4020000}"/>
    <hyperlink ref="J244" r:id="rId694" xr:uid="{00000000-0004-0000-0300-0000B5020000}"/>
    <hyperlink ref="G245" r:id="rId695" xr:uid="{00000000-0004-0000-0300-0000B6020000}"/>
    <hyperlink ref="I245" r:id="rId696" xr:uid="{00000000-0004-0000-0300-0000B7020000}"/>
    <hyperlink ref="J245" r:id="rId697" xr:uid="{00000000-0004-0000-0300-0000B8020000}"/>
    <hyperlink ref="G246" r:id="rId698" xr:uid="{00000000-0004-0000-0300-0000B9020000}"/>
    <hyperlink ref="I246" r:id="rId699" xr:uid="{00000000-0004-0000-0300-0000BA020000}"/>
    <hyperlink ref="J246" r:id="rId700" xr:uid="{00000000-0004-0000-0300-0000BB020000}"/>
    <hyperlink ref="G247" r:id="rId701" xr:uid="{00000000-0004-0000-0300-0000BC020000}"/>
    <hyperlink ref="I247" r:id="rId702" xr:uid="{00000000-0004-0000-0300-0000BD020000}"/>
    <hyperlink ref="J247" r:id="rId703" xr:uid="{00000000-0004-0000-0300-0000BE020000}"/>
    <hyperlink ref="I248" r:id="rId704" xr:uid="{00000000-0004-0000-0300-0000BF020000}"/>
    <hyperlink ref="J248" r:id="rId705" xr:uid="{00000000-0004-0000-0300-0000C0020000}"/>
    <hyperlink ref="I249" r:id="rId706" xr:uid="{00000000-0004-0000-0300-0000C1020000}"/>
    <hyperlink ref="J249" r:id="rId707" xr:uid="{00000000-0004-0000-0300-0000C2020000}"/>
    <hyperlink ref="T249" r:id="rId708" xr:uid="{00000000-0004-0000-0300-0000C3020000}"/>
    <hyperlink ref="I250" r:id="rId709" xr:uid="{00000000-0004-0000-0300-0000C4020000}"/>
    <hyperlink ref="J250" r:id="rId710" xr:uid="{00000000-0004-0000-0300-0000C5020000}"/>
    <hyperlink ref="T250" r:id="rId711" xr:uid="{00000000-0004-0000-0300-0000C6020000}"/>
    <hyperlink ref="I251" r:id="rId712" xr:uid="{00000000-0004-0000-0300-0000C7020000}"/>
    <hyperlink ref="J251" r:id="rId713" xr:uid="{00000000-0004-0000-0300-0000C8020000}"/>
    <hyperlink ref="I252" r:id="rId714" xr:uid="{00000000-0004-0000-0300-0000C9020000}"/>
    <hyperlink ref="J252" r:id="rId715" xr:uid="{00000000-0004-0000-0300-0000CA020000}"/>
    <hyperlink ref="I253" r:id="rId716" xr:uid="{00000000-0004-0000-0300-0000CB020000}"/>
    <hyperlink ref="J253" r:id="rId717" xr:uid="{00000000-0004-0000-0300-0000CC020000}"/>
    <hyperlink ref="G254" r:id="rId718" xr:uid="{00000000-0004-0000-0300-0000CD020000}"/>
    <hyperlink ref="I254" r:id="rId719" xr:uid="{00000000-0004-0000-0300-0000CE020000}"/>
    <hyperlink ref="J254" r:id="rId720" xr:uid="{00000000-0004-0000-0300-0000CF020000}"/>
    <hyperlink ref="I255" r:id="rId721" xr:uid="{00000000-0004-0000-0300-0000D0020000}"/>
    <hyperlink ref="J255" r:id="rId722" xr:uid="{00000000-0004-0000-0300-0000D1020000}"/>
    <hyperlink ref="I256" r:id="rId723" xr:uid="{00000000-0004-0000-0300-0000D2020000}"/>
    <hyperlink ref="J256" r:id="rId724" xr:uid="{00000000-0004-0000-0300-0000D3020000}"/>
    <hyperlink ref="G257" r:id="rId725" xr:uid="{00000000-0004-0000-0300-0000D4020000}"/>
    <hyperlink ref="I257" r:id="rId726" xr:uid="{00000000-0004-0000-0300-0000D5020000}"/>
    <hyperlink ref="J257" r:id="rId727" xr:uid="{00000000-0004-0000-0300-0000D6020000}"/>
    <hyperlink ref="G258" r:id="rId728" xr:uid="{00000000-0004-0000-0300-0000D7020000}"/>
    <hyperlink ref="I258" r:id="rId729" xr:uid="{00000000-0004-0000-0300-0000D8020000}"/>
    <hyperlink ref="J258" r:id="rId730" xr:uid="{00000000-0004-0000-0300-0000D9020000}"/>
    <hyperlink ref="G259" r:id="rId731" xr:uid="{00000000-0004-0000-0300-0000DA020000}"/>
    <hyperlink ref="I259" r:id="rId732" xr:uid="{00000000-0004-0000-0300-0000DB020000}"/>
    <hyperlink ref="G260" r:id="rId733" xr:uid="{00000000-0004-0000-0300-0000DC020000}"/>
    <hyperlink ref="I260" r:id="rId734" xr:uid="{00000000-0004-0000-0300-0000DD020000}"/>
    <hyperlink ref="J260" r:id="rId735" xr:uid="{00000000-0004-0000-0300-0000DE020000}"/>
    <hyperlink ref="G261" r:id="rId736" xr:uid="{00000000-0004-0000-0300-0000DF020000}"/>
    <hyperlink ref="I261" r:id="rId737" xr:uid="{00000000-0004-0000-0300-0000E0020000}"/>
    <hyperlink ref="J261" r:id="rId738" xr:uid="{00000000-0004-0000-0300-0000E1020000}"/>
    <hyperlink ref="I262" r:id="rId739" xr:uid="{00000000-0004-0000-0300-0000E2020000}"/>
    <hyperlink ref="J262" r:id="rId740" xr:uid="{00000000-0004-0000-0300-0000E3020000}"/>
    <hyperlink ref="T262" r:id="rId741" xr:uid="{00000000-0004-0000-0300-0000E4020000}"/>
    <hyperlink ref="I263" r:id="rId742" xr:uid="{00000000-0004-0000-0300-0000E5020000}"/>
    <hyperlink ref="J263" r:id="rId743" xr:uid="{00000000-0004-0000-0300-0000E6020000}"/>
    <hyperlink ref="I264" r:id="rId744" xr:uid="{00000000-0004-0000-0300-0000E7020000}"/>
    <hyperlink ref="J264" r:id="rId745" xr:uid="{00000000-0004-0000-0300-0000E8020000}"/>
    <hyperlink ref="G265" r:id="rId746" xr:uid="{00000000-0004-0000-0300-0000E9020000}"/>
    <hyperlink ref="I265" r:id="rId747" xr:uid="{00000000-0004-0000-0300-0000EA020000}"/>
    <hyperlink ref="J265" r:id="rId748" xr:uid="{00000000-0004-0000-0300-0000EB020000}"/>
    <hyperlink ref="I266" r:id="rId749" xr:uid="{00000000-0004-0000-0300-0000EC020000}"/>
    <hyperlink ref="J266" r:id="rId750" xr:uid="{00000000-0004-0000-0300-0000ED020000}"/>
    <hyperlink ref="G267" r:id="rId751" xr:uid="{00000000-0004-0000-0300-0000EE020000}"/>
    <hyperlink ref="I267" r:id="rId752" xr:uid="{00000000-0004-0000-0300-0000EF020000}"/>
    <hyperlink ref="J267" r:id="rId753" xr:uid="{00000000-0004-0000-0300-0000F0020000}"/>
    <hyperlink ref="I268" r:id="rId754" xr:uid="{00000000-0004-0000-0300-0000F1020000}"/>
    <hyperlink ref="J268" r:id="rId755" xr:uid="{00000000-0004-0000-0300-0000F2020000}"/>
    <hyperlink ref="I269" r:id="rId756" xr:uid="{00000000-0004-0000-0300-0000F3020000}"/>
    <hyperlink ref="J269" r:id="rId757" xr:uid="{00000000-0004-0000-0300-0000F4020000}"/>
    <hyperlink ref="I270" r:id="rId758" xr:uid="{00000000-0004-0000-0300-0000F5020000}"/>
    <hyperlink ref="J270" r:id="rId759" xr:uid="{00000000-0004-0000-0300-0000F6020000}"/>
    <hyperlink ref="I271" r:id="rId760" xr:uid="{00000000-0004-0000-0300-0000F7020000}"/>
    <hyperlink ref="J271" r:id="rId761" xr:uid="{00000000-0004-0000-0300-0000F8020000}"/>
    <hyperlink ref="I272" r:id="rId762" xr:uid="{00000000-0004-0000-0300-0000F9020000}"/>
    <hyperlink ref="J272" r:id="rId763" xr:uid="{00000000-0004-0000-0300-0000FA020000}"/>
    <hyperlink ref="T272" r:id="rId764" xr:uid="{00000000-0004-0000-0300-0000FB020000}"/>
    <hyperlink ref="I273" r:id="rId765" xr:uid="{00000000-0004-0000-0300-0000FC020000}"/>
    <hyperlink ref="J273" r:id="rId766" xr:uid="{00000000-0004-0000-0300-0000FD020000}"/>
    <hyperlink ref="T273" r:id="rId767" xr:uid="{00000000-0004-0000-0300-0000FE020000}"/>
    <hyperlink ref="I274" r:id="rId768" xr:uid="{00000000-0004-0000-0300-0000FF020000}"/>
    <hyperlink ref="J274" r:id="rId769" xr:uid="{00000000-0004-0000-0300-000000030000}"/>
    <hyperlink ref="T274" r:id="rId770" xr:uid="{00000000-0004-0000-0300-000001030000}"/>
    <hyperlink ref="I275" r:id="rId771" xr:uid="{00000000-0004-0000-0300-000002030000}"/>
    <hyperlink ref="J275" r:id="rId772" xr:uid="{00000000-0004-0000-0300-000003030000}"/>
    <hyperlink ref="T275" r:id="rId773" xr:uid="{00000000-0004-0000-0300-000004030000}"/>
    <hyperlink ref="I276" r:id="rId774" xr:uid="{00000000-0004-0000-0300-000005030000}"/>
    <hyperlink ref="J276" r:id="rId775" xr:uid="{00000000-0004-0000-0300-000006030000}"/>
    <hyperlink ref="T276" r:id="rId776" xr:uid="{00000000-0004-0000-0300-000007030000}"/>
    <hyperlink ref="I277" r:id="rId777" xr:uid="{00000000-0004-0000-0300-000008030000}"/>
    <hyperlink ref="J277" r:id="rId778" xr:uid="{00000000-0004-0000-0300-000009030000}"/>
    <hyperlink ref="T277" r:id="rId779" xr:uid="{00000000-0004-0000-0300-00000A030000}"/>
    <hyperlink ref="I278" r:id="rId780" xr:uid="{00000000-0004-0000-0300-00000B030000}"/>
    <hyperlink ref="J278" r:id="rId781" xr:uid="{00000000-0004-0000-0300-00000C030000}"/>
    <hyperlink ref="I279" r:id="rId782" xr:uid="{00000000-0004-0000-0300-00000D030000}"/>
    <hyperlink ref="J279" r:id="rId783" xr:uid="{00000000-0004-0000-0300-00000E030000}"/>
    <hyperlink ref="I280" r:id="rId784" xr:uid="{00000000-0004-0000-0300-00000F030000}"/>
    <hyperlink ref="J280" r:id="rId785" xr:uid="{00000000-0004-0000-0300-000010030000}"/>
    <hyperlink ref="T280" r:id="rId786" xr:uid="{00000000-0004-0000-0300-000011030000}"/>
    <hyperlink ref="I281" r:id="rId787" xr:uid="{00000000-0004-0000-0300-000012030000}"/>
    <hyperlink ref="J281" r:id="rId788" xr:uid="{00000000-0004-0000-0300-000013030000}"/>
    <hyperlink ref="I282" r:id="rId789" xr:uid="{00000000-0004-0000-0300-000014030000}"/>
    <hyperlink ref="J282" r:id="rId790" xr:uid="{00000000-0004-0000-0300-000015030000}"/>
    <hyperlink ref="I283" r:id="rId791" xr:uid="{00000000-0004-0000-0300-000016030000}"/>
    <hyperlink ref="J283" r:id="rId792" xr:uid="{00000000-0004-0000-0300-000017030000}"/>
    <hyperlink ref="G284" r:id="rId793" xr:uid="{00000000-0004-0000-0300-000018030000}"/>
    <hyperlink ref="I284" r:id="rId794" xr:uid="{00000000-0004-0000-0300-000019030000}"/>
    <hyperlink ref="J284" r:id="rId795" xr:uid="{00000000-0004-0000-0300-00001A030000}"/>
    <hyperlink ref="I285" r:id="rId796" xr:uid="{00000000-0004-0000-0300-00001B030000}"/>
    <hyperlink ref="J285" r:id="rId797" xr:uid="{00000000-0004-0000-0300-00001C030000}"/>
    <hyperlink ref="I286" r:id="rId798" xr:uid="{00000000-0004-0000-0300-00001D030000}"/>
    <hyperlink ref="J286" r:id="rId799" xr:uid="{00000000-0004-0000-0300-00001E030000}"/>
    <hyperlink ref="G287" r:id="rId800" xr:uid="{00000000-0004-0000-0300-00001F030000}"/>
    <hyperlink ref="I287" r:id="rId801" xr:uid="{00000000-0004-0000-0300-000020030000}"/>
    <hyperlink ref="J287" r:id="rId802" xr:uid="{00000000-0004-0000-0300-000021030000}"/>
    <hyperlink ref="G288" r:id="rId803" xr:uid="{00000000-0004-0000-0300-000022030000}"/>
    <hyperlink ref="I288" r:id="rId804" xr:uid="{00000000-0004-0000-0300-000023030000}"/>
    <hyperlink ref="J288" r:id="rId805" xr:uid="{00000000-0004-0000-0300-000024030000}"/>
    <hyperlink ref="G289" r:id="rId806" xr:uid="{00000000-0004-0000-0300-000025030000}"/>
    <hyperlink ref="I289" r:id="rId807" xr:uid="{00000000-0004-0000-0300-000026030000}"/>
    <hyperlink ref="J289" r:id="rId808" xr:uid="{00000000-0004-0000-0300-000027030000}"/>
    <hyperlink ref="G290" r:id="rId809" xr:uid="{00000000-0004-0000-0300-000028030000}"/>
    <hyperlink ref="I290" r:id="rId810" xr:uid="{00000000-0004-0000-0300-000029030000}"/>
    <hyperlink ref="J290" r:id="rId811" xr:uid="{00000000-0004-0000-0300-00002A030000}"/>
    <hyperlink ref="G291" r:id="rId812" xr:uid="{00000000-0004-0000-0300-00002B030000}"/>
    <hyperlink ref="I291" r:id="rId813" xr:uid="{00000000-0004-0000-0300-00002C030000}"/>
    <hyperlink ref="J291" r:id="rId814" xr:uid="{00000000-0004-0000-0300-00002D030000}"/>
    <hyperlink ref="G292" r:id="rId815" xr:uid="{00000000-0004-0000-0300-00002E030000}"/>
    <hyperlink ref="I292" r:id="rId816" xr:uid="{00000000-0004-0000-0300-00002F030000}"/>
    <hyperlink ref="J292" r:id="rId817" xr:uid="{00000000-0004-0000-0300-000030030000}"/>
    <hyperlink ref="G293" r:id="rId818" xr:uid="{00000000-0004-0000-0300-000031030000}"/>
    <hyperlink ref="I293" r:id="rId819" xr:uid="{00000000-0004-0000-0300-000032030000}"/>
    <hyperlink ref="J293" r:id="rId820" xr:uid="{00000000-0004-0000-0300-000033030000}"/>
    <hyperlink ref="G294" r:id="rId821" xr:uid="{00000000-0004-0000-0300-000034030000}"/>
    <hyperlink ref="I294" r:id="rId822" xr:uid="{00000000-0004-0000-0300-000035030000}"/>
    <hyperlink ref="J294" r:id="rId823" xr:uid="{00000000-0004-0000-0300-000036030000}"/>
    <hyperlink ref="G295" r:id="rId824" xr:uid="{00000000-0004-0000-0300-000037030000}"/>
    <hyperlink ref="I295" r:id="rId825" xr:uid="{00000000-0004-0000-0300-000038030000}"/>
    <hyperlink ref="J295" r:id="rId826" xr:uid="{00000000-0004-0000-0300-000039030000}"/>
    <hyperlink ref="G296" r:id="rId827" xr:uid="{00000000-0004-0000-0300-00003A030000}"/>
    <hyperlink ref="I296" r:id="rId828" xr:uid="{00000000-0004-0000-0300-00003B030000}"/>
    <hyperlink ref="J296" r:id="rId829" xr:uid="{00000000-0004-0000-0300-00003C030000}"/>
    <hyperlink ref="G297" r:id="rId830" xr:uid="{00000000-0004-0000-0300-00003D030000}"/>
    <hyperlink ref="I297" r:id="rId831" xr:uid="{00000000-0004-0000-0300-00003E030000}"/>
    <hyperlink ref="J297" r:id="rId832" xr:uid="{00000000-0004-0000-0300-00003F030000}"/>
    <hyperlink ref="G298" r:id="rId833" xr:uid="{00000000-0004-0000-0300-000040030000}"/>
    <hyperlink ref="I298" r:id="rId834" xr:uid="{00000000-0004-0000-0300-000041030000}"/>
    <hyperlink ref="J298" r:id="rId835" xr:uid="{00000000-0004-0000-0300-000042030000}"/>
    <hyperlink ref="G299" r:id="rId836" xr:uid="{00000000-0004-0000-0300-000043030000}"/>
    <hyperlink ref="I299" r:id="rId837" xr:uid="{00000000-0004-0000-0300-000044030000}"/>
    <hyperlink ref="J299" r:id="rId838" xr:uid="{00000000-0004-0000-0300-000045030000}"/>
    <hyperlink ref="G300" r:id="rId839" xr:uid="{00000000-0004-0000-0300-000046030000}"/>
    <hyperlink ref="I300" r:id="rId840" xr:uid="{00000000-0004-0000-0300-000047030000}"/>
    <hyperlink ref="J300" r:id="rId841" xr:uid="{00000000-0004-0000-0300-000048030000}"/>
    <hyperlink ref="G301" r:id="rId842" xr:uid="{00000000-0004-0000-0300-000049030000}"/>
    <hyperlink ref="I301" r:id="rId843" xr:uid="{00000000-0004-0000-0300-00004A030000}"/>
    <hyperlink ref="J301" r:id="rId844" xr:uid="{00000000-0004-0000-0300-00004B030000}"/>
    <hyperlink ref="G302" r:id="rId845" xr:uid="{00000000-0004-0000-0300-00004C030000}"/>
    <hyperlink ref="I302" r:id="rId846" xr:uid="{00000000-0004-0000-0300-00004D030000}"/>
    <hyperlink ref="J302" r:id="rId847" xr:uid="{00000000-0004-0000-0300-00004E030000}"/>
    <hyperlink ref="G303" r:id="rId848" xr:uid="{00000000-0004-0000-0300-00004F030000}"/>
    <hyperlink ref="I303" r:id="rId849" xr:uid="{00000000-0004-0000-0300-000050030000}"/>
    <hyperlink ref="J303" r:id="rId850" xr:uid="{00000000-0004-0000-0300-000051030000}"/>
    <hyperlink ref="G304" r:id="rId851" xr:uid="{00000000-0004-0000-0300-000052030000}"/>
    <hyperlink ref="I304" r:id="rId852" xr:uid="{00000000-0004-0000-0300-000053030000}"/>
    <hyperlink ref="J304" r:id="rId853" xr:uid="{00000000-0004-0000-0300-000054030000}"/>
    <hyperlink ref="G305" r:id="rId854" xr:uid="{00000000-0004-0000-0300-000055030000}"/>
    <hyperlink ref="I305" r:id="rId855" xr:uid="{00000000-0004-0000-0300-000056030000}"/>
    <hyperlink ref="J305" r:id="rId856" xr:uid="{00000000-0004-0000-0300-000057030000}"/>
    <hyperlink ref="G306" r:id="rId857" xr:uid="{00000000-0004-0000-0300-000058030000}"/>
    <hyperlink ref="I306" r:id="rId858" xr:uid="{00000000-0004-0000-0300-000059030000}"/>
    <hyperlink ref="J306" r:id="rId859" xr:uid="{00000000-0004-0000-0300-00005A030000}"/>
    <hyperlink ref="G307" r:id="rId860" xr:uid="{00000000-0004-0000-0300-00005B030000}"/>
    <hyperlink ref="I307" r:id="rId861" xr:uid="{00000000-0004-0000-0300-00005C030000}"/>
    <hyperlink ref="J307" r:id="rId862" xr:uid="{00000000-0004-0000-0300-00005D030000}"/>
    <hyperlink ref="G308" r:id="rId863" xr:uid="{00000000-0004-0000-0300-00005E030000}"/>
    <hyperlink ref="I308" r:id="rId864" xr:uid="{00000000-0004-0000-0300-00005F030000}"/>
    <hyperlink ref="J308" r:id="rId865" xr:uid="{00000000-0004-0000-0300-000060030000}"/>
    <hyperlink ref="G309" r:id="rId866" xr:uid="{00000000-0004-0000-0300-000061030000}"/>
    <hyperlink ref="I309" r:id="rId867" xr:uid="{00000000-0004-0000-0300-000062030000}"/>
    <hyperlink ref="J309" r:id="rId868" xr:uid="{00000000-0004-0000-0300-000063030000}"/>
    <hyperlink ref="G310" r:id="rId869" xr:uid="{00000000-0004-0000-0300-000064030000}"/>
    <hyperlink ref="I310" r:id="rId870" xr:uid="{00000000-0004-0000-0300-000065030000}"/>
    <hyperlink ref="J310" r:id="rId871" xr:uid="{00000000-0004-0000-0300-000066030000}"/>
    <hyperlink ref="G311" r:id="rId872" xr:uid="{00000000-0004-0000-0300-000067030000}"/>
    <hyperlink ref="I311" r:id="rId873" xr:uid="{00000000-0004-0000-0300-000068030000}"/>
    <hyperlink ref="J311" r:id="rId874" xr:uid="{00000000-0004-0000-0300-000069030000}"/>
    <hyperlink ref="G312" r:id="rId875" xr:uid="{00000000-0004-0000-0300-00006A030000}"/>
    <hyperlink ref="I312" r:id="rId876" xr:uid="{00000000-0004-0000-0300-00006B030000}"/>
    <hyperlink ref="J312" r:id="rId877" xr:uid="{00000000-0004-0000-0300-00006C030000}"/>
    <hyperlink ref="I313" r:id="rId878" xr:uid="{00000000-0004-0000-0300-00006D030000}"/>
    <hyperlink ref="J313" r:id="rId879" xr:uid="{00000000-0004-0000-0300-00006E030000}"/>
    <hyperlink ref="I314" r:id="rId880" xr:uid="{00000000-0004-0000-0300-00006F030000}"/>
    <hyperlink ref="J314" r:id="rId881" xr:uid="{00000000-0004-0000-0300-000070030000}"/>
    <hyperlink ref="I315" r:id="rId882" xr:uid="{00000000-0004-0000-0300-000071030000}"/>
    <hyperlink ref="J315" r:id="rId883" xr:uid="{00000000-0004-0000-0300-000072030000}"/>
    <hyperlink ref="I316" r:id="rId884" xr:uid="{00000000-0004-0000-0300-000073030000}"/>
    <hyperlink ref="J316" r:id="rId885" xr:uid="{00000000-0004-0000-0300-00007403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H1004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2" width="5.6640625" customWidth="1"/>
    <col min="4" max="5" width="17.33203125" customWidth="1"/>
    <col min="6" max="6" width="7.6640625" customWidth="1"/>
    <col min="7" max="7" width="9.5" customWidth="1"/>
    <col min="8" max="8" width="8.33203125" customWidth="1"/>
    <col min="9" max="10" width="8.5" customWidth="1"/>
    <col min="11" max="13" width="8.6640625" customWidth="1"/>
    <col min="17" max="17" width="15.33203125" customWidth="1"/>
    <col min="18" max="21" width="7.5" customWidth="1"/>
    <col min="22" max="22" width="8.1640625" customWidth="1"/>
    <col min="23" max="23" width="7" customWidth="1"/>
    <col min="24" max="24" width="5.83203125" customWidth="1"/>
    <col min="25" max="25" width="6.83203125" customWidth="1"/>
    <col min="26" max="26" width="7.6640625" customWidth="1"/>
    <col min="27" max="27" width="6.5" customWidth="1"/>
    <col min="28" max="28" width="9.33203125" customWidth="1"/>
    <col min="29" max="29" width="9.5" customWidth="1"/>
    <col min="30" max="30" width="8.33203125" customWidth="1"/>
    <col min="31" max="32" width="14.5" customWidth="1"/>
  </cols>
  <sheetData>
    <row r="1" spans="1:60" ht="13">
      <c r="A1" s="11"/>
      <c r="B1" s="11" t="s">
        <v>6</v>
      </c>
      <c r="C1" s="81" t="s">
        <v>7</v>
      </c>
      <c r="D1" s="81" t="s">
        <v>14</v>
      </c>
      <c r="E1" s="11" t="s">
        <v>15</v>
      </c>
      <c r="F1" s="11" t="s">
        <v>16</v>
      </c>
      <c r="G1" s="81" t="s">
        <v>17</v>
      </c>
      <c r="H1" s="11" t="s">
        <v>18</v>
      </c>
      <c r="I1" s="11" t="s">
        <v>19</v>
      </c>
      <c r="J1" s="11" t="s">
        <v>20</v>
      </c>
      <c r="K1" s="82" t="s">
        <v>21</v>
      </c>
      <c r="L1" s="82" t="s">
        <v>22</v>
      </c>
      <c r="M1" s="82" t="s">
        <v>142</v>
      </c>
      <c r="N1" s="11" t="s">
        <v>23</v>
      </c>
      <c r="O1" s="11" t="s">
        <v>24</v>
      </c>
      <c r="P1" s="11" t="s">
        <v>25</v>
      </c>
      <c r="Q1" s="11" t="s">
        <v>26</v>
      </c>
      <c r="R1" s="11" t="s">
        <v>27</v>
      </c>
      <c r="S1" s="11" t="s">
        <v>28</v>
      </c>
      <c r="T1" s="11" t="s">
        <v>29</v>
      </c>
      <c r="U1" s="11" t="s">
        <v>30</v>
      </c>
      <c r="V1" s="11" t="s">
        <v>31</v>
      </c>
      <c r="W1" s="11" t="s">
        <v>32</v>
      </c>
      <c r="X1" s="11" t="s">
        <v>33</v>
      </c>
      <c r="Y1" s="11" t="s">
        <v>34</v>
      </c>
      <c r="Z1" s="11" t="s">
        <v>35</v>
      </c>
      <c r="AA1" s="11" t="s">
        <v>36</v>
      </c>
      <c r="AB1" s="11" t="s">
        <v>37</v>
      </c>
      <c r="AC1" s="11" t="s">
        <v>38</v>
      </c>
      <c r="AD1" s="82" t="s">
        <v>39</v>
      </c>
      <c r="AE1" s="11" t="s">
        <v>40</v>
      </c>
      <c r="AF1" s="11" t="s">
        <v>41</v>
      </c>
      <c r="AG1" s="11" t="s">
        <v>42</v>
      </c>
      <c r="AH1" s="11" t="s">
        <v>43</v>
      </c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ht="13">
      <c r="A2" s="83" t="s">
        <v>93</v>
      </c>
      <c r="B2" s="11" t="s">
        <v>10</v>
      </c>
      <c r="C2" s="84" t="s">
        <v>94</v>
      </c>
      <c r="D2" s="84" t="s">
        <v>95</v>
      </c>
      <c r="E2" s="11" t="str">
        <f t="shared" ref="E2:E21" si="0">TRIM(LEFT(D2,LEN(D2)-4))</f>
        <v>Ozamataz Buckshank</v>
      </c>
      <c r="F2" s="11" t="str">
        <f>TRIM(RIGHT(D2,2))</f>
        <v>SS</v>
      </c>
      <c r="G2" s="81" t="s">
        <v>97</v>
      </c>
      <c r="H2" s="4">
        <v>1557</v>
      </c>
      <c r="I2" s="85">
        <v>10</v>
      </c>
      <c r="J2" s="86"/>
      <c r="K2" s="86"/>
      <c r="L2" s="86"/>
      <c r="M2" s="86"/>
      <c r="N2" s="11" t="s">
        <v>98</v>
      </c>
      <c r="O2" s="11" t="s">
        <v>70</v>
      </c>
      <c r="P2" s="11">
        <v>40</v>
      </c>
      <c r="Q2" s="11" t="s">
        <v>70</v>
      </c>
      <c r="R2" s="12"/>
      <c r="S2" s="12"/>
      <c r="T2" s="12"/>
      <c r="U2" s="12"/>
      <c r="V2" s="11">
        <v>3.5</v>
      </c>
      <c r="W2" s="11">
        <v>5</v>
      </c>
      <c r="X2" s="11">
        <v>5.75</v>
      </c>
      <c r="Y2" s="11">
        <v>7.25</v>
      </c>
      <c r="Z2" s="11">
        <v>8</v>
      </c>
      <c r="AA2" s="11">
        <v>9</v>
      </c>
      <c r="AB2" s="86">
        <v>9.25</v>
      </c>
      <c r="AC2" s="87">
        <v>9.75</v>
      </c>
      <c r="AD2" s="82">
        <v>1729</v>
      </c>
      <c r="AE2" s="11">
        <v>587</v>
      </c>
      <c r="AF2" s="11">
        <v>569</v>
      </c>
      <c r="AG2" s="11">
        <v>549</v>
      </c>
      <c r="AH2" s="12">
        <v>531</v>
      </c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</row>
    <row r="3" spans="1:60" ht="13">
      <c r="A3" s="53" t="s">
        <v>111</v>
      </c>
      <c r="B3" s="11" t="s">
        <v>10</v>
      </c>
      <c r="C3" s="84" t="s">
        <v>112</v>
      </c>
      <c r="D3" s="84" t="s">
        <v>113</v>
      </c>
      <c r="E3" s="12" t="str">
        <f t="shared" si="0"/>
        <v>Victoria Secret</v>
      </c>
      <c r="F3" s="11" t="s">
        <v>90</v>
      </c>
      <c r="G3" s="81" t="s">
        <v>114</v>
      </c>
      <c r="H3" s="4">
        <v>1512</v>
      </c>
      <c r="I3" s="59">
        <v>10</v>
      </c>
      <c r="J3" s="86"/>
      <c r="K3" s="86"/>
      <c r="L3" s="86"/>
      <c r="M3" s="86"/>
      <c r="N3" s="82" t="s">
        <v>115</v>
      </c>
      <c r="O3" s="11" t="s">
        <v>70</v>
      </c>
      <c r="P3" s="11">
        <v>3</v>
      </c>
      <c r="Q3" s="11" t="s">
        <v>70</v>
      </c>
      <c r="R3" s="11"/>
      <c r="S3" s="11"/>
      <c r="T3" s="11"/>
      <c r="U3" s="12"/>
      <c r="V3" s="11">
        <v>3</v>
      </c>
      <c r="W3" s="11">
        <v>8</v>
      </c>
      <c r="X3" s="11">
        <v>7</v>
      </c>
      <c r="Y3" s="11">
        <v>3.75</v>
      </c>
      <c r="Z3" s="11">
        <v>9.25</v>
      </c>
      <c r="AA3" s="11">
        <v>9.5</v>
      </c>
      <c r="AB3" s="85">
        <v>10</v>
      </c>
      <c r="AC3" s="59">
        <v>10</v>
      </c>
      <c r="AD3" s="82">
        <v>1791</v>
      </c>
      <c r="AE3" s="11">
        <v>621</v>
      </c>
      <c r="AF3" s="11">
        <v>603</v>
      </c>
      <c r="AG3" s="11">
        <v>589</v>
      </c>
      <c r="AH3" s="11">
        <v>565</v>
      </c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</row>
    <row r="4" spans="1:60" ht="13">
      <c r="A4" s="83" t="s">
        <v>127</v>
      </c>
      <c r="B4" s="11" t="s">
        <v>10</v>
      </c>
      <c r="C4" s="88" t="s">
        <v>128</v>
      </c>
      <c r="D4" s="88" t="s">
        <v>129</v>
      </c>
      <c r="E4" s="12" t="str">
        <f t="shared" si="0"/>
        <v>Paulo Di Stephano</v>
      </c>
      <c r="F4" s="12" t="str">
        <f>TRIM(RIGHT(D4,2))</f>
        <v>RF</v>
      </c>
      <c r="G4" s="89" t="s">
        <v>132</v>
      </c>
      <c r="H4" s="4">
        <v>1772</v>
      </c>
      <c r="I4" s="87">
        <v>9.5</v>
      </c>
      <c r="J4" s="87">
        <v>10</v>
      </c>
      <c r="K4" s="90">
        <v>10</v>
      </c>
      <c r="L4" s="90">
        <v>10</v>
      </c>
      <c r="M4" s="90"/>
      <c r="N4" s="11" t="s">
        <v>133</v>
      </c>
      <c r="O4" s="12" t="s">
        <v>126</v>
      </c>
      <c r="P4" s="12">
        <v>5</v>
      </c>
      <c r="Q4" s="12" t="s">
        <v>126</v>
      </c>
      <c r="R4" s="12"/>
      <c r="S4" s="12"/>
      <c r="T4" s="12"/>
      <c r="U4" s="12"/>
      <c r="V4" s="12">
        <v>3</v>
      </c>
      <c r="W4" s="12">
        <v>4</v>
      </c>
      <c r="X4" s="11">
        <v>8.75</v>
      </c>
      <c r="Y4" s="11">
        <v>1</v>
      </c>
      <c r="Z4" s="11">
        <v>6.5</v>
      </c>
      <c r="AA4" s="11">
        <v>8</v>
      </c>
      <c r="AB4" s="86">
        <v>8.5</v>
      </c>
      <c r="AC4" s="87">
        <v>9.25</v>
      </c>
      <c r="AD4" s="82">
        <v>1393</v>
      </c>
      <c r="AE4" s="12">
        <v>225</v>
      </c>
      <c r="AF4" s="12">
        <v>208</v>
      </c>
      <c r="AG4" s="12">
        <v>194</v>
      </c>
      <c r="AH4" s="12">
        <v>170</v>
      </c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91"/>
      <c r="BC4" s="91"/>
      <c r="BD4" s="91"/>
      <c r="BE4" s="91"/>
      <c r="BF4" s="91"/>
      <c r="BG4" s="91"/>
      <c r="BH4" s="91"/>
    </row>
    <row r="5" spans="1:60" ht="12.75" customHeight="1">
      <c r="A5" s="83" t="s">
        <v>188</v>
      </c>
      <c r="B5" s="11" t="s">
        <v>10</v>
      </c>
      <c r="C5" s="84" t="s">
        <v>189</v>
      </c>
      <c r="D5" s="84" t="s">
        <v>190</v>
      </c>
      <c r="E5" s="11" t="str">
        <f t="shared" si="0"/>
        <v>Do Min-joon</v>
      </c>
      <c r="F5" s="82" t="s">
        <v>83</v>
      </c>
      <c r="G5" s="81" t="s">
        <v>192</v>
      </c>
      <c r="H5" s="4">
        <v>1311</v>
      </c>
      <c r="I5" s="87">
        <v>10</v>
      </c>
      <c r="J5" s="87">
        <v>10</v>
      </c>
      <c r="K5" s="86"/>
      <c r="L5" s="86"/>
      <c r="M5" s="86"/>
      <c r="N5" s="11" t="s">
        <v>193</v>
      </c>
      <c r="O5" s="11" t="s">
        <v>70</v>
      </c>
      <c r="P5" s="11">
        <v>33</v>
      </c>
      <c r="Q5" s="11" t="s">
        <v>70</v>
      </c>
      <c r="R5" s="12"/>
      <c r="S5" s="12"/>
      <c r="T5" s="12"/>
      <c r="U5" s="12"/>
      <c r="V5" s="11">
        <v>3.5</v>
      </c>
      <c r="W5" s="11">
        <v>5</v>
      </c>
      <c r="X5" s="11">
        <v>5</v>
      </c>
      <c r="Y5" s="11">
        <v>458</v>
      </c>
      <c r="Z5" s="11">
        <v>8</v>
      </c>
      <c r="AA5" s="11">
        <v>9</v>
      </c>
      <c r="AB5" s="86">
        <v>9.25</v>
      </c>
      <c r="AC5" s="87">
        <v>9.75</v>
      </c>
      <c r="AD5" s="82">
        <v>1470</v>
      </c>
      <c r="AE5" s="11">
        <v>2</v>
      </c>
      <c r="AF5" s="11">
        <v>440</v>
      </c>
      <c r="AG5" s="11">
        <v>426</v>
      </c>
      <c r="AH5" s="12">
        <v>362</v>
      </c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</row>
    <row r="6" spans="1:60" ht="13">
      <c r="A6" s="83" t="s">
        <v>220</v>
      </c>
      <c r="B6" s="11" t="s">
        <v>10</v>
      </c>
      <c r="C6" s="84" t="s">
        <v>222</v>
      </c>
      <c r="D6" s="84" t="s">
        <v>224</v>
      </c>
      <c r="E6" s="11" t="str">
        <f t="shared" si="0"/>
        <v>Ziggy Coffey</v>
      </c>
      <c r="F6" s="82" t="s">
        <v>187</v>
      </c>
      <c r="G6" s="81" t="s">
        <v>225</v>
      </c>
      <c r="H6" s="4">
        <v>1149</v>
      </c>
      <c r="I6" s="90">
        <v>9.25</v>
      </c>
      <c r="J6" s="90">
        <v>9.25</v>
      </c>
      <c r="K6" s="86"/>
      <c r="L6" s="86"/>
      <c r="M6" s="86"/>
      <c r="N6" s="11" t="s">
        <v>226</v>
      </c>
      <c r="O6" s="11" t="s">
        <v>78</v>
      </c>
      <c r="P6" s="11">
        <v>9</v>
      </c>
      <c r="Q6" s="11" t="s">
        <v>70</v>
      </c>
      <c r="R6" s="12"/>
      <c r="S6" s="12"/>
      <c r="T6" s="12"/>
      <c r="U6" s="12"/>
      <c r="V6" s="12">
        <v>3.5</v>
      </c>
      <c r="W6" s="12">
        <v>3.5</v>
      </c>
      <c r="X6" s="11">
        <v>7</v>
      </c>
      <c r="Y6" s="11">
        <v>7</v>
      </c>
      <c r="Z6" s="11">
        <v>7</v>
      </c>
      <c r="AA6" s="11">
        <v>7</v>
      </c>
      <c r="AB6" s="86">
        <v>7</v>
      </c>
      <c r="AC6" s="85">
        <v>9.25</v>
      </c>
      <c r="AD6" s="82">
        <v>1239</v>
      </c>
      <c r="AE6" s="11">
        <v>418</v>
      </c>
      <c r="AF6" s="11">
        <v>406</v>
      </c>
      <c r="AG6" s="11">
        <v>372</v>
      </c>
      <c r="AH6" s="12">
        <v>372</v>
      </c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</row>
    <row r="7" spans="1:60" ht="13">
      <c r="A7" s="83" t="s">
        <v>227</v>
      </c>
      <c r="B7" s="11" t="s">
        <v>10</v>
      </c>
      <c r="C7" s="84" t="s">
        <v>229</v>
      </c>
      <c r="D7" s="84" t="s">
        <v>231</v>
      </c>
      <c r="E7" s="11" t="str">
        <f t="shared" si="0"/>
        <v>Jimmy Dong</v>
      </c>
      <c r="F7" s="11" t="str">
        <f>TRIM(RIGHT(D7,2))</f>
        <v>CF</v>
      </c>
      <c r="G7" s="81" t="s">
        <v>97</v>
      </c>
      <c r="H7" s="4">
        <v>1374</v>
      </c>
      <c r="I7" s="87">
        <v>8.5</v>
      </c>
      <c r="J7" s="86"/>
      <c r="K7" s="85"/>
      <c r="L7" s="85"/>
      <c r="M7" s="85"/>
      <c r="N7" s="11" t="s">
        <v>234</v>
      </c>
      <c r="O7" s="11" t="s">
        <v>33</v>
      </c>
      <c r="P7" s="11">
        <v>9</v>
      </c>
      <c r="Q7" s="11" t="s">
        <v>33</v>
      </c>
      <c r="R7" s="12"/>
      <c r="S7" s="12"/>
      <c r="T7" s="12"/>
      <c r="U7" s="12"/>
      <c r="V7" s="12"/>
      <c r="W7" s="11"/>
      <c r="X7" s="11">
        <v>4</v>
      </c>
      <c r="Y7" s="11">
        <v>4</v>
      </c>
      <c r="Z7" s="11">
        <v>4</v>
      </c>
      <c r="AA7" s="11">
        <v>5</v>
      </c>
      <c r="AB7" s="86">
        <v>6.5</v>
      </c>
      <c r="AC7" s="87">
        <v>7.25</v>
      </c>
      <c r="AD7" s="82">
        <v>999</v>
      </c>
      <c r="AE7" s="11"/>
      <c r="AF7" s="11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</row>
    <row r="8" spans="1:60" ht="13">
      <c r="A8" s="83" t="s">
        <v>235</v>
      </c>
      <c r="B8" s="11" t="s">
        <v>10</v>
      </c>
      <c r="C8" s="84" t="s">
        <v>236</v>
      </c>
      <c r="D8" s="84" t="s">
        <v>238</v>
      </c>
      <c r="E8" s="11" t="str">
        <f t="shared" si="0"/>
        <v>Guy Walker</v>
      </c>
      <c r="F8" s="82" t="s">
        <v>90</v>
      </c>
      <c r="G8" s="81" t="s">
        <v>55</v>
      </c>
      <c r="H8" s="4">
        <v>1180</v>
      </c>
      <c r="I8" s="85">
        <v>8</v>
      </c>
      <c r="J8" s="90">
        <v>8.25</v>
      </c>
      <c r="K8" s="86"/>
      <c r="L8" s="86"/>
      <c r="M8" s="86"/>
      <c r="N8" s="11"/>
      <c r="O8" s="11" t="s">
        <v>33</v>
      </c>
      <c r="P8" s="11">
        <v>21</v>
      </c>
      <c r="Q8" s="11" t="s">
        <v>33</v>
      </c>
      <c r="R8" s="12"/>
      <c r="S8" s="12"/>
      <c r="T8" s="12"/>
      <c r="U8" s="12"/>
      <c r="V8" s="12"/>
      <c r="W8" s="11"/>
      <c r="X8" s="11">
        <v>4</v>
      </c>
      <c r="Y8" s="11">
        <v>4</v>
      </c>
      <c r="Z8" s="11">
        <v>3</v>
      </c>
      <c r="AA8" s="11">
        <v>5</v>
      </c>
      <c r="AB8" s="85">
        <v>5.75</v>
      </c>
      <c r="AC8" s="85">
        <v>8</v>
      </c>
      <c r="AD8" s="82">
        <v>804</v>
      </c>
      <c r="AE8" s="11"/>
      <c r="AF8" s="11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</row>
    <row r="9" spans="1:60" ht="13">
      <c r="A9" s="93" t="s">
        <v>241</v>
      </c>
      <c r="B9" s="11" t="s">
        <v>10</v>
      </c>
      <c r="C9" s="84" t="s">
        <v>242</v>
      </c>
      <c r="D9" s="84" t="s">
        <v>244</v>
      </c>
      <c r="E9" s="11" t="str">
        <f t="shared" si="0"/>
        <v>Speedy Boi</v>
      </c>
      <c r="F9" s="82" t="s">
        <v>180</v>
      </c>
      <c r="G9" s="81" t="s">
        <v>68</v>
      </c>
      <c r="H9" s="4">
        <v>1005</v>
      </c>
      <c r="I9" s="85">
        <v>7.75</v>
      </c>
      <c r="J9" s="86"/>
      <c r="K9" s="86"/>
      <c r="L9" s="86"/>
      <c r="M9" s="86"/>
      <c r="N9" s="11"/>
      <c r="O9" s="11" t="s">
        <v>34</v>
      </c>
      <c r="P9" s="11">
        <v>1</v>
      </c>
      <c r="Q9" s="11" t="s">
        <v>33</v>
      </c>
      <c r="R9" s="12"/>
      <c r="S9" s="12"/>
      <c r="T9" s="12"/>
      <c r="U9" s="12"/>
      <c r="V9" s="12"/>
      <c r="W9" s="11"/>
      <c r="X9" s="11"/>
      <c r="Y9" s="11">
        <v>7</v>
      </c>
      <c r="Z9" s="11">
        <v>2</v>
      </c>
      <c r="AA9" s="11">
        <v>3</v>
      </c>
      <c r="AB9" s="85">
        <v>7.75</v>
      </c>
      <c r="AC9" s="85">
        <v>7.75</v>
      </c>
      <c r="AD9" s="82">
        <v>815</v>
      </c>
      <c r="AE9" s="11"/>
      <c r="AF9" s="11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21"/>
      <c r="BC9" s="21"/>
      <c r="BD9" s="21"/>
      <c r="BE9" s="21"/>
      <c r="BF9" s="21"/>
      <c r="BG9" s="21"/>
      <c r="BH9" s="21"/>
    </row>
    <row r="10" spans="1:60" ht="12.75" customHeight="1">
      <c r="A10" s="94" t="s">
        <v>245</v>
      </c>
      <c r="B10" s="11" t="s">
        <v>10</v>
      </c>
      <c r="C10" s="95" t="s">
        <v>247</v>
      </c>
      <c r="D10" s="96" t="s">
        <v>249</v>
      </c>
      <c r="E10" t="str">
        <f t="shared" si="0"/>
        <v>Anderson Pooper</v>
      </c>
      <c r="F10" s="8" t="s">
        <v>90</v>
      </c>
      <c r="G10" s="97" t="s">
        <v>109</v>
      </c>
      <c r="H10" s="4">
        <v>787</v>
      </c>
      <c r="I10" s="98">
        <v>5</v>
      </c>
      <c r="J10" s="99"/>
      <c r="K10" s="99"/>
      <c r="L10" s="99"/>
      <c r="M10" s="99"/>
      <c r="O10" s="8" t="s">
        <v>33</v>
      </c>
      <c r="P10" s="8">
        <v>29</v>
      </c>
      <c r="Q10" s="8" t="s">
        <v>33</v>
      </c>
      <c r="W10" s="8"/>
      <c r="X10" s="8"/>
      <c r="Y10" s="8">
        <v>2</v>
      </c>
      <c r="Z10" s="8">
        <v>2</v>
      </c>
      <c r="AA10">
        <v>3.4</v>
      </c>
      <c r="AB10" s="98">
        <v>15.49</v>
      </c>
      <c r="AC10" s="98">
        <v>6</v>
      </c>
      <c r="AD10" s="8">
        <v>467</v>
      </c>
      <c r="AE10">
        <v>2</v>
      </c>
      <c r="AF10" s="8"/>
      <c r="AG10" s="8"/>
      <c r="AH10" s="8"/>
      <c r="AI10" s="8"/>
    </row>
    <row r="11" spans="1:60" ht="13">
      <c r="A11" s="100" t="s">
        <v>252</v>
      </c>
      <c r="B11" s="11" t="s">
        <v>10</v>
      </c>
      <c r="C11" s="84" t="s">
        <v>253</v>
      </c>
      <c r="D11" s="84" t="s">
        <v>254</v>
      </c>
      <c r="E11" s="11" t="str">
        <f t="shared" si="0"/>
        <v>Amp Bogart</v>
      </c>
      <c r="F11" s="11" t="str">
        <f t="shared" ref="F11:F25" si="1">TRIM(RIGHT(D11,2))</f>
        <v>RF</v>
      </c>
      <c r="G11" s="81" t="s">
        <v>132</v>
      </c>
      <c r="H11" s="4">
        <v>651</v>
      </c>
      <c r="I11" s="85">
        <v>5</v>
      </c>
      <c r="J11" s="85">
        <v>6.5</v>
      </c>
      <c r="K11" s="85">
        <v>7.25</v>
      </c>
      <c r="L11" s="90">
        <v>8.5</v>
      </c>
      <c r="M11" s="90">
        <v>9</v>
      </c>
      <c r="N11" s="9" t="s">
        <v>255</v>
      </c>
      <c r="O11" s="11" t="s">
        <v>35</v>
      </c>
      <c r="P11" s="11">
        <v>1</v>
      </c>
      <c r="Q11" s="11" t="s">
        <v>35</v>
      </c>
      <c r="R11" s="11"/>
      <c r="S11" s="11"/>
      <c r="T11" s="11"/>
      <c r="U11" s="11"/>
      <c r="V11" s="12"/>
      <c r="W11" s="11"/>
      <c r="X11" s="11"/>
      <c r="Y11" s="11"/>
      <c r="Z11" s="11" t="s">
        <v>257</v>
      </c>
      <c r="AA11" s="12">
        <v>5</v>
      </c>
      <c r="AB11" s="86">
        <v>4</v>
      </c>
      <c r="AC11" s="87">
        <v>4.5</v>
      </c>
      <c r="AD11" s="82">
        <v>478</v>
      </c>
      <c r="AE11" s="11"/>
      <c r="AF11" s="11"/>
      <c r="AG11" s="11"/>
      <c r="AH11" s="11"/>
      <c r="AI11" s="11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33"/>
    </row>
    <row r="12" spans="1:60" ht="18" customHeight="1">
      <c r="A12" s="101" t="s">
        <v>258</v>
      </c>
      <c r="B12" s="11" t="s">
        <v>10</v>
      </c>
      <c r="C12" s="84" t="s">
        <v>259</v>
      </c>
      <c r="D12" s="84" t="s">
        <v>260</v>
      </c>
      <c r="E12" s="11" t="str">
        <f t="shared" si="0"/>
        <v>Frederick Birdington</v>
      </c>
      <c r="F12" s="11" t="str">
        <f t="shared" si="1"/>
        <v>SP</v>
      </c>
      <c r="G12" s="81" t="s">
        <v>109</v>
      </c>
      <c r="H12" s="4">
        <v>711</v>
      </c>
      <c r="I12" s="85">
        <v>5</v>
      </c>
      <c r="J12" s="85">
        <v>6.5</v>
      </c>
      <c r="K12" s="85">
        <v>7.25</v>
      </c>
      <c r="L12" s="90">
        <v>8.5</v>
      </c>
      <c r="M12" s="90">
        <v>9</v>
      </c>
      <c r="N12" s="9" t="s">
        <v>255</v>
      </c>
      <c r="O12" s="11" t="s">
        <v>36</v>
      </c>
      <c r="P12" s="11">
        <v>4</v>
      </c>
      <c r="Q12" s="11" t="s">
        <v>36</v>
      </c>
      <c r="R12" s="11"/>
      <c r="S12" s="11"/>
      <c r="T12" s="11"/>
      <c r="U12" s="11"/>
      <c r="V12" s="12"/>
      <c r="W12" s="11"/>
      <c r="X12" s="11"/>
      <c r="Y12" s="11"/>
      <c r="Z12" s="11"/>
      <c r="AA12" s="11">
        <v>0</v>
      </c>
      <c r="AB12" s="86">
        <v>4</v>
      </c>
      <c r="AC12" s="87">
        <v>4</v>
      </c>
      <c r="AD12" s="82">
        <v>395</v>
      </c>
      <c r="AE12" s="11"/>
      <c r="AF12" s="11"/>
      <c r="AG12" s="11"/>
      <c r="AH12" s="11"/>
      <c r="AI12" s="11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40"/>
    </row>
    <row r="13" spans="1:60" ht="18" customHeight="1">
      <c r="A13" s="93" t="s">
        <v>261</v>
      </c>
      <c r="B13" s="11" t="s">
        <v>10</v>
      </c>
      <c r="C13" s="84" t="s">
        <v>263</v>
      </c>
      <c r="D13" s="84" t="s">
        <v>264</v>
      </c>
      <c r="E13" s="11" t="str">
        <f t="shared" si="0"/>
        <v>Catolo Kittone</v>
      </c>
      <c r="F13" s="11" t="str">
        <f t="shared" si="1"/>
        <v>C</v>
      </c>
      <c r="G13" s="81" t="s">
        <v>265</v>
      </c>
      <c r="H13" s="4">
        <v>629</v>
      </c>
      <c r="I13" s="85">
        <v>5</v>
      </c>
      <c r="J13" s="86"/>
      <c r="K13" s="86"/>
      <c r="L13" s="86"/>
      <c r="M13" s="86"/>
      <c r="N13" s="11"/>
      <c r="O13" s="11" t="s">
        <v>34</v>
      </c>
      <c r="P13" s="11">
        <v>11</v>
      </c>
      <c r="Q13" s="11" t="s">
        <v>34</v>
      </c>
      <c r="R13" s="11" t="s">
        <v>266</v>
      </c>
      <c r="S13" s="11">
        <v>6</v>
      </c>
      <c r="T13" s="11">
        <v>4</v>
      </c>
      <c r="U13" s="12"/>
      <c r="V13" s="12"/>
      <c r="W13" s="11"/>
      <c r="X13" s="11"/>
      <c r="Y13" s="11">
        <v>2</v>
      </c>
      <c r="Z13" s="11">
        <v>2</v>
      </c>
      <c r="AA13" s="11">
        <v>2</v>
      </c>
      <c r="AB13" s="86">
        <v>2</v>
      </c>
      <c r="AC13" s="85">
        <v>4.75</v>
      </c>
      <c r="AD13" s="82">
        <v>473</v>
      </c>
      <c r="AE13" s="11"/>
      <c r="AF13" s="11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21"/>
      <c r="BC13" s="21"/>
      <c r="BD13" s="21"/>
      <c r="BE13" s="21"/>
      <c r="BF13" s="21"/>
      <c r="BG13" s="21"/>
      <c r="BH13" s="21"/>
    </row>
    <row r="14" spans="1:60" ht="18" customHeight="1">
      <c r="A14" s="8"/>
      <c r="B14" s="8" t="s">
        <v>10</v>
      </c>
      <c r="C14" s="96" t="s">
        <v>268</v>
      </c>
      <c r="D14" s="96" t="s">
        <v>270</v>
      </c>
      <c r="E14" s="8" t="str">
        <f t="shared" si="0"/>
        <v>Firstname Lastname</v>
      </c>
      <c r="F14" s="8" t="str">
        <f t="shared" si="1"/>
        <v>C</v>
      </c>
      <c r="G14" s="97" t="s">
        <v>132</v>
      </c>
      <c r="H14" s="4">
        <v>572</v>
      </c>
      <c r="I14" s="102">
        <v>5</v>
      </c>
      <c r="J14" s="99"/>
      <c r="K14" s="99"/>
      <c r="L14" s="99"/>
      <c r="M14" s="99"/>
      <c r="N14" s="8" t="s">
        <v>273</v>
      </c>
      <c r="O14" s="8" t="s">
        <v>37</v>
      </c>
      <c r="P14" s="8">
        <v>8</v>
      </c>
      <c r="Q14" s="8" t="s">
        <v>37</v>
      </c>
      <c r="W14" s="8"/>
      <c r="X14" s="8"/>
      <c r="Y14" s="8"/>
      <c r="Z14" s="8"/>
      <c r="AB14" s="99" t="s">
        <v>274</v>
      </c>
      <c r="AC14" s="99">
        <v>4.5</v>
      </c>
      <c r="AD14" s="4">
        <v>199</v>
      </c>
      <c r="AF14" s="8"/>
      <c r="AG14" s="8"/>
      <c r="AH14" s="8"/>
      <c r="AI14" s="8"/>
    </row>
    <row r="15" spans="1:60" ht="18" customHeight="1">
      <c r="A15" s="94" t="s">
        <v>275</v>
      </c>
      <c r="B15" s="11" t="s">
        <v>10</v>
      </c>
      <c r="C15" s="95" t="s">
        <v>277</v>
      </c>
      <c r="D15" s="96" t="s">
        <v>279</v>
      </c>
      <c r="E15" t="str">
        <f t="shared" si="0"/>
        <v>Rodney Flecha</v>
      </c>
      <c r="F15" s="8" t="str">
        <f t="shared" si="1"/>
        <v>CL</v>
      </c>
      <c r="G15" s="97" t="s">
        <v>55</v>
      </c>
      <c r="H15" s="4">
        <v>183</v>
      </c>
      <c r="I15" s="98">
        <v>0.5</v>
      </c>
      <c r="J15" s="99"/>
      <c r="K15" s="99"/>
      <c r="L15" s="99"/>
      <c r="M15" s="99"/>
      <c r="N15" s="8"/>
      <c r="O15" s="8" t="s">
        <v>126</v>
      </c>
      <c r="P15" s="8">
        <v>8</v>
      </c>
      <c r="Q15" s="8" t="s">
        <v>126</v>
      </c>
      <c r="W15" s="8">
        <v>4</v>
      </c>
      <c r="X15" s="8">
        <v>4</v>
      </c>
      <c r="Y15" s="8">
        <v>4</v>
      </c>
      <c r="Z15" s="8">
        <v>0.5</v>
      </c>
      <c r="AA15" s="8"/>
      <c r="AB15" s="98">
        <v>0.5</v>
      </c>
      <c r="AC15" s="98">
        <v>0.5</v>
      </c>
      <c r="AD15" s="8">
        <v>183</v>
      </c>
      <c r="AE15" s="8"/>
      <c r="AF15" s="8">
        <v>183</v>
      </c>
      <c r="AG15" s="8">
        <v>175</v>
      </c>
      <c r="AH15" s="8">
        <v>154</v>
      </c>
      <c r="AI15" s="8">
        <v>138</v>
      </c>
    </row>
    <row r="16" spans="1:60" ht="12.75" customHeight="1">
      <c r="B16" s="8" t="s">
        <v>10</v>
      </c>
      <c r="C16" s="96" t="s">
        <v>281</v>
      </c>
      <c r="D16" s="96" t="s">
        <v>283</v>
      </c>
      <c r="E16" s="8" t="str">
        <f t="shared" si="0"/>
        <v>Mountain Thunderfist</v>
      </c>
      <c r="F16" s="8" t="str">
        <f t="shared" si="1"/>
        <v>1B</v>
      </c>
      <c r="G16" s="97" t="s">
        <v>284</v>
      </c>
      <c r="H16" s="4">
        <v>156</v>
      </c>
      <c r="I16" s="98">
        <v>1.5</v>
      </c>
      <c r="J16" s="90">
        <v>3</v>
      </c>
      <c r="N16" s="94" t="s">
        <v>285</v>
      </c>
      <c r="O16" s="8" t="s">
        <v>38</v>
      </c>
      <c r="P16" s="8">
        <v>22</v>
      </c>
      <c r="Q16" s="8" t="s">
        <v>38</v>
      </c>
      <c r="AC16" s="99" t="s">
        <v>274</v>
      </c>
      <c r="AD16" s="8">
        <v>100</v>
      </c>
    </row>
    <row r="17" spans="1:60" ht="18" customHeight="1">
      <c r="B17" s="8" t="s">
        <v>10</v>
      </c>
      <c r="C17" s="96" t="s">
        <v>286</v>
      </c>
      <c r="D17" s="96" t="s">
        <v>288</v>
      </c>
      <c r="E17" s="11" t="str">
        <f t="shared" si="0"/>
        <v>Paco Dunbar</v>
      </c>
      <c r="F17" s="11" t="str">
        <f t="shared" si="1"/>
        <v>CL</v>
      </c>
      <c r="G17" s="97" t="s">
        <v>290</v>
      </c>
      <c r="H17" s="4">
        <v>139</v>
      </c>
      <c r="I17" s="98">
        <v>1</v>
      </c>
      <c r="J17" s="90">
        <v>1</v>
      </c>
      <c r="K17" s="103"/>
      <c r="L17" s="103"/>
      <c r="M17" s="103"/>
      <c r="N17" s="105" t="s">
        <v>292</v>
      </c>
      <c r="O17" s="4" t="s">
        <v>38</v>
      </c>
      <c r="P17" s="4">
        <v>38</v>
      </c>
      <c r="Q17" s="4" t="s">
        <v>38</v>
      </c>
      <c r="AB17" s="12"/>
      <c r="AC17" s="82" t="s">
        <v>274</v>
      </c>
      <c r="AD17" s="82">
        <v>100</v>
      </c>
    </row>
    <row r="18" spans="1:60" ht="18" customHeight="1">
      <c r="B18" s="8" t="s">
        <v>10</v>
      </c>
      <c r="C18" s="96" t="s">
        <v>295</v>
      </c>
      <c r="D18" s="96" t="s">
        <v>296</v>
      </c>
      <c r="E18" s="8" t="str">
        <f t="shared" si="0"/>
        <v>Arthur Meebles</v>
      </c>
      <c r="F18" s="8" t="str">
        <f t="shared" si="1"/>
        <v>LF</v>
      </c>
      <c r="G18" s="97" t="s">
        <v>298</v>
      </c>
      <c r="H18" s="4">
        <v>108</v>
      </c>
      <c r="I18" s="98">
        <v>1</v>
      </c>
      <c r="J18" s="90">
        <v>3</v>
      </c>
      <c r="N18" s="94" t="s">
        <v>285</v>
      </c>
      <c r="O18" s="8" t="s">
        <v>38</v>
      </c>
      <c r="P18" s="8">
        <v>34</v>
      </c>
      <c r="Q18" s="8" t="s">
        <v>38</v>
      </c>
      <c r="AC18" s="99" t="s">
        <v>274</v>
      </c>
      <c r="AD18" s="8">
        <v>100</v>
      </c>
    </row>
    <row r="19" spans="1:60" ht="18" customHeight="1">
      <c r="B19" s="8" t="s">
        <v>10</v>
      </c>
      <c r="C19" s="96" t="s">
        <v>300</v>
      </c>
      <c r="D19" s="96" t="s">
        <v>302</v>
      </c>
      <c r="E19" s="8" t="str">
        <f t="shared" si="0"/>
        <v>Ed Barker</v>
      </c>
      <c r="F19" s="8" t="str">
        <f t="shared" si="1"/>
        <v>SP</v>
      </c>
      <c r="G19" s="97" t="s">
        <v>55</v>
      </c>
      <c r="H19" s="4">
        <v>358</v>
      </c>
      <c r="I19" s="98">
        <v>4</v>
      </c>
      <c r="J19" s="90">
        <v>4</v>
      </c>
      <c r="N19" s="94" t="s">
        <v>285</v>
      </c>
      <c r="O19" s="8" t="s">
        <v>38</v>
      </c>
      <c r="P19" s="8">
        <v>14</v>
      </c>
      <c r="Q19" s="8" t="s">
        <v>38</v>
      </c>
      <c r="AC19" s="99" t="s">
        <v>274</v>
      </c>
      <c r="AD19" s="8">
        <v>100</v>
      </c>
    </row>
    <row r="20" spans="1:60" ht="12.75" customHeight="1">
      <c r="A20" s="93" t="s">
        <v>198</v>
      </c>
      <c r="B20" s="8" t="s">
        <v>304</v>
      </c>
      <c r="C20" s="106" t="s">
        <v>199</v>
      </c>
      <c r="D20" s="106" t="s">
        <v>200</v>
      </c>
      <c r="E20" s="40" t="str">
        <f t="shared" si="0"/>
        <v>Elston Sinclair</v>
      </c>
      <c r="F20" s="40" t="str">
        <f t="shared" si="1"/>
        <v>SP</v>
      </c>
      <c r="G20" s="107" t="s">
        <v>55</v>
      </c>
      <c r="H20" s="4">
        <v>358</v>
      </c>
      <c r="I20" s="108">
        <v>14.99</v>
      </c>
      <c r="J20" s="43"/>
      <c r="K20" s="43"/>
      <c r="L20" s="43"/>
      <c r="M20" s="43"/>
      <c r="N20" s="40" t="s">
        <v>202</v>
      </c>
      <c r="O20" s="40" t="s">
        <v>70</v>
      </c>
      <c r="P20" s="40" t="s">
        <v>141</v>
      </c>
      <c r="Q20" s="40" t="s">
        <v>70</v>
      </c>
      <c r="R20" s="40"/>
      <c r="S20" s="40"/>
      <c r="T20" s="40"/>
      <c r="U20" s="40"/>
      <c r="V20" s="40"/>
      <c r="W20" s="42">
        <v>2</v>
      </c>
      <c r="X20" s="42">
        <v>5</v>
      </c>
      <c r="Y20" s="109">
        <v>6.5</v>
      </c>
      <c r="Z20" s="42">
        <v>7.25</v>
      </c>
      <c r="AA20" s="109">
        <v>6.5</v>
      </c>
      <c r="AB20" s="44">
        <v>8.5</v>
      </c>
      <c r="AC20" s="110">
        <v>11</v>
      </c>
      <c r="AD20" s="109">
        <v>1355</v>
      </c>
      <c r="AE20" s="44">
        <v>9</v>
      </c>
      <c r="AF20" s="42">
        <v>575</v>
      </c>
      <c r="AG20" s="42">
        <v>575</v>
      </c>
      <c r="AH20" s="42">
        <v>558</v>
      </c>
      <c r="AI20" s="42">
        <v>520</v>
      </c>
      <c r="AJ20" s="93" t="str">
        <f>VLOOKUP(B20,Analysis!$A$24:$B$32,2,FALSE)</f>
        <v>:bulldogs:</v>
      </c>
      <c r="AK20" s="93" t="str">
        <f>AJ20&amp;" [b][url="&amp;A20&amp;"]"&amp;D20&amp;"[/url][/b] TPE: "&amp;AD20&amp;", Regression Class: "&amp;Q20</f>
        <v>:bulldogs: [b][url=http://probaseballexperience.jcink.net/index.php?showtopic=88]Elston Sinclair - SP[/url][/b] TPE: 1355, Regression Class: S1</v>
      </c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</row>
    <row r="21" spans="1:60" ht="12.75" customHeight="1">
      <c r="A21" s="93" t="s">
        <v>306</v>
      </c>
      <c r="B21" s="8" t="s">
        <v>304</v>
      </c>
      <c r="C21" s="84" t="s">
        <v>307</v>
      </c>
      <c r="D21" s="84" t="s">
        <v>309</v>
      </c>
      <c r="E21" s="11" t="str">
        <f t="shared" si="0"/>
        <v>Damien Walec</v>
      </c>
      <c r="F21" s="11" t="str">
        <f t="shared" si="1"/>
        <v>SP</v>
      </c>
      <c r="G21" s="81" t="s">
        <v>109</v>
      </c>
      <c r="H21" s="4">
        <v>364</v>
      </c>
      <c r="I21" s="85">
        <v>3</v>
      </c>
      <c r="J21" s="86"/>
      <c r="K21" s="86"/>
      <c r="L21" s="86"/>
      <c r="M21" s="86"/>
      <c r="N21" s="11"/>
      <c r="O21" s="11" t="s">
        <v>34</v>
      </c>
      <c r="P21" s="11">
        <v>5</v>
      </c>
      <c r="Q21" s="11" t="s">
        <v>34</v>
      </c>
      <c r="R21" s="12"/>
      <c r="S21" s="12"/>
      <c r="T21" s="12"/>
      <c r="U21" s="12"/>
      <c r="V21" s="12"/>
      <c r="W21" s="11"/>
      <c r="X21" s="11"/>
      <c r="Y21" s="11">
        <v>6.5</v>
      </c>
      <c r="Z21" s="11">
        <v>2.5</v>
      </c>
      <c r="AA21" s="82">
        <v>2</v>
      </c>
      <c r="AB21" s="85">
        <v>2</v>
      </c>
      <c r="AC21" s="85">
        <v>3</v>
      </c>
      <c r="AD21" s="82">
        <v>364</v>
      </c>
      <c r="AE21" s="11"/>
      <c r="AF21" s="11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21"/>
      <c r="BC21" s="21"/>
      <c r="BD21" s="21"/>
      <c r="BE21" s="21"/>
      <c r="BF21" s="21"/>
      <c r="BG21" s="21"/>
      <c r="BH21" s="21"/>
    </row>
    <row r="22" spans="1:60" ht="13">
      <c r="A22" s="47"/>
      <c r="B22" s="47" t="s">
        <v>44</v>
      </c>
      <c r="C22" s="111" t="s">
        <v>311</v>
      </c>
      <c r="D22" s="112" t="s">
        <v>313</v>
      </c>
      <c r="E22" s="47" t="str">
        <f t="shared" ref="E22:E23" si="2">IFERROR(TRIM(LEFT(D22,LEN(D22)-4)),"")</f>
        <v>Harry Styles</v>
      </c>
      <c r="F22" s="47" t="str">
        <f t="shared" si="1"/>
        <v>CL</v>
      </c>
      <c r="G22" s="47" t="s">
        <v>55</v>
      </c>
      <c r="H22" s="113">
        <v>175</v>
      </c>
      <c r="I22" s="114" t="s">
        <v>274</v>
      </c>
      <c r="J22" s="114">
        <v>5</v>
      </c>
      <c r="K22" s="114">
        <v>5</v>
      </c>
      <c r="L22" s="115"/>
      <c r="M22" s="115"/>
      <c r="N22" s="116" t="s">
        <v>315</v>
      </c>
      <c r="O22" s="47" t="s">
        <v>19</v>
      </c>
      <c r="P22" s="117">
        <v>6</v>
      </c>
      <c r="Q22" s="47" t="s">
        <v>19</v>
      </c>
      <c r="R22" s="47"/>
      <c r="S22" s="47"/>
      <c r="T22" s="47"/>
      <c r="U22" s="47"/>
      <c r="V22" s="47"/>
      <c r="W22" s="47"/>
      <c r="X22" s="47"/>
      <c r="Y22" s="47"/>
      <c r="Z22" s="49"/>
      <c r="AA22" s="47"/>
      <c r="AB22" s="115"/>
      <c r="AC22" s="115"/>
      <c r="AD22" s="47" t="s">
        <v>47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12"/>
      <c r="BH22" s="12"/>
    </row>
    <row r="23" spans="1:60" ht="13">
      <c r="A23" s="47"/>
      <c r="B23" s="48" t="s">
        <v>10</v>
      </c>
      <c r="C23" s="118" t="s">
        <v>317</v>
      </c>
      <c r="D23" s="119" t="s">
        <v>319</v>
      </c>
      <c r="E23" s="47" t="str">
        <f t="shared" si="2"/>
        <v>Henry Chadwick</v>
      </c>
      <c r="F23" s="47" t="str">
        <f t="shared" si="1"/>
        <v>SP</v>
      </c>
      <c r="G23" s="120" t="s">
        <v>109</v>
      </c>
      <c r="H23" s="113">
        <v>131</v>
      </c>
      <c r="I23" s="114" t="s">
        <v>274</v>
      </c>
      <c r="J23" s="114">
        <v>3</v>
      </c>
      <c r="K23" s="114">
        <v>3</v>
      </c>
      <c r="L23" s="47"/>
      <c r="M23" s="47"/>
      <c r="N23" s="116" t="s">
        <v>315</v>
      </c>
      <c r="O23" s="47" t="s">
        <v>19</v>
      </c>
      <c r="P23" s="48">
        <v>9</v>
      </c>
      <c r="Q23" s="47" t="s">
        <v>19</v>
      </c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9" t="s">
        <v>47</v>
      </c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21"/>
      <c r="BC23" s="21"/>
      <c r="BD23" s="21"/>
      <c r="BE23" s="21"/>
      <c r="BF23" s="21"/>
      <c r="BG23" s="12"/>
      <c r="BH23" s="12"/>
    </row>
    <row r="24" spans="1:60" ht="13">
      <c r="A24" s="12"/>
      <c r="B24" s="7" t="s">
        <v>10</v>
      </c>
      <c r="C24" s="118" t="s">
        <v>323</v>
      </c>
      <c r="D24" s="25" t="s">
        <v>324</v>
      </c>
      <c r="E24" s="11" t="str">
        <f>IFERROR(TRIM(LEFT(D24,LEN(D24)-4)),"")</f>
        <v>Jackson Krowley</v>
      </c>
      <c r="F24" s="11" t="str">
        <f t="shared" si="1"/>
        <v>SS</v>
      </c>
      <c r="G24" s="7" t="s">
        <v>97</v>
      </c>
      <c r="H24" s="7">
        <v>158</v>
      </c>
      <c r="I24" s="114" t="s">
        <v>274</v>
      </c>
      <c r="J24" s="114">
        <v>3</v>
      </c>
      <c r="K24" s="114">
        <v>3</v>
      </c>
      <c r="L24" s="2"/>
      <c r="M24" s="2"/>
      <c r="N24" s="122" t="s">
        <v>315</v>
      </c>
      <c r="O24" s="7" t="s">
        <v>19</v>
      </c>
      <c r="P24" s="19">
        <v>20</v>
      </c>
      <c r="Q24" s="7" t="s">
        <v>19</v>
      </c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2"/>
      <c r="AD24" s="4" t="s">
        <v>47</v>
      </c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</row>
    <row r="25" spans="1:60" ht="13">
      <c r="A25" s="50"/>
      <c r="B25" s="51" t="s">
        <v>10</v>
      </c>
      <c r="C25" s="118" t="s">
        <v>326</v>
      </c>
      <c r="D25" s="119" t="s">
        <v>327</v>
      </c>
      <c r="E25" s="50" t="str">
        <f>IFERROR(TRIM(LEFT(D25,LEN(D25)-4)),"")</f>
        <v>Reggie Montoya</v>
      </c>
      <c r="F25" s="50" t="str">
        <f t="shared" si="1"/>
        <v>3B</v>
      </c>
      <c r="G25" s="51" t="s">
        <v>329</v>
      </c>
      <c r="H25" s="123">
        <v>128</v>
      </c>
      <c r="I25" s="114" t="s">
        <v>274</v>
      </c>
      <c r="J25" s="114">
        <v>2</v>
      </c>
      <c r="K25" s="114">
        <v>2</v>
      </c>
      <c r="L25" s="50"/>
      <c r="M25" s="50"/>
      <c r="N25" s="124" t="s">
        <v>315</v>
      </c>
      <c r="O25" s="50" t="s">
        <v>19</v>
      </c>
      <c r="P25" s="51">
        <v>37</v>
      </c>
      <c r="Q25" s="50" t="s">
        <v>19</v>
      </c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 t="s">
        <v>47</v>
      </c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21"/>
      <c r="BC25" s="21"/>
      <c r="BD25" s="21"/>
      <c r="BE25" s="21"/>
      <c r="BF25" s="21"/>
      <c r="BG25" s="12"/>
      <c r="BH25" s="12"/>
    </row>
    <row r="26" spans="1:60" ht="12.75" customHeight="1">
      <c r="A26" s="94" t="s">
        <v>332</v>
      </c>
      <c r="B26" s="8" t="s">
        <v>304</v>
      </c>
      <c r="C26" s="96" t="s">
        <v>334</v>
      </c>
      <c r="D26" s="96" t="s">
        <v>335</v>
      </c>
      <c r="E26" t="str">
        <f>TRIM(LEFT(D26,LEN(D26)-4))</f>
        <v>Corey Bradford</v>
      </c>
      <c r="F26" s="8" t="s">
        <v>336</v>
      </c>
      <c r="G26" s="97" t="s">
        <v>290</v>
      </c>
      <c r="H26" s="4">
        <v>129</v>
      </c>
      <c r="I26" s="125">
        <v>1</v>
      </c>
      <c r="J26" s="99"/>
      <c r="K26" s="99"/>
      <c r="L26" s="99"/>
      <c r="M26" s="99"/>
      <c r="O26" t="s">
        <v>36</v>
      </c>
      <c r="P26" s="8">
        <v>19</v>
      </c>
      <c r="Q26" t="s">
        <v>36</v>
      </c>
      <c r="Y26" s="8"/>
      <c r="AA26" s="8">
        <v>0</v>
      </c>
      <c r="AB26" s="99">
        <v>1.5</v>
      </c>
      <c r="AC26" s="8">
        <v>129</v>
      </c>
      <c r="AD26" s="99">
        <v>1.5</v>
      </c>
    </row>
    <row r="27" spans="1:60" ht="13">
      <c r="A27" s="12"/>
      <c r="B27" s="12"/>
      <c r="C27" s="89"/>
      <c r="D27" s="89"/>
      <c r="E27" s="12"/>
      <c r="F27" s="12"/>
      <c r="G27" s="89"/>
      <c r="H27" s="12"/>
      <c r="I27" s="86"/>
      <c r="J27" s="86"/>
      <c r="K27" s="86"/>
      <c r="L27" s="86"/>
      <c r="M27" s="86"/>
      <c r="N27" s="11" t="s">
        <v>338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>
        <f>1.5+1.75</f>
        <v>3.25</v>
      </c>
      <c r="Z27" s="11">
        <v>0.25</v>
      </c>
      <c r="AA27" s="12"/>
      <c r="AB27" s="85"/>
      <c r="AC27" s="86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</row>
    <row r="28" spans="1:60" ht="13">
      <c r="A28" s="12"/>
      <c r="B28" s="12"/>
      <c r="C28" s="89"/>
      <c r="D28" s="89"/>
      <c r="E28" s="12"/>
      <c r="F28" s="11"/>
      <c r="G28" s="81"/>
      <c r="H28" s="12"/>
      <c r="I28" s="86"/>
      <c r="J28" s="86"/>
      <c r="K28" s="86"/>
      <c r="L28" s="86"/>
      <c r="M28" s="86"/>
      <c r="N28" s="11" t="s">
        <v>340</v>
      </c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1">
        <v>2.95</v>
      </c>
      <c r="AA28" s="82">
        <v>3.75</v>
      </c>
      <c r="AB28" s="85">
        <v>1.75</v>
      </c>
      <c r="AC28" s="86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</row>
    <row r="29" spans="1:60" ht="13">
      <c r="A29" s="12"/>
      <c r="B29" s="12"/>
      <c r="C29" s="89"/>
      <c r="D29" s="89"/>
      <c r="E29" s="12"/>
      <c r="F29" s="11"/>
      <c r="G29" s="81"/>
      <c r="H29" s="12"/>
      <c r="I29" s="86">
        <f t="shared" ref="I29:M29" si="3">SUM(I2:I28)</f>
        <v>124.99</v>
      </c>
      <c r="J29" s="86">
        <f t="shared" si="3"/>
        <v>74.5</v>
      </c>
      <c r="K29" s="86">
        <f t="shared" si="3"/>
        <v>37.5</v>
      </c>
      <c r="L29" s="86">
        <f t="shared" si="3"/>
        <v>27</v>
      </c>
      <c r="M29" s="86">
        <f t="shared" si="3"/>
        <v>18</v>
      </c>
      <c r="N29" s="12"/>
      <c r="O29" s="12"/>
      <c r="P29" s="12"/>
      <c r="Q29" s="12"/>
      <c r="R29" s="12"/>
      <c r="S29" s="12"/>
      <c r="T29" s="12"/>
      <c r="U29" s="12"/>
      <c r="V29" s="12">
        <f>SUM(V5:V6)</f>
        <v>7</v>
      </c>
      <c r="W29" s="12">
        <f t="shared" ref="W29:X29" si="4">SUM(W4:W7)</f>
        <v>12.5</v>
      </c>
      <c r="X29" s="12">
        <f t="shared" si="4"/>
        <v>24.75</v>
      </c>
      <c r="Y29" s="12">
        <f>SUM(Y4:Y27)</f>
        <v>505.25</v>
      </c>
      <c r="Z29" s="12">
        <f t="shared" ref="Z29:AC29" si="5">SUM(Z2:Z28)</f>
        <v>65.2</v>
      </c>
      <c r="AA29" s="126">
        <f t="shared" si="5"/>
        <v>78.150000000000006</v>
      </c>
      <c r="AB29" s="86">
        <f t="shared" si="5"/>
        <v>103.74</v>
      </c>
      <c r="AC29" s="86">
        <f t="shared" si="5"/>
        <v>238.25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</row>
    <row r="30" spans="1:60" ht="13">
      <c r="C30" s="127"/>
      <c r="D30" s="127"/>
      <c r="F30" s="8"/>
      <c r="G30" s="97"/>
    </row>
    <row r="31" spans="1:60" ht="13">
      <c r="C31" s="127"/>
      <c r="D31" s="127"/>
      <c r="E31" s="128" t="s">
        <v>343</v>
      </c>
      <c r="F31" s="99"/>
      <c r="G31" s="129"/>
      <c r="AF31" s="8"/>
      <c r="AG31" s="8"/>
    </row>
    <row r="32" spans="1:60" ht="13">
      <c r="C32" s="127"/>
      <c r="D32" s="127"/>
      <c r="E32" s="98" t="s">
        <v>344</v>
      </c>
      <c r="F32" s="99"/>
      <c r="G32" s="129"/>
    </row>
    <row r="33" spans="3:23" ht="13">
      <c r="C33" s="127"/>
      <c r="D33" s="127"/>
      <c r="E33" s="130" t="s">
        <v>345</v>
      </c>
      <c r="F33" s="131"/>
      <c r="G33" s="132"/>
    </row>
    <row r="34" spans="3:23" ht="13">
      <c r="C34" s="127"/>
      <c r="D34" s="127"/>
      <c r="E34" s="125" t="s">
        <v>347</v>
      </c>
      <c r="F34" s="102"/>
      <c r="G34" s="133"/>
    </row>
    <row r="35" spans="3:23" ht="13">
      <c r="C35" s="127"/>
      <c r="D35" s="127"/>
      <c r="E35" s="90" t="s">
        <v>348</v>
      </c>
      <c r="F35" s="87"/>
      <c r="G35" s="134"/>
    </row>
    <row r="36" spans="3:23" ht="13">
      <c r="C36" s="127"/>
      <c r="D36" s="127"/>
      <c r="E36" s="416" t="s">
        <v>350</v>
      </c>
      <c r="F36" s="417"/>
      <c r="G36" s="418"/>
    </row>
    <row r="37" spans="3:23" ht="13">
      <c r="C37" s="127"/>
      <c r="D37" s="127"/>
      <c r="G37" s="127"/>
    </row>
    <row r="38" spans="3:23" ht="13">
      <c r="C38" s="127"/>
      <c r="D38" s="127"/>
      <c r="G38" s="127"/>
    </row>
    <row r="39" spans="3:23" ht="13">
      <c r="C39" s="127"/>
      <c r="D39" s="127"/>
      <c r="G39" s="127"/>
      <c r="W39">
        <f>H39-G38</f>
        <v>0</v>
      </c>
    </row>
    <row r="40" spans="3:23" ht="13">
      <c r="C40" s="127"/>
      <c r="D40" s="127"/>
      <c r="G40" s="127"/>
    </row>
    <row r="41" spans="3:23" ht="13">
      <c r="C41" s="127"/>
      <c r="D41" s="127"/>
      <c r="G41" s="127"/>
    </row>
    <row r="42" spans="3:23" ht="13">
      <c r="C42" s="127"/>
      <c r="D42" s="127"/>
      <c r="G42" s="127"/>
    </row>
    <row r="43" spans="3:23" ht="13">
      <c r="C43" s="127"/>
      <c r="D43" s="127"/>
      <c r="G43" s="127"/>
    </row>
    <row r="44" spans="3:23" ht="13">
      <c r="C44" s="127"/>
      <c r="D44" s="127"/>
      <c r="G44" s="127"/>
    </row>
    <row r="45" spans="3:23" ht="13">
      <c r="C45" s="127"/>
      <c r="D45" s="127"/>
      <c r="G45" s="127"/>
    </row>
    <row r="46" spans="3:23" ht="13">
      <c r="C46" s="127"/>
      <c r="D46" s="127"/>
      <c r="G46" s="127"/>
    </row>
    <row r="47" spans="3:23" ht="13">
      <c r="C47" s="127"/>
      <c r="D47" s="127"/>
      <c r="G47" s="97"/>
    </row>
    <row r="48" spans="3:23" ht="13">
      <c r="C48" s="127"/>
      <c r="D48" s="127"/>
      <c r="G48" s="97"/>
    </row>
    <row r="49" spans="3:7" ht="13">
      <c r="C49" s="127"/>
      <c r="D49" s="127"/>
      <c r="G49" s="97"/>
    </row>
    <row r="50" spans="3:7" ht="13">
      <c r="C50" s="127"/>
      <c r="D50" s="127"/>
      <c r="F50" s="8"/>
      <c r="G50" s="97"/>
    </row>
    <row r="51" spans="3:7" ht="13">
      <c r="C51" s="127"/>
      <c r="D51" s="127"/>
      <c r="F51" s="8"/>
      <c r="G51" s="97"/>
    </row>
    <row r="52" spans="3:7" ht="13">
      <c r="C52" s="127"/>
      <c r="D52" s="127"/>
      <c r="F52" s="8"/>
      <c r="G52" s="97"/>
    </row>
    <row r="53" spans="3:7" ht="13">
      <c r="C53" s="127"/>
      <c r="D53" s="127"/>
      <c r="F53" s="8"/>
      <c r="G53" s="97"/>
    </row>
    <row r="54" spans="3:7" ht="13">
      <c r="C54" s="127"/>
      <c r="D54" s="127"/>
      <c r="G54" s="127"/>
    </row>
    <row r="55" spans="3:7" ht="13">
      <c r="C55" s="127"/>
      <c r="D55" s="127"/>
      <c r="G55" s="127"/>
    </row>
    <row r="56" spans="3:7" ht="13">
      <c r="C56" s="127"/>
      <c r="D56" s="127"/>
      <c r="G56" s="127"/>
    </row>
    <row r="57" spans="3:7" ht="13">
      <c r="C57" s="127"/>
      <c r="D57" s="127"/>
      <c r="G57" s="127"/>
    </row>
    <row r="58" spans="3:7" ht="13">
      <c r="C58" s="127"/>
      <c r="D58" s="127"/>
      <c r="G58" s="127"/>
    </row>
    <row r="59" spans="3:7" ht="13">
      <c r="C59" s="127"/>
      <c r="D59" s="127"/>
      <c r="G59" s="127"/>
    </row>
    <row r="60" spans="3:7" ht="13">
      <c r="C60" s="127"/>
      <c r="D60" s="127"/>
      <c r="G60" s="127"/>
    </row>
    <row r="61" spans="3:7" ht="13">
      <c r="C61" s="127"/>
      <c r="D61" s="127"/>
      <c r="G61" s="127"/>
    </row>
    <row r="62" spans="3:7" ht="13">
      <c r="C62" s="127"/>
      <c r="D62" s="127"/>
      <c r="G62" s="127"/>
    </row>
    <row r="63" spans="3:7" ht="13">
      <c r="C63" s="127"/>
      <c r="D63" s="127"/>
      <c r="G63" s="127"/>
    </row>
    <row r="64" spans="3:7" ht="13">
      <c r="C64" s="127"/>
      <c r="D64" s="127"/>
      <c r="G64" s="127"/>
    </row>
    <row r="65" spans="3:7" ht="13">
      <c r="C65" s="127"/>
      <c r="D65" s="127"/>
      <c r="G65" s="127"/>
    </row>
    <row r="66" spans="3:7" ht="13">
      <c r="C66" s="127"/>
      <c r="D66" s="127"/>
      <c r="G66" s="127"/>
    </row>
    <row r="67" spans="3:7" ht="13">
      <c r="C67" s="127"/>
      <c r="D67" s="127"/>
      <c r="G67" s="127"/>
    </row>
    <row r="68" spans="3:7" ht="13">
      <c r="C68" s="127"/>
      <c r="D68" s="127"/>
      <c r="G68" s="127"/>
    </row>
    <row r="69" spans="3:7" ht="13">
      <c r="C69" s="127"/>
      <c r="D69" s="127"/>
      <c r="G69" s="127"/>
    </row>
    <row r="70" spans="3:7" ht="13">
      <c r="C70" s="127"/>
      <c r="D70" s="127"/>
      <c r="G70" s="127"/>
    </row>
    <row r="71" spans="3:7" ht="13">
      <c r="C71" s="127"/>
      <c r="D71" s="127"/>
      <c r="G71" s="127"/>
    </row>
    <row r="72" spans="3:7" ht="13">
      <c r="C72" s="127"/>
      <c r="D72" s="127"/>
      <c r="G72" s="127"/>
    </row>
    <row r="73" spans="3:7" ht="13">
      <c r="C73" s="127"/>
      <c r="D73" s="127"/>
      <c r="G73" s="127"/>
    </row>
    <row r="74" spans="3:7" ht="13">
      <c r="C74" s="127"/>
      <c r="D74" s="127"/>
      <c r="G74" s="127"/>
    </row>
    <row r="75" spans="3:7" ht="13">
      <c r="C75" s="127"/>
      <c r="D75" s="127"/>
      <c r="G75" s="127"/>
    </row>
    <row r="76" spans="3:7" ht="13">
      <c r="C76" s="127"/>
      <c r="D76" s="127"/>
      <c r="G76" s="127"/>
    </row>
    <row r="77" spans="3:7" ht="13">
      <c r="C77" s="127"/>
      <c r="D77" s="127"/>
      <c r="G77" s="127"/>
    </row>
    <row r="78" spans="3:7" ht="13">
      <c r="C78" s="127"/>
      <c r="D78" s="127"/>
      <c r="G78" s="127"/>
    </row>
    <row r="79" spans="3:7" ht="13">
      <c r="C79" s="127"/>
      <c r="D79" s="127"/>
      <c r="G79" s="127"/>
    </row>
    <row r="80" spans="3:7" ht="13">
      <c r="C80" s="127"/>
      <c r="D80" s="127"/>
      <c r="G80" s="127"/>
    </row>
    <row r="81" spans="3:7" ht="13">
      <c r="C81" s="127"/>
      <c r="D81" s="127"/>
      <c r="G81" s="127"/>
    </row>
    <row r="82" spans="3:7" ht="13">
      <c r="C82" s="127"/>
      <c r="D82" s="127"/>
      <c r="G82" s="127"/>
    </row>
    <row r="83" spans="3:7" ht="13">
      <c r="C83" s="127"/>
      <c r="D83" s="127"/>
      <c r="G83" s="127"/>
    </row>
    <row r="84" spans="3:7" ht="13">
      <c r="C84" s="127"/>
      <c r="D84" s="127"/>
      <c r="G84" s="127"/>
    </row>
    <row r="85" spans="3:7" ht="13">
      <c r="C85" s="127"/>
      <c r="D85" s="127"/>
      <c r="G85" s="127"/>
    </row>
    <row r="86" spans="3:7" ht="13">
      <c r="C86" s="127"/>
      <c r="D86" s="127"/>
      <c r="G86" s="127"/>
    </row>
    <row r="87" spans="3:7" ht="13">
      <c r="C87" s="127"/>
      <c r="D87" s="127"/>
      <c r="G87" s="127"/>
    </row>
    <row r="88" spans="3:7" ht="13">
      <c r="C88" s="127"/>
      <c r="D88" s="127"/>
      <c r="G88" s="127"/>
    </row>
    <row r="89" spans="3:7" ht="13">
      <c r="C89" s="127"/>
      <c r="D89" s="127"/>
      <c r="G89" s="127"/>
    </row>
    <row r="90" spans="3:7" ht="13">
      <c r="C90" s="127"/>
      <c r="D90" s="127"/>
      <c r="G90" s="127"/>
    </row>
    <row r="91" spans="3:7" ht="13">
      <c r="C91" s="127"/>
      <c r="D91" s="127"/>
      <c r="G91" s="127"/>
    </row>
    <row r="92" spans="3:7" ht="13">
      <c r="C92" s="127"/>
      <c r="D92" s="127"/>
      <c r="G92" s="127"/>
    </row>
    <row r="93" spans="3:7" ht="13">
      <c r="C93" s="127"/>
      <c r="D93" s="127"/>
      <c r="G93" s="127"/>
    </row>
    <row r="94" spans="3:7" ht="13">
      <c r="C94" s="127"/>
      <c r="D94" s="127"/>
      <c r="G94" s="127"/>
    </row>
    <row r="95" spans="3:7" ht="13">
      <c r="C95" s="127"/>
      <c r="D95" s="127"/>
      <c r="G95" s="127"/>
    </row>
    <row r="96" spans="3:7" ht="13">
      <c r="C96" s="127"/>
      <c r="D96" s="127"/>
      <c r="G96" s="127"/>
    </row>
    <row r="97" spans="3:7" ht="13">
      <c r="C97" s="127"/>
      <c r="D97" s="127"/>
      <c r="G97" s="127"/>
    </row>
    <row r="98" spans="3:7" ht="13">
      <c r="C98" s="127"/>
      <c r="D98" s="127"/>
      <c r="G98" s="127"/>
    </row>
    <row r="99" spans="3:7" ht="13">
      <c r="C99" s="127"/>
      <c r="D99" s="127"/>
      <c r="G99" s="127"/>
    </row>
    <row r="100" spans="3:7" ht="13">
      <c r="C100" s="127"/>
      <c r="D100" s="127"/>
      <c r="G100" s="127"/>
    </row>
    <row r="101" spans="3:7" ht="13">
      <c r="C101" s="127"/>
      <c r="D101" s="127"/>
      <c r="G101" s="127"/>
    </row>
    <row r="102" spans="3:7" ht="13">
      <c r="C102" s="127"/>
      <c r="D102" s="127"/>
      <c r="G102" s="127"/>
    </row>
    <row r="103" spans="3:7" ht="13">
      <c r="C103" s="127"/>
      <c r="D103" s="127"/>
      <c r="G103" s="127"/>
    </row>
    <row r="104" spans="3:7" ht="13">
      <c r="C104" s="127"/>
      <c r="D104" s="127"/>
      <c r="G104" s="127"/>
    </row>
    <row r="105" spans="3:7" ht="13">
      <c r="C105" s="127"/>
      <c r="D105" s="127"/>
      <c r="G105" s="127"/>
    </row>
    <row r="106" spans="3:7" ht="13">
      <c r="C106" s="127"/>
      <c r="D106" s="127"/>
      <c r="G106" s="127"/>
    </row>
    <row r="107" spans="3:7" ht="13">
      <c r="C107" s="127"/>
      <c r="D107" s="127"/>
      <c r="G107" s="127"/>
    </row>
    <row r="108" spans="3:7" ht="13">
      <c r="C108" s="127"/>
      <c r="D108" s="127"/>
      <c r="G108" s="127"/>
    </row>
    <row r="109" spans="3:7" ht="13">
      <c r="C109" s="127"/>
      <c r="D109" s="127"/>
      <c r="G109" s="127"/>
    </row>
    <row r="110" spans="3:7" ht="13">
      <c r="C110" s="127"/>
      <c r="D110" s="127"/>
      <c r="G110" s="127"/>
    </row>
    <row r="111" spans="3:7" ht="13">
      <c r="C111" s="127"/>
      <c r="D111" s="127"/>
      <c r="G111" s="127"/>
    </row>
    <row r="112" spans="3:7" ht="13">
      <c r="C112" s="127"/>
      <c r="D112" s="127"/>
      <c r="G112" s="127"/>
    </row>
    <row r="113" spans="3:7" ht="13">
      <c r="C113" s="127"/>
      <c r="D113" s="127"/>
      <c r="G113" s="127"/>
    </row>
    <row r="114" spans="3:7" ht="13">
      <c r="C114" s="127"/>
      <c r="D114" s="127"/>
      <c r="G114" s="127"/>
    </row>
    <row r="115" spans="3:7" ht="13">
      <c r="C115" s="127"/>
      <c r="D115" s="127"/>
      <c r="G115" s="127"/>
    </row>
    <row r="116" spans="3:7" ht="13">
      <c r="C116" s="127"/>
      <c r="D116" s="127"/>
      <c r="G116" s="127"/>
    </row>
    <row r="117" spans="3:7" ht="13">
      <c r="C117" s="127"/>
      <c r="D117" s="127"/>
      <c r="G117" s="127"/>
    </row>
    <row r="118" spans="3:7" ht="13">
      <c r="C118" s="127"/>
      <c r="D118" s="127"/>
      <c r="G118" s="127"/>
    </row>
    <row r="119" spans="3:7" ht="13">
      <c r="C119" s="127"/>
      <c r="D119" s="127"/>
      <c r="G119" s="127"/>
    </row>
    <row r="120" spans="3:7" ht="13">
      <c r="C120" s="127"/>
      <c r="D120" s="127"/>
      <c r="G120" s="127"/>
    </row>
    <row r="121" spans="3:7" ht="13">
      <c r="C121" s="127"/>
      <c r="D121" s="127"/>
      <c r="G121" s="127"/>
    </row>
    <row r="122" spans="3:7" ht="13">
      <c r="C122" s="127"/>
      <c r="D122" s="127"/>
      <c r="G122" s="127"/>
    </row>
    <row r="123" spans="3:7" ht="13">
      <c r="C123" s="127"/>
      <c r="D123" s="127"/>
      <c r="G123" s="127"/>
    </row>
    <row r="124" spans="3:7" ht="13">
      <c r="C124" s="127"/>
      <c r="D124" s="127"/>
      <c r="G124" s="127"/>
    </row>
    <row r="125" spans="3:7" ht="13">
      <c r="C125" s="127"/>
      <c r="D125" s="127"/>
      <c r="G125" s="127"/>
    </row>
    <row r="126" spans="3:7" ht="13">
      <c r="C126" s="127"/>
      <c r="D126" s="127"/>
      <c r="G126" s="127"/>
    </row>
    <row r="127" spans="3:7" ht="13">
      <c r="C127" s="127"/>
      <c r="D127" s="127"/>
      <c r="G127" s="127"/>
    </row>
    <row r="128" spans="3:7" ht="13">
      <c r="C128" s="127"/>
      <c r="D128" s="127"/>
      <c r="G128" s="127"/>
    </row>
    <row r="129" spans="3:7" ht="13">
      <c r="C129" s="127"/>
      <c r="D129" s="127"/>
      <c r="G129" s="127"/>
    </row>
    <row r="130" spans="3:7" ht="13">
      <c r="C130" s="127"/>
      <c r="D130" s="127"/>
      <c r="G130" s="127"/>
    </row>
    <row r="131" spans="3:7" ht="13">
      <c r="C131" s="127"/>
      <c r="D131" s="127"/>
      <c r="G131" s="127"/>
    </row>
    <row r="132" spans="3:7" ht="13">
      <c r="C132" s="127"/>
      <c r="D132" s="127"/>
      <c r="G132" s="127"/>
    </row>
    <row r="133" spans="3:7" ht="13">
      <c r="C133" s="127"/>
      <c r="D133" s="127"/>
      <c r="G133" s="127"/>
    </row>
    <row r="134" spans="3:7" ht="13">
      <c r="C134" s="127"/>
      <c r="D134" s="127"/>
      <c r="G134" s="127"/>
    </row>
    <row r="135" spans="3:7" ht="13">
      <c r="C135" s="127"/>
      <c r="D135" s="127"/>
      <c r="G135" s="127"/>
    </row>
    <row r="136" spans="3:7" ht="13">
      <c r="C136" s="127"/>
      <c r="D136" s="127"/>
      <c r="G136" s="127"/>
    </row>
    <row r="137" spans="3:7" ht="13">
      <c r="C137" s="127"/>
      <c r="D137" s="127"/>
      <c r="G137" s="127"/>
    </row>
    <row r="138" spans="3:7" ht="13">
      <c r="C138" s="127"/>
      <c r="D138" s="127"/>
      <c r="G138" s="127"/>
    </row>
    <row r="139" spans="3:7" ht="13">
      <c r="C139" s="127"/>
      <c r="D139" s="127"/>
      <c r="G139" s="127"/>
    </row>
    <row r="140" spans="3:7" ht="13">
      <c r="C140" s="127"/>
      <c r="D140" s="127"/>
      <c r="G140" s="127"/>
    </row>
    <row r="141" spans="3:7" ht="13">
      <c r="C141" s="127"/>
      <c r="D141" s="127"/>
      <c r="G141" s="127"/>
    </row>
    <row r="142" spans="3:7" ht="13">
      <c r="C142" s="127"/>
      <c r="D142" s="127"/>
      <c r="G142" s="127"/>
    </row>
    <row r="143" spans="3:7" ht="13">
      <c r="C143" s="127"/>
      <c r="D143" s="127"/>
      <c r="G143" s="127"/>
    </row>
    <row r="144" spans="3:7" ht="13">
      <c r="C144" s="127"/>
      <c r="D144" s="127"/>
      <c r="G144" s="127"/>
    </row>
    <row r="145" spans="3:7" ht="13">
      <c r="C145" s="127"/>
      <c r="D145" s="127"/>
      <c r="G145" s="127"/>
    </row>
    <row r="146" spans="3:7" ht="13">
      <c r="C146" s="127"/>
      <c r="D146" s="127"/>
      <c r="G146" s="127"/>
    </row>
    <row r="147" spans="3:7" ht="13">
      <c r="C147" s="127"/>
      <c r="D147" s="127"/>
      <c r="G147" s="127"/>
    </row>
    <row r="148" spans="3:7" ht="13">
      <c r="C148" s="127"/>
      <c r="D148" s="127"/>
      <c r="G148" s="127"/>
    </row>
    <row r="149" spans="3:7" ht="13">
      <c r="C149" s="127"/>
      <c r="D149" s="127"/>
      <c r="G149" s="127"/>
    </row>
    <row r="150" spans="3:7" ht="13">
      <c r="C150" s="127"/>
      <c r="D150" s="127"/>
      <c r="G150" s="127"/>
    </row>
    <row r="151" spans="3:7" ht="13">
      <c r="C151" s="127"/>
      <c r="D151" s="127"/>
      <c r="G151" s="127"/>
    </row>
    <row r="152" spans="3:7" ht="13">
      <c r="C152" s="127"/>
      <c r="D152" s="127"/>
      <c r="G152" s="127"/>
    </row>
    <row r="153" spans="3:7" ht="13">
      <c r="C153" s="127"/>
      <c r="D153" s="127"/>
      <c r="G153" s="127"/>
    </row>
    <row r="154" spans="3:7" ht="13">
      <c r="C154" s="127"/>
      <c r="D154" s="127"/>
      <c r="G154" s="127"/>
    </row>
    <row r="155" spans="3:7" ht="13">
      <c r="C155" s="127"/>
      <c r="D155" s="127"/>
      <c r="G155" s="127"/>
    </row>
    <row r="156" spans="3:7" ht="13">
      <c r="C156" s="127"/>
      <c r="D156" s="127"/>
      <c r="G156" s="127"/>
    </row>
    <row r="157" spans="3:7" ht="13">
      <c r="C157" s="127"/>
      <c r="D157" s="127"/>
      <c r="G157" s="127"/>
    </row>
    <row r="158" spans="3:7" ht="13">
      <c r="C158" s="127"/>
      <c r="D158" s="127"/>
      <c r="G158" s="127"/>
    </row>
    <row r="159" spans="3:7" ht="13">
      <c r="C159" s="127"/>
      <c r="D159" s="127"/>
      <c r="G159" s="127"/>
    </row>
    <row r="160" spans="3:7" ht="13">
      <c r="C160" s="127"/>
      <c r="D160" s="127"/>
      <c r="G160" s="127"/>
    </row>
    <row r="161" spans="3:7" ht="13">
      <c r="C161" s="127"/>
      <c r="D161" s="127"/>
      <c r="G161" s="127"/>
    </row>
    <row r="162" spans="3:7" ht="13">
      <c r="C162" s="127"/>
      <c r="D162" s="127"/>
      <c r="G162" s="127"/>
    </row>
    <row r="163" spans="3:7" ht="13">
      <c r="C163" s="127"/>
      <c r="D163" s="127"/>
      <c r="G163" s="127"/>
    </row>
    <row r="164" spans="3:7" ht="13">
      <c r="C164" s="127"/>
      <c r="D164" s="127"/>
      <c r="G164" s="127"/>
    </row>
    <row r="165" spans="3:7" ht="13">
      <c r="C165" s="127"/>
      <c r="D165" s="127"/>
      <c r="G165" s="127"/>
    </row>
    <row r="166" spans="3:7" ht="13">
      <c r="C166" s="127"/>
      <c r="D166" s="127"/>
      <c r="G166" s="127"/>
    </row>
    <row r="167" spans="3:7" ht="13">
      <c r="C167" s="127"/>
      <c r="D167" s="127"/>
      <c r="G167" s="127"/>
    </row>
    <row r="168" spans="3:7" ht="13">
      <c r="C168" s="127"/>
      <c r="D168" s="127"/>
      <c r="G168" s="127"/>
    </row>
    <row r="169" spans="3:7" ht="13">
      <c r="C169" s="127"/>
      <c r="D169" s="127"/>
      <c r="G169" s="127"/>
    </row>
    <row r="170" spans="3:7" ht="13">
      <c r="C170" s="127"/>
      <c r="D170" s="127"/>
      <c r="G170" s="127"/>
    </row>
    <row r="171" spans="3:7" ht="13">
      <c r="C171" s="127"/>
      <c r="D171" s="127"/>
      <c r="G171" s="127"/>
    </row>
    <row r="172" spans="3:7" ht="13">
      <c r="C172" s="127"/>
      <c r="D172" s="127"/>
      <c r="G172" s="127"/>
    </row>
    <row r="173" spans="3:7" ht="13">
      <c r="C173" s="127"/>
      <c r="D173" s="127"/>
      <c r="G173" s="127"/>
    </row>
    <row r="174" spans="3:7" ht="13">
      <c r="C174" s="127"/>
      <c r="D174" s="127"/>
      <c r="G174" s="127"/>
    </row>
    <row r="175" spans="3:7" ht="13">
      <c r="C175" s="127"/>
      <c r="D175" s="127"/>
      <c r="G175" s="127"/>
    </row>
    <row r="176" spans="3:7" ht="13">
      <c r="C176" s="127"/>
      <c r="D176" s="127"/>
      <c r="G176" s="127"/>
    </row>
    <row r="177" spans="3:7" ht="13">
      <c r="C177" s="127"/>
      <c r="D177" s="127"/>
      <c r="G177" s="127"/>
    </row>
    <row r="178" spans="3:7" ht="13">
      <c r="C178" s="127"/>
      <c r="D178" s="127"/>
      <c r="G178" s="127"/>
    </row>
    <row r="179" spans="3:7" ht="13">
      <c r="C179" s="127"/>
      <c r="D179" s="127"/>
      <c r="G179" s="127"/>
    </row>
    <row r="180" spans="3:7" ht="13">
      <c r="C180" s="127"/>
      <c r="D180" s="127"/>
      <c r="G180" s="127"/>
    </row>
    <row r="181" spans="3:7" ht="13">
      <c r="C181" s="127"/>
      <c r="D181" s="127"/>
      <c r="G181" s="127"/>
    </row>
    <row r="182" spans="3:7" ht="13">
      <c r="C182" s="127"/>
      <c r="D182" s="127"/>
      <c r="G182" s="127"/>
    </row>
    <row r="183" spans="3:7" ht="13">
      <c r="C183" s="127"/>
      <c r="D183" s="127"/>
      <c r="G183" s="127"/>
    </row>
    <row r="184" spans="3:7" ht="13">
      <c r="C184" s="127"/>
      <c r="D184" s="127"/>
      <c r="G184" s="127"/>
    </row>
    <row r="185" spans="3:7" ht="13">
      <c r="C185" s="127"/>
      <c r="D185" s="127"/>
      <c r="G185" s="127"/>
    </row>
    <row r="186" spans="3:7" ht="13">
      <c r="C186" s="127"/>
      <c r="D186" s="127"/>
      <c r="G186" s="127"/>
    </row>
    <row r="187" spans="3:7" ht="13">
      <c r="C187" s="127"/>
      <c r="D187" s="127"/>
      <c r="G187" s="127"/>
    </row>
    <row r="188" spans="3:7" ht="13">
      <c r="C188" s="127"/>
      <c r="D188" s="127"/>
      <c r="G188" s="127"/>
    </row>
    <row r="189" spans="3:7" ht="13">
      <c r="C189" s="127"/>
      <c r="D189" s="127"/>
      <c r="G189" s="127"/>
    </row>
    <row r="190" spans="3:7" ht="13">
      <c r="C190" s="127"/>
      <c r="D190" s="127"/>
      <c r="G190" s="127"/>
    </row>
    <row r="191" spans="3:7" ht="13">
      <c r="C191" s="127"/>
      <c r="D191" s="127"/>
      <c r="G191" s="127"/>
    </row>
    <row r="192" spans="3:7" ht="13">
      <c r="C192" s="127"/>
      <c r="D192" s="127"/>
      <c r="G192" s="127"/>
    </row>
    <row r="193" spans="3:7" ht="13">
      <c r="C193" s="127"/>
      <c r="D193" s="127"/>
      <c r="G193" s="127"/>
    </row>
    <row r="194" spans="3:7" ht="13">
      <c r="C194" s="127"/>
      <c r="D194" s="127"/>
      <c r="G194" s="127"/>
    </row>
    <row r="195" spans="3:7" ht="13">
      <c r="C195" s="127"/>
      <c r="D195" s="127"/>
      <c r="G195" s="127"/>
    </row>
    <row r="196" spans="3:7" ht="13">
      <c r="C196" s="127"/>
      <c r="D196" s="127"/>
      <c r="G196" s="127"/>
    </row>
    <row r="197" spans="3:7" ht="13">
      <c r="C197" s="127"/>
      <c r="D197" s="127"/>
      <c r="G197" s="127"/>
    </row>
    <row r="198" spans="3:7" ht="13">
      <c r="C198" s="127"/>
      <c r="D198" s="127"/>
      <c r="G198" s="127"/>
    </row>
    <row r="199" spans="3:7" ht="13">
      <c r="C199" s="127"/>
      <c r="D199" s="127"/>
      <c r="G199" s="127"/>
    </row>
    <row r="200" spans="3:7" ht="13">
      <c r="C200" s="127"/>
      <c r="D200" s="127"/>
      <c r="G200" s="127"/>
    </row>
    <row r="201" spans="3:7" ht="13">
      <c r="C201" s="127"/>
      <c r="D201" s="127"/>
      <c r="G201" s="127"/>
    </row>
    <row r="202" spans="3:7" ht="13">
      <c r="C202" s="127"/>
      <c r="D202" s="127"/>
      <c r="G202" s="127"/>
    </row>
    <row r="203" spans="3:7" ht="13">
      <c r="C203" s="127"/>
      <c r="D203" s="127"/>
      <c r="G203" s="127"/>
    </row>
    <row r="204" spans="3:7" ht="13">
      <c r="C204" s="127"/>
      <c r="D204" s="127"/>
      <c r="G204" s="127"/>
    </row>
    <row r="205" spans="3:7" ht="13">
      <c r="C205" s="127"/>
      <c r="D205" s="127"/>
      <c r="G205" s="127"/>
    </row>
    <row r="206" spans="3:7" ht="13">
      <c r="C206" s="127"/>
      <c r="D206" s="127"/>
      <c r="G206" s="127"/>
    </row>
    <row r="207" spans="3:7" ht="13">
      <c r="C207" s="127"/>
      <c r="D207" s="127"/>
      <c r="G207" s="127"/>
    </row>
    <row r="208" spans="3:7" ht="13">
      <c r="C208" s="127"/>
      <c r="D208" s="127"/>
      <c r="G208" s="127"/>
    </row>
    <row r="209" spans="3:7" ht="13">
      <c r="C209" s="127"/>
      <c r="D209" s="127"/>
      <c r="G209" s="127"/>
    </row>
    <row r="210" spans="3:7" ht="13">
      <c r="C210" s="127"/>
      <c r="D210" s="127"/>
      <c r="G210" s="127"/>
    </row>
    <row r="211" spans="3:7" ht="13">
      <c r="C211" s="127"/>
      <c r="D211" s="127"/>
      <c r="G211" s="127"/>
    </row>
    <row r="212" spans="3:7" ht="13">
      <c r="C212" s="127"/>
      <c r="D212" s="127"/>
      <c r="G212" s="127"/>
    </row>
    <row r="213" spans="3:7" ht="13">
      <c r="C213" s="127"/>
      <c r="D213" s="127"/>
      <c r="G213" s="127"/>
    </row>
    <row r="214" spans="3:7" ht="13">
      <c r="C214" s="127"/>
      <c r="D214" s="127"/>
      <c r="G214" s="127"/>
    </row>
    <row r="215" spans="3:7" ht="13">
      <c r="C215" s="127"/>
      <c r="D215" s="127"/>
      <c r="G215" s="127"/>
    </row>
    <row r="216" spans="3:7" ht="13">
      <c r="C216" s="127"/>
      <c r="D216" s="127"/>
      <c r="G216" s="127"/>
    </row>
    <row r="217" spans="3:7" ht="13">
      <c r="C217" s="127"/>
      <c r="D217" s="127"/>
      <c r="G217" s="127"/>
    </row>
    <row r="218" spans="3:7" ht="13">
      <c r="C218" s="127"/>
      <c r="D218" s="127"/>
      <c r="G218" s="127"/>
    </row>
    <row r="219" spans="3:7" ht="13">
      <c r="C219" s="127"/>
      <c r="D219" s="127"/>
      <c r="G219" s="127"/>
    </row>
    <row r="220" spans="3:7" ht="13">
      <c r="C220" s="127"/>
      <c r="D220" s="127"/>
      <c r="G220" s="127"/>
    </row>
    <row r="221" spans="3:7" ht="13">
      <c r="C221" s="127"/>
      <c r="D221" s="127"/>
      <c r="G221" s="127"/>
    </row>
    <row r="222" spans="3:7" ht="13">
      <c r="C222" s="127"/>
      <c r="D222" s="127"/>
      <c r="G222" s="127"/>
    </row>
    <row r="223" spans="3:7" ht="13">
      <c r="C223" s="127"/>
      <c r="D223" s="127"/>
      <c r="G223" s="127"/>
    </row>
    <row r="224" spans="3:7" ht="13">
      <c r="C224" s="127"/>
      <c r="D224" s="127"/>
      <c r="G224" s="127"/>
    </row>
    <row r="225" spans="3:7" ht="13">
      <c r="C225" s="127"/>
      <c r="D225" s="127"/>
      <c r="G225" s="127"/>
    </row>
    <row r="226" spans="3:7" ht="13">
      <c r="C226" s="127"/>
      <c r="D226" s="127"/>
      <c r="G226" s="127"/>
    </row>
    <row r="227" spans="3:7" ht="13">
      <c r="C227" s="127"/>
      <c r="D227" s="127"/>
      <c r="G227" s="127"/>
    </row>
    <row r="228" spans="3:7" ht="13">
      <c r="C228" s="127"/>
      <c r="D228" s="127"/>
      <c r="G228" s="127"/>
    </row>
    <row r="229" spans="3:7" ht="13">
      <c r="C229" s="127"/>
      <c r="D229" s="127"/>
      <c r="G229" s="127"/>
    </row>
    <row r="230" spans="3:7" ht="13">
      <c r="C230" s="127"/>
      <c r="D230" s="127"/>
      <c r="G230" s="127"/>
    </row>
    <row r="231" spans="3:7" ht="13">
      <c r="C231" s="127"/>
      <c r="D231" s="127"/>
      <c r="G231" s="127"/>
    </row>
    <row r="232" spans="3:7" ht="13">
      <c r="C232" s="127"/>
      <c r="D232" s="127"/>
      <c r="G232" s="127"/>
    </row>
    <row r="233" spans="3:7" ht="13">
      <c r="C233" s="127"/>
      <c r="D233" s="127"/>
      <c r="G233" s="127"/>
    </row>
    <row r="234" spans="3:7" ht="13">
      <c r="C234" s="127"/>
      <c r="D234" s="127"/>
      <c r="G234" s="127"/>
    </row>
    <row r="235" spans="3:7" ht="13">
      <c r="C235" s="127"/>
      <c r="D235" s="127"/>
      <c r="G235" s="127"/>
    </row>
    <row r="236" spans="3:7" ht="13">
      <c r="C236" s="127"/>
      <c r="D236" s="127"/>
      <c r="G236" s="127"/>
    </row>
    <row r="237" spans="3:7" ht="13">
      <c r="C237" s="127"/>
      <c r="D237" s="127"/>
      <c r="G237" s="127"/>
    </row>
    <row r="238" spans="3:7" ht="13">
      <c r="C238" s="127"/>
      <c r="D238" s="127"/>
      <c r="G238" s="127"/>
    </row>
    <row r="239" spans="3:7" ht="13">
      <c r="C239" s="127"/>
      <c r="D239" s="127"/>
      <c r="G239" s="127"/>
    </row>
    <row r="240" spans="3:7" ht="13">
      <c r="C240" s="127"/>
      <c r="D240" s="127"/>
      <c r="G240" s="127"/>
    </row>
    <row r="241" spans="3:7" ht="13">
      <c r="C241" s="127"/>
      <c r="D241" s="127"/>
      <c r="G241" s="127"/>
    </row>
    <row r="242" spans="3:7" ht="13">
      <c r="C242" s="127"/>
      <c r="D242" s="127"/>
      <c r="G242" s="127"/>
    </row>
    <row r="243" spans="3:7" ht="13">
      <c r="C243" s="127"/>
      <c r="D243" s="127"/>
      <c r="G243" s="127"/>
    </row>
    <row r="244" spans="3:7" ht="13">
      <c r="C244" s="127"/>
      <c r="D244" s="127"/>
      <c r="G244" s="127"/>
    </row>
    <row r="245" spans="3:7" ht="13">
      <c r="C245" s="127"/>
      <c r="D245" s="127"/>
      <c r="G245" s="127"/>
    </row>
    <row r="246" spans="3:7" ht="13">
      <c r="C246" s="127"/>
      <c r="D246" s="127"/>
      <c r="G246" s="127"/>
    </row>
    <row r="247" spans="3:7" ht="13">
      <c r="C247" s="127"/>
      <c r="D247" s="127"/>
      <c r="G247" s="127"/>
    </row>
    <row r="248" spans="3:7" ht="13">
      <c r="C248" s="127"/>
      <c r="D248" s="127"/>
      <c r="G248" s="127"/>
    </row>
    <row r="249" spans="3:7" ht="13">
      <c r="C249" s="127"/>
      <c r="D249" s="127"/>
      <c r="G249" s="127"/>
    </row>
    <row r="250" spans="3:7" ht="13">
      <c r="C250" s="127"/>
      <c r="D250" s="127"/>
      <c r="G250" s="127"/>
    </row>
    <row r="251" spans="3:7" ht="13">
      <c r="C251" s="127"/>
      <c r="D251" s="127"/>
      <c r="G251" s="127"/>
    </row>
    <row r="252" spans="3:7" ht="13">
      <c r="C252" s="127"/>
      <c r="D252" s="127"/>
      <c r="G252" s="127"/>
    </row>
    <row r="253" spans="3:7" ht="13">
      <c r="C253" s="127"/>
      <c r="D253" s="127"/>
      <c r="G253" s="127"/>
    </row>
    <row r="254" spans="3:7" ht="13">
      <c r="C254" s="127"/>
      <c r="D254" s="127"/>
      <c r="G254" s="127"/>
    </row>
    <row r="255" spans="3:7" ht="13">
      <c r="C255" s="127"/>
      <c r="D255" s="127"/>
      <c r="G255" s="127"/>
    </row>
    <row r="256" spans="3:7" ht="13">
      <c r="C256" s="127"/>
      <c r="D256" s="127"/>
      <c r="G256" s="127"/>
    </row>
    <row r="257" spans="3:7" ht="13">
      <c r="C257" s="127"/>
      <c r="D257" s="127"/>
      <c r="G257" s="127"/>
    </row>
    <row r="258" spans="3:7" ht="13">
      <c r="C258" s="127"/>
      <c r="D258" s="127"/>
      <c r="G258" s="127"/>
    </row>
    <row r="259" spans="3:7" ht="13">
      <c r="C259" s="127"/>
      <c r="D259" s="127"/>
      <c r="G259" s="127"/>
    </row>
    <row r="260" spans="3:7" ht="13">
      <c r="C260" s="127"/>
      <c r="D260" s="127"/>
      <c r="G260" s="127"/>
    </row>
    <row r="261" spans="3:7" ht="13">
      <c r="C261" s="127"/>
      <c r="D261" s="127"/>
      <c r="G261" s="127"/>
    </row>
    <row r="262" spans="3:7" ht="13">
      <c r="C262" s="127"/>
      <c r="D262" s="127"/>
      <c r="G262" s="127"/>
    </row>
    <row r="263" spans="3:7" ht="13">
      <c r="C263" s="127"/>
      <c r="D263" s="127"/>
      <c r="G263" s="127"/>
    </row>
    <row r="264" spans="3:7" ht="13">
      <c r="C264" s="127"/>
      <c r="D264" s="127"/>
      <c r="G264" s="127"/>
    </row>
    <row r="265" spans="3:7" ht="13">
      <c r="C265" s="127"/>
      <c r="D265" s="127"/>
      <c r="G265" s="127"/>
    </row>
    <row r="266" spans="3:7" ht="13">
      <c r="C266" s="127"/>
      <c r="D266" s="127"/>
      <c r="G266" s="127"/>
    </row>
    <row r="267" spans="3:7" ht="13">
      <c r="C267" s="127"/>
      <c r="D267" s="127"/>
      <c r="G267" s="127"/>
    </row>
    <row r="268" spans="3:7" ht="13">
      <c r="C268" s="127"/>
      <c r="D268" s="127"/>
      <c r="G268" s="127"/>
    </row>
    <row r="269" spans="3:7" ht="13">
      <c r="C269" s="127"/>
      <c r="D269" s="127"/>
      <c r="G269" s="127"/>
    </row>
    <row r="270" spans="3:7" ht="13">
      <c r="C270" s="127"/>
      <c r="D270" s="127"/>
      <c r="G270" s="127"/>
    </row>
    <row r="271" spans="3:7" ht="13">
      <c r="C271" s="127"/>
      <c r="D271" s="127"/>
      <c r="G271" s="127"/>
    </row>
    <row r="272" spans="3:7" ht="13">
      <c r="C272" s="127"/>
      <c r="D272" s="127"/>
      <c r="G272" s="127"/>
    </row>
    <row r="273" spans="3:7" ht="13">
      <c r="C273" s="127"/>
      <c r="D273" s="127"/>
      <c r="G273" s="127"/>
    </row>
    <row r="274" spans="3:7" ht="13">
      <c r="C274" s="127"/>
      <c r="D274" s="127"/>
      <c r="G274" s="127"/>
    </row>
    <row r="275" spans="3:7" ht="13">
      <c r="C275" s="127"/>
      <c r="D275" s="127"/>
      <c r="G275" s="127"/>
    </row>
    <row r="276" spans="3:7" ht="13">
      <c r="C276" s="127"/>
      <c r="D276" s="127"/>
      <c r="G276" s="127"/>
    </row>
    <row r="277" spans="3:7" ht="13">
      <c r="C277" s="127"/>
      <c r="D277" s="127"/>
      <c r="G277" s="127"/>
    </row>
    <row r="278" spans="3:7" ht="13">
      <c r="C278" s="127"/>
      <c r="D278" s="127"/>
      <c r="G278" s="127"/>
    </row>
    <row r="279" spans="3:7" ht="13">
      <c r="C279" s="127"/>
      <c r="D279" s="127"/>
      <c r="G279" s="127"/>
    </row>
    <row r="280" spans="3:7" ht="13">
      <c r="C280" s="127"/>
      <c r="D280" s="127"/>
      <c r="G280" s="127"/>
    </row>
    <row r="281" spans="3:7" ht="13">
      <c r="C281" s="127"/>
      <c r="D281" s="127"/>
      <c r="G281" s="127"/>
    </row>
    <row r="282" spans="3:7" ht="13">
      <c r="C282" s="127"/>
      <c r="D282" s="127"/>
      <c r="G282" s="127"/>
    </row>
    <row r="283" spans="3:7" ht="13">
      <c r="C283" s="127"/>
      <c r="D283" s="127"/>
      <c r="G283" s="127"/>
    </row>
    <row r="284" spans="3:7" ht="13">
      <c r="C284" s="127"/>
      <c r="D284" s="127"/>
      <c r="G284" s="127"/>
    </row>
    <row r="285" spans="3:7" ht="13">
      <c r="C285" s="127"/>
      <c r="D285" s="127"/>
      <c r="G285" s="127"/>
    </row>
    <row r="286" spans="3:7" ht="13">
      <c r="C286" s="127"/>
      <c r="D286" s="127"/>
      <c r="G286" s="127"/>
    </row>
    <row r="287" spans="3:7" ht="13">
      <c r="C287" s="127"/>
      <c r="D287" s="127"/>
      <c r="G287" s="127"/>
    </row>
    <row r="288" spans="3:7" ht="13">
      <c r="C288" s="127"/>
      <c r="D288" s="127"/>
      <c r="G288" s="127"/>
    </row>
    <row r="289" spans="3:7" ht="13">
      <c r="C289" s="127"/>
      <c r="D289" s="127"/>
      <c r="G289" s="127"/>
    </row>
    <row r="290" spans="3:7" ht="13">
      <c r="C290" s="127"/>
      <c r="D290" s="127"/>
      <c r="G290" s="127"/>
    </row>
    <row r="291" spans="3:7" ht="13">
      <c r="C291" s="127"/>
      <c r="D291" s="127"/>
      <c r="G291" s="127"/>
    </row>
    <row r="292" spans="3:7" ht="13">
      <c r="C292" s="127"/>
      <c r="D292" s="127"/>
      <c r="G292" s="127"/>
    </row>
    <row r="293" spans="3:7" ht="13">
      <c r="C293" s="127"/>
      <c r="D293" s="127"/>
      <c r="G293" s="127"/>
    </row>
    <row r="294" spans="3:7" ht="13">
      <c r="C294" s="127"/>
      <c r="D294" s="127"/>
      <c r="G294" s="127"/>
    </row>
    <row r="295" spans="3:7" ht="13">
      <c r="C295" s="127"/>
      <c r="D295" s="127"/>
      <c r="G295" s="127"/>
    </row>
    <row r="296" spans="3:7" ht="13">
      <c r="C296" s="127"/>
      <c r="D296" s="127"/>
      <c r="G296" s="127"/>
    </row>
    <row r="297" spans="3:7" ht="13">
      <c r="C297" s="127"/>
      <c r="D297" s="127"/>
      <c r="G297" s="127"/>
    </row>
    <row r="298" spans="3:7" ht="13">
      <c r="C298" s="127"/>
      <c r="D298" s="127"/>
      <c r="G298" s="127"/>
    </row>
    <row r="299" spans="3:7" ht="13">
      <c r="C299" s="127"/>
      <c r="D299" s="127"/>
      <c r="G299" s="127"/>
    </row>
    <row r="300" spans="3:7" ht="13">
      <c r="C300" s="127"/>
      <c r="D300" s="127"/>
      <c r="G300" s="127"/>
    </row>
    <row r="301" spans="3:7" ht="13">
      <c r="C301" s="127"/>
      <c r="D301" s="127"/>
      <c r="G301" s="127"/>
    </row>
    <row r="302" spans="3:7" ht="13">
      <c r="C302" s="127"/>
      <c r="D302" s="127"/>
      <c r="G302" s="127"/>
    </row>
    <row r="303" spans="3:7" ht="13">
      <c r="C303" s="127"/>
      <c r="D303" s="127"/>
      <c r="G303" s="127"/>
    </row>
    <row r="304" spans="3:7" ht="13">
      <c r="C304" s="127"/>
      <c r="D304" s="127"/>
      <c r="G304" s="127"/>
    </row>
    <row r="305" spans="3:7" ht="13">
      <c r="C305" s="127"/>
      <c r="D305" s="127"/>
      <c r="G305" s="127"/>
    </row>
    <row r="306" spans="3:7" ht="13">
      <c r="C306" s="127"/>
      <c r="D306" s="127"/>
      <c r="G306" s="127"/>
    </row>
    <row r="307" spans="3:7" ht="13">
      <c r="C307" s="127"/>
      <c r="D307" s="127"/>
      <c r="G307" s="127"/>
    </row>
    <row r="308" spans="3:7" ht="13">
      <c r="C308" s="127"/>
      <c r="D308" s="127"/>
      <c r="G308" s="127"/>
    </row>
    <row r="309" spans="3:7" ht="13">
      <c r="C309" s="127"/>
      <c r="D309" s="127"/>
      <c r="G309" s="127"/>
    </row>
    <row r="310" spans="3:7" ht="13">
      <c r="C310" s="127"/>
      <c r="D310" s="127"/>
      <c r="G310" s="127"/>
    </row>
    <row r="311" spans="3:7" ht="13">
      <c r="C311" s="127"/>
      <c r="D311" s="127"/>
      <c r="G311" s="127"/>
    </row>
    <row r="312" spans="3:7" ht="13">
      <c r="C312" s="127"/>
      <c r="D312" s="127"/>
      <c r="G312" s="127"/>
    </row>
    <row r="313" spans="3:7" ht="13">
      <c r="C313" s="127"/>
      <c r="D313" s="127"/>
      <c r="G313" s="127"/>
    </row>
    <row r="314" spans="3:7" ht="13">
      <c r="C314" s="127"/>
      <c r="D314" s="127"/>
      <c r="G314" s="127"/>
    </row>
    <row r="315" spans="3:7" ht="13">
      <c r="C315" s="127"/>
      <c r="D315" s="127"/>
      <c r="G315" s="127"/>
    </row>
    <row r="316" spans="3:7" ht="13">
      <c r="C316" s="127"/>
      <c r="D316" s="127"/>
      <c r="G316" s="127"/>
    </row>
    <row r="317" spans="3:7" ht="13">
      <c r="C317" s="127"/>
      <c r="D317" s="127"/>
      <c r="G317" s="127"/>
    </row>
    <row r="318" spans="3:7" ht="13">
      <c r="C318" s="127"/>
      <c r="D318" s="127"/>
      <c r="G318" s="127"/>
    </row>
    <row r="319" spans="3:7" ht="13">
      <c r="C319" s="127"/>
      <c r="D319" s="127"/>
      <c r="G319" s="127"/>
    </row>
    <row r="320" spans="3:7" ht="13">
      <c r="C320" s="127"/>
      <c r="D320" s="127"/>
      <c r="G320" s="127"/>
    </row>
    <row r="321" spans="3:7" ht="13">
      <c r="C321" s="127"/>
      <c r="D321" s="127"/>
      <c r="G321" s="127"/>
    </row>
    <row r="322" spans="3:7" ht="13">
      <c r="C322" s="127"/>
      <c r="D322" s="127"/>
      <c r="G322" s="127"/>
    </row>
    <row r="323" spans="3:7" ht="13">
      <c r="C323" s="127"/>
      <c r="D323" s="127"/>
      <c r="G323" s="127"/>
    </row>
    <row r="324" spans="3:7" ht="13">
      <c r="C324" s="127"/>
      <c r="D324" s="127"/>
      <c r="G324" s="127"/>
    </row>
    <row r="325" spans="3:7" ht="13">
      <c r="C325" s="127"/>
      <c r="D325" s="127"/>
      <c r="G325" s="127"/>
    </row>
    <row r="326" spans="3:7" ht="13">
      <c r="C326" s="127"/>
      <c r="D326" s="127"/>
      <c r="G326" s="127"/>
    </row>
    <row r="327" spans="3:7" ht="13">
      <c r="C327" s="127"/>
      <c r="D327" s="127"/>
      <c r="G327" s="127"/>
    </row>
    <row r="328" spans="3:7" ht="13">
      <c r="C328" s="127"/>
      <c r="D328" s="127"/>
      <c r="G328" s="127"/>
    </row>
    <row r="329" spans="3:7" ht="13">
      <c r="C329" s="127"/>
      <c r="D329" s="127"/>
      <c r="G329" s="127"/>
    </row>
    <row r="330" spans="3:7" ht="13">
      <c r="C330" s="127"/>
      <c r="D330" s="127"/>
      <c r="G330" s="127"/>
    </row>
    <row r="331" spans="3:7" ht="13">
      <c r="C331" s="127"/>
      <c r="D331" s="127"/>
      <c r="G331" s="127"/>
    </row>
    <row r="332" spans="3:7" ht="13">
      <c r="C332" s="127"/>
      <c r="D332" s="127"/>
      <c r="G332" s="127"/>
    </row>
    <row r="333" spans="3:7" ht="13">
      <c r="C333" s="127"/>
      <c r="D333" s="127"/>
      <c r="G333" s="127"/>
    </row>
    <row r="334" spans="3:7" ht="13">
      <c r="C334" s="127"/>
      <c r="D334" s="127"/>
      <c r="G334" s="127"/>
    </row>
    <row r="335" spans="3:7" ht="13">
      <c r="C335" s="127"/>
      <c r="D335" s="127"/>
      <c r="G335" s="127"/>
    </row>
    <row r="336" spans="3:7" ht="13">
      <c r="C336" s="127"/>
      <c r="D336" s="127"/>
      <c r="G336" s="127"/>
    </row>
    <row r="337" spans="3:7" ht="13">
      <c r="C337" s="127"/>
      <c r="D337" s="127"/>
      <c r="G337" s="127"/>
    </row>
    <row r="338" spans="3:7" ht="13">
      <c r="C338" s="127"/>
      <c r="D338" s="127"/>
      <c r="G338" s="127"/>
    </row>
    <row r="339" spans="3:7" ht="13">
      <c r="C339" s="127"/>
      <c r="D339" s="127"/>
      <c r="G339" s="127"/>
    </row>
    <row r="340" spans="3:7" ht="13">
      <c r="C340" s="127"/>
      <c r="D340" s="127"/>
      <c r="G340" s="127"/>
    </row>
    <row r="341" spans="3:7" ht="13">
      <c r="C341" s="127"/>
      <c r="D341" s="127"/>
      <c r="G341" s="127"/>
    </row>
    <row r="342" spans="3:7" ht="13">
      <c r="C342" s="127"/>
      <c r="D342" s="127"/>
      <c r="G342" s="127"/>
    </row>
    <row r="343" spans="3:7" ht="13">
      <c r="C343" s="127"/>
      <c r="D343" s="127"/>
      <c r="G343" s="127"/>
    </row>
    <row r="344" spans="3:7" ht="13">
      <c r="C344" s="127"/>
      <c r="D344" s="127"/>
      <c r="G344" s="127"/>
    </row>
    <row r="345" spans="3:7" ht="13">
      <c r="C345" s="127"/>
      <c r="D345" s="127"/>
      <c r="G345" s="127"/>
    </row>
    <row r="346" spans="3:7" ht="13">
      <c r="C346" s="127"/>
      <c r="D346" s="127"/>
      <c r="G346" s="127"/>
    </row>
    <row r="347" spans="3:7" ht="13">
      <c r="C347" s="127"/>
      <c r="D347" s="127"/>
      <c r="G347" s="127"/>
    </row>
    <row r="348" spans="3:7" ht="13">
      <c r="C348" s="127"/>
      <c r="D348" s="127"/>
      <c r="G348" s="127"/>
    </row>
    <row r="349" spans="3:7" ht="13">
      <c r="C349" s="127"/>
      <c r="D349" s="127"/>
      <c r="G349" s="127"/>
    </row>
    <row r="350" spans="3:7" ht="13">
      <c r="C350" s="127"/>
      <c r="D350" s="127"/>
      <c r="G350" s="127"/>
    </row>
    <row r="351" spans="3:7" ht="13">
      <c r="C351" s="127"/>
      <c r="D351" s="127"/>
      <c r="G351" s="127"/>
    </row>
    <row r="352" spans="3:7" ht="13">
      <c r="C352" s="127"/>
      <c r="D352" s="127"/>
      <c r="G352" s="127"/>
    </row>
    <row r="353" spans="3:7" ht="13">
      <c r="C353" s="127"/>
      <c r="D353" s="127"/>
      <c r="G353" s="127"/>
    </row>
    <row r="354" spans="3:7" ht="13">
      <c r="C354" s="127"/>
      <c r="D354" s="127"/>
      <c r="G354" s="127"/>
    </row>
    <row r="355" spans="3:7" ht="13">
      <c r="C355" s="127"/>
      <c r="D355" s="127"/>
      <c r="G355" s="127"/>
    </row>
    <row r="356" spans="3:7" ht="13">
      <c r="C356" s="127"/>
      <c r="D356" s="127"/>
      <c r="G356" s="127"/>
    </row>
    <row r="357" spans="3:7" ht="13">
      <c r="C357" s="127"/>
      <c r="D357" s="127"/>
      <c r="G357" s="127"/>
    </row>
    <row r="358" spans="3:7" ht="13">
      <c r="C358" s="127"/>
      <c r="D358" s="127"/>
      <c r="G358" s="127"/>
    </row>
    <row r="359" spans="3:7" ht="13">
      <c r="C359" s="127"/>
      <c r="D359" s="127"/>
      <c r="G359" s="127"/>
    </row>
    <row r="360" spans="3:7" ht="13">
      <c r="C360" s="127"/>
      <c r="D360" s="127"/>
      <c r="G360" s="127"/>
    </row>
    <row r="361" spans="3:7" ht="13">
      <c r="C361" s="127"/>
      <c r="D361" s="127"/>
      <c r="G361" s="127"/>
    </row>
    <row r="362" spans="3:7" ht="13">
      <c r="C362" s="127"/>
      <c r="D362" s="127"/>
      <c r="G362" s="127"/>
    </row>
    <row r="363" spans="3:7" ht="13">
      <c r="C363" s="127"/>
      <c r="D363" s="127"/>
      <c r="G363" s="127"/>
    </row>
    <row r="364" spans="3:7" ht="13">
      <c r="C364" s="127"/>
      <c r="D364" s="127"/>
      <c r="G364" s="127"/>
    </row>
    <row r="365" spans="3:7" ht="13">
      <c r="C365" s="127"/>
      <c r="D365" s="127"/>
      <c r="G365" s="127"/>
    </row>
    <row r="366" spans="3:7" ht="13">
      <c r="C366" s="127"/>
      <c r="D366" s="127"/>
      <c r="G366" s="127"/>
    </row>
    <row r="367" spans="3:7" ht="13">
      <c r="C367" s="127"/>
      <c r="D367" s="127"/>
      <c r="G367" s="127"/>
    </row>
    <row r="368" spans="3:7" ht="13">
      <c r="C368" s="127"/>
      <c r="D368" s="127"/>
      <c r="G368" s="127"/>
    </row>
    <row r="369" spans="3:7" ht="13">
      <c r="C369" s="127"/>
      <c r="D369" s="127"/>
      <c r="G369" s="127"/>
    </row>
    <row r="370" spans="3:7" ht="13">
      <c r="C370" s="127"/>
      <c r="D370" s="127"/>
      <c r="G370" s="127"/>
    </row>
    <row r="371" spans="3:7" ht="13">
      <c r="C371" s="127"/>
      <c r="D371" s="127"/>
      <c r="G371" s="127"/>
    </row>
    <row r="372" spans="3:7" ht="13">
      <c r="C372" s="127"/>
      <c r="D372" s="127"/>
      <c r="G372" s="127"/>
    </row>
    <row r="373" spans="3:7" ht="13">
      <c r="C373" s="127"/>
      <c r="D373" s="127"/>
      <c r="G373" s="127"/>
    </row>
    <row r="374" spans="3:7" ht="13">
      <c r="C374" s="127"/>
      <c r="D374" s="127"/>
      <c r="G374" s="127"/>
    </row>
    <row r="375" spans="3:7" ht="13">
      <c r="C375" s="127"/>
      <c r="D375" s="127"/>
      <c r="G375" s="127"/>
    </row>
    <row r="376" spans="3:7" ht="13">
      <c r="C376" s="127"/>
      <c r="D376" s="127"/>
      <c r="G376" s="127"/>
    </row>
    <row r="377" spans="3:7" ht="13">
      <c r="C377" s="127"/>
      <c r="D377" s="127"/>
      <c r="G377" s="127"/>
    </row>
    <row r="378" spans="3:7" ht="13">
      <c r="C378" s="127"/>
      <c r="D378" s="127"/>
      <c r="G378" s="127"/>
    </row>
    <row r="379" spans="3:7" ht="13">
      <c r="C379" s="127"/>
      <c r="D379" s="127"/>
      <c r="G379" s="127"/>
    </row>
    <row r="380" spans="3:7" ht="13">
      <c r="C380" s="127"/>
      <c r="D380" s="127"/>
      <c r="G380" s="127"/>
    </row>
    <row r="381" spans="3:7" ht="13">
      <c r="C381" s="127"/>
      <c r="D381" s="127"/>
      <c r="G381" s="127"/>
    </row>
    <row r="382" spans="3:7" ht="13">
      <c r="C382" s="127"/>
      <c r="D382" s="127"/>
      <c r="G382" s="127"/>
    </row>
    <row r="383" spans="3:7" ht="13">
      <c r="C383" s="127"/>
      <c r="D383" s="127"/>
      <c r="G383" s="127"/>
    </row>
    <row r="384" spans="3:7" ht="13">
      <c r="C384" s="127"/>
      <c r="D384" s="127"/>
      <c r="G384" s="127"/>
    </row>
    <row r="385" spans="3:7" ht="13">
      <c r="C385" s="127"/>
      <c r="D385" s="127"/>
      <c r="G385" s="127"/>
    </row>
    <row r="386" spans="3:7" ht="13">
      <c r="C386" s="127"/>
      <c r="D386" s="127"/>
      <c r="G386" s="127"/>
    </row>
    <row r="387" spans="3:7" ht="13">
      <c r="C387" s="127"/>
      <c r="D387" s="127"/>
      <c r="G387" s="127"/>
    </row>
    <row r="388" spans="3:7" ht="13">
      <c r="C388" s="127"/>
      <c r="D388" s="127"/>
      <c r="G388" s="127"/>
    </row>
    <row r="389" spans="3:7" ht="13">
      <c r="C389" s="127"/>
      <c r="D389" s="127"/>
      <c r="G389" s="127"/>
    </row>
    <row r="390" spans="3:7" ht="13">
      <c r="C390" s="127"/>
      <c r="D390" s="127"/>
      <c r="G390" s="127"/>
    </row>
    <row r="391" spans="3:7" ht="13">
      <c r="C391" s="127"/>
      <c r="D391" s="127"/>
      <c r="G391" s="127"/>
    </row>
    <row r="392" spans="3:7" ht="13">
      <c r="C392" s="127"/>
      <c r="D392" s="127"/>
      <c r="G392" s="127"/>
    </row>
    <row r="393" spans="3:7" ht="13">
      <c r="C393" s="127"/>
      <c r="D393" s="127"/>
      <c r="G393" s="127"/>
    </row>
    <row r="394" spans="3:7" ht="13">
      <c r="C394" s="127"/>
      <c r="D394" s="127"/>
      <c r="G394" s="127"/>
    </row>
    <row r="395" spans="3:7" ht="13">
      <c r="C395" s="127"/>
      <c r="D395" s="127"/>
      <c r="G395" s="127"/>
    </row>
    <row r="396" spans="3:7" ht="13">
      <c r="C396" s="127"/>
      <c r="D396" s="127"/>
      <c r="G396" s="127"/>
    </row>
    <row r="397" spans="3:7" ht="13">
      <c r="C397" s="127"/>
      <c r="D397" s="127"/>
      <c r="G397" s="127"/>
    </row>
    <row r="398" spans="3:7" ht="13">
      <c r="C398" s="127"/>
      <c r="D398" s="127"/>
      <c r="G398" s="127"/>
    </row>
    <row r="399" spans="3:7" ht="13">
      <c r="C399" s="127"/>
      <c r="D399" s="127"/>
      <c r="G399" s="127"/>
    </row>
    <row r="400" spans="3:7" ht="13">
      <c r="C400" s="127"/>
      <c r="D400" s="127"/>
      <c r="G400" s="127"/>
    </row>
    <row r="401" spans="3:7" ht="13">
      <c r="C401" s="127"/>
      <c r="D401" s="127"/>
      <c r="G401" s="127"/>
    </row>
    <row r="402" spans="3:7" ht="13">
      <c r="C402" s="127"/>
      <c r="D402" s="127"/>
      <c r="G402" s="127"/>
    </row>
    <row r="403" spans="3:7" ht="13">
      <c r="C403" s="127"/>
      <c r="D403" s="127"/>
      <c r="G403" s="127"/>
    </row>
    <row r="404" spans="3:7" ht="13">
      <c r="C404" s="127"/>
      <c r="D404" s="127"/>
      <c r="G404" s="127"/>
    </row>
    <row r="405" spans="3:7" ht="13">
      <c r="C405" s="127"/>
      <c r="D405" s="127"/>
      <c r="G405" s="127"/>
    </row>
    <row r="406" spans="3:7" ht="13">
      <c r="C406" s="127"/>
      <c r="D406" s="127"/>
      <c r="G406" s="127"/>
    </row>
    <row r="407" spans="3:7" ht="13">
      <c r="C407" s="127"/>
      <c r="D407" s="127"/>
      <c r="G407" s="127"/>
    </row>
    <row r="408" spans="3:7" ht="13">
      <c r="C408" s="127"/>
      <c r="D408" s="127"/>
      <c r="G408" s="127"/>
    </row>
    <row r="409" spans="3:7" ht="13">
      <c r="C409" s="127"/>
      <c r="D409" s="127"/>
      <c r="G409" s="127"/>
    </row>
    <row r="410" spans="3:7" ht="13">
      <c r="C410" s="127"/>
      <c r="D410" s="127"/>
      <c r="G410" s="127"/>
    </row>
    <row r="411" spans="3:7" ht="13">
      <c r="C411" s="127"/>
      <c r="D411" s="127"/>
      <c r="G411" s="127"/>
    </row>
    <row r="412" spans="3:7" ht="13">
      <c r="C412" s="127"/>
      <c r="D412" s="127"/>
      <c r="G412" s="127"/>
    </row>
    <row r="413" spans="3:7" ht="13">
      <c r="C413" s="127"/>
      <c r="D413" s="127"/>
      <c r="G413" s="127"/>
    </row>
    <row r="414" spans="3:7" ht="13">
      <c r="C414" s="127"/>
      <c r="D414" s="127"/>
      <c r="G414" s="127"/>
    </row>
    <row r="415" spans="3:7" ht="13">
      <c r="C415" s="127"/>
      <c r="D415" s="127"/>
      <c r="G415" s="127"/>
    </row>
    <row r="416" spans="3:7" ht="13">
      <c r="C416" s="127"/>
      <c r="D416" s="127"/>
      <c r="G416" s="127"/>
    </row>
    <row r="417" spans="3:7" ht="13">
      <c r="C417" s="127"/>
      <c r="D417" s="127"/>
      <c r="G417" s="127"/>
    </row>
    <row r="418" spans="3:7" ht="13">
      <c r="C418" s="127"/>
      <c r="D418" s="127"/>
      <c r="G418" s="127"/>
    </row>
    <row r="419" spans="3:7" ht="13">
      <c r="C419" s="127"/>
      <c r="D419" s="127"/>
      <c r="G419" s="127"/>
    </row>
    <row r="420" spans="3:7" ht="13">
      <c r="C420" s="127"/>
      <c r="D420" s="127"/>
      <c r="G420" s="127"/>
    </row>
    <row r="421" spans="3:7" ht="13">
      <c r="C421" s="127"/>
      <c r="D421" s="127"/>
      <c r="G421" s="127"/>
    </row>
    <row r="422" spans="3:7" ht="13">
      <c r="C422" s="127"/>
      <c r="D422" s="127"/>
      <c r="G422" s="127"/>
    </row>
    <row r="423" spans="3:7" ht="13">
      <c r="C423" s="127"/>
      <c r="D423" s="127"/>
      <c r="G423" s="127"/>
    </row>
    <row r="424" spans="3:7" ht="13">
      <c r="C424" s="127"/>
      <c r="D424" s="127"/>
      <c r="G424" s="127"/>
    </row>
    <row r="425" spans="3:7" ht="13">
      <c r="C425" s="127"/>
      <c r="D425" s="127"/>
      <c r="G425" s="127"/>
    </row>
    <row r="426" spans="3:7" ht="13">
      <c r="C426" s="127"/>
      <c r="D426" s="127"/>
      <c r="G426" s="127"/>
    </row>
    <row r="427" spans="3:7" ht="13">
      <c r="C427" s="127"/>
      <c r="D427" s="127"/>
      <c r="G427" s="127"/>
    </row>
    <row r="428" spans="3:7" ht="13">
      <c r="C428" s="127"/>
      <c r="D428" s="127"/>
      <c r="G428" s="127"/>
    </row>
    <row r="429" spans="3:7" ht="13">
      <c r="C429" s="127"/>
      <c r="D429" s="127"/>
      <c r="G429" s="127"/>
    </row>
    <row r="430" spans="3:7" ht="13">
      <c r="C430" s="127"/>
      <c r="D430" s="127"/>
      <c r="G430" s="127"/>
    </row>
    <row r="431" spans="3:7" ht="13">
      <c r="C431" s="127"/>
      <c r="D431" s="127"/>
      <c r="G431" s="127"/>
    </row>
    <row r="432" spans="3:7" ht="13">
      <c r="C432" s="127"/>
      <c r="D432" s="127"/>
      <c r="G432" s="127"/>
    </row>
    <row r="433" spans="3:7" ht="13">
      <c r="C433" s="127"/>
      <c r="D433" s="127"/>
      <c r="G433" s="127"/>
    </row>
    <row r="434" spans="3:7" ht="13">
      <c r="C434" s="127"/>
      <c r="D434" s="127"/>
      <c r="G434" s="127"/>
    </row>
    <row r="435" spans="3:7" ht="13">
      <c r="C435" s="127"/>
      <c r="D435" s="127"/>
      <c r="G435" s="127"/>
    </row>
    <row r="436" spans="3:7" ht="13">
      <c r="C436" s="127"/>
      <c r="D436" s="127"/>
      <c r="G436" s="127"/>
    </row>
    <row r="437" spans="3:7" ht="13">
      <c r="C437" s="127"/>
      <c r="D437" s="127"/>
      <c r="G437" s="127"/>
    </row>
    <row r="438" spans="3:7" ht="13">
      <c r="C438" s="127"/>
      <c r="D438" s="127"/>
      <c r="G438" s="127"/>
    </row>
    <row r="439" spans="3:7" ht="13">
      <c r="C439" s="127"/>
      <c r="D439" s="127"/>
      <c r="G439" s="127"/>
    </row>
    <row r="440" spans="3:7" ht="13">
      <c r="C440" s="127"/>
      <c r="D440" s="127"/>
      <c r="G440" s="127"/>
    </row>
    <row r="441" spans="3:7" ht="13">
      <c r="C441" s="127"/>
      <c r="D441" s="127"/>
      <c r="G441" s="127"/>
    </row>
    <row r="442" spans="3:7" ht="13">
      <c r="C442" s="127"/>
      <c r="D442" s="127"/>
      <c r="G442" s="127"/>
    </row>
    <row r="443" spans="3:7" ht="13">
      <c r="C443" s="127"/>
      <c r="D443" s="127"/>
      <c r="G443" s="127"/>
    </row>
    <row r="444" spans="3:7" ht="13">
      <c r="C444" s="127"/>
      <c r="D444" s="127"/>
      <c r="G444" s="127"/>
    </row>
    <row r="445" spans="3:7" ht="13">
      <c r="C445" s="127"/>
      <c r="D445" s="127"/>
      <c r="G445" s="127"/>
    </row>
    <row r="446" spans="3:7" ht="13">
      <c r="C446" s="127"/>
      <c r="D446" s="127"/>
      <c r="G446" s="127"/>
    </row>
    <row r="447" spans="3:7" ht="13">
      <c r="C447" s="127"/>
      <c r="D447" s="127"/>
      <c r="G447" s="127"/>
    </row>
    <row r="448" spans="3:7" ht="13">
      <c r="C448" s="127"/>
      <c r="D448" s="127"/>
      <c r="G448" s="127"/>
    </row>
    <row r="449" spans="3:7" ht="13">
      <c r="C449" s="127"/>
      <c r="D449" s="127"/>
      <c r="G449" s="127"/>
    </row>
    <row r="450" spans="3:7" ht="13">
      <c r="C450" s="127"/>
      <c r="D450" s="127"/>
      <c r="G450" s="127"/>
    </row>
    <row r="451" spans="3:7" ht="13">
      <c r="C451" s="127"/>
      <c r="D451" s="127"/>
      <c r="G451" s="127"/>
    </row>
    <row r="452" spans="3:7" ht="13">
      <c r="C452" s="127"/>
      <c r="D452" s="127"/>
      <c r="G452" s="127"/>
    </row>
    <row r="453" spans="3:7" ht="13">
      <c r="C453" s="127"/>
      <c r="D453" s="127"/>
      <c r="G453" s="127"/>
    </row>
    <row r="454" spans="3:7" ht="13">
      <c r="C454" s="127"/>
      <c r="D454" s="127"/>
      <c r="G454" s="127"/>
    </row>
    <row r="455" spans="3:7" ht="13">
      <c r="C455" s="127"/>
      <c r="D455" s="127"/>
      <c r="G455" s="127"/>
    </row>
    <row r="456" spans="3:7" ht="13">
      <c r="C456" s="127"/>
      <c r="D456" s="127"/>
      <c r="G456" s="127"/>
    </row>
    <row r="457" spans="3:7" ht="13">
      <c r="C457" s="127"/>
      <c r="D457" s="127"/>
      <c r="G457" s="127"/>
    </row>
    <row r="458" spans="3:7" ht="13">
      <c r="C458" s="127"/>
      <c r="D458" s="127"/>
      <c r="G458" s="127"/>
    </row>
    <row r="459" spans="3:7" ht="13">
      <c r="C459" s="127"/>
      <c r="D459" s="127"/>
      <c r="G459" s="127"/>
    </row>
    <row r="460" spans="3:7" ht="13">
      <c r="C460" s="127"/>
      <c r="D460" s="127"/>
      <c r="G460" s="127"/>
    </row>
    <row r="461" spans="3:7" ht="13">
      <c r="C461" s="127"/>
      <c r="D461" s="127"/>
      <c r="G461" s="127"/>
    </row>
    <row r="462" spans="3:7" ht="13">
      <c r="C462" s="127"/>
      <c r="D462" s="127"/>
      <c r="G462" s="127"/>
    </row>
    <row r="463" spans="3:7" ht="13">
      <c r="C463" s="127"/>
      <c r="D463" s="127"/>
      <c r="G463" s="127"/>
    </row>
    <row r="464" spans="3:7" ht="13">
      <c r="C464" s="127"/>
      <c r="D464" s="127"/>
      <c r="G464" s="127"/>
    </row>
    <row r="465" spans="3:7" ht="13">
      <c r="C465" s="127"/>
      <c r="D465" s="127"/>
      <c r="G465" s="127"/>
    </row>
    <row r="466" spans="3:7" ht="13">
      <c r="C466" s="127"/>
      <c r="D466" s="127"/>
      <c r="G466" s="127"/>
    </row>
    <row r="467" spans="3:7" ht="13">
      <c r="C467" s="127"/>
      <c r="D467" s="127"/>
      <c r="G467" s="127"/>
    </row>
    <row r="468" spans="3:7" ht="13">
      <c r="C468" s="127"/>
      <c r="D468" s="127"/>
      <c r="G468" s="127"/>
    </row>
    <row r="469" spans="3:7" ht="13">
      <c r="C469" s="127"/>
      <c r="D469" s="127"/>
      <c r="G469" s="127"/>
    </row>
    <row r="470" spans="3:7" ht="13">
      <c r="C470" s="127"/>
      <c r="D470" s="127"/>
      <c r="G470" s="127"/>
    </row>
    <row r="471" spans="3:7" ht="13">
      <c r="C471" s="127"/>
      <c r="D471" s="127"/>
      <c r="G471" s="127"/>
    </row>
    <row r="472" spans="3:7" ht="13">
      <c r="C472" s="127"/>
      <c r="D472" s="127"/>
      <c r="G472" s="127"/>
    </row>
    <row r="473" spans="3:7" ht="13">
      <c r="C473" s="127"/>
      <c r="D473" s="127"/>
      <c r="G473" s="127"/>
    </row>
    <row r="474" spans="3:7" ht="13">
      <c r="C474" s="127"/>
      <c r="D474" s="127"/>
      <c r="G474" s="127"/>
    </row>
    <row r="475" spans="3:7" ht="13">
      <c r="C475" s="127"/>
      <c r="D475" s="127"/>
      <c r="G475" s="127"/>
    </row>
    <row r="476" spans="3:7" ht="13">
      <c r="C476" s="127"/>
      <c r="D476" s="127"/>
      <c r="G476" s="127"/>
    </row>
    <row r="477" spans="3:7" ht="13">
      <c r="C477" s="127"/>
      <c r="D477" s="127"/>
      <c r="G477" s="127"/>
    </row>
    <row r="478" spans="3:7" ht="13">
      <c r="C478" s="127"/>
      <c r="D478" s="127"/>
      <c r="G478" s="127"/>
    </row>
    <row r="479" spans="3:7" ht="13">
      <c r="C479" s="127"/>
      <c r="D479" s="127"/>
      <c r="G479" s="127"/>
    </row>
    <row r="480" spans="3:7" ht="13">
      <c r="C480" s="127"/>
      <c r="D480" s="127"/>
      <c r="G480" s="127"/>
    </row>
    <row r="481" spans="3:7" ht="13">
      <c r="C481" s="127"/>
      <c r="D481" s="127"/>
      <c r="G481" s="127"/>
    </row>
    <row r="482" spans="3:7" ht="13">
      <c r="C482" s="127"/>
      <c r="D482" s="127"/>
      <c r="G482" s="127"/>
    </row>
    <row r="483" spans="3:7" ht="13">
      <c r="C483" s="127"/>
      <c r="D483" s="127"/>
      <c r="G483" s="127"/>
    </row>
    <row r="484" spans="3:7" ht="13">
      <c r="C484" s="127"/>
      <c r="D484" s="127"/>
      <c r="G484" s="127"/>
    </row>
    <row r="485" spans="3:7" ht="13">
      <c r="C485" s="127"/>
      <c r="D485" s="127"/>
      <c r="G485" s="127"/>
    </row>
    <row r="486" spans="3:7" ht="13">
      <c r="C486" s="127"/>
      <c r="D486" s="127"/>
      <c r="G486" s="127"/>
    </row>
    <row r="487" spans="3:7" ht="13">
      <c r="C487" s="127"/>
      <c r="D487" s="127"/>
      <c r="G487" s="127"/>
    </row>
    <row r="488" spans="3:7" ht="13">
      <c r="C488" s="127"/>
      <c r="D488" s="127"/>
      <c r="G488" s="127"/>
    </row>
    <row r="489" spans="3:7" ht="13">
      <c r="C489" s="127"/>
      <c r="D489" s="127"/>
      <c r="G489" s="127"/>
    </row>
    <row r="490" spans="3:7" ht="13">
      <c r="C490" s="127"/>
      <c r="D490" s="127"/>
      <c r="G490" s="127"/>
    </row>
    <row r="491" spans="3:7" ht="13">
      <c r="C491" s="127"/>
      <c r="D491" s="127"/>
      <c r="G491" s="127"/>
    </row>
    <row r="492" spans="3:7" ht="13">
      <c r="C492" s="127"/>
      <c r="D492" s="127"/>
      <c r="G492" s="127"/>
    </row>
    <row r="493" spans="3:7" ht="13">
      <c r="C493" s="127"/>
      <c r="D493" s="127"/>
      <c r="G493" s="127"/>
    </row>
    <row r="494" spans="3:7" ht="13">
      <c r="C494" s="127"/>
      <c r="D494" s="127"/>
      <c r="G494" s="127"/>
    </row>
    <row r="495" spans="3:7" ht="13">
      <c r="C495" s="127"/>
      <c r="D495" s="127"/>
      <c r="G495" s="127"/>
    </row>
    <row r="496" spans="3:7" ht="13">
      <c r="C496" s="127"/>
      <c r="D496" s="127"/>
      <c r="G496" s="127"/>
    </row>
    <row r="497" spans="3:7" ht="13">
      <c r="C497" s="127"/>
      <c r="D497" s="127"/>
      <c r="G497" s="127"/>
    </row>
    <row r="498" spans="3:7" ht="13">
      <c r="C498" s="127"/>
      <c r="D498" s="127"/>
      <c r="G498" s="127"/>
    </row>
    <row r="499" spans="3:7" ht="13">
      <c r="C499" s="127"/>
      <c r="D499" s="127"/>
      <c r="G499" s="127"/>
    </row>
    <row r="500" spans="3:7" ht="13">
      <c r="C500" s="127"/>
      <c r="D500" s="127"/>
      <c r="G500" s="127"/>
    </row>
    <row r="501" spans="3:7" ht="13">
      <c r="C501" s="127"/>
      <c r="D501" s="127"/>
      <c r="G501" s="127"/>
    </row>
    <row r="502" spans="3:7" ht="13">
      <c r="C502" s="127"/>
      <c r="D502" s="127"/>
      <c r="G502" s="127"/>
    </row>
    <row r="503" spans="3:7" ht="13">
      <c r="C503" s="127"/>
      <c r="D503" s="127"/>
      <c r="G503" s="127"/>
    </row>
    <row r="504" spans="3:7" ht="13">
      <c r="C504" s="127"/>
      <c r="D504" s="127"/>
      <c r="G504" s="127"/>
    </row>
    <row r="505" spans="3:7" ht="13">
      <c r="C505" s="127"/>
      <c r="D505" s="127"/>
      <c r="G505" s="127"/>
    </row>
    <row r="506" spans="3:7" ht="13">
      <c r="C506" s="127"/>
      <c r="D506" s="127"/>
      <c r="G506" s="127"/>
    </row>
    <row r="507" spans="3:7" ht="13">
      <c r="C507" s="127"/>
      <c r="D507" s="127"/>
      <c r="G507" s="127"/>
    </row>
    <row r="508" spans="3:7" ht="13">
      <c r="C508" s="127"/>
      <c r="D508" s="127"/>
      <c r="G508" s="127"/>
    </row>
    <row r="509" spans="3:7" ht="13">
      <c r="C509" s="127"/>
      <c r="D509" s="127"/>
      <c r="G509" s="127"/>
    </row>
    <row r="510" spans="3:7" ht="13">
      <c r="C510" s="127"/>
      <c r="D510" s="127"/>
      <c r="G510" s="127"/>
    </row>
    <row r="511" spans="3:7" ht="13">
      <c r="C511" s="127"/>
      <c r="D511" s="127"/>
      <c r="G511" s="127"/>
    </row>
    <row r="512" spans="3:7" ht="13">
      <c r="C512" s="127"/>
      <c r="D512" s="127"/>
      <c r="G512" s="127"/>
    </row>
    <row r="513" spans="3:7" ht="13">
      <c r="C513" s="127"/>
      <c r="D513" s="127"/>
      <c r="G513" s="127"/>
    </row>
    <row r="514" spans="3:7" ht="13">
      <c r="C514" s="127"/>
      <c r="D514" s="127"/>
      <c r="G514" s="127"/>
    </row>
    <row r="515" spans="3:7" ht="13">
      <c r="C515" s="127"/>
      <c r="D515" s="127"/>
      <c r="G515" s="127"/>
    </row>
    <row r="516" spans="3:7" ht="13">
      <c r="C516" s="127"/>
      <c r="D516" s="127"/>
      <c r="G516" s="127"/>
    </row>
    <row r="517" spans="3:7" ht="13">
      <c r="C517" s="127"/>
      <c r="D517" s="127"/>
      <c r="G517" s="127"/>
    </row>
    <row r="518" spans="3:7" ht="13">
      <c r="C518" s="127"/>
      <c r="D518" s="127"/>
      <c r="G518" s="127"/>
    </row>
    <row r="519" spans="3:7" ht="13">
      <c r="C519" s="127"/>
      <c r="D519" s="127"/>
      <c r="G519" s="127"/>
    </row>
    <row r="520" spans="3:7" ht="13">
      <c r="C520" s="127"/>
      <c r="D520" s="127"/>
      <c r="G520" s="127"/>
    </row>
    <row r="521" spans="3:7" ht="13">
      <c r="C521" s="127"/>
      <c r="D521" s="127"/>
      <c r="G521" s="127"/>
    </row>
    <row r="522" spans="3:7" ht="13">
      <c r="C522" s="127"/>
      <c r="D522" s="127"/>
      <c r="G522" s="127"/>
    </row>
    <row r="523" spans="3:7" ht="13">
      <c r="C523" s="127"/>
      <c r="D523" s="127"/>
      <c r="G523" s="127"/>
    </row>
    <row r="524" spans="3:7" ht="13">
      <c r="C524" s="127"/>
      <c r="D524" s="127"/>
      <c r="G524" s="127"/>
    </row>
    <row r="525" spans="3:7" ht="13">
      <c r="C525" s="127"/>
      <c r="D525" s="127"/>
      <c r="G525" s="127"/>
    </row>
    <row r="526" spans="3:7" ht="13">
      <c r="C526" s="127"/>
      <c r="D526" s="127"/>
      <c r="G526" s="127"/>
    </row>
    <row r="527" spans="3:7" ht="13">
      <c r="C527" s="127"/>
      <c r="D527" s="127"/>
      <c r="G527" s="127"/>
    </row>
    <row r="528" spans="3:7" ht="13">
      <c r="C528" s="127"/>
      <c r="D528" s="127"/>
      <c r="G528" s="127"/>
    </row>
    <row r="529" spans="3:7" ht="13">
      <c r="C529" s="127"/>
      <c r="D529" s="127"/>
      <c r="G529" s="127"/>
    </row>
    <row r="530" spans="3:7" ht="13">
      <c r="C530" s="127"/>
      <c r="D530" s="127"/>
      <c r="G530" s="127"/>
    </row>
    <row r="531" spans="3:7" ht="13">
      <c r="C531" s="127"/>
      <c r="D531" s="127"/>
      <c r="G531" s="127"/>
    </row>
    <row r="532" spans="3:7" ht="13">
      <c r="C532" s="127"/>
      <c r="D532" s="127"/>
      <c r="G532" s="127"/>
    </row>
    <row r="533" spans="3:7" ht="13">
      <c r="C533" s="127"/>
      <c r="D533" s="127"/>
      <c r="G533" s="127"/>
    </row>
    <row r="534" spans="3:7" ht="13">
      <c r="C534" s="127"/>
      <c r="D534" s="127"/>
      <c r="G534" s="127"/>
    </row>
    <row r="535" spans="3:7" ht="13">
      <c r="C535" s="127"/>
      <c r="D535" s="127"/>
      <c r="G535" s="127"/>
    </row>
    <row r="536" spans="3:7" ht="13">
      <c r="C536" s="127"/>
      <c r="D536" s="127"/>
      <c r="G536" s="127"/>
    </row>
    <row r="537" spans="3:7" ht="13">
      <c r="C537" s="127"/>
      <c r="D537" s="127"/>
      <c r="G537" s="127"/>
    </row>
    <row r="538" spans="3:7" ht="13">
      <c r="C538" s="127"/>
      <c r="D538" s="127"/>
      <c r="G538" s="127"/>
    </row>
    <row r="539" spans="3:7" ht="13">
      <c r="C539" s="127"/>
      <c r="D539" s="127"/>
      <c r="G539" s="127"/>
    </row>
    <row r="540" spans="3:7" ht="13">
      <c r="C540" s="127"/>
      <c r="D540" s="127"/>
      <c r="G540" s="127"/>
    </row>
    <row r="541" spans="3:7" ht="13">
      <c r="C541" s="127"/>
      <c r="D541" s="127"/>
      <c r="G541" s="127"/>
    </row>
    <row r="542" spans="3:7" ht="13">
      <c r="C542" s="127"/>
      <c r="D542" s="127"/>
      <c r="G542" s="127"/>
    </row>
    <row r="543" spans="3:7" ht="13">
      <c r="C543" s="127"/>
      <c r="D543" s="127"/>
      <c r="G543" s="127"/>
    </row>
    <row r="544" spans="3:7" ht="13">
      <c r="C544" s="127"/>
      <c r="D544" s="127"/>
      <c r="G544" s="127"/>
    </row>
    <row r="545" spans="3:7" ht="13">
      <c r="C545" s="127"/>
      <c r="D545" s="127"/>
      <c r="G545" s="127"/>
    </row>
    <row r="546" spans="3:7" ht="13">
      <c r="C546" s="127"/>
      <c r="D546" s="127"/>
      <c r="G546" s="127"/>
    </row>
    <row r="547" spans="3:7" ht="13">
      <c r="C547" s="127"/>
      <c r="D547" s="127"/>
      <c r="G547" s="127"/>
    </row>
    <row r="548" spans="3:7" ht="13">
      <c r="C548" s="127"/>
      <c r="D548" s="127"/>
      <c r="G548" s="127"/>
    </row>
    <row r="549" spans="3:7" ht="13">
      <c r="C549" s="127"/>
      <c r="D549" s="127"/>
      <c r="G549" s="127"/>
    </row>
    <row r="550" spans="3:7" ht="13">
      <c r="C550" s="127"/>
      <c r="D550" s="127"/>
      <c r="G550" s="127"/>
    </row>
    <row r="551" spans="3:7" ht="13">
      <c r="C551" s="127"/>
      <c r="D551" s="127"/>
      <c r="G551" s="127"/>
    </row>
    <row r="552" spans="3:7" ht="13">
      <c r="C552" s="127"/>
      <c r="D552" s="127"/>
      <c r="G552" s="127"/>
    </row>
    <row r="553" spans="3:7" ht="13">
      <c r="C553" s="127"/>
      <c r="D553" s="127"/>
      <c r="G553" s="127"/>
    </row>
    <row r="554" spans="3:7" ht="13">
      <c r="C554" s="127"/>
      <c r="D554" s="127"/>
      <c r="G554" s="127"/>
    </row>
    <row r="555" spans="3:7" ht="13">
      <c r="C555" s="127"/>
      <c r="D555" s="127"/>
      <c r="G555" s="127"/>
    </row>
    <row r="556" spans="3:7" ht="13">
      <c r="C556" s="127"/>
      <c r="D556" s="127"/>
      <c r="G556" s="127"/>
    </row>
    <row r="557" spans="3:7" ht="13">
      <c r="C557" s="127"/>
      <c r="D557" s="127"/>
      <c r="G557" s="127"/>
    </row>
    <row r="558" spans="3:7" ht="13">
      <c r="C558" s="127"/>
      <c r="D558" s="127"/>
      <c r="G558" s="127"/>
    </row>
    <row r="559" spans="3:7" ht="13">
      <c r="C559" s="127"/>
      <c r="D559" s="127"/>
      <c r="G559" s="127"/>
    </row>
    <row r="560" spans="3:7" ht="13">
      <c r="C560" s="127"/>
      <c r="D560" s="127"/>
      <c r="G560" s="127"/>
    </row>
    <row r="561" spans="3:7" ht="13">
      <c r="C561" s="127"/>
      <c r="D561" s="127"/>
      <c r="G561" s="127"/>
    </row>
    <row r="562" spans="3:7" ht="13">
      <c r="C562" s="127"/>
      <c r="D562" s="127"/>
      <c r="G562" s="127"/>
    </row>
    <row r="563" spans="3:7" ht="13">
      <c r="C563" s="127"/>
      <c r="D563" s="127"/>
      <c r="G563" s="127"/>
    </row>
    <row r="564" spans="3:7" ht="13">
      <c r="C564" s="127"/>
      <c r="D564" s="127"/>
      <c r="G564" s="127"/>
    </row>
    <row r="565" spans="3:7" ht="13">
      <c r="C565" s="127"/>
      <c r="D565" s="127"/>
      <c r="G565" s="127"/>
    </row>
    <row r="566" spans="3:7" ht="13">
      <c r="C566" s="127"/>
      <c r="D566" s="127"/>
      <c r="G566" s="127"/>
    </row>
    <row r="567" spans="3:7" ht="13">
      <c r="C567" s="127"/>
      <c r="D567" s="127"/>
      <c r="G567" s="127"/>
    </row>
    <row r="568" spans="3:7" ht="13">
      <c r="C568" s="127"/>
      <c r="D568" s="127"/>
      <c r="G568" s="127"/>
    </row>
    <row r="569" spans="3:7" ht="13">
      <c r="C569" s="127"/>
      <c r="D569" s="127"/>
      <c r="G569" s="127"/>
    </row>
    <row r="570" spans="3:7" ht="13">
      <c r="C570" s="127"/>
      <c r="D570" s="127"/>
      <c r="G570" s="127"/>
    </row>
    <row r="571" spans="3:7" ht="13">
      <c r="C571" s="127"/>
      <c r="D571" s="127"/>
      <c r="G571" s="127"/>
    </row>
    <row r="572" spans="3:7" ht="13">
      <c r="C572" s="127"/>
      <c r="D572" s="127"/>
      <c r="G572" s="127"/>
    </row>
    <row r="573" spans="3:7" ht="13">
      <c r="C573" s="127"/>
      <c r="D573" s="127"/>
      <c r="G573" s="127"/>
    </row>
    <row r="574" spans="3:7" ht="13">
      <c r="C574" s="127"/>
      <c r="D574" s="127"/>
      <c r="G574" s="127"/>
    </row>
    <row r="575" spans="3:7" ht="13">
      <c r="C575" s="127"/>
      <c r="D575" s="127"/>
      <c r="G575" s="127"/>
    </row>
    <row r="576" spans="3:7" ht="13">
      <c r="C576" s="127"/>
      <c r="D576" s="127"/>
      <c r="G576" s="127"/>
    </row>
    <row r="577" spans="3:7" ht="13">
      <c r="C577" s="127"/>
      <c r="D577" s="127"/>
      <c r="G577" s="127"/>
    </row>
    <row r="578" spans="3:7" ht="13">
      <c r="C578" s="127"/>
      <c r="D578" s="127"/>
      <c r="G578" s="127"/>
    </row>
    <row r="579" spans="3:7" ht="13">
      <c r="C579" s="127"/>
      <c r="D579" s="127"/>
      <c r="G579" s="127"/>
    </row>
    <row r="580" spans="3:7" ht="13">
      <c r="C580" s="127"/>
      <c r="D580" s="127"/>
      <c r="G580" s="127"/>
    </row>
    <row r="581" spans="3:7" ht="13">
      <c r="C581" s="127"/>
      <c r="D581" s="127"/>
      <c r="G581" s="127"/>
    </row>
    <row r="582" spans="3:7" ht="13">
      <c r="C582" s="127"/>
      <c r="D582" s="127"/>
      <c r="G582" s="127"/>
    </row>
    <row r="583" spans="3:7" ht="13">
      <c r="C583" s="127"/>
      <c r="D583" s="127"/>
      <c r="G583" s="127"/>
    </row>
    <row r="584" spans="3:7" ht="13">
      <c r="C584" s="127"/>
      <c r="D584" s="127"/>
      <c r="G584" s="127"/>
    </row>
    <row r="585" spans="3:7" ht="13">
      <c r="C585" s="127"/>
      <c r="D585" s="127"/>
      <c r="G585" s="127"/>
    </row>
    <row r="586" spans="3:7" ht="13">
      <c r="C586" s="127"/>
      <c r="D586" s="127"/>
      <c r="G586" s="127"/>
    </row>
    <row r="587" spans="3:7" ht="13">
      <c r="C587" s="127"/>
      <c r="D587" s="127"/>
      <c r="G587" s="127"/>
    </row>
    <row r="588" spans="3:7" ht="13">
      <c r="C588" s="127"/>
      <c r="D588" s="127"/>
      <c r="G588" s="127"/>
    </row>
    <row r="589" spans="3:7" ht="13">
      <c r="C589" s="127"/>
      <c r="D589" s="127"/>
      <c r="G589" s="127"/>
    </row>
    <row r="590" spans="3:7" ht="13">
      <c r="C590" s="127"/>
      <c r="D590" s="127"/>
      <c r="G590" s="127"/>
    </row>
    <row r="591" spans="3:7" ht="13">
      <c r="C591" s="127"/>
      <c r="D591" s="127"/>
      <c r="G591" s="127"/>
    </row>
    <row r="592" spans="3:7" ht="13">
      <c r="C592" s="127"/>
      <c r="D592" s="127"/>
      <c r="G592" s="127"/>
    </row>
    <row r="593" spans="3:7" ht="13">
      <c r="C593" s="127"/>
      <c r="D593" s="127"/>
      <c r="G593" s="127"/>
    </row>
    <row r="594" spans="3:7" ht="13">
      <c r="C594" s="127"/>
      <c r="D594" s="127"/>
      <c r="G594" s="127"/>
    </row>
    <row r="595" spans="3:7" ht="13">
      <c r="C595" s="127"/>
      <c r="D595" s="127"/>
      <c r="G595" s="127"/>
    </row>
    <row r="596" spans="3:7" ht="13">
      <c r="C596" s="127"/>
      <c r="D596" s="127"/>
      <c r="G596" s="127"/>
    </row>
    <row r="597" spans="3:7" ht="13">
      <c r="C597" s="127"/>
      <c r="D597" s="127"/>
      <c r="G597" s="127"/>
    </row>
    <row r="598" spans="3:7" ht="13">
      <c r="C598" s="127"/>
      <c r="D598" s="127"/>
      <c r="G598" s="127"/>
    </row>
    <row r="599" spans="3:7" ht="13">
      <c r="C599" s="127"/>
      <c r="D599" s="127"/>
      <c r="G599" s="127"/>
    </row>
    <row r="600" spans="3:7" ht="13">
      <c r="C600" s="127"/>
      <c r="D600" s="127"/>
      <c r="G600" s="127"/>
    </row>
    <row r="601" spans="3:7" ht="13">
      <c r="C601" s="127"/>
      <c r="D601" s="127"/>
      <c r="G601" s="127"/>
    </row>
    <row r="602" spans="3:7" ht="13">
      <c r="C602" s="127"/>
      <c r="D602" s="127"/>
      <c r="G602" s="127"/>
    </row>
    <row r="603" spans="3:7" ht="13">
      <c r="C603" s="127"/>
      <c r="D603" s="127"/>
      <c r="G603" s="127"/>
    </row>
    <row r="604" spans="3:7" ht="13">
      <c r="C604" s="127"/>
      <c r="D604" s="127"/>
      <c r="G604" s="127"/>
    </row>
    <row r="605" spans="3:7" ht="13">
      <c r="C605" s="127"/>
      <c r="D605" s="127"/>
      <c r="G605" s="127"/>
    </row>
    <row r="606" spans="3:7" ht="13">
      <c r="C606" s="127"/>
      <c r="D606" s="127"/>
      <c r="G606" s="127"/>
    </row>
    <row r="607" spans="3:7" ht="13">
      <c r="C607" s="127"/>
      <c r="D607" s="127"/>
      <c r="G607" s="127"/>
    </row>
    <row r="608" spans="3:7" ht="13">
      <c r="C608" s="127"/>
      <c r="D608" s="127"/>
      <c r="G608" s="127"/>
    </row>
    <row r="609" spans="3:7" ht="13">
      <c r="C609" s="127"/>
      <c r="D609" s="127"/>
      <c r="G609" s="127"/>
    </row>
    <row r="610" spans="3:7" ht="13">
      <c r="C610" s="127"/>
      <c r="D610" s="127"/>
      <c r="G610" s="127"/>
    </row>
    <row r="611" spans="3:7" ht="13">
      <c r="C611" s="127"/>
      <c r="D611" s="127"/>
      <c r="G611" s="127"/>
    </row>
    <row r="612" spans="3:7" ht="13">
      <c r="C612" s="127"/>
      <c r="D612" s="127"/>
      <c r="G612" s="127"/>
    </row>
    <row r="613" spans="3:7" ht="13">
      <c r="C613" s="127"/>
      <c r="D613" s="127"/>
      <c r="G613" s="127"/>
    </row>
    <row r="614" spans="3:7" ht="13">
      <c r="C614" s="127"/>
      <c r="D614" s="127"/>
      <c r="G614" s="127"/>
    </row>
    <row r="615" spans="3:7" ht="13">
      <c r="C615" s="127"/>
      <c r="D615" s="127"/>
      <c r="G615" s="127"/>
    </row>
    <row r="616" spans="3:7" ht="13">
      <c r="C616" s="127"/>
      <c r="D616" s="127"/>
      <c r="G616" s="127"/>
    </row>
    <row r="617" spans="3:7" ht="13">
      <c r="C617" s="127"/>
      <c r="D617" s="127"/>
      <c r="G617" s="127"/>
    </row>
    <row r="618" spans="3:7" ht="13">
      <c r="C618" s="127"/>
      <c r="D618" s="127"/>
      <c r="G618" s="127"/>
    </row>
    <row r="619" spans="3:7" ht="13">
      <c r="C619" s="127"/>
      <c r="D619" s="127"/>
      <c r="G619" s="127"/>
    </row>
    <row r="620" spans="3:7" ht="13">
      <c r="C620" s="127"/>
      <c r="D620" s="127"/>
      <c r="G620" s="127"/>
    </row>
    <row r="621" spans="3:7" ht="13">
      <c r="C621" s="127"/>
      <c r="D621" s="127"/>
      <c r="G621" s="127"/>
    </row>
    <row r="622" spans="3:7" ht="13">
      <c r="C622" s="127"/>
      <c r="D622" s="127"/>
      <c r="G622" s="127"/>
    </row>
    <row r="623" spans="3:7" ht="13">
      <c r="C623" s="127"/>
      <c r="D623" s="127"/>
      <c r="G623" s="127"/>
    </row>
    <row r="624" spans="3:7" ht="13">
      <c r="C624" s="127"/>
      <c r="D624" s="127"/>
      <c r="G624" s="127"/>
    </row>
    <row r="625" spans="3:7" ht="13">
      <c r="C625" s="127"/>
      <c r="D625" s="127"/>
      <c r="G625" s="127"/>
    </row>
    <row r="626" spans="3:7" ht="13">
      <c r="C626" s="127"/>
      <c r="D626" s="127"/>
      <c r="G626" s="127"/>
    </row>
    <row r="627" spans="3:7" ht="13">
      <c r="C627" s="127"/>
      <c r="D627" s="127"/>
      <c r="G627" s="127"/>
    </row>
    <row r="628" spans="3:7" ht="13">
      <c r="C628" s="127"/>
      <c r="D628" s="127"/>
      <c r="G628" s="127"/>
    </row>
    <row r="629" spans="3:7" ht="13">
      <c r="C629" s="127"/>
      <c r="D629" s="127"/>
      <c r="G629" s="127"/>
    </row>
    <row r="630" spans="3:7" ht="13">
      <c r="C630" s="127"/>
      <c r="D630" s="127"/>
      <c r="G630" s="127"/>
    </row>
    <row r="631" spans="3:7" ht="13">
      <c r="C631" s="127"/>
      <c r="D631" s="127"/>
      <c r="G631" s="127"/>
    </row>
    <row r="632" spans="3:7" ht="13">
      <c r="C632" s="127"/>
      <c r="D632" s="127"/>
      <c r="G632" s="127"/>
    </row>
    <row r="633" spans="3:7" ht="13">
      <c r="C633" s="127"/>
      <c r="D633" s="127"/>
      <c r="G633" s="127"/>
    </row>
    <row r="634" spans="3:7" ht="13">
      <c r="C634" s="127"/>
      <c r="D634" s="127"/>
      <c r="G634" s="127"/>
    </row>
    <row r="635" spans="3:7" ht="13">
      <c r="C635" s="127"/>
      <c r="D635" s="127"/>
      <c r="G635" s="127"/>
    </row>
    <row r="636" spans="3:7" ht="13">
      <c r="C636" s="127"/>
      <c r="D636" s="127"/>
      <c r="G636" s="127"/>
    </row>
    <row r="637" spans="3:7" ht="13">
      <c r="C637" s="127"/>
      <c r="D637" s="127"/>
      <c r="G637" s="127"/>
    </row>
    <row r="638" spans="3:7" ht="13">
      <c r="C638" s="127"/>
      <c r="D638" s="127"/>
      <c r="G638" s="127"/>
    </row>
    <row r="639" spans="3:7" ht="13">
      <c r="C639" s="127"/>
      <c r="D639" s="127"/>
      <c r="G639" s="127"/>
    </row>
    <row r="640" spans="3:7" ht="13">
      <c r="C640" s="127"/>
      <c r="D640" s="127"/>
      <c r="G640" s="127"/>
    </row>
    <row r="641" spans="3:7" ht="13">
      <c r="C641" s="127"/>
      <c r="D641" s="127"/>
      <c r="G641" s="127"/>
    </row>
    <row r="642" spans="3:7" ht="13">
      <c r="C642" s="127"/>
      <c r="D642" s="127"/>
      <c r="G642" s="127"/>
    </row>
    <row r="643" spans="3:7" ht="13">
      <c r="C643" s="127"/>
      <c r="D643" s="127"/>
      <c r="G643" s="127"/>
    </row>
    <row r="644" spans="3:7" ht="13">
      <c r="C644" s="127"/>
      <c r="D644" s="127"/>
      <c r="G644" s="127"/>
    </row>
    <row r="645" spans="3:7" ht="13">
      <c r="C645" s="127"/>
      <c r="D645" s="127"/>
      <c r="G645" s="127"/>
    </row>
    <row r="646" spans="3:7" ht="13">
      <c r="C646" s="127"/>
      <c r="D646" s="127"/>
      <c r="G646" s="127"/>
    </row>
    <row r="647" spans="3:7" ht="13">
      <c r="C647" s="127"/>
      <c r="D647" s="127"/>
      <c r="G647" s="127"/>
    </row>
    <row r="648" spans="3:7" ht="13">
      <c r="C648" s="127"/>
      <c r="D648" s="127"/>
      <c r="G648" s="127"/>
    </row>
    <row r="649" spans="3:7" ht="13">
      <c r="C649" s="127"/>
      <c r="D649" s="127"/>
      <c r="G649" s="127"/>
    </row>
    <row r="650" spans="3:7" ht="13">
      <c r="C650" s="127"/>
      <c r="D650" s="127"/>
      <c r="G650" s="127"/>
    </row>
    <row r="651" spans="3:7" ht="13">
      <c r="C651" s="127"/>
      <c r="D651" s="127"/>
      <c r="G651" s="127"/>
    </row>
    <row r="652" spans="3:7" ht="13">
      <c r="C652" s="127"/>
      <c r="D652" s="127"/>
      <c r="G652" s="127"/>
    </row>
    <row r="653" spans="3:7" ht="13">
      <c r="C653" s="127"/>
      <c r="D653" s="127"/>
      <c r="G653" s="127"/>
    </row>
    <row r="654" spans="3:7" ht="13">
      <c r="C654" s="127"/>
      <c r="D654" s="127"/>
      <c r="G654" s="127"/>
    </row>
    <row r="655" spans="3:7" ht="13">
      <c r="C655" s="127"/>
      <c r="D655" s="127"/>
      <c r="G655" s="127"/>
    </row>
    <row r="656" spans="3:7" ht="13">
      <c r="C656" s="127"/>
      <c r="D656" s="127"/>
      <c r="G656" s="127"/>
    </row>
    <row r="657" spans="3:7" ht="13">
      <c r="C657" s="127"/>
      <c r="D657" s="127"/>
      <c r="G657" s="127"/>
    </row>
    <row r="658" spans="3:7" ht="13">
      <c r="C658" s="127"/>
      <c r="D658" s="127"/>
      <c r="G658" s="127"/>
    </row>
    <row r="659" spans="3:7" ht="13">
      <c r="C659" s="127"/>
      <c r="D659" s="127"/>
      <c r="G659" s="127"/>
    </row>
    <row r="660" spans="3:7" ht="13">
      <c r="C660" s="127"/>
      <c r="D660" s="127"/>
      <c r="G660" s="127"/>
    </row>
    <row r="661" spans="3:7" ht="13">
      <c r="C661" s="127"/>
      <c r="D661" s="127"/>
      <c r="G661" s="127"/>
    </row>
    <row r="662" spans="3:7" ht="13">
      <c r="C662" s="127"/>
      <c r="D662" s="127"/>
      <c r="G662" s="127"/>
    </row>
    <row r="663" spans="3:7" ht="13">
      <c r="C663" s="127"/>
      <c r="D663" s="127"/>
      <c r="G663" s="127"/>
    </row>
    <row r="664" spans="3:7" ht="13">
      <c r="C664" s="127"/>
      <c r="D664" s="127"/>
      <c r="G664" s="127"/>
    </row>
    <row r="665" spans="3:7" ht="13">
      <c r="C665" s="127"/>
      <c r="D665" s="127"/>
      <c r="G665" s="127"/>
    </row>
    <row r="666" spans="3:7" ht="13">
      <c r="C666" s="127"/>
      <c r="D666" s="127"/>
      <c r="G666" s="127"/>
    </row>
    <row r="667" spans="3:7" ht="13">
      <c r="C667" s="127"/>
      <c r="D667" s="127"/>
      <c r="G667" s="127"/>
    </row>
    <row r="668" spans="3:7" ht="13">
      <c r="C668" s="127"/>
      <c r="D668" s="127"/>
      <c r="G668" s="127"/>
    </row>
    <row r="669" spans="3:7" ht="13">
      <c r="C669" s="127"/>
      <c r="D669" s="127"/>
      <c r="G669" s="127"/>
    </row>
    <row r="670" spans="3:7" ht="13">
      <c r="C670" s="127"/>
      <c r="D670" s="127"/>
      <c r="G670" s="127"/>
    </row>
    <row r="671" spans="3:7" ht="13">
      <c r="C671" s="127"/>
      <c r="D671" s="127"/>
      <c r="G671" s="127"/>
    </row>
    <row r="672" spans="3:7" ht="13">
      <c r="C672" s="127"/>
      <c r="D672" s="127"/>
      <c r="G672" s="127"/>
    </row>
    <row r="673" spans="3:7" ht="13">
      <c r="C673" s="127"/>
      <c r="D673" s="127"/>
      <c r="G673" s="127"/>
    </row>
    <row r="674" spans="3:7" ht="13">
      <c r="C674" s="127"/>
      <c r="D674" s="127"/>
      <c r="G674" s="127"/>
    </row>
    <row r="675" spans="3:7" ht="13">
      <c r="C675" s="127"/>
      <c r="D675" s="127"/>
      <c r="G675" s="127"/>
    </row>
    <row r="676" spans="3:7" ht="13">
      <c r="C676" s="127"/>
      <c r="D676" s="127"/>
      <c r="G676" s="127"/>
    </row>
    <row r="677" spans="3:7" ht="13">
      <c r="C677" s="127"/>
      <c r="D677" s="127"/>
      <c r="G677" s="127"/>
    </row>
    <row r="678" spans="3:7" ht="13">
      <c r="C678" s="127"/>
      <c r="D678" s="127"/>
      <c r="G678" s="127"/>
    </row>
    <row r="679" spans="3:7" ht="13">
      <c r="C679" s="127"/>
      <c r="D679" s="127"/>
      <c r="G679" s="127"/>
    </row>
    <row r="680" spans="3:7" ht="13">
      <c r="C680" s="127"/>
      <c r="D680" s="127"/>
      <c r="G680" s="127"/>
    </row>
    <row r="681" spans="3:7" ht="13">
      <c r="C681" s="127"/>
      <c r="D681" s="127"/>
      <c r="G681" s="127"/>
    </row>
    <row r="682" spans="3:7" ht="13">
      <c r="C682" s="127"/>
      <c r="D682" s="127"/>
      <c r="G682" s="127"/>
    </row>
    <row r="683" spans="3:7" ht="13">
      <c r="C683" s="127"/>
      <c r="D683" s="127"/>
      <c r="G683" s="127"/>
    </row>
    <row r="684" spans="3:7" ht="13">
      <c r="C684" s="127"/>
      <c r="D684" s="127"/>
      <c r="G684" s="127"/>
    </row>
    <row r="685" spans="3:7" ht="13">
      <c r="C685" s="127"/>
      <c r="D685" s="127"/>
      <c r="G685" s="127"/>
    </row>
    <row r="686" spans="3:7" ht="13">
      <c r="C686" s="127"/>
      <c r="D686" s="127"/>
      <c r="G686" s="127"/>
    </row>
    <row r="687" spans="3:7" ht="13">
      <c r="C687" s="127"/>
      <c r="D687" s="127"/>
      <c r="G687" s="127"/>
    </row>
    <row r="688" spans="3:7" ht="13">
      <c r="C688" s="127"/>
      <c r="D688" s="127"/>
      <c r="G688" s="127"/>
    </row>
    <row r="689" spans="3:7" ht="13">
      <c r="C689" s="127"/>
      <c r="D689" s="127"/>
      <c r="G689" s="127"/>
    </row>
    <row r="690" spans="3:7" ht="13">
      <c r="C690" s="127"/>
      <c r="D690" s="127"/>
      <c r="G690" s="127"/>
    </row>
    <row r="691" spans="3:7" ht="13">
      <c r="C691" s="127"/>
      <c r="D691" s="127"/>
      <c r="G691" s="127"/>
    </row>
    <row r="692" spans="3:7" ht="13">
      <c r="C692" s="127"/>
      <c r="D692" s="127"/>
      <c r="G692" s="127"/>
    </row>
    <row r="693" spans="3:7" ht="13">
      <c r="C693" s="127"/>
      <c r="D693" s="127"/>
      <c r="G693" s="127"/>
    </row>
    <row r="694" spans="3:7" ht="13">
      <c r="C694" s="127"/>
      <c r="D694" s="127"/>
      <c r="G694" s="127"/>
    </row>
    <row r="695" spans="3:7" ht="13">
      <c r="C695" s="127"/>
      <c r="D695" s="127"/>
      <c r="G695" s="127"/>
    </row>
    <row r="696" spans="3:7" ht="13">
      <c r="C696" s="127"/>
      <c r="D696" s="127"/>
      <c r="G696" s="127"/>
    </row>
    <row r="697" spans="3:7" ht="13">
      <c r="C697" s="127"/>
      <c r="D697" s="127"/>
      <c r="G697" s="127"/>
    </row>
    <row r="698" spans="3:7" ht="13">
      <c r="C698" s="127"/>
      <c r="D698" s="127"/>
      <c r="G698" s="127"/>
    </row>
    <row r="699" spans="3:7" ht="13">
      <c r="C699" s="127"/>
      <c r="D699" s="127"/>
      <c r="G699" s="127"/>
    </row>
    <row r="700" spans="3:7" ht="13">
      <c r="C700" s="127"/>
      <c r="D700" s="127"/>
      <c r="G700" s="127"/>
    </row>
    <row r="701" spans="3:7" ht="13">
      <c r="C701" s="127"/>
      <c r="D701" s="127"/>
      <c r="G701" s="127"/>
    </row>
    <row r="702" spans="3:7" ht="13">
      <c r="C702" s="127"/>
      <c r="D702" s="127"/>
      <c r="G702" s="127"/>
    </row>
    <row r="703" spans="3:7" ht="13">
      <c r="C703" s="127"/>
      <c r="D703" s="127"/>
      <c r="G703" s="127"/>
    </row>
    <row r="704" spans="3:7" ht="13">
      <c r="C704" s="127"/>
      <c r="D704" s="127"/>
      <c r="G704" s="127"/>
    </row>
    <row r="705" spans="3:7" ht="13">
      <c r="C705" s="127"/>
      <c r="D705" s="127"/>
      <c r="G705" s="127"/>
    </row>
    <row r="706" spans="3:7" ht="13">
      <c r="C706" s="127"/>
      <c r="D706" s="127"/>
      <c r="G706" s="127"/>
    </row>
    <row r="707" spans="3:7" ht="13">
      <c r="C707" s="127"/>
      <c r="D707" s="127"/>
      <c r="G707" s="127"/>
    </row>
    <row r="708" spans="3:7" ht="13">
      <c r="C708" s="127"/>
      <c r="D708" s="127"/>
      <c r="G708" s="127"/>
    </row>
    <row r="709" spans="3:7" ht="13">
      <c r="C709" s="127"/>
      <c r="D709" s="127"/>
      <c r="G709" s="127"/>
    </row>
    <row r="710" spans="3:7" ht="13">
      <c r="C710" s="127"/>
      <c r="D710" s="127"/>
      <c r="G710" s="127"/>
    </row>
    <row r="711" spans="3:7" ht="13">
      <c r="C711" s="127"/>
      <c r="D711" s="127"/>
      <c r="G711" s="127"/>
    </row>
    <row r="712" spans="3:7" ht="13">
      <c r="C712" s="127"/>
      <c r="D712" s="127"/>
      <c r="G712" s="127"/>
    </row>
    <row r="713" spans="3:7" ht="13">
      <c r="C713" s="127"/>
      <c r="D713" s="127"/>
      <c r="G713" s="127"/>
    </row>
    <row r="714" spans="3:7" ht="13">
      <c r="C714" s="127"/>
      <c r="D714" s="127"/>
      <c r="G714" s="127"/>
    </row>
    <row r="715" spans="3:7" ht="13">
      <c r="C715" s="127"/>
      <c r="D715" s="127"/>
      <c r="G715" s="127"/>
    </row>
    <row r="716" spans="3:7" ht="13">
      <c r="C716" s="127"/>
      <c r="D716" s="127"/>
      <c r="G716" s="127"/>
    </row>
    <row r="717" spans="3:7" ht="13">
      <c r="C717" s="127"/>
      <c r="D717" s="127"/>
      <c r="G717" s="127"/>
    </row>
    <row r="718" spans="3:7" ht="13">
      <c r="C718" s="127"/>
      <c r="D718" s="127"/>
      <c r="G718" s="127"/>
    </row>
    <row r="719" spans="3:7" ht="13">
      <c r="C719" s="127"/>
      <c r="D719" s="127"/>
      <c r="G719" s="127"/>
    </row>
    <row r="720" spans="3:7" ht="13">
      <c r="C720" s="127"/>
      <c r="D720" s="127"/>
      <c r="G720" s="127"/>
    </row>
    <row r="721" spans="3:7" ht="13">
      <c r="C721" s="127"/>
      <c r="D721" s="127"/>
      <c r="G721" s="127"/>
    </row>
    <row r="722" spans="3:7" ht="13">
      <c r="C722" s="127"/>
      <c r="D722" s="127"/>
      <c r="G722" s="127"/>
    </row>
    <row r="723" spans="3:7" ht="13">
      <c r="C723" s="127"/>
      <c r="D723" s="127"/>
      <c r="G723" s="127"/>
    </row>
    <row r="724" spans="3:7" ht="13">
      <c r="C724" s="127"/>
      <c r="D724" s="127"/>
      <c r="G724" s="127"/>
    </row>
    <row r="725" spans="3:7" ht="13">
      <c r="C725" s="127"/>
      <c r="D725" s="127"/>
      <c r="G725" s="127"/>
    </row>
    <row r="726" spans="3:7" ht="13">
      <c r="C726" s="127"/>
      <c r="D726" s="127"/>
      <c r="G726" s="127"/>
    </row>
    <row r="727" spans="3:7" ht="13">
      <c r="C727" s="127"/>
      <c r="D727" s="127"/>
      <c r="G727" s="127"/>
    </row>
    <row r="728" spans="3:7" ht="13">
      <c r="C728" s="127"/>
      <c r="D728" s="127"/>
      <c r="G728" s="127"/>
    </row>
    <row r="729" spans="3:7" ht="13">
      <c r="C729" s="127"/>
      <c r="D729" s="127"/>
      <c r="G729" s="127"/>
    </row>
    <row r="730" spans="3:7" ht="13">
      <c r="C730" s="127"/>
      <c r="D730" s="127"/>
      <c r="G730" s="127"/>
    </row>
    <row r="731" spans="3:7" ht="13">
      <c r="C731" s="127"/>
      <c r="D731" s="127"/>
      <c r="G731" s="127"/>
    </row>
    <row r="732" spans="3:7" ht="13">
      <c r="C732" s="127"/>
      <c r="D732" s="127"/>
      <c r="G732" s="127"/>
    </row>
    <row r="733" spans="3:7" ht="13">
      <c r="C733" s="127"/>
      <c r="D733" s="127"/>
      <c r="G733" s="127"/>
    </row>
    <row r="734" spans="3:7" ht="13">
      <c r="C734" s="127"/>
      <c r="D734" s="127"/>
      <c r="G734" s="127"/>
    </row>
    <row r="735" spans="3:7" ht="13">
      <c r="C735" s="127"/>
      <c r="D735" s="127"/>
      <c r="G735" s="127"/>
    </row>
    <row r="736" spans="3:7" ht="13">
      <c r="C736" s="127"/>
      <c r="D736" s="127"/>
      <c r="G736" s="127"/>
    </row>
    <row r="737" spans="3:7" ht="13">
      <c r="C737" s="127"/>
      <c r="D737" s="127"/>
      <c r="G737" s="127"/>
    </row>
    <row r="738" spans="3:7" ht="13">
      <c r="C738" s="127"/>
      <c r="D738" s="127"/>
      <c r="G738" s="127"/>
    </row>
    <row r="739" spans="3:7" ht="13">
      <c r="C739" s="127"/>
      <c r="D739" s="127"/>
      <c r="G739" s="127"/>
    </row>
    <row r="740" spans="3:7" ht="13">
      <c r="C740" s="127"/>
      <c r="D740" s="127"/>
      <c r="G740" s="127"/>
    </row>
    <row r="741" spans="3:7" ht="13">
      <c r="C741" s="127"/>
      <c r="D741" s="127"/>
      <c r="G741" s="127"/>
    </row>
    <row r="742" spans="3:7" ht="13">
      <c r="C742" s="127"/>
      <c r="D742" s="127"/>
      <c r="G742" s="127"/>
    </row>
    <row r="743" spans="3:7" ht="13">
      <c r="C743" s="127"/>
      <c r="D743" s="127"/>
      <c r="G743" s="127"/>
    </row>
    <row r="744" spans="3:7" ht="13">
      <c r="C744" s="127"/>
      <c r="D744" s="127"/>
      <c r="G744" s="127"/>
    </row>
    <row r="745" spans="3:7" ht="13">
      <c r="C745" s="127"/>
      <c r="D745" s="127"/>
      <c r="G745" s="127"/>
    </row>
    <row r="746" spans="3:7" ht="13">
      <c r="C746" s="127"/>
      <c r="D746" s="127"/>
      <c r="G746" s="127"/>
    </row>
    <row r="747" spans="3:7" ht="13">
      <c r="C747" s="127"/>
      <c r="D747" s="127"/>
      <c r="G747" s="127"/>
    </row>
    <row r="748" spans="3:7" ht="13">
      <c r="C748" s="127"/>
      <c r="D748" s="127"/>
      <c r="G748" s="127"/>
    </row>
    <row r="749" spans="3:7" ht="13">
      <c r="C749" s="127"/>
      <c r="D749" s="127"/>
      <c r="G749" s="127"/>
    </row>
    <row r="750" spans="3:7" ht="13">
      <c r="C750" s="127"/>
      <c r="D750" s="127"/>
      <c r="G750" s="127"/>
    </row>
    <row r="751" spans="3:7" ht="13">
      <c r="C751" s="127"/>
      <c r="D751" s="127"/>
      <c r="G751" s="127"/>
    </row>
    <row r="752" spans="3:7" ht="13">
      <c r="C752" s="127"/>
      <c r="D752" s="127"/>
      <c r="G752" s="127"/>
    </row>
    <row r="753" spans="3:7" ht="13">
      <c r="C753" s="127"/>
      <c r="D753" s="127"/>
      <c r="G753" s="127"/>
    </row>
    <row r="754" spans="3:7" ht="13">
      <c r="C754" s="127"/>
      <c r="D754" s="127"/>
      <c r="G754" s="127"/>
    </row>
    <row r="755" spans="3:7" ht="13">
      <c r="C755" s="127"/>
      <c r="D755" s="127"/>
      <c r="G755" s="127"/>
    </row>
    <row r="756" spans="3:7" ht="13">
      <c r="C756" s="127"/>
      <c r="D756" s="127"/>
      <c r="G756" s="127"/>
    </row>
    <row r="757" spans="3:7" ht="13">
      <c r="C757" s="127"/>
      <c r="D757" s="127"/>
      <c r="G757" s="127"/>
    </row>
    <row r="758" spans="3:7" ht="13">
      <c r="C758" s="127"/>
      <c r="D758" s="127"/>
      <c r="G758" s="127"/>
    </row>
    <row r="759" spans="3:7" ht="13">
      <c r="C759" s="127"/>
      <c r="D759" s="127"/>
      <c r="G759" s="127"/>
    </row>
    <row r="760" spans="3:7" ht="13">
      <c r="C760" s="127"/>
      <c r="D760" s="127"/>
      <c r="G760" s="127"/>
    </row>
    <row r="761" spans="3:7" ht="13">
      <c r="C761" s="127"/>
      <c r="D761" s="127"/>
      <c r="G761" s="127"/>
    </row>
    <row r="762" spans="3:7" ht="13">
      <c r="C762" s="127"/>
      <c r="D762" s="127"/>
      <c r="G762" s="127"/>
    </row>
    <row r="763" spans="3:7" ht="13">
      <c r="C763" s="127"/>
      <c r="D763" s="127"/>
      <c r="G763" s="127"/>
    </row>
    <row r="764" spans="3:7" ht="13">
      <c r="C764" s="127"/>
      <c r="D764" s="127"/>
      <c r="G764" s="127"/>
    </row>
    <row r="765" spans="3:7" ht="13">
      <c r="C765" s="127"/>
      <c r="D765" s="127"/>
      <c r="G765" s="127"/>
    </row>
    <row r="766" spans="3:7" ht="13">
      <c r="C766" s="127"/>
      <c r="D766" s="127"/>
      <c r="G766" s="127"/>
    </row>
    <row r="767" spans="3:7" ht="13">
      <c r="C767" s="127"/>
      <c r="D767" s="127"/>
      <c r="G767" s="127"/>
    </row>
    <row r="768" spans="3:7" ht="13">
      <c r="C768" s="127"/>
      <c r="D768" s="127"/>
      <c r="G768" s="127"/>
    </row>
    <row r="769" spans="3:7" ht="13">
      <c r="C769" s="127"/>
      <c r="D769" s="127"/>
      <c r="G769" s="127"/>
    </row>
    <row r="770" spans="3:7" ht="13">
      <c r="C770" s="127"/>
      <c r="D770" s="127"/>
      <c r="G770" s="127"/>
    </row>
    <row r="771" spans="3:7" ht="13">
      <c r="C771" s="127"/>
      <c r="D771" s="127"/>
      <c r="G771" s="127"/>
    </row>
    <row r="772" spans="3:7" ht="13">
      <c r="C772" s="127"/>
      <c r="D772" s="127"/>
      <c r="G772" s="127"/>
    </row>
    <row r="773" spans="3:7" ht="13">
      <c r="C773" s="127"/>
      <c r="D773" s="127"/>
      <c r="G773" s="127"/>
    </row>
    <row r="774" spans="3:7" ht="13">
      <c r="C774" s="127"/>
      <c r="D774" s="127"/>
      <c r="G774" s="127"/>
    </row>
    <row r="775" spans="3:7" ht="13">
      <c r="C775" s="127"/>
      <c r="D775" s="127"/>
      <c r="G775" s="127"/>
    </row>
    <row r="776" spans="3:7" ht="13">
      <c r="C776" s="127"/>
      <c r="D776" s="127"/>
      <c r="G776" s="127"/>
    </row>
    <row r="777" spans="3:7" ht="13">
      <c r="C777" s="127"/>
      <c r="D777" s="127"/>
      <c r="G777" s="127"/>
    </row>
    <row r="778" spans="3:7" ht="13">
      <c r="C778" s="127"/>
      <c r="D778" s="127"/>
      <c r="G778" s="127"/>
    </row>
    <row r="779" spans="3:7" ht="13">
      <c r="C779" s="127"/>
      <c r="D779" s="127"/>
      <c r="G779" s="127"/>
    </row>
    <row r="780" spans="3:7" ht="13">
      <c r="C780" s="127"/>
      <c r="D780" s="127"/>
      <c r="G780" s="127"/>
    </row>
    <row r="781" spans="3:7" ht="13">
      <c r="C781" s="127"/>
      <c r="D781" s="127"/>
      <c r="G781" s="127"/>
    </row>
    <row r="782" spans="3:7" ht="13">
      <c r="C782" s="127"/>
      <c r="D782" s="127"/>
      <c r="G782" s="127"/>
    </row>
    <row r="783" spans="3:7" ht="13">
      <c r="C783" s="127"/>
      <c r="D783" s="127"/>
      <c r="G783" s="127"/>
    </row>
    <row r="784" spans="3:7" ht="13">
      <c r="C784" s="127"/>
      <c r="D784" s="127"/>
      <c r="G784" s="127"/>
    </row>
    <row r="785" spans="3:7" ht="13">
      <c r="C785" s="127"/>
      <c r="D785" s="127"/>
      <c r="G785" s="127"/>
    </row>
    <row r="786" spans="3:7" ht="13">
      <c r="C786" s="127"/>
      <c r="D786" s="127"/>
      <c r="G786" s="127"/>
    </row>
    <row r="787" spans="3:7" ht="13">
      <c r="C787" s="127"/>
      <c r="D787" s="127"/>
      <c r="G787" s="127"/>
    </row>
    <row r="788" spans="3:7" ht="13">
      <c r="C788" s="127"/>
      <c r="D788" s="127"/>
      <c r="G788" s="127"/>
    </row>
    <row r="789" spans="3:7" ht="13">
      <c r="C789" s="127"/>
      <c r="D789" s="127"/>
      <c r="G789" s="127"/>
    </row>
    <row r="790" spans="3:7" ht="13">
      <c r="C790" s="127"/>
      <c r="D790" s="127"/>
      <c r="G790" s="127"/>
    </row>
    <row r="791" spans="3:7" ht="13">
      <c r="C791" s="127"/>
      <c r="D791" s="127"/>
      <c r="G791" s="127"/>
    </row>
    <row r="792" spans="3:7" ht="13">
      <c r="C792" s="127"/>
      <c r="D792" s="127"/>
      <c r="G792" s="127"/>
    </row>
    <row r="793" spans="3:7" ht="13">
      <c r="C793" s="127"/>
      <c r="D793" s="127"/>
      <c r="G793" s="127"/>
    </row>
    <row r="794" spans="3:7" ht="13">
      <c r="C794" s="127"/>
      <c r="D794" s="127"/>
      <c r="G794" s="127"/>
    </row>
    <row r="795" spans="3:7" ht="13">
      <c r="C795" s="127"/>
      <c r="D795" s="127"/>
      <c r="G795" s="127"/>
    </row>
    <row r="796" spans="3:7" ht="13">
      <c r="C796" s="127"/>
      <c r="D796" s="127"/>
      <c r="G796" s="127"/>
    </row>
    <row r="797" spans="3:7" ht="13">
      <c r="C797" s="127"/>
      <c r="D797" s="127"/>
      <c r="G797" s="127"/>
    </row>
    <row r="798" spans="3:7" ht="13">
      <c r="C798" s="127"/>
      <c r="D798" s="127"/>
      <c r="G798" s="127"/>
    </row>
    <row r="799" spans="3:7" ht="13">
      <c r="C799" s="127"/>
      <c r="D799" s="127"/>
      <c r="G799" s="127"/>
    </row>
    <row r="800" spans="3:7" ht="13">
      <c r="C800" s="127"/>
      <c r="D800" s="127"/>
      <c r="G800" s="127"/>
    </row>
    <row r="801" spans="3:7" ht="13">
      <c r="C801" s="127"/>
      <c r="D801" s="127"/>
      <c r="G801" s="127"/>
    </row>
    <row r="802" spans="3:7" ht="13">
      <c r="C802" s="127"/>
      <c r="D802" s="127"/>
      <c r="G802" s="127"/>
    </row>
    <row r="803" spans="3:7" ht="13">
      <c r="C803" s="127"/>
      <c r="D803" s="127"/>
      <c r="G803" s="127"/>
    </row>
    <row r="804" spans="3:7" ht="13">
      <c r="C804" s="127"/>
      <c r="D804" s="127"/>
      <c r="G804" s="127"/>
    </row>
    <row r="805" spans="3:7" ht="13">
      <c r="C805" s="127"/>
      <c r="D805" s="127"/>
      <c r="G805" s="127"/>
    </row>
    <row r="806" spans="3:7" ht="13">
      <c r="C806" s="127"/>
      <c r="D806" s="127"/>
      <c r="G806" s="127"/>
    </row>
    <row r="807" spans="3:7" ht="13">
      <c r="C807" s="127"/>
      <c r="D807" s="127"/>
      <c r="G807" s="127"/>
    </row>
    <row r="808" spans="3:7" ht="13">
      <c r="C808" s="127"/>
      <c r="D808" s="127"/>
      <c r="G808" s="127"/>
    </row>
    <row r="809" spans="3:7" ht="13">
      <c r="C809" s="127"/>
      <c r="D809" s="127"/>
      <c r="G809" s="127"/>
    </row>
    <row r="810" spans="3:7" ht="13">
      <c r="C810" s="127"/>
      <c r="D810" s="127"/>
      <c r="G810" s="127"/>
    </row>
    <row r="811" spans="3:7" ht="13">
      <c r="C811" s="127"/>
      <c r="D811" s="127"/>
      <c r="G811" s="127"/>
    </row>
    <row r="812" spans="3:7" ht="13">
      <c r="C812" s="127"/>
      <c r="D812" s="127"/>
      <c r="G812" s="127"/>
    </row>
    <row r="813" spans="3:7" ht="13">
      <c r="C813" s="127"/>
      <c r="D813" s="127"/>
      <c r="G813" s="127"/>
    </row>
    <row r="814" spans="3:7" ht="13">
      <c r="C814" s="127"/>
      <c r="D814" s="127"/>
      <c r="G814" s="127"/>
    </row>
    <row r="815" spans="3:7" ht="13">
      <c r="C815" s="127"/>
      <c r="D815" s="127"/>
      <c r="G815" s="127"/>
    </row>
    <row r="816" spans="3:7" ht="13">
      <c r="C816" s="127"/>
      <c r="D816" s="127"/>
      <c r="G816" s="127"/>
    </row>
    <row r="817" spans="3:7" ht="13">
      <c r="C817" s="127"/>
      <c r="D817" s="127"/>
      <c r="G817" s="127"/>
    </row>
    <row r="818" spans="3:7" ht="13">
      <c r="C818" s="127"/>
      <c r="D818" s="127"/>
      <c r="G818" s="127"/>
    </row>
    <row r="819" spans="3:7" ht="13">
      <c r="C819" s="127"/>
      <c r="D819" s="127"/>
      <c r="G819" s="127"/>
    </row>
    <row r="820" spans="3:7" ht="13">
      <c r="C820" s="127"/>
      <c r="D820" s="127"/>
      <c r="G820" s="127"/>
    </row>
    <row r="821" spans="3:7" ht="13">
      <c r="C821" s="127"/>
      <c r="D821" s="127"/>
      <c r="G821" s="127"/>
    </row>
    <row r="822" spans="3:7" ht="13">
      <c r="C822" s="127"/>
      <c r="D822" s="127"/>
      <c r="G822" s="127"/>
    </row>
    <row r="823" spans="3:7" ht="13">
      <c r="C823" s="127"/>
      <c r="D823" s="127"/>
      <c r="G823" s="127"/>
    </row>
    <row r="824" spans="3:7" ht="13">
      <c r="C824" s="127"/>
      <c r="D824" s="127"/>
      <c r="G824" s="127"/>
    </row>
    <row r="825" spans="3:7" ht="13">
      <c r="C825" s="127"/>
      <c r="D825" s="127"/>
      <c r="G825" s="127"/>
    </row>
    <row r="826" spans="3:7" ht="13">
      <c r="C826" s="127"/>
      <c r="D826" s="127"/>
      <c r="G826" s="127"/>
    </row>
    <row r="827" spans="3:7" ht="13">
      <c r="C827" s="127"/>
      <c r="D827" s="127"/>
      <c r="G827" s="127"/>
    </row>
    <row r="828" spans="3:7" ht="13">
      <c r="C828" s="127"/>
      <c r="D828" s="127"/>
      <c r="G828" s="127"/>
    </row>
    <row r="829" spans="3:7" ht="13">
      <c r="C829" s="127"/>
      <c r="D829" s="127"/>
      <c r="G829" s="127"/>
    </row>
    <row r="830" spans="3:7" ht="13">
      <c r="C830" s="127"/>
      <c r="D830" s="127"/>
      <c r="G830" s="127"/>
    </row>
    <row r="831" spans="3:7" ht="13">
      <c r="C831" s="127"/>
      <c r="D831" s="127"/>
      <c r="G831" s="127"/>
    </row>
    <row r="832" spans="3:7" ht="13">
      <c r="C832" s="127"/>
      <c r="D832" s="127"/>
      <c r="G832" s="127"/>
    </row>
    <row r="833" spans="3:7" ht="13">
      <c r="C833" s="127"/>
      <c r="D833" s="127"/>
      <c r="G833" s="127"/>
    </row>
    <row r="834" spans="3:7" ht="13">
      <c r="C834" s="127"/>
      <c r="D834" s="127"/>
      <c r="G834" s="127"/>
    </row>
    <row r="835" spans="3:7" ht="13">
      <c r="C835" s="127"/>
      <c r="D835" s="127"/>
      <c r="G835" s="127"/>
    </row>
    <row r="836" spans="3:7" ht="13">
      <c r="C836" s="127"/>
      <c r="D836" s="127"/>
      <c r="G836" s="127"/>
    </row>
    <row r="837" spans="3:7" ht="13">
      <c r="C837" s="127"/>
      <c r="D837" s="127"/>
      <c r="G837" s="127"/>
    </row>
    <row r="838" spans="3:7" ht="13">
      <c r="C838" s="127"/>
      <c r="D838" s="127"/>
      <c r="G838" s="127"/>
    </row>
    <row r="839" spans="3:7" ht="13">
      <c r="C839" s="127"/>
      <c r="D839" s="127"/>
      <c r="G839" s="127"/>
    </row>
    <row r="840" spans="3:7" ht="13">
      <c r="C840" s="127"/>
      <c r="D840" s="127"/>
      <c r="G840" s="127"/>
    </row>
    <row r="841" spans="3:7" ht="13">
      <c r="C841" s="127"/>
      <c r="D841" s="127"/>
      <c r="G841" s="127"/>
    </row>
    <row r="842" spans="3:7" ht="13">
      <c r="C842" s="127"/>
      <c r="D842" s="127"/>
      <c r="G842" s="127"/>
    </row>
    <row r="843" spans="3:7" ht="13">
      <c r="C843" s="127"/>
      <c r="D843" s="127"/>
      <c r="G843" s="127"/>
    </row>
    <row r="844" spans="3:7" ht="13">
      <c r="C844" s="127"/>
      <c r="D844" s="127"/>
      <c r="G844" s="127"/>
    </row>
    <row r="845" spans="3:7" ht="13">
      <c r="C845" s="127"/>
      <c r="D845" s="127"/>
      <c r="G845" s="127"/>
    </row>
    <row r="846" spans="3:7" ht="13">
      <c r="C846" s="127"/>
      <c r="D846" s="127"/>
      <c r="G846" s="127"/>
    </row>
    <row r="847" spans="3:7" ht="13">
      <c r="C847" s="127"/>
      <c r="D847" s="127"/>
      <c r="G847" s="127"/>
    </row>
    <row r="848" spans="3:7" ht="13">
      <c r="C848" s="127"/>
      <c r="D848" s="127"/>
      <c r="G848" s="127"/>
    </row>
    <row r="849" spans="3:7" ht="13">
      <c r="C849" s="127"/>
      <c r="D849" s="127"/>
      <c r="G849" s="127"/>
    </row>
    <row r="850" spans="3:7" ht="13">
      <c r="C850" s="127"/>
      <c r="D850" s="127"/>
      <c r="G850" s="127"/>
    </row>
    <row r="851" spans="3:7" ht="13">
      <c r="C851" s="127"/>
      <c r="D851" s="127"/>
      <c r="G851" s="127"/>
    </row>
    <row r="852" spans="3:7" ht="13">
      <c r="C852" s="127"/>
      <c r="D852" s="127"/>
      <c r="G852" s="127"/>
    </row>
    <row r="853" spans="3:7" ht="13">
      <c r="C853" s="127"/>
      <c r="D853" s="127"/>
      <c r="G853" s="127"/>
    </row>
    <row r="854" spans="3:7" ht="13">
      <c r="C854" s="127"/>
      <c r="D854" s="127"/>
      <c r="G854" s="127"/>
    </row>
    <row r="855" spans="3:7" ht="13">
      <c r="C855" s="127"/>
      <c r="D855" s="127"/>
      <c r="G855" s="127"/>
    </row>
    <row r="856" spans="3:7" ht="13">
      <c r="C856" s="127"/>
      <c r="D856" s="127"/>
      <c r="G856" s="127"/>
    </row>
    <row r="857" spans="3:7" ht="13">
      <c r="C857" s="127"/>
      <c r="D857" s="127"/>
      <c r="G857" s="127"/>
    </row>
    <row r="858" spans="3:7" ht="13">
      <c r="C858" s="127"/>
      <c r="D858" s="127"/>
      <c r="G858" s="127"/>
    </row>
    <row r="859" spans="3:7" ht="13">
      <c r="C859" s="127"/>
      <c r="D859" s="127"/>
      <c r="G859" s="127"/>
    </row>
    <row r="860" spans="3:7" ht="13">
      <c r="C860" s="127"/>
      <c r="D860" s="127"/>
      <c r="G860" s="127"/>
    </row>
    <row r="861" spans="3:7" ht="13">
      <c r="C861" s="127"/>
      <c r="D861" s="127"/>
      <c r="G861" s="127"/>
    </row>
    <row r="862" spans="3:7" ht="13">
      <c r="C862" s="127"/>
      <c r="D862" s="127"/>
      <c r="G862" s="127"/>
    </row>
    <row r="863" spans="3:7" ht="13">
      <c r="C863" s="127"/>
      <c r="D863" s="127"/>
      <c r="G863" s="127"/>
    </row>
    <row r="864" spans="3:7" ht="13">
      <c r="C864" s="127"/>
      <c r="D864" s="127"/>
      <c r="G864" s="127"/>
    </row>
    <row r="865" spans="3:7" ht="13">
      <c r="C865" s="127"/>
      <c r="D865" s="127"/>
      <c r="G865" s="127"/>
    </row>
    <row r="866" spans="3:7" ht="13">
      <c r="C866" s="127"/>
      <c r="D866" s="127"/>
      <c r="G866" s="127"/>
    </row>
    <row r="867" spans="3:7" ht="13">
      <c r="C867" s="127"/>
      <c r="D867" s="127"/>
      <c r="G867" s="127"/>
    </row>
    <row r="868" spans="3:7" ht="13">
      <c r="C868" s="127"/>
      <c r="D868" s="127"/>
      <c r="G868" s="127"/>
    </row>
    <row r="869" spans="3:7" ht="13">
      <c r="C869" s="127"/>
      <c r="D869" s="127"/>
      <c r="G869" s="127"/>
    </row>
    <row r="870" spans="3:7" ht="13">
      <c r="C870" s="127"/>
      <c r="D870" s="127"/>
      <c r="G870" s="127"/>
    </row>
    <row r="871" spans="3:7" ht="13">
      <c r="C871" s="127"/>
      <c r="D871" s="127"/>
      <c r="G871" s="127"/>
    </row>
    <row r="872" spans="3:7" ht="13">
      <c r="C872" s="127"/>
      <c r="D872" s="127"/>
      <c r="G872" s="127"/>
    </row>
    <row r="873" spans="3:7" ht="13">
      <c r="C873" s="127"/>
      <c r="D873" s="127"/>
      <c r="G873" s="127"/>
    </row>
    <row r="874" spans="3:7" ht="13">
      <c r="C874" s="127"/>
      <c r="D874" s="127"/>
      <c r="G874" s="127"/>
    </row>
    <row r="875" spans="3:7" ht="13">
      <c r="C875" s="127"/>
      <c r="D875" s="127"/>
      <c r="G875" s="127"/>
    </row>
    <row r="876" spans="3:7" ht="13">
      <c r="C876" s="127"/>
      <c r="D876" s="127"/>
      <c r="G876" s="127"/>
    </row>
    <row r="877" spans="3:7" ht="13">
      <c r="C877" s="127"/>
      <c r="D877" s="127"/>
      <c r="G877" s="127"/>
    </row>
    <row r="878" spans="3:7" ht="13">
      <c r="C878" s="127"/>
      <c r="D878" s="127"/>
      <c r="G878" s="127"/>
    </row>
    <row r="879" spans="3:7" ht="13">
      <c r="C879" s="127"/>
      <c r="D879" s="127"/>
      <c r="G879" s="127"/>
    </row>
    <row r="880" spans="3:7" ht="13">
      <c r="C880" s="127"/>
      <c r="D880" s="127"/>
      <c r="G880" s="127"/>
    </row>
    <row r="881" spans="3:7" ht="13">
      <c r="C881" s="127"/>
      <c r="D881" s="127"/>
      <c r="G881" s="127"/>
    </row>
    <row r="882" spans="3:7" ht="13">
      <c r="C882" s="127"/>
      <c r="D882" s="127"/>
      <c r="G882" s="127"/>
    </row>
    <row r="883" spans="3:7" ht="13">
      <c r="C883" s="127"/>
      <c r="D883" s="127"/>
      <c r="G883" s="127"/>
    </row>
    <row r="884" spans="3:7" ht="13">
      <c r="C884" s="127"/>
      <c r="D884" s="127"/>
      <c r="G884" s="127"/>
    </row>
    <row r="885" spans="3:7" ht="13">
      <c r="C885" s="127"/>
      <c r="D885" s="127"/>
      <c r="G885" s="127"/>
    </row>
    <row r="886" spans="3:7" ht="13">
      <c r="C886" s="127"/>
      <c r="D886" s="127"/>
      <c r="G886" s="127"/>
    </row>
    <row r="887" spans="3:7" ht="13">
      <c r="C887" s="127"/>
      <c r="D887" s="127"/>
      <c r="G887" s="127"/>
    </row>
    <row r="888" spans="3:7" ht="13">
      <c r="C888" s="127"/>
      <c r="D888" s="127"/>
      <c r="G888" s="127"/>
    </row>
    <row r="889" spans="3:7" ht="13">
      <c r="C889" s="127"/>
      <c r="D889" s="127"/>
      <c r="G889" s="127"/>
    </row>
    <row r="890" spans="3:7" ht="13">
      <c r="C890" s="127"/>
      <c r="D890" s="127"/>
      <c r="G890" s="127"/>
    </row>
    <row r="891" spans="3:7" ht="13">
      <c r="C891" s="127"/>
      <c r="D891" s="127"/>
      <c r="G891" s="127"/>
    </row>
    <row r="892" spans="3:7" ht="13">
      <c r="C892" s="127"/>
      <c r="D892" s="127"/>
      <c r="G892" s="127"/>
    </row>
    <row r="893" spans="3:7" ht="13">
      <c r="C893" s="127"/>
      <c r="D893" s="127"/>
      <c r="G893" s="127"/>
    </row>
    <row r="894" spans="3:7" ht="13">
      <c r="C894" s="127"/>
      <c r="D894" s="127"/>
      <c r="G894" s="127"/>
    </row>
    <row r="895" spans="3:7" ht="13">
      <c r="C895" s="127"/>
      <c r="D895" s="127"/>
      <c r="G895" s="127"/>
    </row>
    <row r="896" spans="3:7" ht="13">
      <c r="C896" s="127"/>
      <c r="D896" s="127"/>
      <c r="G896" s="127"/>
    </row>
    <row r="897" spans="3:7" ht="13">
      <c r="C897" s="127"/>
      <c r="D897" s="127"/>
      <c r="G897" s="127"/>
    </row>
    <row r="898" spans="3:7" ht="13">
      <c r="C898" s="127"/>
      <c r="D898" s="127"/>
      <c r="G898" s="127"/>
    </row>
    <row r="899" spans="3:7" ht="13">
      <c r="C899" s="127"/>
      <c r="D899" s="127"/>
      <c r="G899" s="127"/>
    </row>
    <row r="900" spans="3:7" ht="13">
      <c r="C900" s="127"/>
      <c r="D900" s="127"/>
      <c r="G900" s="127"/>
    </row>
    <row r="901" spans="3:7" ht="13">
      <c r="C901" s="127"/>
      <c r="D901" s="127"/>
      <c r="G901" s="127"/>
    </row>
    <row r="902" spans="3:7" ht="13">
      <c r="C902" s="127"/>
      <c r="D902" s="127"/>
      <c r="G902" s="127"/>
    </row>
    <row r="903" spans="3:7" ht="13">
      <c r="C903" s="127"/>
      <c r="D903" s="127"/>
      <c r="G903" s="127"/>
    </row>
    <row r="904" spans="3:7" ht="13">
      <c r="C904" s="127"/>
      <c r="D904" s="127"/>
      <c r="G904" s="127"/>
    </row>
    <row r="905" spans="3:7" ht="13">
      <c r="C905" s="127"/>
      <c r="D905" s="127"/>
      <c r="G905" s="127"/>
    </row>
    <row r="906" spans="3:7" ht="13">
      <c r="C906" s="127"/>
      <c r="D906" s="127"/>
      <c r="G906" s="127"/>
    </row>
    <row r="907" spans="3:7" ht="13">
      <c r="C907" s="127"/>
      <c r="D907" s="127"/>
      <c r="G907" s="127"/>
    </row>
    <row r="908" spans="3:7" ht="13">
      <c r="C908" s="127"/>
      <c r="D908" s="127"/>
      <c r="G908" s="127"/>
    </row>
    <row r="909" spans="3:7" ht="13">
      <c r="C909" s="127"/>
      <c r="D909" s="127"/>
      <c r="G909" s="127"/>
    </row>
    <row r="910" spans="3:7" ht="13">
      <c r="C910" s="127"/>
      <c r="D910" s="127"/>
      <c r="G910" s="127"/>
    </row>
    <row r="911" spans="3:7" ht="13">
      <c r="C911" s="127"/>
      <c r="D911" s="127"/>
      <c r="G911" s="127"/>
    </row>
    <row r="912" spans="3:7" ht="13">
      <c r="C912" s="127"/>
      <c r="D912" s="127"/>
      <c r="G912" s="127"/>
    </row>
    <row r="913" spans="3:7" ht="13">
      <c r="C913" s="127"/>
      <c r="D913" s="127"/>
      <c r="G913" s="127"/>
    </row>
    <row r="914" spans="3:7" ht="13">
      <c r="C914" s="127"/>
      <c r="D914" s="127"/>
      <c r="G914" s="127"/>
    </row>
    <row r="915" spans="3:7" ht="13">
      <c r="C915" s="127"/>
      <c r="D915" s="127"/>
      <c r="G915" s="127"/>
    </row>
    <row r="916" spans="3:7" ht="13">
      <c r="C916" s="127"/>
      <c r="D916" s="127"/>
      <c r="G916" s="127"/>
    </row>
    <row r="917" spans="3:7" ht="13">
      <c r="C917" s="127"/>
      <c r="D917" s="127"/>
      <c r="G917" s="127"/>
    </row>
    <row r="918" spans="3:7" ht="13">
      <c r="C918" s="127"/>
      <c r="D918" s="127"/>
      <c r="G918" s="127"/>
    </row>
    <row r="919" spans="3:7" ht="13">
      <c r="C919" s="127"/>
      <c r="D919" s="127"/>
      <c r="G919" s="127"/>
    </row>
    <row r="920" spans="3:7" ht="13">
      <c r="C920" s="127"/>
      <c r="D920" s="127"/>
      <c r="G920" s="127"/>
    </row>
    <row r="921" spans="3:7" ht="13">
      <c r="C921" s="127"/>
      <c r="D921" s="127"/>
      <c r="G921" s="127"/>
    </row>
    <row r="922" spans="3:7" ht="13">
      <c r="C922" s="127"/>
      <c r="D922" s="127"/>
      <c r="G922" s="127"/>
    </row>
    <row r="923" spans="3:7" ht="13">
      <c r="C923" s="127"/>
      <c r="D923" s="127"/>
      <c r="G923" s="127"/>
    </row>
    <row r="924" spans="3:7" ht="13">
      <c r="C924" s="127"/>
      <c r="D924" s="127"/>
      <c r="G924" s="127"/>
    </row>
    <row r="925" spans="3:7" ht="13">
      <c r="C925" s="127"/>
      <c r="D925" s="127"/>
      <c r="G925" s="127"/>
    </row>
    <row r="926" spans="3:7" ht="13">
      <c r="C926" s="127"/>
      <c r="D926" s="127"/>
      <c r="G926" s="127"/>
    </row>
    <row r="927" spans="3:7" ht="13">
      <c r="C927" s="127"/>
      <c r="D927" s="127"/>
      <c r="G927" s="127"/>
    </row>
    <row r="928" spans="3:7" ht="13">
      <c r="C928" s="127"/>
      <c r="D928" s="127"/>
      <c r="G928" s="127"/>
    </row>
    <row r="929" spans="3:7" ht="13">
      <c r="C929" s="127"/>
      <c r="D929" s="127"/>
      <c r="G929" s="127"/>
    </row>
    <row r="930" spans="3:7" ht="13">
      <c r="C930" s="127"/>
      <c r="D930" s="127"/>
      <c r="G930" s="127"/>
    </row>
    <row r="931" spans="3:7" ht="13">
      <c r="C931" s="127"/>
      <c r="D931" s="127"/>
      <c r="G931" s="127"/>
    </row>
    <row r="932" spans="3:7" ht="13">
      <c r="C932" s="127"/>
      <c r="D932" s="127"/>
      <c r="G932" s="127"/>
    </row>
    <row r="933" spans="3:7" ht="13">
      <c r="C933" s="127"/>
      <c r="D933" s="127"/>
      <c r="G933" s="127"/>
    </row>
    <row r="934" spans="3:7" ht="13">
      <c r="C934" s="127"/>
      <c r="D934" s="127"/>
      <c r="G934" s="127"/>
    </row>
    <row r="935" spans="3:7" ht="13">
      <c r="C935" s="127"/>
      <c r="D935" s="127"/>
      <c r="G935" s="127"/>
    </row>
    <row r="936" spans="3:7" ht="13">
      <c r="C936" s="127"/>
      <c r="D936" s="127"/>
      <c r="G936" s="127"/>
    </row>
    <row r="937" spans="3:7" ht="13">
      <c r="C937" s="127"/>
      <c r="D937" s="127"/>
      <c r="G937" s="127"/>
    </row>
    <row r="938" spans="3:7" ht="13">
      <c r="C938" s="127"/>
      <c r="D938" s="127"/>
      <c r="G938" s="127"/>
    </row>
    <row r="939" spans="3:7" ht="13">
      <c r="C939" s="127"/>
      <c r="D939" s="127"/>
      <c r="G939" s="127"/>
    </row>
    <row r="940" spans="3:7" ht="13">
      <c r="C940" s="127"/>
      <c r="D940" s="127"/>
      <c r="G940" s="127"/>
    </row>
    <row r="941" spans="3:7" ht="13">
      <c r="C941" s="127"/>
      <c r="D941" s="127"/>
      <c r="G941" s="127"/>
    </row>
    <row r="942" spans="3:7" ht="13">
      <c r="C942" s="127"/>
      <c r="D942" s="127"/>
      <c r="G942" s="127"/>
    </row>
    <row r="943" spans="3:7" ht="13">
      <c r="C943" s="127"/>
      <c r="D943" s="127"/>
      <c r="G943" s="127"/>
    </row>
    <row r="944" spans="3:7" ht="13">
      <c r="C944" s="127"/>
      <c r="D944" s="127"/>
      <c r="G944" s="127"/>
    </row>
    <row r="945" spans="3:7" ht="13">
      <c r="C945" s="127"/>
      <c r="D945" s="127"/>
      <c r="G945" s="127"/>
    </row>
    <row r="946" spans="3:7" ht="13">
      <c r="C946" s="127"/>
      <c r="D946" s="127"/>
      <c r="G946" s="127"/>
    </row>
    <row r="947" spans="3:7" ht="13">
      <c r="C947" s="127"/>
      <c r="D947" s="127"/>
      <c r="G947" s="127"/>
    </row>
    <row r="948" spans="3:7" ht="13">
      <c r="C948" s="127"/>
      <c r="D948" s="127"/>
      <c r="G948" s="127"/>
    </row>
    <row r="949" spans="3:7" ht="13">
      <c r="C949" s="127"/>
      <c r="D949" s="127"/>
      <c r="G949" s="127"/>
    </row>
    <row r="950" spans="3:7" ht="13">
      <c r="C950" s="127"/>
      <c r="D950" s="127"/>
      <c r="G950" s="127"/>
    </row>
    <row r="951" spans="3:7" ht="13">
      <c r="C951" s="127"/>
      <c r="D951" s="127"/>
      <c r="G951" s="127"/>
    </row>
    <row r="952" spans="3:7" ht="13">
      <c r="C952" s="127"/>
      <c r="D952" s="127"/>
      <c r="G952" s="127"/>
    </row>
    <row r="953" spans="3:7" ht="13">
      <c r="C953" s="127"/>
      <c r="D953" s="127"/>
      <c r="G953" s="127"/>
    </row>
    <row r="954" spans="3:7" ht="13">
      <c r="C954" s="127"/>
      <c r="D954" s="127"/>
      <c r="G954" s="127"/>
    </row>
    <row r="955" spans="3:7" ht="13">
      <c r="C955" s="127"/>
      <c r="D955" s="127"/>
      <c r="G955" s="127"/>
    </row>
    <row r="956" spans="3:7" ht="13">
      <c r="C956" s="127"/>
      <c r="D956" s="127"/>
      <c r="G956" s="127"/>
    </row>
    <row r="957" spans="3:7" ht="13">
      <c r="C957" s="127"/>
      <c r="D957" s="127"/>
      <c r="G957" s="127"/>
    </row>
    <row r="958" spans="3:7" ht="13">
      <c r="C958" s="127"/>
      <c r="D958" s="127"/>
      <c r="G958" s="127"/>
    </row>
    <row r="959" spans="3:7" ht="13">
      <c r="C959" s="127"/>
      <c r="D959" s="127"/>
      <c r="G959" s="127"/>
    </row>
    <row r="960" spans="3:7" ht="13">
      <c r="C960" s="127"/>
      <c r="D960" s="127"/>
      <c r="G960" s="127"/>
    </row>
    <row r="961" spans="3:7" ht="13">
      <c r="C961" s="127"/>
      <c r="D961" s="127"/>
      <c r="G961" s="127"/>
    </row>
    <row r="962" spans="3:7" ht="13">
      <c r="C962" s="127"/>
      <c r="D962" s="127"/>
      <c r="G962" s="127"/>
    </row>
    <row r="963" spans="3:7" ht="13">
      <c r="C963" s="127"/>
      <c r="D963" s="127"/>
      <c r="G963" s="127"/>
    </row>
    <row r="964" spans="3:7" ht="13">
      <c r="C964" s="127"/>
      <c r="D964" s="127"/>
      <c r="G964" s="127"/>
    </row>
    <row r="965" spans="3:7" ht="13">
      <c r="C965" s="127"/>
      <c r="D965" s="127"/>
      <c r="G965" s="127"/>
    </row>
    <row r="966" spans="3:7" ht="13">
      <c r="C966" s="127"/>
      <c r="D966" s="127"/>
      <c r="G966" s="127"/>
    </row>
    <row r="967" spans="3:7" ht="13">
      <c r="C967" s="127"/>
      <c r="D967" s="127"/>
      <c r="G967" s="127"/>
    </row>
    <row r="968" spans="3:7" ht="13">
      <c r="C968" s="127"/>
      <c r="D968" s="127"/>
      <c r="G968" s="127"/>
    </row>
    <row r="969" spans="3:7" ht="13">
      <c r="C969" s="127"/>
      <c r="D969" s="127"/>
      <c r="G969" s="127"/>
    </row>
    <row r="970" spans="3:7" ht="13">
      <c r="C970" s="127"/>
      <c r="D970" s="127"/>
      <c r="G970" s="127"/>
    </row>
    <row r="971" spans="3:7" ht="13">
      <c r="C971" s="127"/>
      <c r="D971" s="127"/>
      <c r="G971" s="127"/>
    </row>
    <row r="972" spans="3:7" ht="13">
      <c r="C972" s="127"/>
      <c r="D972" s="127"/>
      <c r="G972" s="127"/>
    </row>
    <row r="973" spans="3:7" ht="13">
      <c r="C973" s="127"/>
      <c r="D973" s="127"/>
      <c r="G973" s="127"/>
    </row>
    <row r="974" spans="3:7" ht="13">
      <c r="C974" s="127"/>
      <c r="D974" s="127"/>
      <c r="G974" s="127"/>
    </row>
    <row r="975" spans="3:7" ht="13">
      <c r="C975" s="127"/>
      <c r="D975" s="127"/>
      <c r="G975" s="127"/>
    </row>
    <row r="976" spans="3:7" ht="13">
      <c r="C976" s="127"/>
      <c r="D976" s="127"/>
      <c r="G976" s="127"/>
    </row>
    <row r="977" spans="3:7" ht="13">
      <c r="C977" s="127"/>
      <c r="D977" s="127"/>
      <c r="G977" s="127"/>
    </row>
    <row r="978" spans="3:7" ht="13">
      <c r="C978" s="127"/>
      <c r="D978" s="127"/>
      <c r="G978" s="127"/>
    </row>
    <row r="979" spans="3:7" ht="13">
      <c r="C979" s="127"/>
      <c r="D979" s="127"/>
      <c r="G979" s="127"/>
    </row>
    <row r="980" spans="3:7" ht="13">
      <c r="C980" s="127"/>
      <c r="D980" s="127"/>
      <c r="G980" s="127"/>
    </row>
    <row r="981" spans="3:7" ht="13">
      <c r="C981" s="127"/>
      <c r="D981" s="127"/>
      <c r="G981" s="127"/>
    </row>
    <row r="982" spans="3:7" ht="13">
      <c r="C982" s="127"/>
      <c r="D982" s="127"/>
      <c r="G982" s="127"/>
    </row>
    <row r="983" spans="3:7" ht="13">
      <c r="C983" s="127"/>
      <c r="D983" s="127"/>
      <c r="G983" s="127"/>
    </row>
    <row r="984" spans="3:7" ht="13">
      <c r="C984" s="127"/>
      <c r="D984" s="127"/>
      <c r="G984" s="127"/>
    </row>
    <row r="985" spans="3:7" ht="13">
      <c r="C985" s="127"/>
      <c r="D985" s="127"/>
      <c r="G985" s="127"/>
    </row>
    <row r="986" spans="3:7" ht="13">
      <c r="C986" s="127"/>
      <c r="D986" s="127"/>
      <c r="G986" s="127"/>
    </row>
    <row r="987" spans="3:7" ht="13">
      <c r="C987" s="127"/>
      <c r="D987" s="127"/>
      <c r="G987" s="127"/>
    </row>
    <row r="988" spans="3:7" ht="13">
      <c r="C988" s="127"/>
      <c r="D988" s="127"/>
      <c r="G988" s="127"/>
    </row>
    <row r="989" spans="3:7" ht="13">
      <c r="C989" s="127"/>
      <c r="D989" s="127"/>
      <c r="G989" s="127"/>
    </row>
    <row r="990" spans="3:7" ht="13">
      <c r="C990" s="127"/>
      <c r="D990" s="127"/>
      <c r="G990" s="127"/>
    </row>
    <row r="991" spans="3:7" ht="13">
      <c r="C991" s="127"/>
      <c r="D991" s="127"/>
      <c r="G991" s="127"/>
    </row>
    <row r="992" spans="3:7" ht="13">
      <c r="C992" s="127"/>
      <c r="D992" s="127"/>
      <c r="G992" s="127"/>
    </row>
    <row r="993" spans="3:7" ht="13">
      <c r="C993" s="127"/>
      <c r="D993" s="127"/>
      <c r="G993" s="127"/>
    </row>
    <row r="994" spans="3:7" ht="13">
      <c r="C994" s="127"/>
      <c r="D994" s="127"/>
      <c r="G994" s="127"/>
    </row>
    <row r="995" spans="3:7" ht="13">
      <c r="C995" s="127"/>
      <c r="D995" s="127"/>
      <c r="G995" s="127"/>
    </row>
    <row r="996" spans="3:7" ht="13">
      <c r="C996" s="127"/>
      <c r="D996" s="127"/>
      <c r="G996" s="127"/>
    </row>
    <row r="997" spans="3:7" ht="13">
      <c r="C997" s="127"/>
      <c r="D997" s="127"/>
      <c r="G997" s="127"/>
    </row>
    <row r="998" spans="3:7" ht="13">
      <c r="C998" s="127"/>
      <c r="D998" s="127"/>
      <c r="G998" s="127"/>
    </row>
    <row r="999" spans="3:7" ht="13">
      <c r="C999" s="127"/>
      <c r="D999" s="127"/>
      <c r="G999" s="127"/>
    </row>
    <row r="1000" spans="3:7" ht="13">
      <c r="C1000" s="127"/>
      <c r="D1000" s="127"/>
      <c r="G1000" s="127"/>
    </row>
    <row r="1001" spans="3:7" ht="13">
      <c r="C1001" s="127"/>
      <c r="D1001" s="127"/>
      <c r="G1001" s="127"/>
    </row>
    <row r="1002" spans="3:7" ht="13">
      <c r="C1002" s="127"/>
      <c r="D1002" s="127"/>
      <c r="G1002" s="127"/>
    </row>
    <row r="1003" spans="3:7" ht="13">
      <c r="C1003" s="127"/>
      <c r="D1003" s="127"/>
      <c r="G1003" s="127"/>
    </row>
    <row r="1004" spans="3:7" ht="13">
      <c r="C1004" s="127"/>
      <c r="D1004" s="127"/>
      <c r="G1004" s="127"/>
    </row>
  </sheetData>
  <mergeCells count="1">
    <mergeCell ref="E36:G36"/>
  </mergeCells>
  <hyperlinks>
    <hyperlink ref="A2" r:id="rId1" xr:uid="{00000000-0004-0000-0400-000000000000}"/>
    <hyperlink ref="C2" r:id="rId2" xr:uid="{00000000-0004-0000-0400-000001000000}"/>
    <hyperlink ref="D2" r:id="rId3" xr:uid="{00000000-0004-0000-0400-000002000000}"/>
    <hyperlink ref="A3" r:id="rId4" xr:uid="{00000000-0004-0000-0400-000003000000}"/>
    <hyperlink ref="C3" r:id="rId5" xr:uid="{00000000-0004-0000-0400-000004000000}"/>
    <hyperlink ref="D3" r:id="rId6" xr:uid="{00000000-0004-0000-0400-000005000000}"/>
    <hyperlink ref="A4" r:id="rId7" xr:uid="{00000000-0004-0000-0400-000006000000}"/>
    <hyperlink ref="C4" r:id="rId8" xr:uid="{00000000-0004-0000-0400-000007000000}"/>
    <hyperlink ref="D4" r:id="rId9" xr:uid="{00000000-0004-0000-0400-000008000000}"/>
    <hyperlink ref="A5" r:id="rId10" xr:uid="{00000000-0004-0000-0400-000009000000}"/>
    <hyperlink ref="C5" r:id="rId11" xr:uid="{00000000-0004-0000-0400-00000A000000}"/>
    <hyperlink ref="D5" r:id="rId12" xr:uid="{00000000-0004-0000-0400-00000B000000}"/>
    <hyperlink ref="A6" r:id="rId13" xr:uid="{00000000-0004-0000-0400-00000C000000}"/>
    <hyperlink ref="C6" r:id="rId14" xr:uid="{00000000-0004-0000-0400-00000D000000}"/>
    <hyperlink ref="D6" r:id="rId15" xr:uid="{00000000-0004-0000-0400-00000E000000}"/>
    <hyperlink ref="A7" r:id="rId16" xr:uid="{00000000-0004-0000-0400-00000F000000}"/>
    <hyperlink ref="C7" r:id="rId17" xr:uid="{00000000-0004-0000-0400-000010000000}"/>
    <hyperlink ref="D7" r:id="rId18" xr:uid="{00000000-0004-0000-0400-000011000000}"/>
    <hyperlink ref="A8" r:id="rId19" xr:uid="{00000000-0004-0000-0400-000012000000}"/>
    <hyperlink ref="C8" r:id="rId20" xr:uid="{00000000-0004-0000-0400-000013000000}"/>
    <hyperlink ref="D8" r:id="rId21" xr:uid="{00000000-0004-0000-0400-000014000000}"/>
    <hyperlink ref="A9" r:id="rId22" xr:uid="{00000000-0004-0000-0400-000015000000}"/>
    <hyperlink ref="C9" r:id="rId23" xr:uid="{00000000-0004-0000-0400-000016000000}"/>
    <hyperlink ref="D9" r:id="rId24" xr:uid="{00000000-0004-0000-0400-000017000000}"/>
    <hyperlink ref="A10" r:id="rId25" xr:uid="{00000000-0004-0000-0400-000018000000}"/>
    <hyperlink ref="C10" r:id="rId26" xr:uid="{00000000-0004-0000-0400-000019000000}"/>
    <hyperlink ref="D10" r:id="rId27" xr:uid="{00000000-0004-0000-0400-00001A000000}"/>
    <hyperlink ref="A11" r:id="rId28" xr:uid="{00000000-0004-0000-0400-00001B000000}"/>
    <hyperlink ref="C11" r:id="rId29" xr:uid="{00000000-0004-0000-0400-00001C000000}"/>
    <hyperlink ref="D11" r:id="rId30" xr:uid="{00000000-0004-0000-0400-00001D000000}"/>
    <hyperlink ref="N11" r:id="rId31" xr:uid="{00000000-0004-0000-0400-00001E000000}"/>
    <hyperlink ref="A12" r:id="rId32" xr:uid="{00000000-0004-0000-0400-00001F000000}"/>
    <hyperlink ref="C12" r:id="rId33" xr:uid="{00000000-0004-0000-0400-000020000000}"/>
    <hyperlink ref="D12" r:id="rId34" xr:uid="{00000000-0004-0000-0400-000021000000}"/>
    <hyperlink ref="N12" r:id="rId35" xr:uid="{00000000-0004-0000-0400-000022000000}"/>
    <hyperlink ref="A13" r:id="rId36" xr:uid="{00000000-0004-0000-0400-000023000000}"/>
    <hyperlink ref="C13" r:id="rId37" xr:uid="{00000000-0004-0000-0400-000024000000}"/>
    <hyperlink ref="D13" r:id="rId38" xr:uid="{00000000-0004-0000-0400-000025000000}"/>
    <hyperlink ref="C14" r:id="rId39" xr:uid="{00000000-0004-0000-0400-000026000000}"/>
    <hyperlink ref="D14" r:id="rId40" xr:uid="{00000000-0004-0000-0400-000027000000}"/>
    <hyperlink ref="A15" r:id="rId41" xr:uid="{00000000-0004-0000-0400-000028000000}"/>
    <hyperlink ref="C15" r:id="rId42" xr:uid="{00000000-0004-0000-0400-000029000000}"/>
    <hyperlink ref="D15" r:id="rId43" xr:uid="{00000000-0004-0000-0400-00002A000000}"/>
    <hyperlink ref="C16" r:id="rId44" xr:uid="{00000000-0004-0000-0400-00002B000000}"/>
    <hyperlink ref="D16" r:id="rId45" xr:uid="{00000000-0004-0000-0400-00002C000000}"/>
    <hyperlink ref="N16" r:id="rId46" xr:uid="{00000000-0004-0000-0400-00002D000000}"/>
    <hyperlink ref="C17" r:id="rId47" xr:uid="{00000000-0004-0000-0400-00002E000000}"/>
    <hyperlink ref="D17" r:id="rId48" xr:uid="{00000000-0004-0000-0400-00002F000000}"/>
    <hyperlink ref="N17" r:id="rId49" xr:uid="{00000000-0004-0000-0400-000030000000}"/>
    <hyperlink ref="C18" r:id="rId50" xr:uid="{00000000-0004-0000-0400-000031000000}"/>
    <hyperlink ref="D18" r:id="rId51" xr:uid="{00000000-0004-0000-0400-000032000000}"/>
    <hyperlink ref="N18" r:id="rId52" xr:uid="{00000000-0004-0000-0400-000033000000}"/>
    <hyperlink ref="C19" r:id="rId53" xr:uid="{00000000-0004-0000-0400-000034000000}"/>
    <hyperlink ref="D19" r:id="rId54" xr:uid="{00000000-0004-0000-0400-000035000000}"/>
    <hyperlink ref="N19" r:id="rId55" xr:uid="{00000000-0004-0000-0400-000036000000}"/>
    <hyperlink ref="A20" r:id="rId56" xr:uid="{00000000-0004-0000-0400-000037000000}"/>
    <hyperlink ref="C20" r:id="rId57" xr:uid="{00000000-0004-0000-0400-000038000000}"/>
    <hyperlink ref="D20" r:id="rId58" xr:uid="{00000000-0004-0000-0400-000039000000}"/>
    <hyperlink ref="A21" r:id="rId59" xr:uid="{00000000-0004-0000-0400-00003A000000}"/>
    <hyperlink ref="C21" r:id="rId60" xr:uid="{00000000-0004-0000-0400-00003B000000}"/>
    <hyperlink ref="D21" r:id="rId61" xr:uid="{00000000-0004-0000-0400-00003C000000}"/>
    <hyperlink ref="C22" r:id="rId62" xr:uid="{00000000-0004-0000-0400-00003D000000}"/>
    <hyperlink ref="D22" r:id="rId63" xr:uid="{00000000-0004-0000-0400-00003E000000}"/>
    <hyperlink ref="N22" r:id="rId64" xr:uid="{00000000-0004-0000-0400-00003F000000}"/>
    <hyperlink ref="C23" r:id="rId65" xr:uid="{00000000-0004-0000-0400-000040000000}"/>
    <hyperlink ref="D23" r:id="rId66" xr:uid="{00000000-0004-0000-0400-000041000000}"/>
    <hyperlink ref="N23" r:id="rId67" xr:uid="{00000000-0004-0000-0400-000042000000}"/>
    <hyperlink ref="C24" r:id="rId68" xr:uid="{00000000-0004-0000-0400-000043000000}"/>
    <hyperlink ref="D24" r:id="rId69" xr:uid="{00000000-0004-0000-0400-000044000000}"/>
    <hyperlink ref="N24" r:id="rId70" xr:uid="{00000000-0004-0000-0400-000045000000}"/>
    <hyperlink ref="C25" r:id="rId71" xr:uid="{00000000-0004-0000-0400-000046000000}"/>
    <hyperlink ref="D25" r:id="rId72" xr:uid="{00000000-0004-0000-0400-000047000000}"/>
    <hyperlink ref="N25" r:id="rId73" xr:uid="{00000000-0004-0000-0400-000048000000}"/>
    <hyperlink ref="A26" r:id="rId74" xr:uid="{00000000-0004-0000-0400-000049000000}"/>
    <hyperlink ref="C26" r:id="rId75" xr:uid="{00000000-0004-0000-0400-00004A000000}"/>
    <hyperlink ref="D26" r:id="rId76" xr:uid="{00000000-0004-0000-0400-00004B000000}"/>
  </hyperlinks>
  <pageMargins left="0.7" right="0.7" top="0.75" bottom="0.75" header="0.3" footer="0.3"/>
  <legacyDrawing r:id="rId77"/>
  <tableParts count="1">
    <tablePart r:id="rId78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H100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2" width="5.6640625" customWidth="1"/>
    <col min="4" max="4" width="22.6640625" customWidth="1"/>
    <col min="5" max="5" width="19.6640625" customWidth="1"/>
    <col min="6" max="6" width="7.6640625" customWidth="1"/>
    <col min="7" max="7" width="9.5" customWidth="1"/>
    <col min="8" max="8" width="10.33203125" customWidth="1"/>
    <col min="9" max="13" width="8.5" customWidth="1"/>
    <col min="14" max="14" width="15.5" customWidth="1"/>
    <col min="22" max="22" width="2.83203125" customWidth="1"/>
    <col min="23" max="23" width="9.1640625" customWidth="1"/>
    <col min="24" max="24" width="6.6640625" customWidth="1"/>
    <col min="25" max="28" width="6.33203125" customWidth="1"/>
    <col min="29" max="29" width="9.5" customWidth="1"/>
    <col min="30" max="30" width="8.5" customWidth="1"/>
    <col min="31" max="31" width="10.33203125" customWidth="1"/>
    <col min="32" max="32" width="15.1640625" customWidth="1"/>
  </cols>
  <sheetData>
    <row r="1" spans="1:60" ht="13">
      <c r="A1" s="11"/>
      <c r="B1" s="11" t="s">
        <v>6</v>
      </c>
      <c r="C1" s="81" t="s">
        <v>7</v>
      </c>
      <c r="D1" s="81" t="s">
        <v>14</v>
      </c>
      <c r="E1" s="11" t="s">
        <v>15</v>
      </c>
      <c r="F1" s="11" t="s">
        <v>16</v>
      </c>
      <c r="G1" s="81" t="s">
        <v>17</v>
      </c>
      <c r="H1" s="11" t="s">
        <v>18</v>
      </c>
      <c r="I1" s="11" t="s">
        <v>19</v>
      </c>
      <c r="J1" s="11" t="s">
        <v>20</v>
      </c>
      <c r="K1" s="82" t="s">
        <v>21</v>
      </c>
      <c r="L1" s="82" t="s">
        <v>22</v>
      </c>
      <c r="M1" s="82" t="s">
        <v>142</v>
      </c>
      <c r="N1" s="11" t="s">
        <v>23</v>
      </c>
      <c r="O1" s="11" t="s">
        <v>24</v>
      </c>
      <c r="P1" s="11" t="s">
        <v>25</v>
      </c>
      <c r="Q1" s="11" t="s">
        <v>26</v>
      </c>
      <c r="R1" s="11" t="s">
        <v>27</v>
      </c>
      <c r="S1" s="11" t="s">
        <v>28</v>
      </c>
      <c r="T1" s="11" t="s">
        <v>29</v>
      </c>
      <c r="U1" s="11" t="s">
        <v>440</v>
      </c>
      <c r="V1" s="11" t="s">
        <v>441</v>
      </c>
      <c r="W1" s="11" t="s">
        <v>31</v>
      </c>
      <c r="X1" s="11" t="s">
        <v>32</v>
      </c>
      <c r="Y1" s="11" t="s">
        <v>33</v>
      </c>
      <c r="Z1" s="11" t="s">
        <v>34</v>
      </c>
      <c r="AA1" s="11" t="s">
        <v>35</v>
      </c>
      <c r="AB1" s="11" t="s">
        <v>36</v>
      </c>
      <c r="AC1" s="11" t="s">
        <v>37</v>
      </c>
      <c r="AD1" s="11" t="s">
        <v>38</v>
      </c>
      <c r="AE1" s="82" t="s">
        <v>39</v>
      </c>
      <c r="AF1" s="11" t="s">
        <v>40</v>
      </c>
      <c r="AG1" s="11" t="s">
        <v>41</v>
      </c>
      <c r="AH1" s="11" t="s">
        <v>42</v>
      </c>
      <c r="AI1" s="11" t="s">
        <v>43</v>
      </c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ht="13">
      <c r="A2" s="94" t="s">
        <v>99</v>
      </c>
      <c r="B2" s="8" t="s">
        <v>11</v>
      </c>
      <c r="C2" s="96" t="s">
        <v>100</v>
      </c>
      <c r="D2" s="96" t="s">
        <v>101</v>
      </c>
      <c r="E2" s="8" t="str">
        <f t="shared" ref="E2:E21" si="0">TRIM(LEFT(D2,LEN(D2)-4))</f>
        <v>Julian O'Sullivan</v>
      </c>
      <c r="F2" s="8" t="str">
        <f t="shared" ref="F2:F3" si="1">TRIM(RIGHT(D2,2))</f>
        <v>C</v>
      </c>
      <c r="G2" s="97" t="s">
        <v>104</v>
      </c>
      <c r="H2" s="4">
        <v>1572</v>
      </c>
      <c r="I2" s="98">
        <v>10</v>
      </c>
      <c r="J2" s="99"/>
      <c r="K2" s="99"/>
      <c r="L2" s="99"/>
      <c r="M2" s="99"/>
      <c r="N2" s="8" t="s">
        <v>98</v>
      </c>
      <c r="O2" s="8" t="s">
        <v>70</v>
      </c>
      <c r="P2" s="8">
        <v>2</v>
      </c>
      <c r="Q2" s="8" t="s">
        <v>70</v>
      </c>
      <c r="R2" s="8"/>
      <c r="S2" s="8"/>
      <c r="T2" s="8"/>
      <c r="U2" s="8"/>
      <c r="W2" s="8">
        <v>3</v>
      </c>
      <c r="X2" s="8">
        <v>5</v>
      </c>
      <c r="Y2" s="8">
        <v>6.5</v>
      </c>
      <c r="Z2" s="8">
        <v>7.25</v>
      </c>
      <c r="AA2" s="8">
        <v>8.5</v>
      </c>
      <c r="AB2" s="8">
        <v>9</v>
      </c>
      <c r="AC2" s="99">
        <v>9.5</v>
      </c>
      <c r="AD2" s="87">
        <v>9.75</v>
      </c>
      <c r="AE2" s="8">
        <v>1711</v>
      </c>
      <c r="AF2" s="8">
        <v>622</v>
      </c>
      <c r="AG2" s="8">
        <v>604</v>
      </c>
      <c r="AH2" s="8">
        <v>590</v>
      </c>
      <c r="AI2" s="8">
        <v>566</v>
      </c>
    </row>
    <row r="3" spans="1:60" ht="13">
      <c r="A3" s="94" t="s">
        <v>161</v>
      </c>
      <c r="B3" s="8" t="s">
        <v>11</v>
      </c>
      <c r="C3" s="96" t="s">
        <v>163</v>
      </c>
      <c r="D3" s="96" t="s">
        <v>164</v>
      </c>
      <c r="E3" s="8" t="str">
        <f t="shared" si="0"/>
        <v>Sophia Bennett</v>
      </c>
      <c r="F3" s="8" t="str">
        <f t="shared" si="1"/>
        <v>RF</v>
      </c>
      <c r="G3" s="97" t="s">
        <v>166</v>
      </c>
      <c r="H3" s="4">
        <v>1426</v>
      </c>
      <c r="I3" s="137">
        <v>10</v>
      </c>
      <c r="J3" s="98">
        <v>9.75</v>
      </c>
      <c r="K3" s="99"/>
      <c r="L3" s="99"/>
      <c r="M3" s="99"/>
      <c r="N3" s="8" t="s">
        <v>115</v>
      </c>
      <c r="O3" s="8" t="s">
        <v>70</v>
      </c>
      <c r="P3" s="8">
        <v>16</v>
      </c>
      <c r="Q3" s="8" t="s">
        <v>70</v>
      </c>
      <c r="R3" s="8"/>
      <c r="S3" s="8"/>
      <c r="T3" s="8"/>
      <c r="U3" s="8"/>
      <c r="W3" s="8">
        <v>4</v>
      </c>
      <c r="X3" s="8">
        <v>6</v>
      </c>
      <c r="Y3" s="8">
        <v>6</v>
      </c>
      <c r="Z3" s="8">
        <v>6.5</v>
      </c>
      <c r="AA3" s="8">
        <v>8</v>
      </c>
      <c r="AB3" s="8">
        <v>8.5</v>
      </c>
      <c r="AC3" s="99">
        <v>9.75</v>
      </c>
      <c r="AD3" s="137">
        <v>10</v>
      </c>
      <c r="AE3" s="8">
        <v>1512</v>
      </c>
      <c r="AF3" s="8">
        <v>524</v>
      </c>
      <c r="AG3" s="8">
        <v>503</v>
      </c>
      <c r="AH3" s="8">
        <v>492</v>
      </c>
      <c r="AI3" s="8">
        <v>468</v>
      </c>
    </row>
    <row r="4" spans="1:60" ht="13">
      <c r="A4" s="94" t="s">
        <v>176</v>
      </c>
      <c r="B4" s="8" t="s">
        <v>11</v>
      </c>
      <c r="C4" s="96" t="s">
        <v>177</v>
      </c>
      <c r="D4" s="96" t="s">
        <v>178</v>
      </c>
      <c r="E4" t="str">
        <f t="shared" si="0"/>
        <v>Vick Thunder</v>
      </c>
      <c r="F4" s="8" t="s">
        <v>180</v>
      </c>
      <c r="G4" s="97" t="s">
        <v>181</v>
      </c>
      <c r="H4" s="4">
        <v>1590</v>
      </c>
      <c r="I4" s="102">
        <v>10</v>
      </c>
      <c r="J4" s="102">
        <v>10</v>
      </c>
      <c r="K4" s="102">
        <v>10</v>
      </c>
      <c r="L4" s="102">
        <v>10</v>
      </c>
      <c r="M4" s="102"/>
      <c r="N4" s="8" t="s">
        <v>182</v>
      </c>
      <c r="O4" s="8" t="s">
        <v>70</v>
      </c>
      <c r="P4" s="8">
        <v>15</v>
      </c>
      <c r="Q4" s="8" t="s">
        <v>70</v>
      </c>
      <c r="R4" s="8"/>
      <c r="S4" s="8"/>
      <c r="T4" s="8"/>
      <c r="V4" s="8">
        <v>1.5</v>
      </c>
      <c r="W4" s="8">
        <v>8</v>
      </c>
      <c r="X4" s="8">
        <v>3.5</v>
      </c>
      <c r="Y4" s="8">
        <v>7.25</v>
      </c>
      <c r="Z4" s="8">
        <v>8.5</v>
      </c>
      <c r="AA4" s="8">
        <v>9</v>
      </c>
      <c r="AB4" s="99">
        <v>9</v>
      </c>
      <c r="AC4" s="8">
        <v>605</v>
      </c>
      <c r="AD4" s="99">
        <f>9.75-2.75</f>
        <v>7</v>
      </c>
      <c r="AE4" s="8">
        <v>1597</v>
      </c>
      <c r="AF4" s="8">
        <v>587</v>
      </c>
      <c r="AG4" s="8">
        <v>559</v>
      </c>
      <c r="AH4" s="8">
        <v>513</v>
      </c>
    </row>
    <row r="5" spans="1:60" ht="12.75" customHeight="1">
      <c r="A5" s="94" t="s">
        <v>183</v>
      </c>
      <c r="B5" s="8" t="s">
        <v>11</v>
      </c>
      <c r="C5" s="96" t="s">
        <v>184</v>
      </c>
      <c r="D5" s="96" t="s">
        <v>185</v>
      </c>
      <c r="E5" t="str">
        <f t="shared" si="0"/>
        <v>Shooty McLish</v>
      </c>
      <c r="F5" s="8" t="str">
        <f>TRIM(RIGHT(D5,2))</f>
        <v>1B</v>
      </c>
      <c r="G5" s="97" t="s">
        <v>151</v>
      </c>
      <c r="H5" s="4">
        <v>1319</v>
      </c>
      <c r="I5" s="90">
        <v>9.5</v>
      </c>
      <c r="J5" s="90"/>
      <c r="K5" s="99"/>
      <c r="L5" s="99"/>
      <c r="M5" s="99"/>
      <c r="O5" s="8" t="s">
        <v>70</v>
      </c>
      <c r="P5" s="8">
        <v>72</v>
      </c>
      <c r="Q5" s="8" t="s">
        <v>70</v>
      </c>
      <c r="R5" s="8"/>
      <c r="S5" s="8"/>
      <c r="T5" s="8"/>
      <c r="U5" s="8"/>
      <c r="W5" s="8">
        <v>2</v>
      </c>
      <c r="X5" s="8">
        <v>12</v>
      </c>
      <c r="Y5" s="8">
        <v>13.5</v>
      </c>
      <c r="Z5" s="8">
        <v>15</v>
      </c>
      <c r="AA5" s="8">
        <v>13</v>
      </c>
      <c r="AB5" s="8">
        <v>13</v>
      </c>
      <c r="AC5" s="99">
        <v>13</v>
      </c>
      <c r="AD5" s="98">
        <v>13</v>
      </c>
      <c r="AE5" s="8">
        <v>1509</v>
      </c>
      <c r="AF5" s="8">
        <v>531</v>
      </c>
      <c r="AG5" s="8">
        <v>512</v>
      </c>
      <c r="AH5" s="8">
        <v>482</v>
      </c>
      <c r="AI5" s="8">
        <v>456</v>
      </c>
    </row>
    <row r="6" spans="1:60" ht="13">
      <c r="A6" s="94" t="s">
        <v>211</v>
      </c>
      <c r="B6" s="8" t="s">
        <v>11</v>
      </c>
      <c r="C6" s="96" t="s">
        <v>212</v>
      </c>
      <c r="D6" s="96" t="s">
        <v>213</v>
      </c>
      <c r="E6" s="8" t="str">
        <f t="shared" si="0"/>
        <v>Simon Hans</v>
      </c>
      <c r="F6" s="4" t="s">
        <v>215</v>
      </c>
      <c r="G6" s="97" t="s">
        <v>97</v>
      </c>
      <c r="H6" s="4">
        <v>1351</v>
      </c>
      <c r="I6" s="99">
        <v>9.75</v>
      </c>
      <c r="J6" s="87">
        <v>10</v>
      </c>
      <c r="K6" s="99"/>
      <c r="L6" s="99"/>
      <c r="M6" s="99"/>
      <c r="N6" s="8" t="s">
        <v>216</v>
      </c>
      <c r="O6" s="8" t="s">
        <v>78</v>
      </c>
      <c r="P6" s="8">
        <v>38</v>
      </c>
      <c r="Q6" s="8" t="s">
        <v>78</v>
      </c>
      <c r="R6" s="8"/>
      <c r="S6" s="8"/>
      <c r="T6" s="8"/>
      <c r="U6" s="8"/>
      <c r="W6" s="8">
        <v>3</v>
      </c>
      <c r="X6" s="8">
        <v>3.5</v>
      </c>
      <c r="Y6" s="8">
        <v>5</v>
      </c>
      <c r="Z6" s="8">
        <v>5.75</v>
      </c>
      <c r="AA6" s="8">
        <v>7.25</v>
      </c>
      <c r="AB6" s="8">
        <v>8</v>
      </c>
      <c r="AC6" s="99">
        <v>9</v>
      </c>
      <c r="AD6" s="99">
        <v>9.25</v>
      </c>
      <c r="AE6" s="8">
        <v>1224</v>
      </c>
      <c r="AF6" s="8">
        <v>354</v>
      </c>
      <c r="AG6" s="8">
        <v>328</v>
      </c>
      <c r="AH6" s="8">
        <v>306</v>
      </c>
      <c r="AI6" s="8">
        <v>282</v>
      </c>
    </row>
    <row r="7" spans="1:60" ht="13">
      <c r="A7" s="94" t="s">
        <v>217</v>
      </c>
      <c r="B7" s="8" t="s">
        <v>11</v>
      </c>
      <c r="C7" s="96" t="s">
        <v>218</v>
      </c>
      <c r="D7" s="96" t="s">
        <v>219</v>
      </c>
      <c r="E7" t="str">
        <f t="shared" si="0"/>
        <v>Clem Johnson</v>
      </c>
      <c r="F7" s="4" t="s">
        <v>75</v>
      </c>
      <c r="G7" s="97" t="s">
        <v>151</v>
      </c>
      <c r="H7" s="4">
        <v>1277</v>
      </c>
      <c r="I7" s="87">
        <f>9*0.75</f>
        <v>6.75</v>
      </c>
      <c r="J7" s="87">
        <v>9.5</v>
      </c>
      <c r="K7" s="99"/>
      <c r="L7" s="99"/>
      <c r="M7" s="99"/>
      <c r="N7" s="8" t="s">
        <v>223</v>
      </c>
      <c r="O7" s="8" t="s">
        <v>32</v>
      </c>
      <c r="P7" s="8">
        <v>3</v>
      </c>
      <c r="Q7" s="8" t="s">
        <v>32</v>
      </c>
      <c r="W7" s="8"/>
      <c r="X7" s="8">
        <v>5</v>
      </c>
      <c r="Y7" s="8">
        <v>5</v>
      </c>
      <c r="Z7" s="8">
        <v>4.5</v>
      </c>
      <c r="AA7" s="8">
        <v>4.5</v>
      </c>
      <c r="AB7" s="8">
        <v>6.5</v>
      </c>
      <c r="AC7" s="99">
        <v>7.25</v>
      </c>
      <c r="AD7" s="87">
        <f>0.5*8.5</f>
        <v>4.25</v>
      </c>
      <c r="AE7" s="8">
        <v>1095</v>
      </c>
      <c r="AF7" s="8">
        <v>100</v>
      </c>
      <c r="AG7" s="8">
        <v>100</v>
      </c>
      <c r="AH7" s="8"/>
      <c r="AI7" s="8"/>
    </row>
    <row r="8" spans="1:60" ht="13">
      <c r="A8" s="94" t="s">
        <v>276</v>
      </c>
      <c r="B8" s="8" t="s">
        <v>11</v>
      </c>
      <c r="C8" s="96" t="s">
        <v>278</v>
      </c>
      <c r="D8" s="96" t="s">
        <v>280</v>
      </c>
      <c r="E8" s="8" t="str">
        <f t="shared" si="0"/>
        <v>Roger Baton</v>
      </c>
      <c r="F8" s="8" t="str">
        <f t="shared" ref="F8:F14" si="2">TRIM(RIGHT(D8,2))</f>
        <v>2B</v>
      </c>
      <c r="G8" s="97" t="s">
        <v>97</v>
      </c>
      <c r="H8" s="4">
        <v>1087</v>
      </c>
      <c r="I8" s="99">
        <v>9.25</v>
      </c>
      <c r="J8" s="99">
        <v>9.5</v>
      </c>
      <c r="K8" s="99"/>
      <c r="L8" s="99"/>
      <c r="M8" s="99"/>
      <c r="N8" s="8"/>
      <c r="O8" s="8" t="s">
        <v>78</v>
      </c>
      <c r="P8" s="8">
        <v>32</v>
      </c>
      <c r="Q8" s="8" t="s">
        <v>78</v>
      </c>
      <c r="R8" s="8"/>
      <c r="S8" s="8"/>
      <c r="T8" s="8"/>
      <c r="U8" s="8"/>
      <c r="W8" s="8">
        <v>3</v>
      </c>
      <c r="X8" s="8">
        <v>4</v>
      </c>
      <c r="Y8" s="8">
        <v>5</v>
      </c>
      <c r="Z8" s="8">
        <v>5.75</v>
      </c>
      <c r="AA8" s="8">
        <v>6.5</v>
      </c>
      <c r="AB8" s="8">
        <v>6.5</v>
      </c>
      <c r="AC8" s="99">
        <v>8</v>
      </c>
      <c r="AD8" s="99">
        <v>8.5</v>
      </c>
      <c r="AE8" s="8">
        <v>981</v>
      </c>
      <c r="AF8" s="8">
        <v>329</v>
      </c>
      <c r="AG8" s="8">
        <v>314</v>
      </c>
      <c r="AH8" s="8">
        <v>300</v>
      </c>
      <c r="AI8" s="8">
        <v>276</v>
      </c>
    </row>
    <row r="9" spans="1:60" ht="13">
      <c r="A9" s="94" t="s">
        <v>328</v>
      </c>
      <c r="B9" s="8" t="s">
        <v>11</v>
      </c>
      <c r="C9" s="96" t="s">
        <v>330</v>
      </c>
      <c r="D9" s="96" t="s">
        <v>331</v>
      </c>
      <c r="E9" s="8" t="str">
        <f t="shared" si="0"/>
        <v>Khamati Kahn</v>
      </c>
      <c r="F9" s="8" t="str">
        <f t="shared" si="2"/>
        <v>SP</v>
      </c>
      <c r="G9" s="97" t="s">
        <v>114</v>
      </c>
      <c r="H9" s="4">
        <v>891</v>
      </c>
      <c r="I9" s="98">
        <v>8</v>
      </c>
      <c r="J9" s="98">
        <v>7.25</v>
      </c>
      <c r="K9" s="99"/>
      <c r="L9" s="99"/>
      <c r="M9" s="99"/>
      <c r="N9" s="8"/>
      <c r="O9" s="8" t="s">
        <v>78</v>
      </c>
      <c r="P9" s="8">
        <v>21</v>
      </c>
      <c r="Q9" s="8" t="s">
        <v>78</v>
      </c>
      <c r="R9" s="8"/>
      <c r="S9" s="8"/>
      <c r="T9" s="8"/>
      <c r="U9" s="8"/>
      <c r="W9" s="8">
        <v>3</v>
      </c>
      <c r="X9" s="8">
        <v>3</v>
      </c>
      <c r="Y9" s="8">
        <v>3</v>
      </c>
      <c r="Z9" s="8">
        <v>4</v>
      </c>
      <c r="AA9" s="8">
        <v>5</v>
      </c>
      <c r="AB9" s="8">
        <v>6.5</v>
      </c>
      <c r="AC9" s="99">
        <v>6.5</v>
      </c>
      <c r="AD9" s="99">
        <v>7.25</v>
      </c>
      <c r="AE9" s="8">
        <v>863</v>
      </c>
      <c r="AF9" s="8">
        <v>285</v>
      </c>
      <c r="AG9" s="8">
        <v>273</v>
      </c>
      <c r="AH9" s="8">
        <v>256</v>
      </c>
      <c r="AI9" s="8">
        <v>240</v>
      </c>
    </row>
    <row r="10" spans="1:60" ht="13">
      <c r="A10" s="94" t="s">
        <v>365</v>
      </c>
      <c r="B10" s="8" t="s">
        <v>11</v>
      </c>
      <c r="C10" s="96" t="s">
        <v>366</v>
      </c>
      <c r="D10" s="96" t="s">
        <v>367</v>
      </c>
      <c r="E10" t="str">
        <f t="shared" si="0"/>
        <v>Chaz LaLocke</v>
      </c>
      <c r="F10" s="8" t="str">
        <f t="shared" si="2"/>
        <v>SP</v>
      </c>
      <c r="G10" s="97" t="s">
        <v>114</v>
      </c>
      <c r="H10" s="4">
        <v>699</v>
      </c>
      <c r="I10" s="98">
        <v>7.25</v>
      </c>
      <c r="J10" s="98">
        <v>5.75</v>
      </c>
      <c r="K10" s="99"/>
      <c r="L10" s="99"/>
      <c r="M10" s="99"/>
      <c r="N10" s="8"/>
      <c r="O10" s="8" t="s">
        <v>70</v>
      </c>
      <c r="P10" s="8">
        <v>1</v>
      </c>
      <c r="Q10" s="8" t="s">
        <v>70</v>
      </c>
      <c r="R10" s="8"/>
      <c r="S10" s="8"/>
      <c r="T10" s="8"/>
      <c r="U10" s="8"/>
      <c r="W10" s="8">
        <v>5</v>
      </c>
      <c r="X10" s="8">
        <v>6.95</v>
      </c>
      <c r="Y10" s="8">
        <v>10.35</v>
      </c>
      <c r="Z10" s="8">
        <v>8.5500000000000007</v>
      </c>
      <c r="AA10" s="8">
        <v>8</v>
      </c>
      <c r="AB10" s="8">
        <v>8</v>
      </c>
      <c r="AC10" s="99">
        <v>8</v>
      </c>
      <c r="AD10" s="98">
        <v>8</v>
      </c>
      <c r="AE10" s="8">
        <v>933</v>
      </c>
      <c r="AF10" s="8">
        <v>587</v>
      </c>
      <c r="AG10" s="8">
        <v>575</v>
      </c>
      <c r="AH10" s="8">
        <v>532</v>
      </c>
      <c r="AI10" s="8">
        <v>501</v>
      </c>
    </row>
    <row r="11" spans="1:60" ht="13">
      <c r="A11" s="94" t="s">
        <v>385</v>
      </c>
      <c r="B11" s="8" t="s">
        <v>11</v>
      </c>
      <c r="C11" s="96" t="s">
        <v>386</v>
      </c>
      <c r="D11" s="96" t="s">
        <v>387</v>
      </c>
      <c r="E11" t="str">
        <f t="shared" si="0"/>
        <v>Bobby Hill</v>
      </c>
      <c r="F11" s="8" t="str">
        <f t="shared" si="2"/>
        <v>SP</v>
      </c>
      <c r="G11" s="97" t="s">
        <v>55</v>
      </c>
      <c r="H11" s="4">
        <v>1019</v>
      </c>
      <c r="I11" s="90">
        <v>10</v>
      </c>
      <c r="J11" s="90">
        <v>12</v>
      </c>
      <c r="K11" s="99"/>
      <c r="L11" s="99"/>
      <c r="M11" s="99"/>
      <c r="N11" s="8"/>
      <c r="O11" s="8" t="s">
        <v>34</v>
      </c>
      <c r="P11" s="8">
        <v>9</v>
      </c>
      <c r="Q11" s="8" t="s">
        <v>34</v>
      </c>
      <c r="R11" t="s">
        <v>374</v>
      </c>
      <c r="S11">
        <v>6</v>
      </c>
      <c r="T11">
        <v>2</v>
      </c>
      <c r="W11" s="8"/>
      <c r="X11" s="8"/>
      <c r="Y11" s="8"/>
      <c r="Z11" s="8">
        <v>2.5</v>
      </c>
      <c r="AA11">
        <v>3.5</v>
      </c>
      <c r="AB11" s="99">
        <v>4</v>
      </c>
      <c r="AC11" s="99">
        <v>4.5</v>
      </c>
      <c r="AD11" s="98">
        <v>8.74</v>
      </c>
      <c r="AE11" s="8">
        <v>665</v>
      </c>
      <c r="AF11" s="8"/>
      <c r="AG11" s="8"/>
      <c r="AH11" s="8"/>
      <c r="AI11" s="8"/>
      <c r="AJ11" s="8" t="str">
        <f>VLOOKUP(B11,Analysis!$A$24:$B$32,2,FALSE)</f>
        <v>:sloths:</v>
      </c>
      <c r="AK11" s="8" t="str">
        <f>AJ11&amp;" [b][url="&amp;A11&amp;"]"&amp;D11&amp;"[/url][/b] TPE: "&amp;AE11&amp;", Regression Class: "&amp;Q11</f>
        <v>:sloths: [b][url=http://probaseballexperience.jcink.net/index.php?showtopic=3046&amp;st=0&amp;#entry32489]Bobby Hill - SP[/url][/b] TPE: 665, Regression Class: S6</v>
      </c>
    </row>
    <row r="12" spans="1:60" ht="13">
      <c r="A12" s="94" t="s">
        <v>450</v>
      </c>
      <c r="B12" s="8" t="s">
        <v>11</v>
      </c>
      <c r="C12" s="96" t="s">
        <v>451</v>
      </c>
      <c r="D12" s="96" t="s">
        <v>452</v>
      </c>
      <c r="E12" t="str">
        <f t="shared" si="0"/>
        <v>Chuck Gamble</v>
      </c>
      <c r="F12" s="8" t="str">
        <f t="shared" si="2"/>
        <v>CL</v>
      </c>
      <c r="G12" s="97" t="s">
        <v>109</v>
      </c>
      <c r="H12" s="4">
        <v>595</v>
      </c>
      <c r="I12" s="98">
        <v>5.75</v>
      </c>
      <c r="J12" s="99"/>
      <c r="K12" s="99"/>
      <c r="L12" s="99"/>
      <c r="M12" s="99"/>
      <c r="N12" s="8"/>
      <c r="O12" t="s">
        <v>78</v>
      </c>
      <c r="P12">
        <v>4</v>
      </c>
      <c r="Q12" t="s">
        <v>70</v>
      </c>
      <c r="V12">
        <v>3</v>
      </c>
      <c r="W12" s="8">
        <v>4</v>
      </c>
      <c r="X12" s="8">
        <v>4</v>
      </c>
      <c r="Y12" s="8">
        <v>5.75</v>
      </c>
      <c r="Z12" s="8">
        <v>8</v>
      </c>
      <c r="AA12" s="8">
        <v>8</v>
      </c>
      <c r="AB12">
        <v>422</v>
      </c>
      <c r="AC12" s="99">
        <v>5.75</v>
      </c>
      <c r="AD12" s="98">
        <v>7.5</v>
      </c>
      <c r="AE12" s="8">
        <v>675</v>
      </c>
      <c r="AF12">
        <v>404</v>
      </c>
      <c r="AG12">
        <v>392</v>
      </c>
      <c r="AH12">
        <v>351</v>
      </c>
    </row>
    <row r="13" spans="1:60" ht="13">
      <c r="A13" s="94" t="s">
        <v>468</v>
      </c>
      <c r="B13" s="8" t="s">
        <v>11</v>
      </c>
      <c r="C13" s="96" t="s">
        <v>469</v>
      </c>
      <c r="D13" s="96" t="s">
        <v>470</v>
      </c>
      <c r="E13" s="8" t="str">
        <f t="shared" si="0"/>
        <v>Matthew Auston</v>
      </c>
      <c r="F13" s="8" t="str">
        <f t="shared" si="2"/>
        <v>SP</v>
      </c>
      <c r="G13" s="97" t="s">
        <v>55</v>
      </c>
      <c r="H13" s="4">
        <v>696</v>
      </c>
      <c r="I13" s="98">
        <v>5.75</v>
      </c>
      <c r="J13" s="98">
        <v>6.5</v>
      </c>
      <c r="K13" s="99"/>
      <c r="L13" s="99"/>
      <c r="M13" s="99"/>
      <c r="N13" s="8"/>
      <c r="O13" s="8" t="s">
        <v>32</v>
      </c>
      <c r="P13" s="8">
        <v>5</v>
      </c>
      <c r="Q13" s="8" t="s">
        <v>126</v>
      </c>
      <c r="R13" s="8"/>
      <c r="S13" s="8"/>
      <c r="T13" s="8"/>
      <c r="U13" s="8"/>
      <c r="W13" s="8">
        <v>1</v>
      </c>
      <c r="X13" s="8">
        <v>5</v>
      </c>
      <c r="Y13" s="8">
        <v>5</v>
      </c>
      <c r="Z13" s="8">
        <v>5</v>
      </c>
      <c r="AA13" s="8">
        <v>4</v>
      </c>
      <c r="AB13" s="8">
        <v>5</v>
      </c>
      <c r="AC13" s="99">
        <v>6.5</v>
      </c>
      <c r="AD13" s="99">
        <v>7.25</v>
      </c>
      <c r="AE13" s="8">
        <v>646</v>
      </c>
      <c r="AF13" s="8">
        <v>150</v>
      </c>
      <c r="AG13" s="8">
        <v>140</v>
      </c>
      <c r="AH13" s="8">
        <v>129</v>
      </c>
      <c r="AI13" s="8">
        <v>108</v>
      </c>
    </row>
    <row r="14" spans="1:60" ht="13">
      <c r="A14" s="94" t="s">
        <v>475</v>
      </c>
      <c r="B14" s="8" t="s">
        <v>11</v>
      </c>
      <c r="C14" s="96" t="s">
        <v>477</v>
      </c>
      <c r="D14" s="96" t="s">
        <v>479</v>
      </c>
      <c r="E14" t="str">
        <f t="shared" si="0"/>
        <v>Patrick Kelley</v>
      </c>
      <c r="F14" s="8" t="str">
        <f t="shared" si="2"/>
        <v>SS</v>
      </c>
      <c r="G14" s="97" t="s">
        <v>97</v>
      </c>
      <c r="H14" s="4">
        <v>762</v>
      </c>
      <c r="I14" s="87">
        <v>3</v>
      </c>
      <c r="J14" s="98">
        <v>7</v>
      </c>
      <c r="K14" s="98">
        <v>8</v>
      </c>
      <c r="L14" s="98">
        <v>8</v>
      </c>
      <c r="M14" s="99"/>
      <c r="N14" s="8" t="s">
        <v>459</v>
      </c>
      <c r="O14" s="8" t="s">
        <v>36</v>
      </c>
      <c r="P14" s="8">
        <v>18</v>
      </c>
      <c r="Q14" s="8" t="s">
        <v>36</v>
      </c>
      <c r="R14" s="8"/>
      <c r="S14" s="8"/>
      <c r="T14" s="8"/>
      <c r="V14" s="8"/>
      <c r="W14" s="8"/>
      <c r="X14" s="8"/>
      <c r="Y14" s="8"/>
      <c r="Z14" s="8"/>
      <c r="AA14" s="8"/>
      <c r="AB14" s="8">
        <v>0</v>
      </c>
      <c r="AC14" s="99">
        <v>3</v>
      </c>
      <c r="AD14" s="99">
        <v>3</v>
      </c>
      <c r="AE14" s="8">
        <v>380</v>
      </c>
      <c r="AF14" s="8"/>
      <c r="AG14" s="8"/>
      <c r="AH14" s="8"/>
    </row>
    <row r="15" spans="1:60" ht="12.75" customHeight="1">
      <c r="A15" s="94" t="s">
        <v>480</v>
      </c>
      <c r="B15" s="8" t="s">
        <v>11</v>
      </c>
      <c r="C15" s="96" t="s">
        <v>481</v>
      </c>
      <c r="D15" s="96" t="s">
        <v>482</v>
      </c>
      <c r="E15" t="str">
        <f t="shared" si="0"/>
        <v>Yeliboy Uecker</v>
      </c>
      <c r="F15" s="4" t="s">
        <v>67</v>
      </c>
      <c r="G15" s="97" t="s">
        <v>132</v>
      </c>
      <c r="H15" s="4">
        <v>543</v>
      </c>
      <c r="I15" s="102">
        <v>5</v>
      </c>
      <c r="J15" s="98">
        <v>5</v>
      </c>
      <c r="K15" s="98">
        <v>6.5</v>
      </c>
      <c r="L15" s="98">
        <v>7.25</v>
      </c>
      <c r="M15" s="99"/>
      <c r="N15" s="8" t="s">
        <v>273</v>
      </c>
      <c r="O15" s="8" t="s">
        <v>36</v>
      </c>
      <c r="P15" s="8">
        <v>3</v>
      </c>
      <c r="Q15" s="8" t="s">
        <v>36</v>
      </c>
      <c r="R15" s="8"/>
      <c r="S15" s="8"/>
      <c r="T15" s="8"/>
      <c r="V15" s="8"/>
      <c r="W15" s="8"/>
      <c r="X15" s="8"/>
      <c r="Y15" s="8"/>
      <c r="Z15" s="8"/>
      <c r="AA15" s="8"/>
      <c r="AB15" s="8">
        <v>0</v>
      </c>
      <c r="AC15" s="99">
        <v>5</v>
      </c>
      <c r="AD15" s="99">
        <v>5</v>
      </c>
      <c r="AE15" s="8">
        <v>293</v>
      </c>
      <c r="AF15" s="8"/>
      <c r="AG15" s="8"/>
      <c r="AH15" s="8"/>
    </row>
    <row r="16" spans="1:60" ht="12.75" customHeight="1">
      <c r="A16" s="94" t="s">
        <v>484</v>
      </c>
      <c r="B16" s="8" t="s">
        <v>11</v>
      </c>
      <c r="C16" s="96" t="s">
        <v>485</v>
      </c>
      <c r="D16" s="96" t="s">
        <v>487</v>
      </c>
      <c r="E16" s="8" t="str">
        <f t="shared" si="0"/>
        <v>Felipe Fernandez</v>
      </c>
      <c r="F16" s="8" t="str">
        <f>TRIM(RIGHT(D16,2))</f>
        <v>SP</v>
      </c>
      <c r="G16" s="97" t="s">
        <v>120</v>
      </c>
      <c r="H16" s="4">
        <v>225</v>
      </c>
      <c r="I16" s="98">
        <v>2</v>
      </c>
      <c r="J16" s="99"/>
      <c r="K16" s="99"/>
      <c r="L16" s="99"/>
      <c r="M16" s="99"/>
      <c r="N16" s="8"/>
      <c r="O16" s="8" t="s">
        <v>70</v>
      </c>
      <c r="P16" s="8">
        <v>71</v>
      </c>
      <c r="Q16" s="8" t="s">
        <v>70</v>
      </c>
      <c r="V16" s="8"/>
      <c r="W16" s="8">
        <v>3</v>
      </c>
      <c r="X16" s="8">
        <v>5</v>
      </c>
      <c r="Y16" s="8">
        <v>5</v>
      </c>
      <c r="Z16" s="8">
        <v>5</v>
      </c>
      <c r="AA16" s="8">
        <v>3</v>
      </c>
      <c r="AB16" s="8">
        <v>3</v>
      </c>
      <c r="AC16" s="99">
        <v>1.5</v>
      </c>
      <c r="AD16" s="98">
        <v>3</v>
      </c>
      <c r="AE16" s="8">
        <v>300</v>
      </c>
      <c r="AF16" s="8">
        <v>251</v>
      </c>
      <c r="AG16" s="8">
        <v>251</v>
      </c>
      <c r="AH16">
        <v>251</v>
      </c>
      <c r="AI16">
        <v>209</v>
      </c>
    </row>
    <row r="17" spans="1:60" ht="12.75" customHeight="1">
      <c r="A17" s="94" t="s">
        <v>491</v>
      </c>
      <c r="B17" s="8" t="s">
        <v>11</v>
      </c>
      <c r="C17" s="96" t="s">
        <v>492</v>
      </c>
      <c r="D17" s="96" t="s">
        <v>494</v>
      </c>
      <c r="E17" s="8" t="str">
        <f t="shared" si="0"/>
        <v>Brock Lobster</v>
      </c>
      <c r="F17" s="4" t="s">
        <v>336</v>
      </c>
      <c r="G17" s="97" t="s">
        <v>290</v>
      </c>
      <c r="H17" s="4">
        <v>151</v>
      </c>
      <c r="I17" s="102">
        <v>2</v>
      </c>
      <c r="J17" s="98">
        <v>0.5</v>
      </c>
      <c r="K17" s="99"/>
      <c r="L17" s="99"/>
      <c r="M17" s="99"/>
      <c r="N17" t="s">
        <v>273</v>
      </c>
      <c r="O17" s="8" t="s">
        <v>36</v>
      </c>
      <c r="P17" s="8">
        <v>33</v>
      </c>
      <c r="Q17" s="8" t="s">
        <v>35</v>
      </c>
      <c r="R17" s="8"/>
      <c r="S17" s="8"/>
      <c r="T17" s="8"/>
      <c r="W17" s="8"/>
      <c r="X17" s="8"/>
      <c r="Y17" s="8"/>
      <c r="Z17" s="8"/>
      <c r="AB17" s="8">
        <v>0</v>
      </c>
      <c r="AC17" s="99">
        <v>2</v>
      </c>
      <c r="AD17" s="99">
        <v>2</v>
      </c>
      <c r="AE17" s="8">
        <v>151</v>
      </c>
      <c r="AF17" s="8"/>
      <c r="AG17" s="8"/>
      <c r="AH17" s="8"/>
      <c r="AI17" s="8"/>
    </row>
    <row r="18" spans="1:60" ht="12.75" customHeight="1">
      <c r="A18" s="94" t="s">
        <v>496</v>
      </c>
      <c r="B18" s="8" t="s">
        <v>11</v>
      </c>
      <c r="C18" s="96" t="s">
        <v>498</v>
      </c>
      <c r="D18" s="96" t="s">
        <v>501</v>
      </c>
      <c r="E18" s="8" t="str">
        <f t="shared" si="0"/>
        <v>Dionte Washington</v>
      </c>
      <c r="F18" s="8" t="str">
        <f t="shared" ref="F18:F19" si="3">TRIM(RIGHT(D18,2))</f>
        <v>CL</v>
      </c>
      <c r="G18" s="97" t="s">
        <v>55</v>
      </c>
      <c r="H18" s="4">
        <v>144</v>
      </c>
      <c r="I18" s="98">
        <v>0.5</v>
      </c>
      <c r="J18" s="98">
        <v>0.5</v>
      </c>
      <c r="K18" s="99"/>
      <c r="L18" s="99"/>
      <c r="M18" s="99"/>
      <c r="N18" t="s">
        <v>417</v>
      </c>
      <c r="O18" s="8" t="s">
        <v>35</v>
      </c>
      <c r="P18" s="8">
        <v>20</v>
      </c>
      <c r="Q18" s="8" t="s">
        <v>34</v>
      </c>
      <c r="R18" s="8"/>
      <c r="S18" s="8"/>
      <c r="T18" s="8"/>
      <c r="W18" s="8"/>
      <c r="X18" s="8"/>
      <c r="Y18" s="8"/>
      <c r="Z18" s="8"/>
      <c r="AA18" t="s">
        <v>257</v>
      </c>
      <c r="AB18" s="8">
        <v>1.5</v>
      </c>
      <c r="AC18" s="99">
        <v>1.5</v>
      </c>
      <c r="AD18" s="102">
        <v>1.5</v>
      </c>
      <c r="AE18" s="8">
        <v>144</v>
      </c>
      <c r="AF18" s="8"/>
      <c r="AG18" s="8"/>
      <c r="AH18" s="8"/>
      <c r="AI18" s="8"/>
    </row>
    <row r="19" spans="1:60" ht="12.75" customHeight="1">
      <c r="B19" s="8" t="s">
        <v>11</v>
      </c>
      <c r="C19" s="96" t="s">
        <v>503</v>
      </c>
      <c r="D19" s="96" t="s">
        <v>505</v>
      </c>
      <c r="E19" s="11" t="str">
        <f t="shared" si="0"/>
        <v>Ash Dragon</v>
      </c>
      <c r="F19" s="11" t="str">
        <f t="shared" si="3"/>
        <v>CF</v>
      </c>
      <c r="G19" s="138" t="s">
        <v>97</v>
      </c>
      <c r="H19" s="4">
        <v>273</v>
      </c>
      <c r="I19" s="139">
        <v>3</v>
      </c>
      <c r="J19" s="139">
        <v>3</v>
      </c>
      <c r="K19" s="125">
        <v>3</v>
      </c>
      <c r="L19" s="103"/>
      <c r="M19" s="103"/>
      <c r="N19" s="105" t="s">
        <v>508</v>
      </c>
      <c r="O19" s="4" t="s">
        <v>38</v>
      </c>
      <c r="P19" s="4">
        <v>12</v>
      </c>
      <c r="Q19" s="4" t="s">
        <v>38</v>
      </c>
      <c r="AB19" s="12"/>
      <c r="AD19" s="139" t="s">
        <v>274</v>
      </c>
      <c r="AE19" s="82">
        <v>100</v>
      </c>
    </row>
    <row r="20" spans="1:60" ht="12.75" customHeight="1">
      <c r="A20" s="94" t="s">
        <v>512</v>
      </c>
      <c r="B20" s="4" t="s">
        <v>11</v>
      </c>
      <c r="C20" s="140" t="s">
        <v>513</v>
      </c>
      <c r="D20" s="140" t="s">
        <v>514</v>
      </c>
      <c r="E20" t="str">
        <f t="shared" si="0"/>
        <v>Mariano Riviera</v>
      </c>
      <c r="F20" t="str">
        <f>RIGHT(D20,2)</f>
        <v>CL</v>
      </c>
      <c r="G20" s="127" t="s">
        <v>114</v>
      </c>
      <c r="H20" s="141">
        <v>169</v>
      </c>
      <c r="I20" s="98">
        <v>1</v>
      </c>
      <c r="J20" s="99"/>
      <c r="K20" s="99"/>
      <c r="L20" s="99"/>
      <c r="M20" s="99"/>
      <c r="O20" t="s">
        <v>78</v>
      </c>
      <c r="P20">
        <v>22</v>
      </c>
      <c r="Q20" t="s">
        <v>78</v>
      </c>
      <c r="W20">
        <v>2</v>
      </c>
      <c r="X20">
        <v>2</v>
      </c>
      <c r="Y20" s="8">
        <v>0.5</v>
      </c>
      <c r="AC20" s="99">
        <v>2</v>
      </c>
      <c r="AD20" s="99">
        <v>0.5</v>
      </c>
      <c r="AE20" s="142">
        <v>192</v>
      </c>
      <c r="AF20">
        <v>192</v>
      </c>
      <c r="AG20">
        <v>192</v>
      </c>
      <c r="AH20">
        <v>192</v>
      </c>
      <c r="AI20">
        <v>192</v>
      </c>
      <c r="AJ20" t="str">
        <f>F20&amp;" - "&amp;E20</f>
        <v>CL - Mariano Riviera</v>
      </c>
    </row>
    <row r="21" spans="1:60" ht="13">
      <c r="A21" s="143" t="s">
        <v>517</v>
      </c>
      <c r="B21" s="4" t="s">
        <v>518</v>
      </c>
      <c r="C21" s="96" t="s">
        <v>519</v>
      </c>
      <c r="D21" s="96" t="s">
        <v>520</v>
      </c>
      <c r="E21" t="str">
        <f t="shared" si="0"/>
        <v>Jasper Clayton</v>
      </c>
      <c r="F21" s="8" t="str">
        <f t="shared" ref="F21:F24" si="4">TRIM(RIGHT(D21,2))</f>
        <v>C</v>
      </c>
      <c r="G21" s="97" t="s">
        <v>298</v>
      </c>
      <c r="H21" s="4">
        <v>164</v>
      </c>
      <c r="I21" s="125">
        <v>0.5</v>
      </c>
      <c r="J21" s="86"/>
      <c r="K21" s="86"/>
      <c r="L21" s="86"/>
      <c r="M21" s="86"/>
      <c r="N21" s="11" t="s">
        <v>273</v>
      </c>
      <c r="O21" s="11" t="s">
        <v>36</v>
      </c>
      <c r="P21" s="11">
        <v>20</v>
      </c>
      <c r="Q21" s="11" t="s">
        <v>35</v>
      </c>
      <c r="R21" s="11"/>
      <c r="S21" s="11"/>
      <c r="T21" s="11"/>
      <c r="U21" s="11"/>
      <c r="V21" s="12"/>
      <c r="W21" s="11"/>
      <c r="X21" s="11"/>
      <c r="Y21" s="11"/>
      <c r="Z21" s="11"/>
      <c r="AA21" s="11"/>
      <c r="AB21" s="11">
        <v>0</v>
      </c>
      <c r="AC21" s="86">
        <v>1.25</v>
      </c>
      <c r="AD21" s="86">
        <v>1.25</v>
      </c>
      <c r="AE21" s="11">
        <v>164</v>
      </c>
      <c r="AF21" s="11"/>
      <c r="AG21" s="11"/>
      <c r="AH21" s="11"/>
      <c r="AI21" s="11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</row>
    <row r="22" spans="1:60" ht="13">
      <c r="A22" s="50"/>
      <c r="B22" s="50" t="s">
        <v>11</v>
      </c>
      <c r="C22" s="144" t="s">
        <v>521</v>
      </c>
      <c r="D22" s="112" t="s">
        <v>524</v>
      </c>
      <c r="E22" s="50" t="str">
        <f t="shared" ref="E22:E24" si="5">IFERROR(TRIM(LEFT(D22,LEN(D22)-4)),"")</f>
        <v>Noah Johns</v>
      </c>
      <c r="F22" s="50" t="str">
        <f t="shared" si="4"/>
        <v>SP</v>
      </c>
      <c r="G22" s="50" t="s">
        <v>55</v>
      </c>
      <c r="H22" s="123">
        <v>111</v>
      </c>
      <c r="I22" s="145" t="s">
        <v>274</v>
      </c>
      <c r="J22" s="145">
        <v>1.3</v>
      </c>
      <c r="K22" s="145">
        <v>1.3</v>
      </c>
      <c r="L22" s="146"/>
      <c r="M22" s="146"/>
      <c r="N22" s="51" t="s">
        <v>525</v>
      </c>
      <c r="O22" s="50" t="s">
        <v>19</v>
      </c>
      <c r="P22" s="147">
        <v>27</v>
      </c>
      <c r="Q22" s="50" t="s">
        <v>19</v>
      </c>
      <c r="R22" s="148"/>
      <c r="S22" s="148"/>
      <c r="T22" s="148"/>
      <c r="U22" s="148"/>
      <c r="V22" s="148"/>
      <c r="W22" s="50"/>
      <c r="X22" s="50"/>
      <c r="Y22" s="50"/>
      <c r="Z22" s="148"/>
      <c r="AA22" s="148"/>
      <c r="AB22" s="50"/>
      <c r="AC22" s="146"/>
      <c r="AD22" s="146" t="s">
        <v>47</v>
      </c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12"/>
      <c r="BH22" s="12"/>
    </row>
    <row r="23" spans="1:60" ht="13">
      <c r="A23" s="47"/>
      <c r="B23" s="47" t="s">
        <v>11</v>
      </c>
      <c r="C23" s="111" t="s">
        <v>526</v>
      </c>
      <c r="D23" s="112" t="s">
        <v>527</v>
      </c>
      <c r="E23" s="47" t="str">
        <f t="shared" si="5"/>
        <v>Vince MacArthur II</v>
      </c>
      <c r="F23" s="47" t="str">
        <f t="shared" si="4"/>
        <v>3B</v>
      </c>
      <c r="G23" s="47" t="s">
        <v>159</v>
      </c>
      <c r="H23" s="113">
        <v>111</v>
      </c>
      <c r="I23" s="145" t="s">
        <v>274</v>
      </c>
      <c r="J23" s="114">
        <v>1</v>
      </c>
      <c r="K23" s="114">
        <v>1</v>
      </c>
      <c r="L23" s="115"/>
      <c r="M23" s="115"/>
      <c r="N23" s="51" t="s">
        <v>525</v>
      </c>
      <c r="O23" s="47" t="s">
        <v>19</v>
      </c>
      <c r="P23" s="117">
        <v>33</v>
      </c>
      <c r="Q23" s="47" t="s">
        <v>19</v>
      </c>
      <c r="R23" s="49"/>
      <c r="S23" s="49"/>
      <c r="T23" s="49"/>
      <c r="U23" s="49"/>
      <c r="V23" s="49"/>
      <c r="W23" s="47"/>
      <c r="X23" s="47"/>
      <c r="Y23" s="47"/>
      <c r="Z23" s="49"/>
      <c r="AA23" s="49"/>
      <c r="AB23" s="47"/>
      <c r="AC23" s="115"/>
      <c r="AD23" s="115" t="s">
        <v>47</v>
      </c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12"/>
      <c r="BH23" s="12"/>
    </row>
    <row r="24" spans="1:60" ht="13">
      <c r="A24" s="47"/>
      <c r="B24" s="48" t="s">
        <v>11</v>
      </c>
      <c r="C24" s="111" t="s">
        <v>529</v>
      </c>
      <c r="D24" s="112" t="s">
        <v>531</v>
      </c>
      <c r="E24" s="47" t="str">
        <f t="shared" si="5"/>
        <v>Michael Fazio</v>
      </c>
      <c r="F24" s="47" t="str">
        <f t="shared" si="4"/>
        <v>2B</v>
      </c>
      <c r="G24" s="47" t="s">
        <v>329</v>
      </c>
      <c r="H24" s="113">
        <v>108</v>
      </c>
      <c r="I24" s="145" t="s">
        <v>274</v>
      </c>
      <c r="J24" s="145">
        <v>1</v>
      </c>
      <c r="K24" s="145">
        <v>1</v>
      </c>
      <c r="L24" s="115"/>
      <c r="M24" s="115"/>
      <c r="N24" s="51" t="s">
        <v>525</v>
      </c>
      <c r="O24" s="47" t="s">
        <v>19</v>
      </c>
      <c r="P24" s="117">
        <v>38</v>
      </c>
      <c r="Q24" s="47" t="s">
        <v>19</v>
      </c>
      <c r="R24" s="47"/>
      <c r="S24" s="47"/>
      <c r="T24" s="47"/>
      <c r="U24" s="49"/>
      <c r="V24" s="47"/>
      <c r="W24" s="47"/>
      <c r="X24" s="47"/>
      <c r="Y24" s="47"/>
      <c r="Z24" s="49"/>
      <c r="AA24" s="47"/>
      <c r="AB24" s="115"/>
      <c r="AC24" s="115"/>
      <c r="AD24" s="47" t="s">
        <v>47</v>
      </c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</row>
    <row r="25" spans="1:60" ht="13">
      <c r="A25" s="12"/>
      <c r="B25" s="12"/>
      <c r="C25" s="89"/>
      <c r="D25" s="89"/>
      <c r="E25" s="12"/>
      <c r="F25" s="12"/>
      <c r="G25" s="89"/>
      <c r="H25" s="12"/>
      <c r="I25" s="86"/>
      <c r="J25" s="86"/>
      <c r="K25" s="86"/>
      <c r="L25" s="86"/>
      <c r="M25" s="86"/>
      <c r="N25" s="11"/>
      <c r="O25" s="12"/>
      <c r="P25" s="12"/>
      <c r="Q25" s="12"/>
      <c r="R25" s="11"/>
      <c r="S25" s="11"/>
      <c r="T25" s="11"/>
      <c r="U25" s="11"/>
      <c r="V25" s="11"/>
      <c r="W25" s="12"/>
      <c r="X25" s="12"/>
      <c r="Y25" s="12"/>
      <c r="Z25" s="11"/>
      <c r="AA25" s="11"/>
      <c r="AB25" s="12"/>
      <c r="AC25" s="86"/>
      <c r="AD25" s="86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</row>
    <row r="26" spans="1:60" ht="13">
      <c r="A26" s="12"/>
      <c r="B26" s="12"/>
      <c r="C26" s="89"/>
      <c r="D26" s="89"/>
      <c r="E26" s="12"/>
      <c r="F26" s="12"/>
      <c r="G26" s="89"/>
      <c r="H26" s="12"/>
      <c r="I26" s="86"/>
      <c r="J26" s="86"/>
      <c r="K26" s="86"/>
      <c r="L26" s="86"/>
      <c r="M26" s="86"/>
      <c r="N26" s="11" t="s">
        <v>338</v>
      </c>
      <c r="O26" s="12"/>
      <c r="P26" s="12"/>
      <c r="Q26" s="12"/>
      <c r="R26" s="11"/>
      <c r="S26" s="11"/>
      <c r="T26" s="11"/>
      <c r="U26" s="11"/>
      <c r="V26" s="11"/>
      <c r="W26" s="12"/>
      <c r="X26" s="12"/>
      <c r="Y26" s="12"/>
      <c r="Z26" s="11"/>
      <c r="AA26" s="11">
        <v>4</v>
      </c>
      <c r="AB26" s="12"/>
      <c r="AC26" s="86"/>
      <c r="AD26" s="86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</row>
    <row r="27" spans="1:60" ht="13">
      <c r="A27" s="12"/>
      <c r="B27" s="12"/>
      <c r="C27" s="89"/>
      <c r="D27" s="89"/>
      <c r="E27" s="12"/>
      <c r="F27" s="12"/>
      <c r="G27" s="89"/>
      <c r="H27" s="12"/>
      <c r="I27" s="85">
        <v>0.5</v>
      </c>
      <c r="J27" s="85">
        <v>0.5</v>
      </c>
      <c r="K27" s="86"/>
      <c r="L27" s="86"/>
      <c r="M27" s="86"/>
      <c r="N27" s="11" t="s">
        <v>340</v>
      </c>
      <c r="O27" s="12"/>
      <c r="P27" s="12"/>
      <c r="Q27" s="12"/>
      <c r="R27" s="11"/>
      <c r="S27" s="11"/>
      <c r="T27" s="11"/>
      <c r="U27" s="11"/>
      <c r="V27" s="11"/>
      <c r="W27" s="12"/>
      <c r="X27" s="12"/>
      <c r="Y27" s="12"/>
      <c r="Z27" s="11">
        <v>0.25</v>
      </c>
      <c r="AA27" s="12"/>
      <c r="AB27" s="12"/>
      <c r="AC27" s="86"/>
      <c r="AD27" s="86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</row>
    <row r="28" spans="1:60" ht="13">
      <c r="A28" s="12"/>
      <c r="B28" s="12"/>
      <c r="C28" s="89"/>
      <c r="D28" s="89"/>
      <c r="E28" s="12"/>
      <c r="F28" s="12"/>
      <c r="G28" s="89"/>
      <c r="H28" s="12"/>
      <c r="I28" s="86">
        <f t="shared" ref="I28:M28" si="6">SUM(I2:I27)</f>
        <v>119.5</v>
      </c>
      <c r="J28" s="86">
        <f t="shared" si="6"/>
        <v>100.05</v>
      </c>
      <c r="K28" s="86">
        <f t="shared" si="6"/>
        <v>30.8</v>
      </c>
      <c r="L28" s="86">
        <f t="shared" si="6"/>
        <v>25.25</v>
      </c>
      <c r="M28" s="86">
        <f t="shared" si="6"/>
        <v>0</v>
      </c>
      <c r="N28" s="12"/>
      <c r="O28" s="12"/>
      <c r="P28" s="12"/>
      <c r="Q28" s="12"/>
      <c r="R28" s="12"/>
      <c r="S28" s="12"/>
      <c r="T28" s="12"/>
      <c r="U28" s="12"/>
      <c r="V28" s="12"/>
      <c r="W28" s="12">
        <f>SUM(W3:W9)</f>
        <v>23</v>
      </c>
      <c r="X28" s="12">
        <f t="shared" ref="X28:Z28" si="7">SUM(X2:X9)</f>
        <v>42</v>
      </c>
      <c r="Y28" s="12">
        <f t="shared" si="7"/>
        <v>51.25</v>
      </c>
      <c r="Z28" s="12">
        <f t="shared" si="7"/>
        <v>57.25</v>
      </c>
      <c r="AA28" s="12">
        <f t="shared" ref="AA28:AD28" si="8">SUM(AA2:AA27)</f>
        <v>92.25</v>
      </c>
      <c r="AB28" s="12">
        <f t="shared" si="8"/>
        <v>510.5</v>
      </c>
      <c r="AC28" s="86">
        <f t="shared" si="8"/>
        <v>709</v>
      </c>
      <c r="AD28" s="86">
        <f t="shared" si="8"/>
        <v>116.74</v>
      </c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</row>
    <row r="29" spans="1:60" ht="13">
      <c r="C29" s="127"/>
      <c r="D29" s="127"/>
      <c r="G29" s="127"/>
    </row>
    <row r="30" spans="1:60" ht="13">
      <c r="C30" s="127"/>
      <c r="D30" s="127"/>
      <c r="E30" s="128" t="s">
        <v>343</v>
      </c>
      <c r="F30" s="99"/>
      <c r="G30" s="129"/>
      <c r="AF30" s="8"/>
      <c r="AG30" s="8"/>
      <c r="AH30" s="8"/>
    </row>
    <row r="31" spans="1:60" ht="13">
      <c r="C31" s="127"/>
      <c r="D31" s="127"/>
      <c r="E31" s="98" t="s">
        <v>344</v>
      </c>
      <c r="F31" s="99"/>
      <c r="G31" s="129"/>
    </row>
    <row r="32" spans="1:60" ht="13">
      <c r="C32" s="127"/>
      <c r="D32" s="127"/>
      <c r="E32" s="149" t="s">
        <v>345</v>
      </c>
      <c r="F32" s="150"/>
      <c r="G32" s="151"/>
    </row>
    <row r="33" spans="3:7" ht="13">
      <c r="C33" s="127"/>
      <c r="D33" s="127"/>
      <c r="E33" s="125" t="s">
        <v>347</v>
      </c>
      <c r="F33" s="102"/>
      <c r="G33" s="133"/>
    </row>
    <row r="34" spans="3:7" ht="13">
      <c r="C34" s="127"/>
      <c r="D34" s="127"/>
      <c r="E34" s="90" t="s">
        <v>348</v>
      </c>
      <c r="F34" s="87"/>
      <c r="G34" s="134"/>
    </row>
    <row r="35" spans="3:7" ht="13">
      <c r="C35" s="127"/>
      <c r="D35" s="127"/>
      <c r="E35" s="416" t="s">
        <v>350</v>
      </c>
      <c r="F35" s="417"/>
      <c r="G35" s="418"/>
    </row>
    <row r="36" spans="3:7" ht="13">
      <c r="C36" s="127"/>
      <c r="D36" s="127"/>
      <c r="G36" s="127"/>
    </row>
    <row r="37" spans="3:7" ht="13">
      <c r="C37" s="127"/>
      <c r="D37" s="127"/>
      <c r="G37" s="127"/>
    </row>
    <row r="38" spans="3:7" ht="13">
      <c r="C38" s="127"/>
      <c r="D38" s="127"/>
      <c r="G38" s="127"/>
    </row>
    <row r="39" spans="3:7" ht="13">
      <c r="C39" s="127"/>
      <c r="D39" s="127"/>
      <c r="G39" s="127"/>
    </row>
    <row r="40" spans="3:7" ht="13">
      <c r="C40" s="127"/>
      <c r="D40" s="127"/>
      <c r="G40" s="127"/>
    </row>
    <row r="41" spans="3:7" ht="13">
      <c r="C41" s="127"/>
      <c r="D41" s="127"/>
      <c r="G41" s="127"/>
    </row>
    <row r="42" spans="3:7" ht="13">
      <c r="C42" s="127"/>
      <c r="D42" s="127"/>
      <c r="G42" s="127"/>
    </row>
    <row r="43" spans="3:7" ht="13">
      <c r="C43" s="127"/>
      <c r="D43" s="127"/>
      <c r="G43" s="127"/>
    </row>
    <row r="44" spans="3:7" ht="13">
      <c r="C44" s="127"/>
      <c r="D44" s="127"/>
      <c r="G44" s="127"/>
    </row>
    <row r="45" spans="3:7" ht="13">
      <c r="C45" s="127"/>
      <c r="D45" s="127"/>
      <c r="G45" s="127"/>
    </row>
    <row r="46" spans="3:7" ht="13">
      <c r="C46" s="127"/>
      <c r="D46" s="127"/>
      <c r="G46" s="127"/>
    </row>
    <row r="47" spans="3:7" ht="13">
      <c r="C47" s="127"/>
      <c r="D47" s="127"/>
      <c r="G47" s="127"/>
    </row>
    <row r="48" spans="3:7" ht="13">
      <c r="C48" s="127"/>
      <c r="D48" s="127"/>
      <c r="G48" s="127"/>
    </row>
    <row r="49" spans="3:7" ht="13">
      <c r="C49" s="127"/>
      <c r="D49" s="127"/>
      <c r="G49" s="127"/>
    </row>
    <row r="50" spans="3:7" ht="13">
      <c r="C50" s="127"/>
      <c r="D50" s="127"/>
      <c r="G50" s="127"/>
    </row>
    <row r="51" spans="3:7" ht="13">
      <c r="C51" s="127"/>
      <c r="D51" s="127"/>
      <c r="G51" s="127"/>
    </row>
    <row r="52" spans="3:7" ht="13">
      <c r="C52" s="127"/>
      <c r="D52" s="127"/>
      <c r="G52" s="127"/>
    </row>
    <row r="53" spans="3:7" ht="13">
      <c r="C53" s="127"/>
      <c r="D53" s="127"/>
      <c r="G53" s="127"/>
    </row>
    <row r="54" spans="3:7" ht="13">
      <c r="C54" s="127"/>
      <c r="D54" s="127"/>
      <c r="G54" s="127"/>
    </row>
    <row r="55" spans="3:7" ht="13">
      <c r="C55" s="127"/>
      <c r="D55" s="127"/>
      <c r="G55" s="127"/>
    </row>
    <row r="56" spans="3:7" ht="13">
      <c r="C56" s="127"/>
      <c r="D56" s="127"/>
      <c r="G56" s="127"/>
    </row>
    <row r="57" spans="3:7" ht="13">
      <c r="C57" s="127"/>
      <c r="D57" s="127"/>
      <c r="G57" s="127"/>
    </row>
    <row r="58" spans="3:7" ht="13">
      <c r="C58" s="127"/>
      <c r="D58" s="127"/>
      <c r="G58" s="127"/>
    </row>
    <row r="59" spans="3:7" ht="13">
      <c r="C59" s="127"/>
      <c r="D59" s="127"/>
      <c r="G59" s="127"/>
    </row>
    <row r="60" spans="3:7" ht="13">
      <c r="C60" s="127"/>
      <c r="D60" s="127"/>
      <c r="G60" s="127"/>
    </row>
    <row r="61" spans="3:7" ht="13">
      <c r="C61" s="127"/>
      <c r="D61" s="127"/>
      <c r="G61" s="127"/>
    </row>
    <row r="62" spans="3:7" ht="13">
      <c r="C62" s="127"/>
      <c r="D62" s="127"/>
      <c r="G62" s="127"/>
    </row>
    <row r="63" spans="3:7" ht="13">
      <c r="C63" s="127"/>
      <c r="D63" s="127"/>
      <c r="G63" s="127"/>
    </row>
    <row r="64" spans="3:7" ht="13">
      <c r="C64" s="127"/>
      <c r="D64" s="127"/>
      <c r="G64" s="127"/>
    </row>
    <row r="65" spans="3:7" ht="13">
      <c r="C65" s="127"/>
      <c r="D65" s="127"/>
      <c r="G65" s="127"/>
    </row>
    <row r="66" spans="3:7" ht="13">
      <c r="C66" s="127"/>
      <c r="D66" s="127"/>
      <c r="G66" s="127"/>
    </row>
    <row r="67" spans="3:7" ht="13">
      <c r="C67" s="127"/>
      <c r="D67" s="127"/>
      <c r="G67" s="127"/>
    </row>
    <row r="68" spans="3:7" ht="13">
      <c r="C68" s="127"/>
      <c r="D68" s="127"/>
      <c r="G68" s="127"/>
    </row>
    <row r="69" spans="3:7" ht="13">
      <c r="C69" s="127"/>
      <c r="D69" s="127"/>
      <c r="G69" s="127"/>
    </row>
    <row r="70" spans="3:7" ht="13">
      <c r="C70" s="127"/>
      <c r="D70" s="127"/>
      <c r="G70" s="127"/>
    </row>
    <row r="71" spans="3:7" ht="13">
      <c r="C71" s="127"/>
      <c r="D71" s="127"/>
      <c r="G71" s="127"/>
    </row>
    <row r="72" spans="3:7" ht="13">
      <c r="C72" s="127"/>
      <c r="D72" s="127"/>
      <c r="G72" s="127"/>
    </row>
    <row r="73" spans="3:7" ht="13">
      <c r="C73" s="127"/>
      <c r="D73" s="127"/>
      <c r="G73" s="127"/>
    </row>
    <row r="74" spans="3:7" ht="13">
      <c r="C74" s="127"/>
      <c r="D74" s="127"/>
      <c r="G74" s="127"/>
    </row>
    <row r="75" spans="3:7" ht="13">
      <c r="C75" s="127"/>
      <c r="D75" s="127"/>
      <c r="G75" s="127"/>
    </row>
    <row r="76" spans="3:7" ht="13">
      <c r="C76" s="127"/>
      <c r="D76" s="127"/>
      <c r="G76" s="127"/>
    </row>
    <row r="77" spans="3:7" ht="13">
      <c r="C77" s="127"/>
      <c r="D77" s="127"/>
      <c r="G77" s="127"/>
    </row>
    <row r="78" spans="3:7" ht="13">
      <c r="C78" s="127"/>
      <c r="D78" s="127"/>
      <c r="G78" s="127"/>
    </row>
    <row r="79" spans="3:7" ht="13">
      <c r="C79" s="127"/>
      <c r="D79" s="127"/>
      <c r="G79" s="127"/>
    </row>
    <row r="80" spans="3:7" ht="13">
      <c r="C80" s="127"/>
      <c r="D80" s="127"/>
      <c r="G80" s="127"/>
    </row>
    <row r="81" spans="3:7" ht="13">
      <c r="C81" s="127"/>
      <c r="D81" s="127"/>
      <c r="G81" s="127"/>
    </row>
    <row r="82" spans="3:7" ht="13">
      <c r="C82" s="127"/>
      <c r="D82" s="127"/>
      <c r="G82" s="127"/>
    </row>
    <row r="83" spans="3:7" ht="13">
      <c r="C83" s="127"/>
      <c r="D83" s="127"/>
      <c r="G83" s="127"/>
    </row>
    <row r="84" spans="3:7" ht="13">
      <c r="C84" s="127"/>
      <c r="D84" s="127"/>
      <c r="G84" s="127"/>
    </row>
    <row r="85" spans="3:7" ht="13">
      <c r="C85" s="127"/>
      <c r="D85" s="127"/>
      <c r="G85" s="127"/>
    </row>
    <row r="86" spans="3:7" ht="13">
      <c r="C86" s="127"/>
      <c r="D86" s="127"/>
      <c r="G86" s="127"/>
    </row>
    <row r="87" spans="3:7" ht="13">
      <c r="C87" s="127"/>
      <c r="D87" s="127"/>
      <c r="G87" s="127"/>
    </row>
    <row r="88" spans="3:7" ht="13">
      <c r="C88" s="127"/>
      <c r="D88" s="127"/>
      <c r="G88" s="127"/>
    </row>
    <row r="89" spans="3:7" ht="13">
      <c r="C89" s="127"/>
      <c r="D89" s="127"/>
      <c r="G89" s="127"/>
    </row>
    <row r="90" spans="3:7" ht="13">
      <c r="C90" s="127"/>
      <c r="D90" s="127"/>
      <c r="G90" s="127"/>
    </row>
    <row r="91" spans="3:7" ht="13">
      <c r="C91" s="127"/>
      <c r="D91" s="127"/>
      <c r="G91" s="127"/>
    </row>
    <row r="92" spans="3:7" ht="13">
      <c r="C92" s="127"/>
      <c r="D92" s="127"/>
      <c r="G92" s="127"/>
    </row>
    <row r="93" spans="3:7" ht="13">
      <c r="C93" s="127"/>
      <c r="D93" s="127"/>
      <c r="G93" s="127"/>
    </row>
    <row r="94" spans="3:7" ht="13">
      <c r="C94" s="127"/>
      <c r="D94" s="127"/>
      <c r="G94" s="127"/>
    </row>
    <row r="95" spans="3:7" ht="13">
      <c r="C95" s="127"/>
      <c r="D95" s="127"/>
      <c r="G95" s="127"/>
    </row>
    <row r="96" spans="3:7" ht="13">
      <c r="C96" s="127"/>
      <c r="D96" s="127"/>
      <c r="G96" s="127"/>
    </row>
    <row r="97" spans="3:7" ht="13">
      <c r="C97" s="127"/>
      <c r="D97" s="127"/>
      <c r="G97" s="127"/>
    </row>
    <row r="98" spans="3:7" ht="13">
      <c r="C98" s="127"/>
      <c r="D98" s="127"/>
      <c r="G98" s="127"/>
    </row>
    <row r="99" spans="3:7" ht="13">
      <c r="C99" s="127"/>
      <c r="D99" s="127"/>
      <c r="G99" s="127"/>
    </row>
    <row r="100" spans="3:7" ht="13">
      <c r="C100" s="127"/>
      <c r="D100" s="127"/>
      <c r="G100" s="127"/>
    </row>
    <row r="101" spans="3:7" ht="13">
      <c r="C101" s="127"/>
      <c r="D101" s="127"/>
      <c r="G101" s="127"/>
    </row>
    <row r="102" spans="3:7" ht="13">
      <c r="C102" s="127"/>
      <c r="D102" s="127"/>
      <c r="G102" s="127"/>
    </row>
    <row r="103" spans="3:7" ht="13">
      <c r="C103" s="127"/>
      <c r="D103" s="127"/>
      <c r="G103" s="127"/>
    </row>
    <row r="104" spans="3:7" ht="13">
      <c r="C104" s="127"/>
      <c r="D104" s="127"/>
      <c r="G104" s="127"/>
    </row>
    <row r="105" spans="3:7" ht="13">
      <c r="C105" s="127"/>
      <c r="D105" s="127"/>
      <c r="G105" s="127"/>
    </row>
    <row r="106" spans="3:7" ht="13">
      <c r="C106" s="127"/>
      <c r="D106" s="127"/>
      <c r="G106" s="127"/>
    </row>
    <row r="107" spans="3:7" ht="13">
      <c r="C107" s="127"/>
      <c r="D107" s="127"/>
      <c r="G107" s="127"/>
    </row>
    <row r="108" spans="3:7" ht="13">
      <c r="C108" s="127"/>
      <c r="D108" s="127"/>
      <c r="G108" s="127"/>
    </row>
    <row r="109" spans="3:7" ht="13">
      <c r="C109" s="127"/>
      <c r="D109" s="127"/>
      <c r="G109" s="127"/>
    </row>
    <row r="110" spans="3:7" ht="13">
      <c r="C110" s="127"/>
      <c r="D110" s="127"/>
      <c r="G110" s="127"/>
    </row>
    <row r="111" spans="3:7" ht="13">
      <c r="C111" s="127"/>
      <c r="D111" s="127"/>
      <c r="G111" s="127"/>
    </row>
    <row r="112" spans="3:7" ht="13">
      <c r="C112" s="127"/>
      <c r="D112" s="127"/>
      <c r="G112" s="127"/>
    </row>
    <row r="113" spans="3:7" ht="13">
      <c r="C113" s="127"/>
      <c r="D113" s="127"/>
      <c r="G113" s="127"/>
    </row>
    <row r="114" spans="3:7" ht="13">
      <c r="C114" s="127"/>
      <c r="D114" s="127"/>
      <c r="G114" s="127"/>
    </row>
    <row r="115" spans="3:7" ht="13">
      <c r="C115" s="127"/>
      <c r="D115" s="127"/>
      <c r="G115" s="127"/>
    </row>
    <row r="116" spans="3:7" ht="13">
      <c r="C116" s="127"/>
      <c r="D116" s="127"/>
      <c r="G116" s="127"/>
    </row>
    <row r="117" spans="3:7" ht="13">
      <c r="C117" s="127"/>
      <c r="D117" s="127"/>
      <c r="G117" s="127"/>
    </row>
    <row r="118" spans="3:7" ht="13">
      <c r="C118" s="127"/>
      <c r="D118" s="127"/>
      <c r="G118" s="127"/>
    </row>
    <row r="119" spans="3:7" ht="13">
      <c r="C119" s="127"/>
      <c r="D119" s="127"/>
      <c r="G119" s="127"/>
    </row>
    <row r="120" spans="3:7" ht="13">
      <c r="C120" s="127"/>
      <c r="D120" s="127"/>
      <c r="G120" s="127"/>
    </row>
    <row r="121" spans="3:7" ht="13">
      <c r="C121" s="127"/>
      <c r="D121" s="127"/>
      <c r="G121" s="127"/>
    </row>
    <row r="122" spans="3:7" ht="13">
      <c r="C122" s="127"/>
      <c r="D122" s="127"/>
      <c r="G122" s="127"/>
    </row>
    <row r="123" spans="3:7" ht="13">
      <c r="C123" s="127"/>
      <c r="D123" s="127"/>
      <c r="G123" s="127"/>
    </row>
    <row r="124" spans="3:7" ht="13">
      <c r="C124" s="127"/>
      <c r="D124" s="127"/>
      <c r="G124" s="127"/>
    </row>
    <row r="125" spans="3:7" ht="13">
      <c r="C125" s="127"/>
      <c r="D125" s="127"/>
      <c r="G125" s="127"/>
    </row>
    <row r="126" spans="3:7" ht="13">
      <c r="C126" s="127"/>
      <c r="D126" s="127"/>
      <c r="G126" s="127"/>
    </row>
    <row r="127" spans="3:7" ht="13">
      <c r="C127" s="127"/>
      <c r="D127" s="127"/>
      <c r="G127" s="127"/>
    </row>
    <row r="128" spans="3:7" ht="13">
      <c r="C128" s="127"/>
      <c r="D128" s="127"/>
      <c r="G128" s="127"/>
    </row>
    <row r="129" spans="3:7" ht="13">
      <c r="C129" s="127"/>
      <c r="D129" s="127"/>
      <c r="G129" s="127"/>
    </row>
    <row r="130" spans="3:7" ht="13">
      <c r="C130" s="127"/>
      <c r="D130" s="127"/>
      <c r="G130" s="127"/>
    </row>
    <row r="131" spans="3:7" ht="13">
      <c r="C131" s="127"/>
      <c r="D131" s="127"/>
      <c r="G131" s="127"/>
    </row>
    <row r="132" spans="3:7" ht="13">
      <c r="C132" s="127"/>
      <c r="D132" s="127"/>
      <c r="G132" s="127"/>
    </row>
    <row r="133" spans="3:7" ht="13">
      <c r="C133" s="127"/>
      <c r="D133" s="127"/>
      <c r="G133" s="127"/>
    </row>
    <row r="134" spans="3:7" ht="13">
      <c r="C134" s="127"/>
      <c r="D134" s="127"/>
      <c r="G134" s="127"/>
    </row>
    <row r="135" spans="3:7" ht="13">
      <c r="C135" s="127"/>
      <c r="D135" s="127"/>
      <c r="G135" s="127"/>
    </row>
    <row r="136" spans="3:7" ht="13">
      <c r="C136" s="127"/>
      <c r="D136" s="127"/>
      <c r="G136" s="127"/>
    </row>
    <row r="137" spans="3:7" ht="13">
      <c r="C137" s="127"/>
      <c r="D137" s="127"/>
      <c r="G137" s="127"/>
    </row>
    <row r="138" spans="3:7" ht="13">
      <c r="C138" s="127"/>
      <c r="D138" s="127"/>
      <c r="G138" s="127"/>
    </row>
    <row r="139" spans="3:7" ht="13">
      <c r="C139" s="127"/>
      <c r="D139" s="127"/>
      <c r="G139" s="127"/>
    </row>
    <row r="140" spans="3:7" ht="13">
      <c r="C140" s="127"/>
      <c r="D140" s="127"/>
      <c r="G140" s="127"/>
    </row>
    <row r="141" spans="3:7" ht="13">
      <c r="C141" s="127"/>
      <c r="D141" s="127"/>
      <c r="G141" s="127"/>
    </row>
    <row r="142" spans="3:7" ht="13">
      <c r="C142" s="127"/>
      <c r="D142" s="127"/>
      <c r="G142" s="127"/>
    </row>
    <row r="143" spans="3:7" ht="13">
      <c r="C143" s="127"/>
      <c r="D143" s="127"/>
      <c r="G143" s="127"/>
    </row>
    <row r="144" spans="3:7" ht="13">
      <c r="C144" s="127"/>
      <c r="D144" s="127"/>
      <c r="G144" s="127"/>
    </row>
    <row r="145" spans="3:7" ht="13">
      <c r="C145" s="127"/>
      <c r="D145" s="127"/>
      <c r="G145" s="127"/>
    </row>
    <row r="146" spans="3:7" ht="13">
      <c r="C146" s="127"/>
      <c r="D146" s="127"/>
      <c r="G146" s="127"/>
    </row>
    <row r="147" spans="3:7" ht="13">
      <c r="C147" s="127"/>
      <c r="D147" s="127"/>
      <c r="G147" s="127"/>
    </row>
    <row r="148" spans="3:7" ht="13">
      <c r="C148" s="127"/>
      <c r="D148" s="127"/>
      <c r="G148" s="127"/>
    </row>
    <row r="149" spans="3:7" ht="13">
      <c r="C149" s="127"/>
      <c r="D149" s="127"/>
      <c r="G149" s="127"/>
    </row>
    <row r="150" spans="3:7" ht="13">
      <c r="C150" s="127"/>
      <c r="D150" s="127"/>
      <c r="G150" s="127"/>
    </row>
    <row r="151" spans="3:7" ht="13">
      <c r="C151" s="127"/>
      <c r="D151" s="127"/>
      <c r="G151" s="127"/>
    </row>
    <row r="152" spans="3:7" ht="13">
      <c r="C152" s="127"/>
      <c r="D152" s="127"/>
      <c r="G152" s="127"/>
    </row>
    <row r="153" spans="3:7" ht="13">
      <c r="C153" s="127"/>
      <c r="D153" s="127"/>
      <c r="G153" s="127"/>
    </row>
    <row r="154" spans="3:7" ht="13">
      <c r="C154" s="127"/>
      <c r="D154" s="127"/>
      <c r="G154" s="127"/>
    </row>
    <row r="155" spans="3:7" ht="13">
      <c r="C155" s="127"/>
      <c r="D155" s="127"/>
      <c r="G155" s="127"/>
    </row>
    <row r="156" spans="3:7" ht="13">
      <c r="C156" s="127"/>
      <c r="D156" s="127"/>
      <c r="G156" s="127"/>
    </row>
    <row r="157" spans="3:7" ht="13">
      <c r="C157" s="127"/>
      <c r="D157" s="127"/>
      <c r="G157" s="127"/>
    </row>
    <row r="158" spans="3:7" ht="13">
      <c r="C158" s="127"/>
      <c r="D158" s="127"/>
      <c r="G158" s="127"/>
    </row>
    <row r="159" spans="3:7" ht="13">
      <c r="C159" s="127"/>
      <c r="D159" s="127"/>
      <c r="G159" s="127"/>
    </row>
    <row r="160" spans="3:7" ht="13">
      <c r="C160" s="127"/>
      <c r="D160" s="127"/>
      <c r="G160" s="127"/>
    </row>
    <row r="161" spans="3:7" ht="13">
      <c r="C161" s="127"/>
      <c r="D161" s="127"/>
      <c r="G161" s="127"/>
    </row>
    <row r="162" spans="3:7" ht="13">
      <c r="C162" s="127"/>
      <c r="D162" s="127"/>
      <c r="G162" s="127"/>
    </row>
    <row r="163" spans="3:7" ht="13">
      <c r="C163" s="127"/>
      <c r="D163" s="127"/>
      <c r="G163" s="127"/>
    </row>
    <row r="164" spans="3:7" ht="13">
      <c r="C164" s="127"/>
      <c r="D164" s="127"/>
      <c r="G164" s="127"/>
    </row>
    <row r="165" spans="3:7" ht="13">
      <c r="C165" s="127"/>
      <c r="D165" s="127"/>
      <c r="G165" s="127"/>
    </row>
    <row r="166" spans="3:7" ht="13">
      <c r="C166" s="127"/>
      <c r="D166" s="127"/>
      <c r="G166" s="127"/>
    </row>
    <row r="167" spans="3:7" ht="13">
      <c r="C167" s="127"/>
      <c r="D167" s="127"/>
      <c r="G167" s="127"/>
    </row>
    <row r="168" spans="3:7" ht="13">
      <c r="C168" s="127"/>
      <c r="D168" s="127"/>
      <c r="G168" s="127"/>
    </row>
    <row r="169" spans="3:7" ht="13">
      <c r="C169" s="127"/>
      <c r="D169" s="127"/>
      <c r="G169" s="127"/>
    </row>
    <row r="170" spans="3:7" ht="13">
      <c r="C170" s="127"/>
      <c r="D170" s="127"/>
      <c r="G170" s="127"/>
    </row>
    <row r="171" spans="3:7" ht="13">
      <c r="C171" s="127"/>
      <c r="D171" s="127"/>
      <c r="G171" s="127"/>
    </row>
    <row r="172" spans="3:7" ht="13">
      <c r="C172" s="127"/>
      <c r="D172" s="127"/>
      <c r="G172" s="127"/>
    </row>
    <row r="173" spans="3:7" ht="13">
      <c r="C173" s="127"/>
      <c r="D173" s="127"/>
      <c r="G173" s="127"/>
    </row>
    <row r="174" spans="3:7" ht="13">
      <c r="C174" s="127"/>
      <c r="D174" s="127"/>
      <c r="G174" s="127"/>
    </row>
    <row r="175" spans="3:7" ht="13">
      <c r="C175" s="127"/>
      <c r="D175" s="127"/>
      <c r="G175" s="127"/>
    </row>
    <row r="176" spans="3:7" ht="13">
      <c r="C176" s="127"/>
      <c r="D176" s="127"/>
      <c r="G176" s="127"/>
    </row>
    <row r="177" spans="3:7" ht="13">
      <c r="C177" s="127"/>
      <c r="D177" s="127"/>
      <c r="G177" s="127"/>
    </row>
    <row r="178" spans="3:7" ht="13">
      <c r="C178" s="127"/>
      <c r="D178" s="127"/>
      <c r="G178" s="127"/>
    </row>
    <row r="179" spans="3:7" ht="13">
      <c r="C179" s="127"/>
      <c r="D179" s="127"/>
      <c r="G179" s="127"/>
    </row>
    <row r="180" spans="3:7" ht="13">
      <c r="C180" s="127"/>
      <c r="D180" s="127"/>
      <c r="G180" s="127"/>
    </row>
    <row r="181" spans="3:7" ht="13">
      <c r="C181" s="127"/>
      <c r="D181" s="127"/>
      <c r="G181" s="127"/>
    </row>
    <row r="182" spans="3:7" ht="13">
      <c r="C182" s="127"/>
      <c r="D182" s="127"/>
      <c r="G182" s="127"/>
    </row>
    <row r="183" spans="3:7" ht="13">
      <c r="C183" s="127"/>
      <c r="D183" s="127"/>
      <c r="G183" s="127"/>
    </row>
    <row r="184" spans="3:7" ht="13">
      <c r="C184" s="127"/>
      <c r="D184" s="127"/>
      <c r="G184" s="127"/>
    </row>
    <row r="185" spans="3:7" ht="13">
      <c r="C185" s="127"/>
      <c r="D185" s="127"/>
      <c r="G185" s="127"/>
    </row>
    <row r="186" spans="3:7" ht="13">
      <c r="C186" s="127"/>
      <c r="D186" s="127"/>
      <c r="G186" s="127"/>
    </row>
    <row r="187" spans="3:7" ht="13">
      <c r="C187" s="127"/>
      <c r="D187" s="127"/>
      <c r="G187" s="127"/>
    </row>
    <row r="188" spans="3:7" ht="13">
      <c r="C188" s="127"/>
      <c r="D188" s="127"/>
      <c r="G188" s="127"/>
    </row>
    <row r="189" spans="3:7" ht="13">
      <c r="C189" s="127"/>
      <c r="D189" s="127"/>
      <c r="G189" s="127"/>
    </row>
    <row r="190" spans="3:7" ht="13">
      <c r="C190" s="127"/>
      <c r="D190" s="127"/>
      <c r="G190" s="127"/>
    </row>
    <row r="191" spans="3:7" ht="13">
      <c r="C191" s="127"/>
      <c r="D191" s="127"/>
      <c r="G191" s="127"/>
    </row>
    <row r="192" spans="3:7" ht="13">
      <c r="C192" s="127"/>
      <c r="D192" s="127"/>
      <c r="G192" s="127"/>
    </row>
    <row r="193" spans="3:7" ht="13">
      <c r="C193" s="127"/>
      <c r="D193" s="127"/>
      <c r="G193" s="127"/>
    </row>
    <row r="194" spans="3:7" ht="13">
      <c r="C194" s="127"/>
      <c r="D194" s="127"/>
      <c r="G194" s="127"/>
    </row>
    <row r="195" spans="3:7" ht="13">
      <c r="C195" s="127"/>
      <c r="D195" s="127"/>
      <c r="G195" s="127"/>
    </row>
    <row r="196" spans="3:7" ht="13">
      <c r="C196" s="127"/>
      <c r="D196" s="127"/>
      <c r="G196" s="127"/>
    </row>
    <row r="197" spans="3:7" ht="13">
      <c r="C197" s="127"/>
      <c r="D197" s="127"/>
      <c r="G197" s="127"/>
    </row>
    <row r="198" spans="3:7" ht="13">
      <c r="C198" s="127"/>
      <c r="D198" s="127"/>
      <c r="G198" s="127"/>
    </row>
    <row r="199" spans="3:7" ht="13">
      <c r="C199" s="127"/>
      <c r="D199" s="127"/>
      <c r="G199" s="127"/>
    </row>
    <row r="200" spans="3:7" ht="13">
      <c r="C200" s="127"/>
      <c r="D200" s="127"/>
      <c r="G200" s="127"/>
    </row>
    <row r="201" spans="3:7" ht="13">
      <c r="C201" s="127"/>
      <c r="D201" s="127"/>
      <c r="G201" s="127"/>
    </row>
    <row r="202" spans="3:7" ht="13">
      <c r="C202" s="127"/>
      <c r="D202" s="127"/>
      <c r="G202" s="127"/>
    </row>
    <row r="203" spans="3:7" ht="13">
      <c r="C203" s="127"/>
      <c r="D203" s="127"/>
      <c r="G203" s="127"/>
    </row>
    <row r="204" spans="3:7" ht="13">
      <c r="C204" s="127"/>
      <c r="D204" s="127"/>
      <c r="G204" s="127"/>
    </row>
    <row r="205" spans="3:7" ht="13">
      <c r="C205" s="127"/>
      <c r="D205" s="127"/>
      <c r="G205" s="127"/>
    </row>
    <row r="206" spans="3:7" ht="13">
      <c r="C206" s="127"/>
      <c r="D206" s="127"/>
      <c r="G206" s="127"/>
    </row>
    <row r="207" spans="3:7" ht="13">
      <c r="C207" s="127"/>
      <c r="D207" s="127"/>
      <c r="G207" s="127"/>
    </row>
    <row r="208" spans="3:7" ht="13">
      <c r="C208" s="127"/>
      <c r="D208" s="127"/>
      <c r="G208" s="127"/>
    </row>
    <row r="209" spans="3:7" ht="13">
      <c r="C209" s="127"/>
      <c r="D209" s="127"/>
      <c r="G209" s="127"/>
    </row>
    <row r="210" spans="3:7" ht="13">
      <c r="C210" s="127"/>
      <c r="D210" s="127"/>
      <c r="G210" s="127"/>
    </row>
    <row r="211" spans="3:7" ht="13">
      <c r="C211" s="127"/>
      <c r="D211" s="127"/>
      <c r="G211" s="127"/>
    </row>
    <row r="212" spans="3:7" ht="13">
      <c r="C212" s="127"/>
      <c r="D212" s="127"/>
      <c r="G212" s="127"/>
    </row>
    <row r="213" spans="3:7" ht="13">
      <c r="C213" s="127"/>
      <c r="D213" s="127"/>
      <c r="G213" s="127"/>
    </row>
    <row r="214" spans="3:7" ht="13">
      <c r="C214" s="127"/>
      <c r="D214" s="127"/>
      <c r="G214" s="127"/>
    </row>
    <row r="215" spans="3:7" ht="13">
      <c r="C215" s="127"/>
      <c r="D215" s="127"/>
      <c r="G215" s="127"/>
    </row>
    <row r="216" spans="3:7" ht="13">
      <c r="C216" s="127"/>
      <c r="D216" s="127"/>
      <c r="G216" s="127"/>
    </row>
    <row r="217" spans="3:7" ht="13">
      <c r="C217" s="127"/>
      <c r="D217" s="127"/>
      <c r="G217" s="127"/>
    </row>
    <row r="218" spans="3:7" ht="13">
      <c r="C218" s="127"/>
      <c r="D218" s="127"/>
      <c r="G218" s="127"/>
    </row>
    <row r="219" spans="3:7" ht="13">
      <c r="C219" s="127"/>
      <c r="D219" s="127"/>
      <c r="G219" s="127"/>
    </row>
    <row r="220" spans="3:7" ht="13">
      <c r="C220" s="127"/>
      <c r="D220" s="127"/>
      <c r="G220" s="127"/>
    </row>
    <row r="221" spans="3:7" ht="13">
      <c r="C221" s="127"/>
      <c r="D221" s="127"/>
      <c r="G221" s="127"/>
    </row>
    <row r="222" spans="3:7" ht="13">
      <c r="C222" s="127"/>
      <c r="D222" s="127"/>
      <c r="G222" s="127"/>
    </row>
    <row r="223" spans="3:7" ht="13">
      <c r="C223" s="127"/>
      <c r="D223" s="127"/>
      <c r="G223" s="127"/>
    </row>
    <row r="224" spans="3:7" ht="13">
      <c r="C224" s="127"/>
      <c r="D224" s="127"/>
      <c r="G224" s="127"/>
    </row>
    <row r="225" spans="3:7" ht="13">
      <c r="C225" s="127"/>
      <c r="D225" s="127"/>
      <c r="G225" s="127"/>
    </row>
    <row r="226" spans="3:7" ht="13">
      <c r="C226" s="127"/>
      <c r="D226" s="127"/>
      <c r="G226" s="127"/>
    </row>
    <row r="227" spans="3:7" ht="13">
      <c r="C227" s="127"/>
      <c r="D227" s="127"/>
      <c r="G227" s="127"/>
    </row>
    <row r="228" spans="3:7" ht="13">
      <c r="C228" s="127"/>
      <c r="D228" s="127"/>
      <c r="G228" s="127"/>
    </row>
    <row r="229" spans="3:7" ht="13">
      <c r="C229" s="127"/>
      <c r="D229" s="127"/>
      <c r="G229" s="127"/>
    </row>
    <row r="230" spans="3:7" ht="13">
      <c r="C230" s="127"/>
      <c r="D230" s="127"/>
      <c r="G230" s="127"/>
    </row>
    <row r="231" spans="3:7" ht="13">
      <c r="C231" s="127"/>
      <c r="D231" s="127"/>
      <c r="G231" s="127"/>
    </row>
    <row r="232" spans="3:7" ht="13">
      <c r="C232" s="127"/>
      <c r="D232" s="127"/>
      <c r="G232" s="127"/>
    </row>
    <row r="233" spans="3:7" ht="13">
      <c r="C233" s="127"/>
      <c r="D233" s="127"/>
      <c r="G233" s="127"/>
    </row>
    <row r="234" spans="3:7" ht="13">
      <c r="C234" s="127"/>
      <c r="D234" s="127"/>
      <c r="G234" s="127"/>
    </row>
    <row r="235" spans="3:7" ht="13">
      <c r="C235" s="127"/>
      <c r="D235" s="127"/>
      <c r="G235" s="127"/>
    </row>
    <row r="236" spans="3:7" ht="13">
      <c r="C236" s="127"/>
      <c r="D236" s="127"/>
      <c r="G236" s="127"/>
    </row>
    <row r="237" spans="3:7" ht="13">
      <c r="C237" s="127"/>
      <c r="D237" s="127"/>
      <c r="G237" s="127"/>
    </row>
    <row r="238" spans="3:7" ht="13">
      <c r="C238" s="127"/>
      <c r="D238" s="127"/>
      <c r="G238" s="127"/>
    </row>
    <row r="239" spans="3:7" ht="13">
      <c r="C239" s="127"/>
      <c r="D239" s="127"/>
      <c r="G239" s="127"/>
    </row>
    <row r="240" spans="3:7" ht="13">
      <c r="C240" s="127"/>
      <c r="D240" s="127"/>
      <c r="G240" s="127"/>
    </row>
    <row r="241" spans="3:7" ht="13">
      <c r="C241" s="127"/>
      <c r="D241" s="127"/>
      <c r="G241" s="127"/>
    </row>
    <row r="242" spans="3:7" ht="13">
      <c r="C242" s="127"/>
      <c r="D242" s="127"/>
      <c r="G242" s="127"/>
    </row>
    <row r="243" spans="3:7" ht="13">
      <c r="C243" s="127"/>
      <c r="D243" s="127"/>
      <c r="G243" s="127"/>
    </row>
    <row r="244" spans="3:7" ht="13">
      <c r="C244" s="127"/>
      <c r="D244" s="127"/>
      <c r="G244" s="127"/>
    </row>
    <row r="245" spans="3:7" ht="13">
      <c r="C245" s="127"/>
      <c r="D245" s="127"/>
      <c r="G245" s="127"/>
    </row>
    <row r="246" spans="3:7" ht="13">
      <c r="C246" s="127"/>
      <c r="D246" s="127"/>
      <c r="G246" s="127"/>
    </row>
    <row r="247" spans="3:7" ht="13">
      <c r="C247" s="127"/>
      <c r="D247" s="127"/>
      <c r="G247" s="127"/>
    </row>
    <row r="248" spans="3:7" ht="13">
      <c r="C248" s="127"/>
      <c r="D248" s="127"/>
      <c r="G248" s="127"/>
    </row>
    <row r="249" spans="3:7" ht="13">
      <c r="C249" s="127"/>
      <c r="D249" s="127"/>
      <c r="G249" s="127"/>
    </row>
    <row r="250" spans="3:7" ht="13">
      <c r="C250" s="127"/>
      <c r="D250" s="127"/>
      <c r="G250" s="127"/>
    </row>
    <row r="251" spans="3:7" ht="13">
      <c r="C251" s="127"/>
      <c r="D251" s="127"/>
      <c r="G251" s="127"/>
    </row>
    <row r="252" spans="3:7" ht="13">
      <c r="C252" s="127"/>
      <c r="D252" s="127"/>
      <c r="G252" s="127"/>
    </row>
    <row r="253" spans="3:7" ht="13">
      <c r="C253" s="127"/>
      <c r="D253" s="127"/>
      <c r="G253" s="127"/>
    </row>
    <row r="254" spans="3:7" ht="13">
      <c r="C254" s="127"/>
      <c r="D254" s="127"/>
      <c r="G254" s="127"/>
    </row>
    <row r="255" spans="3:7" ht="13">
      <c r="C255" s="127"/>
      <c r="D255" s="127"/>
      <c r="G255" s="127"/>
    </row>
    <row r="256" spans="3:7" ht="13">
      <c r="C256" s="127"/>
      <c r="D256" s="127"/>
      <c r="G256" s="127"/>
    </row>
    <row r="257" spans="3:7" ht="13">
      <c r="C257" s="127"/>
      <c r="D257" s="127"/>
      <c r="G257" s="127"/>
    </row>
    <row r="258" spans="3:7" ht="13">
      <c r="C258" s="127"/>
      <c r="D258" s="127"/>
      <c r="G258" s="127"/>
    </row>
    <row r="259" spans="3:7" ht="13">
      <c r="C259" s="127"/>
      <c r="D259" s="127"/>
      <c r="G259" s="127"/>
    </row>
    <row r="260" spans="3:7" ht="13">
      <c r="C260" s="127"/>
      <c r="D260" s="127"/>
      <c r="G260" s="127"/>
    </row>
    <row r="261" spans="3:7" ht="13">
      <c r="C261" s="127"/>
      <c r="D261" s="127"/>
      <c r="G261" s="127"/>
    </row>
    <row r="262" spans="3:7" ht="13">
      <c r="C262" s="127"/>
      <c r="D262" s="127"/>
      <c r="G262" s="127"/>
    </row>
    <row r="263" spans="3:7" ht="13">
      <c r="C263" s="127"/>
      <c r="D263" s="127"/>
      <c r="G263" s="127"/>
    </row>
    <row r="264" spans="3:7" ht="13">
      <c r="C264" s="127"/>
      <c r="D264" s="127"/>
      <c r="G264" s="127"/>
    </row>
    <row r="265" spans="3:7" ht="13">
      <c r="C265" s="127"/>
      <c r="D265" s="127"/>
      <c r="G265" s="127"/>
    </row>
    <row r="266" spans="3:7" ht="13">
      <c r="C266" s="127"/>
      <c r="D266" s="127"/>
      <c r="G266" s="127"/>
    </row>
    <row r="267" spans="3:7" ht="13">
      <c r="C267" s="127"/>
      <c r="D267" s="127"/>
      <c r="G267" s="127"/>
    </row>
    <row r="268" spans="3:7" ht="13">
      <c r="C268" s="127"/>
      <c r="D268" s="127"/>
      <c r="G268" s="127"/>
    </row>
    <row r="269" spans="3:7" ht="13">
      <c r="C269" s="127"/>
      <c r="D269" s="127"/>
      <c r="G269" s="127"/>
    </row>
    <row r="270" spans="3:7" ht="13">
      <c r="C270" s="127"/>
      <c r="D270" s="127"/>
      <c r="G270" s="127"/>
    </row>
    <row r="271" spans="3:7" ht="13">
      <c r="C271" s="127"/>
      <c r="D271" s="127"/>
      <c r="G271" s="127"/>
    </row>
    <row r="272" spans="3:7" ht="13">
      <c r="C272" s="127"/>
      <c r="D272" s="127"/>
      <c r="G272" s="127"/>
    </row>
    <row r="273" spans="3:7" ht="13">
      <c r="C273" s="127"/>
      <c r="D273" s="127"/>
      <c r="G273" s="127"/>
    </row>
    <row r="274" spans="3:7" ht="13">
      <c r="C274" s="127"/>
      <c r="D274" s="127"/>
      <c r="G274" s="127"/>
    </row>
    <row r="275" spans="3:7" ht="13">
      <c r="C275" s="127"/>
      <c r="D275" s="127"/>
      <c r="G275" s="127"/>
    </row>
    <row r="276" spans="3:7" ht="13">
      <c r="C276" s="127"/>
      <c r="D276" s="127"/>
      <c r="G276" s="127"/>
    </row>
    <row r="277" spans="3:7" ht="13">
      <c r="C277" s="127"/>
      <c r="D277" s="127"/>
      <c r="G277" s="127"/>
    </row>
    <row r="278" spans="3:7" ht="13">
      <c r="C278" s="127"/>
      <c r="D278" s="127"/>
      <c r="G278" s="127"/>
    </row>
    <row r="279" spans="3:7" ht="13">
      <c r="C279" s="127"/>
      <c r="D279" s="127"/>
      <c r="G279" s="127"/>
    </row>
    <row r="280" spans="3:7" ht="13">
      <c r="C280" s="127"/>
      <c r="D280" s="127"/>
      <c r="G280" s="127"/>
    </row>
    <row r="281" spans="3:7" ht="13">
      <c r="C281" s="127"/>
      <c r="D281" s="127"/>
      <c r="G281" s="127"/>
    </row>
    <row r="282" spans="3:7" ht="13">
      <c r="C282" s="127"/>
      <c r="D282" s="127"/>
      <c r="G282" s="127"/>
    </row>
    <row r="283" spans="3:7" ht="13">
      <c r="C283" s="127"/>
      <c r="D283" s="127"/>
      <c r="G283" s="127"/>
    </row>
    <row r="284" spans="3:7" ht="13">
      <c r="C284" s="127"/>
      <c r="D284" s="127"/>
      <c r="G284" s="127"/>
    </row>
    <row r="285" spans="3:7" ht="13">
      <c r="C285" s="127"/>
      <c r="D285" s="127"/>
      <c r="G285" s="127"/>
    </row>
    <row r="286" spans="3:7" ht="13">
      <c r="C286" s="127"/>
      <c r="D286" s="127"/>
      <c r="G286" s="127"/>
    </row>
    <row r="287" spans="3:7" ht="13">
      <c r="C287" s="127"/>
      <c r="D287" s="127"/>
      <c r="G287" s="127"/>
    </row>
    <row r="288" spans="3:7" ht="13">
      <c r="C288" s="127"/>
      <c r="D288" s="127"/>
      <c r="G288" s="127"/>
    </row>
    <row r="289" spans="3:7" ht="13">
      <c r="C289" s="127"/>
      <c r="D289" s="127"/>
      <c r="G289" s="127"/>
    </row>
    <row r="290" spans="3:7" ht="13">
      <c r="C290" s="127"/>
      <c r="D290" s="127"/>
      <c r="G290" s="127"/>
    </row>
    <row r="291" spans="3:7" ht="13">
      <c r="C291" s="127"/>
      <c r="D291" s="127"/>
      <c r="G291" s="127"/>
    </row>
    <row r="292" spans="3:7" ht="13">
      <c r="C292" s="127"/>
      <c r="D292" s="127"/>
      <c r="G292" s="127"/>
    </row>
    <row r="293" spans="3:7" ht="13">
      <c r="C293" s="127"/>
      <c r="D293" s="127"/>
      <c r="G293" s="127"/>
    </row>
    <row r="294" spans="3:7" ht="13">
      <c r="C294" s="127"/>
      <c r="D294" s="127"/>
      <c r="G294" s="127"/>
    </row>
    <row r="295" spans="3:7" ht="13">
      <c r="C295" s="127"/>
      <c r="D295" s="127"/>
      <c r="G295" s="127"/>
    </row>
    <row r="296" spans="3:7" ht="13">
      <c r="C296" s="127"/>
      <c r="D296" s="127"/>
      <c r="G296" s="127"/>
    </row>
    <row r="297" spans="3:7" ht="13">
      <c r="C297" s="127"/>
      <c r="D297" s="127"/>
      <c r="G297" s="127"/>
    </row>
    <row r="298" spans="3:7" ht="13">
      <c r="C298" s="127"/>
      <c r="D298" s="127"/>
      <c r="G298" s="127"/>
    </row>
    <row r="299" spans="3:7" ht="13">
      <c r="C299" s="127"/>
      <c r="D299" s="127"/>
      <c r="G299" s="127"/>
    </row>
    <row r="300" spans="3:7" ht="13">
      <c r="C300" s="127"/>
      <c r="D300" s="127"/>
      <c r="G300" s="127"/>
    </row>
    <row r="301" spans="3:7" ht="13">
      <c r="C301" s="127"/>
      <c r="D301" s="127"/>
      <c r="G301" s="127"/>
    </row>
    <row r="302" spans="3:7" ht="13">
      <c r="C302" s="127"/>
      <c r="D302" s="127"/>
      <c r="G302" s="127"/>
    </row>
    <row r="303" spans="3:7" ht="13">
      <c r="C303" s="127"/>
      <c r="D303" s="127"/>
      <c r="G303" s="127"/>
    </row>
    <row r="304" spans="3:7" ht="13">
      <c r="C304" s="127"/>
      <c r="D304" s="127"/>
      <c r="G304" s="127"/>
    </row>
    <row r="305" spans="3:7" ht="13">
      <c r="C305" s="127"/>
      <c r="D305" s="127"/>
      <c r="G305" s="127"/>
    </row>
    <row r="306" spans="3:7" ht="13">
      <c r="C306" s="127"/>
      <c r="D306" s="127"/>
      <c r="G306" s="127"/>
    </row>
    <row r="307" spans="3:7" ht="13">
      <c r="C307" s="127"/>
      <c r="D307" s="127"/>
      <c r="G307" s="127"/>
    </row>
    <row r="308" spans="3:7" ht="13">
      <c r="C308" s="127"/>
      <c r="D308" s="127"/>
      <c r="G308" s="127"/>
    </row>
    <row r="309" spans="3:7" ht="13">
      <c r="C309" s="127"/>
      <c r="D309" s="127"/>
      <c r="G309" s="127"/>
    </row>
    <row r="310" spans="3:7" ht="13">
      <c r="C310" s="127"/>
      <c r="D310" s="127"/>
      <c r="G310" s="127"/>
    </row>
    <row r="311" spans="3:7" ht="13">
      <c r="C311" s="127"/>
      <c r="D311" s="127"/>
      <c r="G311" s="127"/>
    </row>
    <row r="312" spans="3:7" ht="13">
      <c r="C312" s="127"/>
      <c r="D312" s="127"/>
      <c r="G312" s="127"/>
    </row>
    <row r="313" spans="3:7" ht="13">
      <c r="C313" s="127"/>
      <c r="D313" s="127"/>
      <c r="G313" s="127"/>
    </row>
    <row r="314" spans="3:7" ht="13">
      <c r="C314" s="127"/>
      <c r="D314" s="127"/>
      <c r="G314" s="127"/>
    </row>
    <row r="315" spans="3:7" ht="13">
      <c r="C315" s="127"/>
      <c r="D315" s="127"/>
      <c r="G315" s="127"/>
    </row>
    <row r="316" spans="3:7" ht="13">
      <c r="C316" s="127"/>
      <c r="D316" s="127"/>
      <c r="G316" s="127"/>
    </row>
    <row r="317" spans="3:7" ht="13">
      <c r="C317" s="127"/>
      <c r="D317" s="127"/>
      <c r="G317" s="127"/>
    </row>
    <row r="318" spans="3:7" ht="13">
      <c r="C318" s="127"/>
      <c r="D318" s="127"/>
      <c r="G318" s="127"/>
    </row>
    <row r="319" spans="3:7" ht="13">
      <c r="C319" s="127"/>
      <c r="D319" s="127"/>
      <c r="G319" s="127"/>
    </row>
    <row r="320" spans="3:7" ht="13">
      <c r="C320" s="127"/>
      <c r="D320" s="127"/>
      <c r="G320" s="127"/>
    </row>
    <row r="321" spans="3:7" ht="13">
      <c r="C321" s="127"/>
      <c r="D321" s="127"/>
      <c r="G321" s="127"/>
    </row>
    <row r="322" spans="3:7" ht="13">
      <c r="C322" s="127"/>
      <c r="D322" s="127"/>
      <c r="G322" s="127"/>
    </row>
    <row r="323" spans="3:7" ht="13">
      <c r="C323" s="127"/>
      <c r="D323" s="127"/>
      <c r="G323" s="127"/>
    </row>
    <row r="324" spans="3:7" ht="13">
      <c r="C324" s="127"/>
      <c r="D324" s="127"/>
      <c r="G324" s="127"/>
    </row>
    <row r="325" spans="3:7" ht="13">
      <c r="C325" s="127"/>
      <c r="D325" s="127"/>
      <c r="G325" s="127"/>
    </row>
    <row r="326" spans="3:7" ht="13">
      <c r="C326" s="127"/>
      <c r="D326" s="127"/>
      <c r="G326" s="127"/>
    </row>
    <row r="327" spans="3:7" ht="13">
      <c r="C327" s="127"/>
      <c r="D327" s="127"/>
      <c r="G327" s="127"/>
    </row>
    <row r="328" spans="3:7" ht="13">
      <c r="C328" s="127"/>
      <c r="D328" s="127"/>
      <c r="G328" s="127"/>
    </row>
    <row r="329" spans="3:7" ht="13">
      <c r="C329" s="127"/>
      <c r="D329" s="127"/>
      <c r="G329" s="127"/>
    </row>
    <row r="330" spans="3:7" ht="13">
      <c r="C330" s="127"/>
      <c r="D330" s="127"/>
      <c r="G330" s="127"/>
    </row>
    <row r="331" spans="3:7" ht="13">
      <c r="C331" s="127"/>
      <c r="D331" s="127"/>
      <c r="G331" s="127"/>
    </row>
    <row r="332" spans="3:7" ht="13">
      <c r="C332" s="127"/>
      <c r="D332" s="127"/>
      <c r="G332" s="127"/>
    </row>
    <row r="333" spans="3:7" ht="13">
      <c r="C333" s="127"/>
      <c r="D333" s="127"/>
      <c r="G333" s="127"/>
    </row>
    <row r="334" spans="3:7" ht="13">
      <c r="C334" s="127"/>
      <c r="D334" s="127"/>
      <c r="G334" s="127"/>
    </row>
    <row r="335" spans="3:7" ht="13">
      <c r="C335" s="127"/>
      <c r="D335" s="127"/>
      <c r="G335" s="127"/>
    </row>
    <row r="336" spans="3:7" ht="13">
      <c r="C336" s="127"/>
      <c r="D336" s="127"/>
      <c r="G336" s="127"/>
    </row>
    <row r="337" spans="3:7" ht="13">
      <c r="C337" s="127"/>
      <c r="D337" s="127"/>
      <c r="G337" s="127"/>
    </row>
    <row r="338" spans="3:7" ht="13">
      <c r="C338" s="127"/>
      <c r="D338" s="127"/>
      <c r="G338" s="127"/>
    </row>
    <row r="339" spans="3:7" ht="13">
      <c r="C339" s="127"/>
      <c r="D339" s="127"/>
      <c r="G339" s="127"/>
    </row>
    <row r="340" spans="3:7" ht="13">
      <c r="C340" s="127"/>
      <c r="D340" s="127"/>
      <c r="G340" s="127"/>
    </row>
    <row r="341" spans="3:7" ht="13">
      <c r="C341" s="127"/>
      <c r="D341" s="127"/>
      <c r="G341" s="127"/>
    </row>
    <row r="342" spans="3:7" ht="13">
      <c r="C342" s="127"/>
      <c r="D342" s="127"/>
      <c r="G342" s="127"/>
    </row>
    <row r="343" spans="3:7" ht="13">
      <c r="C343" s="127"/>
      <c r="D343" s="127"/>
      <c r="G343" s="127"/>
    </row>
    <row r="344" spans="3:7" ht="13">
      <c r="C344" s="127"/>
      <c r="D344" s="127"/>
      <c r="G344" s="127"/>
    </row>
    <row r="345" spans="3:7" ht="13">
      <c r="C345" s="127"/>
      <c r="D345" s="127"/>
      <c r="G345" s="127"/>
    </row>
    <row r="346" spans="3:7" ht="13">
      <c r="C346" s="127"/>
      <c r="D346" s="127"/>
      <c r="G346" s="127"/>
    </row>
    <row r="347" spans="3:7" ht="13">
      <c r="C347" s="127"/>
      <c r="D347" s="127"/>
      <c r="G347" s="127"/>
    </row>
    <row r="348" spans="3:7" ht="13">
      <c r="C348" s="127"/>
      <c r="D348" s="127"/>
      <c r="G348" s="127"/>
    </row>
    <row r="349" spans="3:7" ht="13">
      <c r="C349" s="127"/>
      <c r="D349" s="127"/>
      <c r="G349" s="127"/>
    </row>
    <row r="350" spans="3:7" ht="13">
      <c r="C350" s="127"/>
      <c r="D350" s="127"/>
      <c r="G350" s="127"/>
    </row>
    <row r="351" spans="3:7" ht="13">
      <c r="C351" s="127"/>
      <c r="D351" s="127"/>
      <c r="G351" s="127"/>
    </row>
    <row r="352" spans="3:7" ht="13">
      <c r="C352" s="127"/>
      <c r="D352" s="127"/>
      <c r="G352" s="127"/>
    </row>
    <row r="353" spans="3:7" ht="13">
      <c r="C353" s="127"/>
      <c r="D353" s="127"/>
      <c r="G353" s="127"/>
    </row>
    <row r="354" spans="3:7" ht="13">
      <c r="C354" s="127"/>
      <c r="D354" s="127"/>
      <c r="G354" s="127"/>
    </row>
    <row r="355" spans="3:7" ht="13">
      <c r="C355" s="127"/>
      <c r="D355" s="127"/>
      <c r="G355" s="127"/>
    </row>
    <row r="356" spans="3:7" ht="13">
      <c r="C356" s="127"/>
      <c r="D356" s="127"/>
      <c r="G356" s="127"/>
    </row>
    <row r="357" spans="3:7" ht="13">
      <c r="C357" s="127"/>
      <c r="D357" s="127"/>
      <c r="G357" s="127"/>
    </row>
    <row r="358" spans="3:7" ht="13">
      <c r="C358" s="127"/>
      <c r="D358" s="127"/>
      <c r="G358" s="127"/>
    </row>
    <row r="359" spans="3:7" ht="13">
      <c r="C359" s="127"/>
      <c r="D359" s="127"/>
      <c r="G359" s="127"/>
    </row>
    <row r="360" spans="3:7" ht="13">
      <c r="C360" s="127"/>
      <c r="D360" s="127"/>
      <c r="G360" s="127"/>
    </row>
    <row r="361" spans="3:7" ht="13">
      <c r="C361" s="127"/>
      <c r="D361" s="127"/>
      <c r="G361" s="127"/>
    </row>
    <row r="362" spans="3:7" ht="13">
      <c r="C362" s="127"/>
      <c r="D362" s="127"/>
      <c r="G362" s="127"/>
    </row>
    <row r="363" spans="3:7" ht="13">
      <c r="C363" s="127"/>
      <c r="D363" s="127"/>
      <c r="G363" s="127"/>
    </row>
    <row r="364" spans="3:7" ht="13">
      <c r="C364" s="127"/>
      <c r="D364" s="127"/>
      <c r="G364" s="127"/>
    </row>
    <row r="365" spans="3:7" ht="13">
      <c r="C365" s="127"/>
      <c r="D365" s="127"/>
      <c r="G365" s="127"/>
    </row>
    <row r="366" spans="3:7" ht="13">
      <c r="C366" s="127"/>
      <c r="D366" s="127"/>
      <c r="G366" s="127"/>
    </row>
    <row r="367" spans="3:7" ht="13">
      <c r="C367" s="127"/>
      <c r="D367" s="127"/>
      <c r="G367" s="127"/>
    </row>
    <row r="368" spans="3:7" ht="13">
      <c r="C368" s="127"/>
      <c r="D368" s="127"/>
      <c r="G368" s="127"/>
    </row>
    <row r="369" spans="3:7" ht="13">
      <c r="C369" s="127"/>
      <c r="D369" s="127"/>
      <c r="G369" s="127"/>
    </row>
    <row r="370" spans="3:7" ht="13">
      <c r="C370" s="127"/>
      <c r="D370" s="127"/>
      <c r="G370" s="127"/>
    </row>
    <row r="371" spans="3:7" ht="13">
      <c r="C371" s="127"/>
      <c r="D371" s="127"/>
      <c r="G371" s="127"/>
    </row>
    <row r="372" spans="3:7" ht="13">
      <c r="C372" s="127"/>
      <c r="D372" s="127"/>
      <c r="G372" s="127"/>
    </row>
    <row r="373" spans="3:7" ht="13">
      <c r="C373" s="127"/>
      <c r="D373" s="127"/>
      <c r="G373" s="127"/>
    </row>
    <row r="374" spans="3:7" ht="13">
      <c r="C374" s="127"/>
      <c r="D374" s="127"/>
      <c r="G374" s="127"/>
    </row>
    <row r="375" spans="3:7" ht="13">
      <c r="C375" s="127"/>
      <c r="D375" s="127"/>
      <c r="G375" s="127"/>
    </row>
    <row r="376" spans="3:7" ht="13">
      <c r="C376" s="127"/>
      <c r="D376" s="127"/>
      <c r="G376" s="127"/>
    </row>
    <row r="377" spans="3:7" ht="13">
      <c r="C377" s="127"/>
      <c r="D377" s="127"/>
      <c r="G377" s="127"/>
    </row>
    <row r="378" spans="3:7" ht="13">
      <c r="C378" s="127"/>
      <c r="D378" s="127"/>
      <c r="G378" s="127"/>
    </row>
    <row r="379" spans="3:7" ht="13">
      <c r="C379" s="127"/>
      <c r="D379" s="127"/>
      <c r="G379" s="127"/>
    </row>
    <row r="380" spans="3:7" ht="13">
      <c r="C380" s="127"/>
      <c r="D380" s="127"/>
      <c r="G380" s="127"/>
    </row>
    <row r="381" spans="3:7" ht="13">
      <c r="C381" s="127"/>
      <c r="D381" s="127"/>
      <c r="G381" s="127"/>
    </row>
    <row r="382" spans="3:7" ht="13">
      <c r="C382" s="127"/>
      <c r="D382" s="127"/>
      <c r="G382" s="127"/>
    </row>
    <row r="383" spans="3:7" ht="13">
      <c r="C383" s="127"/>
      <c r="D383" s="127"/>
      <c r="G383" s="127"/>
    </row>
    <row r="384" spans="3:7" ht="13">
      <c r="C384" s="127"/>
      <c r="D384" s="127"/>
      <c r="G384" s="127"/>
    </row>
    <row r="385" spans="3:7" ht="13">
      <c r="C385" s="127"/>
      <c r="D385" s="127"/>
      <c r="G385" s="127"/>
    </row>
    <row r="386" spans="3:7" ht="13">
      <c r="C386" s="127"/>
      <c r="D386" s="127"/>
      <c r="G386" s="127"/>
    </row>
    <row r="387" spans="3:7" ht="13">
      <c r="C387" s="127"/>
      <c r="D387" s="127"/>
      <c r="G387" s="127"/>
    </row>
    <row r="388" spans="3:7" ht="13">
      <c r="C388" s="127"/>
      <c r="D388" s="127"/>
      <c r="G388" s="127"/>
    </row>
    <row r="389" spans="3:7" ht="13">
      <c r="C389" s="127"/>
      <c r="D389" s="127"/>
      <c r="G389" s="127"/>
    </row>
    <row r="390" spans="3:7" ht="13">
      <c r="C390" s="127"/>
      <c r="D390" s="127"/>
      <c r="G390" s="127"/>
    </row>
    <row r="391" spans="3:7" ht="13">
      <c r="C391" s="127"/>
      <c r="D391" s="127"/>
      <c r="G391" s="127"/>
    </row>
    <row r="392" spans="3:7" ht="13">
      <c r="C392" s="127"/>
      <c r="D392" s="127"/>
      <c r="G392" s="127"/>
    </row>
    <row r="393" spans="3:7" ht="13">
      <c r="C393" s="127"/>
      <c r="D393" s="127"/>
      <c r="G393" s="127"/>
    </row>
    <row r="394" spans="3:7" ht="13">
      <c r="C394" s="127"/>
      <c r="D394" s="127"/>
      <c r="G394" s="127"/>
    </row>
    <row r="395" spans="3:7" ht="13">
      <c r="C395" s="127"/>
      <c r="D395" s="127"/>
      <c r="G395" s="127"/>
    </row>
    <row r="396" spans="3:7" ht="13">
      <c r="C396" s="127"/>
      <c r="D396" s="127"/>
      <c r="G396" s="127"/>
    </row>
    <row r="397" spans="3:7" ht="13">
      <c r="C397" s="127"/>
      <c r="D397" s="127"/>
      <c r="G397" s="127"/>
    </row>
    <row r="398" spans="3:7" ht="13">
      <c r="C398" s="127"/>
      <c r="D398" s="127"/>
      <c r="G398" s="127"/>
    </row>
    <row r="399" spans="3:7" ht="13">
      <c r="C399" s="127"/>
      <c r="D399" s="127"/>
      <c r="G399" s="127"/>
    </row>
    <row r="400" spans="3:7" ht="13">
      <c r="C400" s="127"/>
      <c r="D400" s="127"/>
      <c r="G400" s="127"/>
    </row>
    <row r="401" spans="3:7" ht="13">
      <c r="C401" s="127"/>
      <c r="D401" s="127"/>
      <c r="G401" s="127"/>
    </row>
    <row r="402" spans="3:7" ht="13">
      <c r="C402" s="127"/>
      <c r="D402" s="127"/>
      <c r="G402" s="127"/>
    </row>
    <row r="403" spans="3:7" ht="13">
      <c r="C403" s="127"/>
      <c r="D403" s="127"/>
      <c r="G403" s="127"/>
    </row>
    <row r="404" spans="3:7" ht="13">
      <c r="C404" s="127"/>
      <c r="D404" s="127"/>
      <c r="G404" s="127"/>
    </row>
    <row r="405" spans="3:7" ht="13">
      <c r="C405" s="127"/>
      <c r="D405" s="127"/>
      <c r="G405" s="127"/>
    </row>
    <row r="406" spans="3:7" ht="13">
      <c r="C406" s="127"/>
      <c r="D406" s="127"/>
      <c r="G406" s="127"/>
    </row>
    <row r="407" spans="3:7" ht="13">
      <c r="C407" s="127"/>
      <c r="D407" s="127"/>
      <c r="G407" s="127"/>
    </row>
    <row r="408" spans="3:7" ht="13">
      <c r="C408" s="127"/>
      <c r="D408" s="127"/>
      <c r="G408" s="127"/>
    </row>
    <row r="409" spans="3:7" ht="13">
      <c r="C409" s="127"/>
      <c r="D409" s="127"/>
      <c r="G409" s="127"/>
    </row>
    <row r="410" spans="3:7" ht="13">
      <c r="C410" s="127"/>
      <c r="D410" s="127"/>
      <c r="G410" s="127"/>
    </row>
    <row r="411" spans="3:7" ht="13">
      <c r="C411" s="127"/>
      <c r="D411" s="127"/>
      <c r="G411" s="127"/>
    </row>
    <row r="412" spans="3:7" ht="13">
      <c r="C412" s="127"/>
      <c r="D412" s="127"/>
      <c r="G412" s="127"/>
    </row>
    <row r="413" spans="3:7" ht="13">
      <c r="C413" s="127"/>
      <c r="D413" s="127"/>
      <c r="G413" s="127"/>
    </row>
    <row r="414" spans="3:7" ht="13">
      <c r="C414" s="127"/>
      <c r="D414" s="127"/>
      <c r="G414" s="127"/>
    </row>
    <row r="415" spans="3:7" ht="13">
      <c r="C415" s="127"/>
      <c r="D415" s="127"/>
      <c r="G415" s="127"/>
    </row>
    <row r="416" spans="3:7" ht="13">
      <c r="C416" s="127"/>
      <c r="D416" s="127"/>
      <c r="G416" s="127"/>
    </row>
    <row r="417" spans="3:7" ht="13">
      <c r="C417" s="127"/>
      <c r="D417" s="127"/>
      <c r="G417" s="127"/>
    </row>
    <row r="418" spans="3:7" ht="13">
      <c r="C418" s="127"/>
      <c r="D418" s="127"/>
      <c r="G418" s="127"/>
    </row>
    <row r="419" spans="3:7" ht="13">
      <c r="C419" s="127"/>
      <c r="D419" s="127"/>
      <c r="G419" s="127"/>
    </row>
    <row r="420" spans="3:7" ht="13">
      <c r="C420" s="127"/>
      <c r="D420" s="127"/>
      <c r="G420" s="127"/>
    </row>
    <row r="421" spans="3:7" ht="13">
      <c r="C421" s="127"/>
      <c r="D421" s="127"/>
      <c r="G421" s="127"/>
    </row>
    <row r="422" spans="3:7" ht="13">
      <c r="C422" s="127"/>
      <c r="D422" s="127"/>
      <c r="G422" s="127"/>
    </row>
    <row r="423" spans="3:7" ht="13">
      <c r="C423" s="127"/>
      <c r="D423" s="127"/>
      <c r="G423" s="127"/>
    </row>
    <row r="424" spans="3:7" ht="13">
      <c r="C424" s="127"/>
      <c r="D424" s="127"/>
      <c r="G424" s="127"/>
    </row>
    <row r="425" spans="3:7" ht="13">
      <c r="C425" s="127"/>
      <c r="D425" s="127"/>
      <c r="G425" s="127"/>
    </row>
    <row r="426" spans="3:7" ht="13">
      <c r="C426" s="127"/>
      <c r="D426" s="127"/>
      <c r="G426" s="127"/>
    </row>
    <row r="427" spans="3:7" ht="13">
      <c r="C427" s="127"/>
      <c r="D427" s="127"/>
      <c r="G427" s="127"/>
    </row>
    <row r="428" spans="3:7" ht="13">
      <c r="C428" s="127"/>
      <c r="D428" s="127"/>
      <c r="G428" s="127"/>
    </row>
    <row r="429" spans="3:7" ht="13">
      <c r="C429" s="127"/>
      <c r="D429" s="127"/>
      <c r="G429" s="127"/>
    </row>
    <row r="430" spans="3:7" ht="13">
      <c r="C430" s="127"/>
      <c r="D430" s="127"/>
      <c r="G430" s="127"/>
    </row>
    <row r="431" spans="3:7" ht="13">
      <c r="C431" s="127"/>
      <c r="D431" s="127"/>
      <c r="G431" s="127"/>
    </row>
    <row r="432" spans="3:7" ht="13">
      <c r="C432" s="127"/>
      <c r="D432" s="127"/>
      <c r="G432" s="127"/>
    </row>
    <row r="433" spans="3:7" ht="13">
      <c r="C433" s="127"/>
      <c r="D433" s="127"/>
      <c r="G433" s="127"/>
    </row>
    <row r="434" spans="3:7" ht="13">
      <c r="C434" s="127"/>
      <c r="D434" s="127"/>
      <c r="G434" s="127"/>
    </row>
    <row r="435" spans="3:7" ht="13">
      <c r="C435" s="127"/>
      <c r="D435" s="127"/>
      <c r="G435" s="127"/>
    </row>
    <row r="436" spans="3:7" ht="13">
      <c r="C436" s="127"/>
      <c r="D436" s="127"/>
      <c r="G436" s="127"/>
    </row>
    <row r="437" spans="3:7" ht="13">
      <c r="C437" s="127"/>
      <c r="D437" s="127"/>
      <c r="G437" s="127"/>
    </row>
    <row r="438" spans="3:7" ht="13">
      <c r="C438" s="127"/>
      <c r="D438" s="127"/>
      <c r="G438" s="127"/>
    </row>
    <row r="439" spans="3:7" ht="13">
      <c r="C439" s="127"/>
      <c r="D439" s="127"/>
      <c r="G439" s="127"/>
    </row>
    <row r="440" spans="3:7" ht="13">
      <c r="C440" s="127"/>
      <c r="D440" s="127"/>
      <c r="G440" s="127"/>
    </row>
    <row r="441" spans="3:7" ht="13">
      <c r="C441" s="127"/>
      <c r="D441" s="127"/>
      <c r="G441" s="127"/>
    </row>
    <row r="442" spans="3:7" ht="13">
      <c r="C442" s="127"/>
      <c r="D442" s="127"/>
      <c r="G442" s="127"/>
    </row>
    <row r="443" spans="3:7" ht="13">
      <c r="C443" s="127"/>
      <c r="D443" s="127"/>
      <c r="G443" s="127"/>
    </row>
    <row r="444" spans="3:7" ht="13">
      <c r="C444" s="127"/>
      <c r="D444" s="127"/>
      <c r="G444" s="127"/>
    </row>
    <row r="445" spans="3:7" ht="13">
      <c r="C445" s="127"/>
      <c r="D445" s="127"/>
      <c r="G445" s="127"/>
    </row>
    <row r="446" spans="3:7" ht="13">
      <c r="C446" s="127"/>
      <c r="D446" s="127"/>
      <c r="G446" s="127"/>
    </row>
    <row r="447" spans="3:7" ht="13">
      <c r="C447" s="127"/>
      <c r="D447" s="127"/>
      <c r="G447" s="127"/>
    </row>
    <row r="448" spans="3:7" ht="13">
      <c r="C448" s="127"/>
      <c r="D448" s="127"/>
      <c r="G448" s="127"/>
    </row>
    <row r="449" spans="3:7" ht="13">
      <c r="C449" s="127"/>
      <c r="D449" s="127"/>
      <c r="G449" s="127"/>
    </row>
    <row r="450" spans="3:7" ht="13">
      <c r="C450" s="127"/>
      <c r="D450" s="127"/>
      <c r="G450" s="127"/>
    </row>
    <row r="451" spans="3:7" ht="13">
      <c r="C451" s="127"/>
      <c r="D451" s="127"/>
      <c r="G451" s="127"/>
    </row>
    <row r="452" spans="3:7" ht="13">
      <c r="C452" s="127"/>
      <c r="D452" s="127"/>
      <c r="G452" s="127"/>
    </row>
    <row r="453" spans="3:7" ht="13">
      <c r="C453" s="127"/>
      <c r="D453" s="127"/>
      <c r="G453" s="127"/>
    </row>
    <row r="454" spans="3:7" ht="13">
      <c r="C454" s="127"/>
      <c r="D454" s="127"/>
      <c r="G454" s="127"/>
    </row>
    <row r="455" spans="3:7" ht="13">
      <c r="C455" s="127"/>
      <c r="D455" s="127"/>
      <c r="G455" s="127"/>
    </row>
    <row r="456" spans="3:7" ht="13">
      <c r="C456" s="127"/>
      <c r="D456" s="127"/>
      <c r="G456" s="127"/>
    </row>
    <row r="457" spans="3:7" ht="13">
      <c r="C457" s="127"/>
      <c r="D457" s="127"/>
      <c r="G457" s="127"/>
    </row>
    <row r="458" spans="3:7" ht="13">
      <c r="C458" s="127"/>
      <c r="D458" s="127"/>
      <c r="G458" s="127"/>
    </row>
    <row r="459" spans="3:7" ht="13">
      <c r="C459" s="127"/>
      <c r="D459" s="127"/>
      <c r="G459" s="127"/>
    </row>
    <row r="460" spans="3:7" ht="13">
      <c r="C460" s="127"/>
      <c r="D460" s="127"/>
      <c r="G460" s="127"/>
    </row>
    <row r="461" spans="3:7" ht="13">
      <c r="C461" s="127"/>
      <c r="D461" s="127"/>
      <c r="G461" s="127"/>
    </row>
    <row r="462" spans="3:7" ht="13">
      <c r="C462" s="127"/>
      <c r="D462" s="127"/>
      <c r="G462" s="127"/>
    </row>
    <row r="463" spans="3:7" ht="13">
      <c r="C463" s="127"/>
      <c r="D463" s="127"/>
      <c r="G463" s="127"/>
    </row>
    <row r="464" spans="3:7" ht="13">
      <c r="C464" s="127"/>
      <c r="D464" s="127"/>
      <c r="G464" s="127"/>
    </row>
    <row r="465" spans="3:7" ht="13">
      <c r="C465" s="127"/>
      <c r="D465" s="127"/>
      <c r="G465" s="127"/>
    </row>
    <row r="466" spans="3:7" ht="13">
      <c r="C466" s="127"/>
      <c r="D466" s="127"/>
      <c r="G466" s="127"/>
    </row>
    <row r="467" spans="3:7" ht="13">
      <c r="C467" s="127"/>
      <c r="D467" s="127"/>
      <c r="G467" s="127"/>
    </row>
    <row r="468" spans="3:7" ht="13">
      <c r="C468" s="127"/>
      <c r="D468" s="127"/>
      <c r="G468" s="127"/>
    </row>
    <row r="469" spans="3:7" ht="13">
      <c r="C469" s="127"/>
      <c r="D469" s="127"/>
      <c r="G469" s="127"/>
    </row>
    <row r="470" spans="3:7" ht="13">
      <c r="C470" s="127"/>
      <c r="D470" s="127"/>
      <c r="G470" s="127"/>
    </row>
    <row r="471" spans="3:7" ht="13">
      <c r="C471" s="127"/>
      <c r="D471" s="127"/>
      <c r="G471" s="127"/>
    </row>
    <row r="472" spans="3:7" ht="13">
      <c r="C472" s="127"/>
      <c r="D472" s="127"/>
      <c r="G472" s="127"/>
    </row>
    <row r="473" spans="3:7" ht="13">
      <c r="C473" s="127"/>
      <c r="D473" s="127"/>
      <c r="G473" s="127"/>
    </row>
    <row r="474" spans="3:7" ht="13">
      <c r="C474" s="127"/>
      <c r="D474" s="127"/>
      <c r="G474" s="127"/>
    </row>
    <row r="475" spans="3:7" ht="13">
      <c r="C475" s="127"/>
      <c r="D475" s="127"/>
      <c r="G475" s="127"/>
    </row>
    <row r="476" spans="3:7" ht="13">
      <c r="C476" s="127"/>
      <c r="D476" s="127"/>
      <c r="G476" s="127"/>
    </row>
    <row r="477" spans="3:7" ht="13">
      <c r="C477" s="127"/>
      <c r="D477" s="127"/>
      <c r="G477" s="127"/>
    </row>
    <row r="478" spans="3:7" ht="13">
      <c r="C478" s="127"/>
      <c r="D478" s="127"/>
      <c r="G478" s="127"/>
    </row>
    <row r="479" spans="3:7" ht="13">
      <c r="C479" s="127"/>
      <c r="D479" s="127"/>
      <c r="G479" s="127"/>
    </row>
    <row r="480" spans="3:7" ht="13">
      <c r="C480" s="127"/>
      <c r="D480" s="127"/>
      <c r="G480" s="127"/>
    </row>
    <row r="481" spans="3:7" ht="13">
      <c r="C481" s="127"/>
      <c r="D481" s="127"/>
      <c r="G481" s="127"/>
    </row>
    <row r="482" spans="3:7" ht="13">
      <c r="C482" s="127"/>
      <c r="D482" s="127"/>
      <c r="G482" s="127"/>
    </row>
    <row r="483" spans="3:7" ht="13">
      <c r="C483" s="127"/>
      <c r="D483" s="127"/>
      <c r="G483" s="127"/>
    </row>
    <row r="484" spans="3:7" ht="13">
      <c r="C484" s="127"/>
      <c r="D484" s="127"/>
      <c r="G484" s="127"/>
    </row>
    <row r="485" spans="3:7" ht="13">
      <c r="C485" s="127"/>
      <c r="D485" s="127"/>
      <c r="G485" s="127"/>
    </row>
    <row r="486" spans="3:7" ht="13">
      <c r="C486" s="127"/>
      <c r="D486" s="127"/>
      <c r="G486" s="127"/>
    </row>
    <row r="487" spans="3:7" ht="13">
      <c r="C487" s="127"/>
      <c r="D487" s="127"/>
      <c r="G487" s="127"/>
    </row>
    <row r="488" spans="3:7" ht="13">
      <c r="C488" s="127"/>
      <c r="D488" s="127"/>
      <c r="G488" s="127"/>
    </row>
    <row r="489" spans="3:7" ht="13">
      <c r="C489" s="127"/>
      <c r="D489" s="127"/>
      <c r="G489" s="127"/>
    </row>
    <row r="490" spans="3:7" ht="13">
      <c r="C490" s="127"/>
      <c r="D490" s="127"/>
      <c r="G490" s="127"/>
    </row>
    <row r="491" spans="3:7" ht="13">
      <c r="C491" s="127"/>
      <c r="D491" s="127"/>
      <c r="G491" s="127"/>
    </row>
    <row r="492" spans="3:7" ht="13">
      <c r="C492" s="127"/>
      <c r="D492" s="127"/>
      <c r="G492" s="127"/>
    </row>
    <row r="493" spans="3:7" ht="13">
      <c r="C493" s="127"/>
      <c r="D493" s="127"/>
      <c r="G493" s="127"/>
    </row>
    <row r="494" spans="3:7" ht="13">
      <c r="C494" s="127"/>
      <c r="D494" s="127"/>
      <c r="G494" s="127"/>
    </row>
    <row r="495" spans="3:7" ht="13">
      <c r="C495" s="127"/>
      <c r="D495" s="127"/>
      <c r="G495" s="127"/>
    </row>
    <row r="496" spans="3:7" ht="13">
      <c r="C496" s="127"/>
      <c r="D496" s="127"/>
      <c r="G496" s="127"/>
    </row>
    <row r="497" spans="3:7" ht="13">
      <c r="C497" s="127"/>
      <c r="D497" s="127"/>
      <c r="G497" s="127"/>
    </row>
    <row r="498" spans="3:7" ht="13">
      <c r="C498" s="127"/>
      <c r="D498" s="127"/>
      <c r="G498" s="127"/>
    </row>
    <row r="499" spans="3:7" ht="13">
      <c r="C499" s="127"/>
      <c r="D499" s="127"/>
      <c r="G499" s="127"/>
    </row>
    <row r="500" spans="3:7" ht="13">
      <c r="C500" s="127"/>
      <c r="D500" s="127"/>
      <c r="G500" s="127"/>
    </row>
    <row r="501" spans="3:7" ht="13">
      <c r="C501" s="127"/>
      <c r="D501" s="127"/>
      <c r="G501" s="127"/>
    </row>
    <row r="502" spans="3:7" ht="13">
      <c r="C502" s="127"/>
      <c r="D502" s="127"/>
      <c r="G502" s="127"/>
    </row>
    <row r="503" spans="3:7" ht="13">
      <c r="C503" s="127"/>
      <c r="D503" s="127"/>
      <c r="G503" s="127"/>
    </row>
    <row r="504" spans="3:7" ht="13">
      <c r="C504" s="127"/>
      <c r="D504" s="127"/>
      <c r="G504" s="127"/>
    </row>
    <row r="505" spans="3:7" ht="13">
      <c r="C505" s="127"/>
      <c r="D505" s="127"/>
      <c r="G505" s="127"/>
    </row>
    <row r="506" spans="3:7" ht="13">
      <c r="C506" s="127"/>
      <c r="D506" s="127"/>
      <c r="G506" s="127"/>
    </row>
    <row r="507" spans="3:7" ht="13">
      <c r="C507" s="127"/>
      <c r="D507" s="127"/>
      <c r="G507" s="127"/>
    </row>
    <row r="508" spans="3:7" ht="13">
      <c r="C508" s="127"/>
      <c r="D508" s="127"/>
      <c r="G508" s="127"/>
    </row>
    <row r="509" spans="3:7" ht="13">
      <c r="C509" s="127"/>
      <c r="D509" s="127"/>
      <c r="G509" s="127"/>
    </row>
    <row r="510" spans="3:7" ht="13">
      <c r="C510" s="127"/>
      <c r="D510" s="127"/>
      <c r="G510" s="127"/>
    </row>
    <row r="511" spans="3:7" ht="13">
      <c r="C511" s="127"/>
      <c r="D511" s="127"/>
      <c r="G511" s="127"/>
    </row>
    <row r="512" spans="3:7" ht="13">
      <c r="C512" s="127"/>
      <c r="D512" s="127"/>
      <c r="G512" s="127"/>
    </row>
    <row r="513" spans="3:7" ht="13">
      <c r="C513" s="127"/>
      <c r="D513" s="127"/>
      <c r="G513" s="127"/>
    </row>
    <row r="514" spans="3:7" ht="13">
      <c r="C514" s="127"/>
      <c r="D514" s="127"/>
      <c r="G514" s="127"/>
    </row>
    <row r="515" spans="3:7" ht="13">
      <c r="C515" s="127"/>
      <c r="D515" s="127"/>
      <c r="G515" s="127"/>
    </row>
    <row r="516" spans="3:7" ht="13">
      <c r="C516" s="127"/>
      <c r="D516" s="127"/>
      <c r="G516" s="127"/>
    </row>
    <row r="517" spans="3:7" ht="13">
      <c r="C517" s="127"/>
      <c r="D517" s="127"/>
      <c r="G517" s="127"/>
    </row>
    <row r="518" spans="3:7" ht="13">
      <c r="C518" s="127"/>
      <c r="D518" s="127"/>
      <c r="G518" s="127"/>
    </row>
    <row r="519" spans="3:7" ht="13">
      <c r="C519" s="127"/>
      <c r="D519" s="127"/>
      <c r="G519" s="127"/>
    </row>
    <row r="520" spans="3:7" ht="13">
      <c r="C520" s="127"/>
      <c r="D520" s="127"/>
      <c r="G520" s="127"/>
    </row>
    <row r="521" spans="3:7" ht="13">
      <c r="C521" s="127"/>
      <c r="D521" s="127"/>
      <c r="G521" s="127"/>
    </row>
    <row r="522" spans="3:7" ht="13">
      <c r="C522" s="127"/>
      <c r="D522" s="127"/>
      <c r="G522" s="127"/>
    </row>
    <row r="523" spans="3:7" ht="13">
      <c r="C523" s="127"/>
      <c r="D523" s="127"/>
      <c r="G523" s="127"/>
    </row>
    <row r="524" spans="3:7" ht="13">
      <c r="C524" s="127"/>
      <c r="D524" s="127"/>
      <c r="G524" s="127"/>
    </row>
    <row r="525" spans="3:7" ht="13">
      <c r="C525" s="127"/>
      <c r="D525" s="127"/>
      <c r="G525" s="127"/>
    </row>
    <row r="526" spans="3:7" ht="13">
      <c r="C526" s="127"/>
      <c r="D526" s="127"/>
      <c r="G526" s="127"/>
    </row>
    <row r="527" spans="3:7" ht="13">
      <c r="C527" s="127"/>
      <c r="D527" s="127"/>
      <c r="G527" s="127"/>
    </row>
    <row r="528" spans="3:7" ht="13">
      <c r="C528" s="127"/>
      <c r="D528" s="127"/>
      <c r="G528" s="127"/>
    </row>
    <row r="529" spans="3:7" ht="13">
      <c r="C529" s="127"/>
      <c r="D529" s="127"/>
      <c r="G529" s="127"/>
    </row>
    <row r="530" spans="3:7" ht="13">
      <c r="C530" s="127"/>
      <c r="D530" s="127"/>
      <c r="G530" s="127"/>
    </row>
    <row r="531" spans="3:7" ht="13">
      <c r="C531" s="127"/>
      <c r="D531" s="127"/>
      <c r="G531" s="127"/>
    </row>
    <row r="532" spans="3:7" ht="13">
      <c r="C532" s="127"/>
      <c r="D532" s="127"/>
      <c r="G532" s="127"/>
    </row>
    <row r="533" spans="3:7" ht="13">
      <c r="C533" s="127"/>
      <c r="D533" s="127"/>
      <c r="G533" s="127"/>
    </row>
    <row r="534" spans="3:7" ht="13">
      <c r="C534" s="127"/>
      <c r="D534" s="127"/>
      <c r="G534" s="127"/>
    </row>
    <row r="535" spans="3:7" ht="13">
      <c r="C535" s="127"/>
      <c r="D535" s="127"/>
      <c r="G535" s="127"/>
    </row>
    <row r="536" spans="3:7" ht="13">
      <c r="C536" s="127"/>
      <c r="D536" s="127"/>
      <c r="G536" s="127"/>
    </row>
    <row r="537" spans="3:7" ht="13">
      <c r="C537" s="127"/>
      <c r="D537" s="127"/>
      <c r="G537" s="127"/>
    </row>
    <row r="538" spans="3:7" ht="13">
      <c r="C538" s="127"/>
      <c r="D538" s="127"/>
      <c r="G538" s="127"/>
    </row>
    <row r="539" spans="3:7" ht="13">
      <c r="C539" s="127"/>
      <c r="D539" s="127"/>
      <c r="G539" s="127"/>
    </row>
    <row r="540" spans="3:7" ht="13">
      <c r="C540" s="127"/>
      <c r="D540" s="127"/>
      <c r="G540" s="127"/>
    </row>
    <row r="541" spans="3:7" ht="13">
      <c r="C541" s="127"/>
      <c r="D541" s="127"/>
      <c r="G541" s="127"/>
    </row>
    <row r="542" spans="3:7" ht="13">
      <c r="C542" s="127"/>
      <c r="D542" s="127"/>
      <c r="G542" s="127"/>
    </row>
    <row r="543" spans="3:7" ht="13">
      <c r="C543" s="127"/>
      <c r="D543" s="127"/>
      <c r="G543" s="127"/>
    </row>
    <row r="544" spans="3:7" ht="13">
      <c r="C544" s="127"/>
      <c r="D544" s="127"/>
      <c r="G544" s="127"/>
    </row>
    <row r="545" spans="3:7" ht="13">
      <c r="C545" s="127"/>
      <c r="D545" s="127"/>
      <c r="G545" s="127"/>
    </row>
    <row r="546" spans="3:7" ht="13">
      <c r="C546" s="127"/>
      <c r="D546" s="127"/>
      <c r="G546" s="127"/>
    </row>
    <row r="547" spans="3:7" ht="13">
      <c r="C547" s="127"/>
      <c r="D547" s="127"/>
      <c r="G547" s="127"/>
    </row>
    <row r="548" spans="3:7" ht="13">
      <c r="C548" s="127"/>
      <c r="D548" s="127"/>
      <c r="G548" s="127"/>
    </row>
    <row r="549" spans="3:7" ht="13">
      <c r="C549" s="127"/>
      <c r="D549" s="127"/>
      <c r="G549" s="127"/>
    </row>
    <row r="550" spans="3:7" ht="13">
      <c r="C550" s="127"/>
      <c r="D550" s="127"/>
      <c r="G550" s="127"/>
    </row>
    <row r="551" spans="3:7" ht="13">
      <c r="C551" s="127"/>
      <c r="D551" s="127"/>
      <c r="G551" s="127"/>
    </row>
    <row r="552" spans="3:7" ht="13">
      <c r="C552" s="127"/>
      <c r="D552" s="127"/>
      <c r="G552" s="127"/>
    </row>
    <row r="553" spans="3:7" ht="13">
      <c r="C553" s="127"/>
      <c r="D553" s="127"/>
      <c r="G553" s="127"/>
    </row>
    <row r="554" spans="3:7" ht="13">
      <c r="C554" s="127"/>
      <c r="D554" s="127"/>
      <c r="G554" s="127"/>
    </row>
    <row r="555" spans="3:7" ht="13">
      <c r="C555" s="127"/>
      <c r="D555" s="127"/>
      <c r="G555" s="127"/>
    </row>
    <row r="556" spans="3:7" ht="13">
      <c r="C556" s="127"/>
      <c r="D556" s="127"/>
      <c r="G556" s="127"/>
    </row>
    <row r="557" spans="3:7" ht="13">
      <c r="C557" s="127"/>
      <c r="D557" s="127"/>
      <c r="G557" s="127"/>
    </row>
    <row r="558" spans="3:7" ht="13">
      <c r="C558" s="127"/>
      <c r="D558" s="127"/>
      <c r="G558" s="127"/>
    </row>
    <row r="559" spans="3:7" ht="13">
      <c r="C559" s="127"/>
      <c r="D559" s="127"/>
      <c r="G559" s="127"/>
    </row>
    <row r="560" spans="3:7" ht="13">
      <c r="C560" s="127"/>
      <c r="D560" s="127"/>
      <c r="G560" s="127"/>
    </row>
    <row r="561" spans="3:7" ht="13">
      <c r="C561" s="127"/>
      <c r="D561" s="127"/>
      <c r="G561" s="127"/>
    </row>
    <row r="562" spans="3:7" ht="13">
      <c r="C562" s="127"/>
      <c r="D562" s="127"/>
      <c r="G562" s="127"/>
    </row>
    <row r="563" spans="3:7" ht="13">
      <c r="C563" s="127"/>
      <c r="D563" s="127"/>
      <c r="G563" s="127"/>
    </row>
    <row r="564" spans="3:7" ht="13">
      <c r="C564" s="127"/>
      <c r="D564" s="127"/>
      <c r="G564" s="127"/>
    </row>
    <row r="565" spans="3:7" ht="13">
      <c r="C565" s="127"/>
      <c r="D565" s="127"/>
      <c r="G565" s="127"/>
    </row>
    <row r="566" spans="3:7" ht="13">
      <c r="C566" s="127"/>
      <c r="D566" s="127"/>
      <c r="G566" s="127"/>
    </row>
    <row r="567" spans="3:7" ht="13">
      <c r="C567" s="127"/>
      <c r="D567" s="127"/>
      <c r="G567" s="127"/>
    </row>
    <row r="568" spans="3:7" ht="13">
      <c r="C568" s="127"/>
      <c r="D568" s="127"/>
      <c r="G568" s="127"/>
    </row>
    <row r="569" spans="3:7" ht="13">
      <c r="C569" s="127"/>
      <c r="D569" s="127"/>
      <c r="G569" s="127"/>
    </row>
    <row r="570" spans="3:7" ht="13">
      <c r="C570" s="127"/>
      <c r="D570" s="127"/>
      <c r="G570" s="127"/>
    </row>
    <row r="571" spans="3:7" ht="13">
      <c r="C571" s="127"/>
      <c r="D571" s="127"/>
      <c r="G571" s="127"/>
    </row>
    <row r="572" spans="3:7" ht="13">
      <c r="C572" s="127"/>
      <c r="D572" s="127"/>
      <c r="G572" s="127"/>
    </row>
    <row r="573" spans="3:7" ht="13">
      <c r="C573" s="127"/>
      <c r="D573" s="127"/>
      <c r="G573" s="127"/>
    </row>
    <row r="574" spans="3:7" ht="13">
      <c r="C574" s="127"/>
      <c r="D574" s="127"/>
      <c r="G574" s="127"/>
    </row>
    <row r="575" spans="3:7" ht="13">
      <c r="C575" s="127"/>
      <c r="D575" s="127"/>
      <c r="G575" s="127"/>
    </row>
    <row r="576" spans="3:7" ht="13">
      <c r="C576" s="127"/>
      <c r="D576" s="127"/>
      <c r="G576" s="127"/>
    </row>
    <row r="577" spans="3:7" ht="13">
      <c r="C577" s="127"/>
      <c r="D577" s="127"/>
      <c r="G577" s="127"/>
    </row>
    <row r="578" spans="3:7" ht="13">
      <c r="C578" s="127"/>
      <c r="D578" s="127"/>
      <c r="G578" s="127"/>
    </row>
    <row r="579" spans="3:7" ht="13">
      <c r="C579" s="127"/>
      <c r="D579" s="127"/>
      <c r="G579" s="127"/>
    </row>
    <row r="580" spans="3:7" ht="13">
      <c r="C580" s="127"/>
      <c r="D580" s="127"/>
      <c r="G580" s="127"/>
    </row>
    <row r="581" spans="3:7" ht="13">
      <c r="C581" s="127"/>
      <c r="D581" s="127"/>
      <c r="G581" s="127"/>
    </row>
    <row r="582" spans="3:7" ht="13">
      <c r="C582" s="127"/>
      <c r="D582" s="127"/>
      <c r="G582" s="127"/>
    </row>
    <row r="583" spans="3:7" ht="13">
      <c r="C583" s="127"/>
      <c r="D583" s="127"/>
      <c r="G583" s="127"/>
    </row>
    <row r="584" spans="3:7" ht="13">
      <c r="C584" s="127"/>
      <c r="D584" s="127"/>
      <c r="G584" s="127"/>
    </row>
    <row r="585" spans="3:7" ht="13">
      <c r="C585" s="127"/>
      <c r="D585" s="127"/>
      <c r="G585" s="127"/>
    </row>
    <row r="586" spans="3:7" ht="13">
      <c r="C586" s="127"/>
      <c r="D586" s="127"/>
      <c r="G586" s="127"/>
    </row>
    <row r="587" spans="3:7" ht="13">
      <c r="C587" s="127"/>
      <c r="D587" s="127"/>
      <c r="G587" s="127"/>
    </row>
    <row r="588" spans="3:7" ht="13">
      <c r="C588" s="127"/>
      <c r="D588" s="127"/>
      <c r="G588" s="127"/>
    </row>
    <row r="589" spans="3:7" ht="13">
      <c r="C589" s="127"/>
      <c r="D589" s="127"/>
      <c r="G589" s="127"/>
    </row>
    <row r="590" spans="3:7" ht="13">
      <c r="C590" s="127"/>
      <c r="D590" s="127"/>
      <c r="G590" s="127"/>
    </row>
    <row r="591" spans="3:7" ht="13">
      <c r="C591" s="127"/>
      <c r="D591" s="127"/>
      <c r="G591" s="127"/>
    </row>
    <row r="592" spans="3:7" ht="13">
      <c r="C592" s="127"/>
      <c r="D592" s="127"/>
      <c r="G592" s="127"/>
    </row>
    <row r="593" spans="3:7" ht="13">
      <c r="C593" s="127"/>
      <c r="D593" s="127"/>
      <c r="G593" s="127"/>
    </row>
    <row r="594" spans="3:7" ht="13">
      <c r="C594" s="127"/>
      <c r="D594" s="127"/>
      <c r="G594" s="127"/>
    </row>
    <row r="595" spans="3:7" ht="13">
      <c r="C595" s="127"/>
      <c r="D595" s="127"/>
      <c r="G595" s="127"/>
    </row>
    <row r="596" spans="3:7" ht="13">
      <c r="C596" s="127"/>
      <c r="D596" s="127"/>
      <c r="G596" s="127"/>
    </row>
    <row r="597" spans="3:7" ht="13">
      <c r="C597" s="127"/>
      <c r="D597" s="127"/>
      <c r="G597" s="127"/>
    </row>
    <row r="598" spans="3:7" ht="13">
      <c r="C598" s="127"/>
      <c r="D598" s="127"/>
      <c r="G598" s="127"/>
    </row>
    <row r="599" spans="3:7" ht="13">
      <c r="C599" s="127"/>
      <c r="D599" s="127"/>
      <c r="G599" s="127"/>
    </row>
    <row r="600" spans="3:7" ht="13">
      <c r="C600" s="127"/>
      <c r="D600" s="127"/>
      <c r="G600" s="127"/>
    </row>
    <row r="601" spans="3:7" ht="13">
      <c r="C601" s="127"/>
      <c r="D601" s="127"/>
      <c r="G601" s="127"/>
    </row>
    <row r="602" spans="3:7" ht="13">
      <c r="C602" s="127"/>
      <c r="D602" s="127"/>
      <c r="G602" s="127"/>
    </row>
    <row r="603" spans="3:7" ht="13">
      <c r="C603" s="127"/>
      <c r="D603" s="127"/>
      <c r="G603" s="127"/>
    </row>
    <row r="604" spans="3:7" ht="13">
      <c r="C604" s="127"/>
      <c r="D604" s="127"/>
      <c r="G604" s="127"/>
    </row>
    <row r="605" spans="3:7" ht="13">
      <c r="C605" s="127"/>
      <c r="D605" s="127"/>
      <c r="G605" s="127"/>
    </row>
    <row r="606" spans="3:7" ht="13">
      <c r="C606" s="127"/>
      <c r="D606" s="127"/>
      <c r="G606" s="127"/>
    </row>
    <row r="607" spans="3:7" ht="13">
      <c r="C607" s="127"/>
      <c r="D607" s="127"/>
      <c r="G607" s="127"/>
    </row>
    <row r="608" spans="3:7" ht="13">
      <c r="C608" s="127"/>
      <c r="D608" s="127"/>
      <c r="G608" s="127"/>
    </row>
    <row r="609" spans="3:7" ht="13">
      <c r="C609" s="127"/>
      <c r="D609" s="127"/>
      <c r="G609" s="127"/>
    </row>
    <row r="610" spans="3:7" ht="13">
      <c r="C610" s="127"/>
      <c r="D610" s="127"/>
      <c r="G610" s="127"/>
    </row>
    <row r="611" spans="3:7" ht="13">
      <c r="C611" s="127"/>
      <c r="D611" s="127"/>
      <c r="G611" s="127"/>
    </row>
    <row r="612" spans="3:7" ht="13">
      <c r="C612" s="127"/>
      <c r="D612" s="127"/>
      <c r="G612" s="127"/>
    </row>
    <row r="613" spans="3:7" ht="13">
      <c r="C613" s="127"/>
      <c r="D613" s="127"/>
      <c r="G613" s="127"/>
    </row>
    <row r="614" spans="3:7" ht="13">
      <c r="C614" s="127"/>
      <c r="D614" s="127"/>
      <c r="G614" s="127"/>
    </row>
    <row r="615" spans="3:7" ht="13">
      <c r="C615" s="127"/>
      <c r="D615" s="127"/>
      <c r="G615" s="127"/>
    </row>
    <row r="616" spans="3:7" ht="13">
      <c r="C616" s="127"/>
      <c r="D616" s="127"/>
      <c r="G616" s="127"/>
    </row>
    <row r="617" spans="3:7" ht="13">
      <c r="C617" s="127"/>
      <c r="D617" s="127"/>
      <c r="G617" s="127"/>
    </row>
    <row r="618" spans="3:7" ht="13">
      <c r="C618" s="127"/>
      <c r="D618" s="127"/>
      <c r="G618" s="127"/>
    </row>
    <row r="619" spans="3:7" ht="13">
      <c r="C619" s="127"/>
      <c r="D619" s="127"/>
      <c r="G619" s="127"/>
    </row>
    <row r="620" spans="3:7" ht="13">
      <c r="C620" s="127"/>
      <c r="D620" s="127"/>
      <c r="G620" s="127"/>
    </row>
    <row r="621" spans="3:7" ht="13">
      <c r="C621" s="127"/>
      <c r="D621" s="127"/>
      <c r="G621" s="127"/>
    </row>
    <row r="622" spans="3:7" ht="13">
      <c r="C622" s="127"/>
      <c r="D622" s="127"/>
      <c r="G622" s="127"/>
    </row>
    <row r="623" spans="3:7" ht="13">
      <c r="C623" s="127"/>
      <c r="D623" s="127"/>
      <c r="G623" s="127"/>
    </row>
    <row r="624" spans="3:7" ht="13">
      <c r="C624" s="127"/>
      <c r="D624" s="127"/>
      <c r="G624" s="127"/>
    </row>
    <row r="625" spans="3:7" ht="13">
      <c r="C625" s="127"/>
      <c r="D625" s="127"/>
      <c r="G625" s="127"/>
    </row>
    <row r="626" spans="3:7" ht="13">
      <c r="C626" s="127"/>
      <c r="D626" s="127"/>
      <c r="G626" s="127"/>
    </row>
    <row r="627" spans="3:7" ht="13">
      <c r="C627" s="127"/>
      <c r="D627" s="127"/>
      <c r="G627" s="127"/>
    </row>
    <row r="628" spans="3:7" ht="13">
      <c r="C628" s="127"/>
      <c r="D628" s="127"/>
      <c r="G628" s="127"/>
    </row>
    <row r="629" spans="3:7" ht="13">
      <c r="C629" s="127"/>
      <c r="D629" s="127"/>
      <c r="G629" s="127"/>
    </row>
    <row r="630" spans="3:7" ht="13">
      <c r="C630" s="127"/>
      <c r="D630" s="127"/>
      <c r="G630" s="127"/>
    </row>
    <row r="631" spans="3:7" ht="13">
      <c r="C631" s="127"/>
      <c r="D631" s="127"/>
      <c r="G631" s="127"/>
    </row>
    <row r="632" spans="3:7" ht="13">
      <c r="C632" s="127"/>
      <c r="D632" s="127"/>
      <c r="G632" s="127"/>
    </row>
    <row r="633" spans="3:7" ht="13">
      <c r="C633" s="127"/>
      <c r="D633" s="127"/>
      <c r="G633" s="127"/>
    </row>
    <row r="634" spans="3:7" ht="13">
      <c r="C634" s="127"/>
      <c r="D634" s="127"/>
      <c r="G634" s="127"/>
    </row>
    <row r="635" spans="3:7" ht="13">
      <c r="C635" s="127"/>
      <c r="D635" s="127"/>
      <c r="G635" s="127"/>
    </row>
    <row r="636" spans="3:7" ht="13">
      <c r="C636" s="127"/>
      <c r="D636" s="127"/>
      <c r="G636" s="127"/>
    </row>
    <row r="637" spans="3:7" ht="13">
      <c r="C637" s="127"/>
      <c r="D637" s="127"/>
      <c r="G637" s="127"/>
    </row>
    <row r="638" spans="3:7" ht="13">
      <c r="C638" s="127"/>
      <c r="D638" s="127"/>
      <c r="G638" s="127"/>
    </row>
    <row r="639" spans="3:7" ht="13">
      <c r="C639" s="127"/>
      <c r="D639" s="127"/>
      <c r="G639" s="127"/>
    </row>
    <row r="640" spans="3:7" ht="13">
      <c r="C640" s="127"/>
      <c r="D640" s="127"/>
      <c r="G640" s="127"/>
    </row>
    <row r="641" spans="3:7" ht="13">
      <c r="C641" s="127"/>
      <c r="D641" s="127"/>
      <c r="G641" s="127"/>
    </row>
    <row r="642" spans="3:7" ht="13">
      <c r="C642" s="127"/>
      <c r="D642" s="127"/>
      <c r="G642" s="127"/>
    </row>
    <row r="643" spans="3:7" ht="13">
      <c r="C643" s="127"/>
      <c r="D643" s="127"/>
      <c r="G643" s="127"/>
    </row>
    <row r="644" spans="3:7" ht="13">
      <c r="C644" s="127"/>
      <c r="D644" s="127"/>
      <c r="G644" s="127"/>
    </row>
    <row r="645" spans="3:7" ht="13">
      <c r="C645" s="127"/>
      <c r="D645" s="127"/>
      <c r="G645" s="127"/>
    </row>
    <row r="646" spans="3:7" ht="13">
      <c r="C646" s="127"/>
      <c r="D646" s="127"/>
      <c r="G646" s="127"/>
    </row>
    <row r="647" spans="3:7" ht="13">
      <c r="C647" s="127"/>
      <c r="D647" s="127"/>
      <c r="G647" s="127"/>
    </row>
    <row r="648" spans="3:7" ht="13">
      <c r="C648" s="127"/>
      <c r="D648" s="127"/>
      <c r="G648" s="127"/>
    </row>
    <row r="649" spans="3:7" ht="13">
      <c r="C649" s="127"/>
      <c r="D649" s="127"/>
      <c r="G649" s="127"/>
    </row>
    <row r="650" spans="3:7" ht="13">
      <c r="C650" s="127"/>
      <c r="D650" s="127"/>
      <c r="G650" s="127"/>
    </row>
    <row r="651" spans="3:7" ht="13">
      <c r="C651" s="127"/>
      <c r="D651" s="127"/>
      <c r="G651" s="127"/>
    </row>
    <row r="652" spans="3:7" ht="13">
      <c r="C652" s="127"/>
      <c r="D652" s="127"/>
      <c r="G652" s="127"/>
    </row>
    <row r="653" spans="3:7" ht="13">
      <c r="C653" s="127"/>
      <c r="D653" s="127"/>
      <c r="G653" s="127"/>
    </row>
    <row r="654" spans="3:7" ht="13">
      <c r="C654" s="127"/>
      <c r="D654" s="127"/>
      <c r="G654" s="127"/>
    </row>
    <row r="655" spans="3:7" ht="13">
      <c r="C655" s="127"/>
      <c r="D655" s="127"/>
      <c r="G655" s="127"/>
    </row>
    <row r="656" spans="3:7" ht="13">
      <c r="C656" s="127"/>
      <c r="D656" s="127"/>
      <c r="G656" s="127"/>
    </row>
    <row r="657" spans="3:7" ht="13">
      <c r="C657" s="127"/>
      <c r="D657" s="127"/>
      <c r="G657" s="127"/>
    </row>
    <row r="658" spans="3:7" ht="13">
      <c r="C658" s="127"/>
      <c r="D658" s="127"/>
      <c r="G658" s="127"/>
    </row>
    <row r="659" spans="3:7" ht="13">
      <c r="C659" s="127"/>
      <c r="D659" s="127"/>
      <c r="G659" s="127"/>
    </row>
    <row r="660" spans="3:7" ht="13">
      <c r="C660" s="127"/>
      <c r="D660" s="127"/>
      <c r="G660" s="127"/>
    </row>
    <row r="661" spans="3:7" ht="13">
      <c r="C661" s="127"/>
      <c r="D661" s="127"/>
      <c r="G661" s="127"/>
    </row>
    <row r="662" spans="3:7" ht="13">
      <c r="C662" s="127"/>
      <c r="D662" s="127"/>
      <c r="G662" s="127"/>
    </row>
    <row r="663" spans="3:7" ht="13">
      <c r="C663" s="127"/>
      <c r="D663" s="127"/>
      <c r="G663" s="127"/>
    </row>
    <row r="664" spans="3:7" ht="13">
      <c r="C664" s="127"/>
      <c r="D664" s="127"/>
      <c r="G664" s="127"/>
    </row>
    <row r="665" spans="3:7" ht="13">
      <c r="C665" s="127"/>
      <c r="D665" s="127"/>
      <c r="G665" s="127"/>
    </row>
    <row r="666" spans="3:7" ht="13">
      <c r="C666" s="127"/>
      <c r="D666" s="127"/>
      <c r="G666" s="127"/>
    </row>
    <row r="667" spans="3:7" ht="13">
      <c r="C667" s="127"/>
      <c r="D667" s="127"/>
      <c r="G667" s="127"/>
    </row>
    <row r="668" spans="3:7" ht="13">
      <c r="C668" s="127"/>
      <c r="D668" s="127"/>
      <c r="G668" s="127"/>
    </row>
    <row r="669" spans="3:7" ht="13">
      <c r="C669" s="127"/>
      <c r="D669" s="127"/>
      <c r="G669" s="127"/>
    </row>
    <row r="670" spans="3:7" ht="13">
      <c r="C670" s="127"/>
      <c r="D670" s="127"/>
      <c r="G670" s="127"/>
    </row>
    <row r="671" spans="3:7" ht="13">
      <c r="C671" s="127"/>
      <c r="D671" s="127"/>
      <c r="G671" s="127"/>
    </row>
    <row r="672" spans="3:7" ht="13">
      <c r="C672" s="127"/>
      <c r="D672" s="127"/>
      <c r="G672" s="127"/>
    </row>
    <row r="673" spans="3:7" ht="13">
      <c r="C673" s="127"/>
      <c r="D673" s="127"/>
      <c r="G673" s="127"/>
    </row>
    <row r="674" spans="3:7" ht="13">
      <c r="C674" s="127"/>
      <c r="D674" s="127"/>
      <c r="G674" s="127"/>
    </row>
    <row r="675" spans="3:7" ht="13">
      <c r="C675" s="127"/>
      <c r="D675" s="127"/>
      <c r="G675" s="127"/>
    </row>
    <row r="676" spans="3:7" ht="13">
      <c r="C676" s="127"/>
      <c r="D676" s="127"/>
      <c r="G676" s="127"/>
    </row>
    <row r="677" spans="3:7" ht="13">
      <c r="C677" s="127"/>
      <c r="D677" s="127"/>
      <c r="G677" s="127"/>
    </row>
    <row r="678" spans="3:7" ht="13">
      <c r="C678" s="127"/>
      <c r="D678" s="127"/>
      <c r="G678" s="127"/>
    </row>
    <row r="679" spans="3:7" ht="13">
      <c r="C679" s="127"/>
      <c r="D679" s="127"/>
      <c r="G679" s="127"/>
    </row>
    <row r="680" spans="3:7" ht="13">
      <c r="C680" s="127"/>
      <c r="D680" s="127"/>
      <c r="G680" s="127"/>
    </row>
    <row r="681" spans="3:7" ht="13">
      <c r="C681" s="127"/>
      <c r="D681" s="127"/>
      <c r="G681" s="127"/>
    </row>
    <row r="682" spans="3:7" ht="13">
      <c r="C682" s="127"/>
      <c r="D682" s="127"/>
      <c r="G682" s="127"/>
    </row>
    <row r="683" spans="3:7" ht="13">
      <c r="C683" s="127"/>
      <c r="D683" s="127"/>
      <c r="G683" s="127"/>
    </row>
    <row r="684" spans="3:7" ht="13">
      <c r="C684" s="127"/>
      <c r="D684" s="127"/>
      <c r="G684" s="127"/>
    </row>
    <row r="685" spans="3:7" ht="13">
      <c r="C685" s="127"/>
      <c r="D685" s="127"/>
      <c r="G685" s="127"/>
    </row>
    <row r="686" spans="3:7" ht="13">
      <c r="C686" s="127"/>
      <c r="D686" s="127"/>
      <c r="G686" s="127"/>
    </row>
    <row r="687" spans="3:7" ht="13">
      <c r="C687" s="127"/>
      <c r="D687" s="127"/>
      <c r="G687" s="127"/>
    </row>
    <row r="688" spans="3:7" ht="13">
      <c r="C688" s="127"/>
      <c r="D688" s="127"/>
      <c r="G688" s="127"/>
    </row>
    <row r="689" spans="3:7" ht="13">
      <c r="C689" s="127"/>
      <c r="D689" s="127"/>
      <c r="G689" s="127"/>
    </row>
    <row r="690" spans="3:7" ht="13">
      <c r="C690" s="127"/>
      <c r="D690" s="127"/>
      <c r="G690" s="127"/>
    </row>
    <row r="691" spans="3:7" ht="13">
      <c r="C691" s="127"/>
      <c r="D691" s="127"/>
      <c r="G691" s="127"/>
    </row>
    <row r="692" spans="3:7" ht="13">
      <c r="C692" s="127"/>
      <c r="D692" s="127"/>
      <c r="G692" s="127"/>
    </row>
    <row r="693" spans="3:7" ht="13">
      <c r="C693" s="127"/>
      <c r="D693" s="127"/>
      <c r="G693" s="127"/>
    </row>
    <row r="694" spans="3:7" ht="13">
      <c r="C694" s="127"/>
      <c r="D694" s="127"/>
      <c r="G694" s="127"/>
    </row>
    <row r="695" spans="3:7" ht="13">
      <c r="C695" s="127"/>
      <c r="D695" s="127"/>
      <c r="G695" s="127"/>
    </row>
    <row r="696" spans="3:7" ht="13">
      <c r="C696" s="127"/>
      <c r="D696" s="127"/>
      <c r="G696" s="127"/>
    </row>
    <row r="697" spans="3:7" ht="13">
      <c r="C697" s="127"/>
      <c r="D697" s="127"/>
      <c r="G697" s="127"/>
    </row>
    <row r="698" spans="3:7" ht="13">
      <c r="C698" s="127"/>
      <c r="D698" s="127"/>
      <c r="G698" s="127"/>
    </row>
    <row r="699" spans="3:7" ht="13">
      <c r="C699" s="127"/>
      <c r="D699" s="127"/>
      <c r="G699" s="127"/>
    </row>
    <row r="700" spans="3:7" ht="13">
      <c r="C700" s="127"/>
      <c r="D700" s="127"/>
      <c r="G700" s="127"/>
    </row>
    <row r="701" spans="3:7" ht="13">
      <c r="C701" s="127"/>
      <c r="D701" s="127"/>
      <c r="G701" s="127"/>
    </row>
    <row r="702" spans="3:7" ht="13">
      <c r="C702" s="127"/>
      <c r="D702" s="127"/>
      <c r="G702" s="127"/>
    </row>
    <row r="703" spans="3:7" ht="13">
      <c r="C703" s="127"/>
      <c r="D703" s="127"/>
      <c r="G703" s="127"/>
    </row>
    <row r="704" spans="3:7" ht="13">
      <c r="C704" s="127"/>
      <c r="D704" s="127"/>
      <c r="G704" s="127"/>
    </row>
    <row r="705" spans="3:7" ht="13">
      <c r="C705" s="127"/>
      <c r="D705" s="127"/>
      <c r="G705" s="127"/>
    </row>
    <row r="706" spans="3:7" ht="13">
      <c r="C706" s="127"/>
      <c r="D706" s="127"/>
      <c r="G706" s="127"/>
    </row>
    <row r="707" spans="3:7" ht="13">
      <c r="C707" s="127"/>
      <c r="D707" s="127"/>
      <c r="G707" s="127"/>
    </row>
    <row r="708" spans="3:7" ht="13">
      <c r="C708" s="127"/>
      <c r="D708" s="127"/>
      <c r="G708" s="127"/>
    </row>
    <row r="709" spans="3:7" ht="13">
      <c r="C709" s="127"/>
      <c r="D709" s="127"/>
      <c r="G709" s="127"/>
    </row>
    <row r="710" spans="3:7" ht="13">
      <c r="C710" s="127"/>
      <c r="D710" s="127"/>
      <c r="G710" s="127"/>
    </row>
    <row r="711" spans="3:7" ht="13">
      <c r="C711" s="127"/>
      <c r="D711" s="127"/>
      <c r="G711" s="127"/>
    </row>
    <row r="712" spans="3:7" ht="13">
      <c r="C712" s="127"/>
      <c r="D712" s="127"/>
      <c r="G712" s="127"/>
    </row>
    <row r="713" spans="3:7" ht="13">
      <c r="C713" s="127"/>
      <c r="D713" s="127"/>
      <c r="G713" s="127"/>
    </row>
    <row r="714" spans="3:7" ht="13">
      <c r="C714" s="127"/>
      <c r="D714" s="127"/>
      <c r="G714" s="127"/>
    </row>
    <row r="715" spans="3:7" ht="13">
      <c r="C715" s="127"/>
      <c r="D715" s="127"/>
      <c r="G715" s="127"/>
    </row>
    <row r="716" spans="3:7" ht="13">
      <c r="C716" s="127"/>
      <c r="D716" s="127"/>
      <c r="G716" s="127"/>
    </row>
    <row r="717" spans="3:7" ht="13">
      <c r="C717" s="127"/>
      <c r="D717" s="127"/>
      <c r="G717" s="127"/>
    </row>
    <row r="718" spans="3:7" ht="13">
      <c r="C718" s="127"/>
      <c r="D718" s="127"/>
      <c r="G718" s="127"/>
    </row>
    <row r="719" spans="3:7" ht="13">
      <c r="C719" s="127"/>
      <c r="D719" s="127"/>
      <c r="G719" s="127"/>
    </row>
    <row r="720" spans="3:7" ht="13">
      <c r="C720" s="127"/>
      <c r="D720" s="127"/>
      <c r="G720" s="127"/>
    </row>
    <row r="721" spans="3:7" ht="13">
      <c r="C721" s="127"/>
      <c r="D721" s="127"/>
      <c r="G721" s="127"/>
    </row>
    <row r="722" spans="3:7" ht="13">
      <c r="C722" s="127"/>
      <c r="D722" s="127"/>
      <c r="G722" s="127"/>
    </row>
    <row r="723" spans="3:7" ht="13">
      <c r="C723" s="127"/>
      <c r="D723" s="127"/>
      <c r="G723" s="127"/>
    </row>
    <row r="724" spans="3:7" ht="13">
      <c r="C724" s="127"/>
      <c r="D724" s="127"/>
      <c r="G724" s="127"/>
    </row>
    <row r="725" spans="3:7" ht="13">
      <c r="C725" s="127"/>
      <c r="D725" s="127"/>
      <c r="G725" s="127"/>
    </row>
    <row r="726" spans="3:7" ht="13">
      <c r="C726" s="127"/>
      <c r="D726" s="127"/>
      <c r="G726" s="127"/>
    </row>
    <row r="727" spans="3:7" ht="13">
      <c r="C727" s="127"/>
      <c r="D727" s="127"/>
      <c r="G727" s="127"/>
    </row>
    <row r="728" spans="3:7" ht="13">
      <c r="C728" s="127"/>
      <c r="D728" s="127"/>
      <c r="G728" s="127"/>
    </row>
    <row r="729" spans="3:7" ht="13">
      <c r="C729" s="127"/>
      <c r="D729" s="127"/>
      <c r="G729" s="127"/>
    </row>
    <row r="730" spans="3:7" ht="13">
      <c r="C730" s="127"/>
      <c r="D730" s="127"/>
      <c r="G730" s="127"/>
    </row>
    <row r="731" spans="3:7" ht="13">
      <c r="C731" s="127"/>
      <c r="D731" s="127"/>
      <c r="G731" s="127"/>
    </row>
    <row r="732" spans="3:7" ht="13">
      <c r="C732" s="127"/>
      <c r="D732" s="127"/>
      <c r="G732" s="127"/>
    </row>
    <row r="733" spans="3:7" ht="13">
      <c r="C733" s="127"/>
      <c r="D733" s="127"/>
      <c r="G733" s="127"/>
    </row>
    <row r="734" spans="3:7" ht="13">
      <c r="C734" s="127"/>
      <c r="D734" s="127"/>
      <c r="G734" s="127"/>
    </row>
    <row r="735" spans="3:7" ht="13">
      <c r="C735" s="127"/>
      <c r="D735" s="127"/>
      <c r="G735" s="127"/>
    </row>
    <row r="736" spans="3:7" ht="13">
      <c r="C736" s="127"/>
      <c r="D736" s="127"/>
      <c r="G736" s="127"/>
    </row>
    <row r="737" spans="3:7" ht="13">
      <c r="C737" s="127"/>
      <c r="D737" s="127"/>
      <c r="G737" s="127"/>
    </row>
    <row r="738" spans="3:7" ht="13">
      <c r="C738" s="127"/>
      <c r="D738" s="127"/>
      <c r="G738" s="127"/>
    </row>
    <row r="739" spans="3:7" ht="13">
      <c r="C739" s="127"/>
      <c r="D739" s="127"/>
      <c r="G739" s="127"/>
    </row>
    <row r="740" spans="3:7" ht="13">
      <c r="C740" s="127"/>
      <c r="D740" s="127"/>
      <c r="G740" s="127"/>
    </row>
    <row r="741" spans="3:7" ht="13">
      <c r="C741" s="127"/>
      <c r="D741" s="127"/>
      <c r="G741" s="127"/>
    </row>
    <row r="742" spans="3:7" ht="13">
      <c r="C742" s="127"/>
      <c r="D742" s="127"/>
      <c r="G742" s="127"/>
    </row>
    <row r="743" spans="3:7" ht="13">
      <c r="C743" s="127"/>
      <c r="D743" s="127"/>
      <c r="G743" s="127"/>
    </row>
    <row r="744" spans="3:7" ht="13">
      <c r="C744" s="127"/>
      <c r="D744" s="127"/>
      <c r="G744" s="127"/>
    </row>
    <row r="745" spans="3:7" ht="13">
      <c r="C745" s="127"/>
      <c r="D745" s="127"/>
      <c r="G745" s="127"/>
    </row>
    <row r="746" spans="3:7" ht="13">
      <c r="C746" s="127"/>
      <c r="D746" s="127"/>
      <c r="G746" s="127"/>
    </row>
    <row r="747" spans="3:7" ht="13">
      <c r="C747" s="127"/>
      <c r="D747" s="127"/>
      <c r="G747" s="127"/>
    </row>
    <row r="748" spans="3:7" ht="13">
      <c r="C748" s="127"/>
      <c r="D748" s="127"/>
      <c r="G748" s="127"/>
    </row>
    <row r="749" spans="3:7" ht="13">
      <c r="C749" s="127"/>
      <c r="D749" s="127"/>
      <c r="G749" s="127"/>
    </row>
    <row r="750" spans="3:7" ht="13">
      <c r="C750" s="127"/>
      <c r="D750" s="127"/>
      <c r="G750" s="127"/>
    </row>
    <row r="751" spans="3:7" ht="13">
      <c r="C751" s="127"/>
      <c r="D751" s="127"/>
      <c r="G751" s="127"/>
    </row>
    <row r="752" spans="3:7" ht="13">
      <c r="C752" s="127"/>
      <c r="D752" s="127"/>
      <c r="G752" s="127"/>
    </row>
    <row r="753" spans="3:7" ht="13">
      <c r="C753" s="127"/>
      <c r="D753" s="127"/>
      <c r="G753" s="127"/>
    </row>
    <row r="754" spans="3:7" ht="13">
      <c r="C754" s="127"/>
      <c r="D754" s="127"/>
      <c r="G754" s="127"/>
    </row>
    <row r="755" spans="3:7" ht="13">
      <c r="C755" s="127"/>
      <c r="D755" s="127"/>
      <c r="G755" s="127"/>
    </row>
    <row r="756" spans="3:7" ht="13">
      <c r="C756" s="127"/>
      <c r="D756" s="127"/>
      <c r="G756" s="127"/>
    </row>
    <row r="757" spans="3:7" ht="13">
      <c r="C757" s="127"/>
      <c r="D757" s="127"/>
      <c r="G757" s="127"/>
    </row>
    <row r="758" spans="3:7" ht="13">
      <c r="C758" s="127"/>
      <c r="D758" s="127"/>
      <c r="G758" s="127"/>
    </row>
    <row r="759" spans="3:7" ht="13">
      <c r="C759" s="127"/>
      <c r="D759" s="127"/>
      <c r="G759" s="127"/>
    </row>
    <row r="760" spans="3:7" ht="13">
      <c r="C760" s="127"/>
      <c r="D760" s="127"/>
      <c r="G760" s="127"/>
    </row>
    <row r="761" spans="3:7" ht="13">
      <c r="C761" s="127"/>
      <c r="D761" s="127"/>
      <c r="G761" s="127"/>
    </row>
    <row r="762" spans="3:7" ht="13">
      <c r="C762" s="127"/>
      <c r="D762" s="127"/>
      <c r="G762" s="127"/>
    </row>
    <row r="763" spans="3:7" ht="13">
      <c r="C763" s="127"/>
      <c r="D763" s="127"/>
      <c r="G763" s="127"/>
    </row>
    <row r="764" spans="3:7" ht="13">
      <c r="C764" s="127"/>
      <c r="D764" s="127"/>
      <c r="G764" s="127"/>
    </row>
    <row r="765" spans="3:7" ht="13">
      <c r="C765" s="127"/>
      <c r="D765" s="127"/>
      <c r="G765" s="127"/>
    </row>
    <row r="766" spans="3:7" ht="13">
      <c r="C766" s="127"/>
      <c r="D766" s="127"/>
      <c r="G766" s="127"/>
    </row>
    <row r="767" spans="3:7" ht="13">
      <c r="C767" s="127"/>
      <c r="D767" s="127"/>
      <c r="G767" s="127"/>
    </row>
    <row r="768" spans="3:7" ht="13">
      <c r="C768" s="127"/>
      <c r="D768" s="127"/>
      <c r="G768" s="127"/>
    </row>
    <row r="769" spans="3:7" ht="13">
      <c r="C769" s="127"/>
      <c r="D769" s="127"/>
      <c r="G769" s="127"/>
    </row>
    <row r="770" spans="3:7" ht="13">
      <c r="C770" s="127"/>
      <c r="D770" s="127"/>
      <c r="G770" s="127"/>
    </row>
    <row r="771" spans="3:7" ht="13">
      <c r="C771" s="127"/>
      <c r="D771" s="127"/>
      <c r="G771" s="127"/>
    </row>
    <row r="772" spans="3:7" ht="13">
      <c r="C772" s="127"/>
      <c r="D772" s="127"/>
      <c r="G772" s="127"/>
    </row>
    <row r="773" spans="3:7" ht="13">
      <c r="C773" s="127"/>
      <c r="D773" s="127"/>
      <c r="G773" s="127"/>
    </row>
    <row r="774" spans="3:7" ht="13">
      <c r="C774" s="127"/>
      <c r="D774" s="127"/>
      <c r="G774" s="127"/>
    </row>
    <row r="775" spans="3:7" ht="13">
      <c r="C775" s="127"/>
      <c r="D775" s="127"/>
      <c r="G775" s="127"/>
    </row>
    <row r="776" spans="3:7" ht="13">
      <c r="C776" s="127"/>
      <c r="D776" s="127"/>
      <c r="G776" s="127"/>
    </row>
    <row r="777" spans="3:7" ht="13">
      <c r="C777" s="127"/>
      <c r="D777" s="127"/>
      <c r="G777" s="127"/>
    </row>
    <row r="778" spans="3:7" ht="13">
      <c r="C778" s="127"/>
      <c r="D778" s="127"/>
      <c r="G778" s="127"/>
    </row>
    <row r="779" spans="3:7" ht="13">
      <c r="C779" s="127"/>
      <c r="D779" s="127"/>
      <c r="G779" s="127"/>
    </row>
    <row r="780" spans="3:7" ht="13">
      <c r="C780" s="127"/>
      <c r="D780" s="127"/>
      <c r="G780" s="127"/>
    </row>
    <row r="781" spans="3:7" ht="13">
      <c r="C781" s="127"/>
      <c r="D781" s="127"/>
      <c r="G781" s="127"/>
    </row>
    <row r="782" spans="3:7" ht="13">
      <c r="C782" s="127"/>
      <c r="D782" s="127"/>
      <c r="G782" s="127"/>
    </row>
    <row r="783" spans="3:7" ht="13">
      <c r="C783" s="127"/>
      <c r="D783" s="127"/>
      <c r="G783" s="127"/>
    </row>
    <row r="784" spans="3:7" ht="13">
      <c r="C784" s="127"/>
      <c r="D784" s="127"/>
      <c r="G784" s="127"/>
    </row>
    <row r="785" spans="3:7" ht="13">
      <c r="C785" s="127"/>
      <c r="D785" s="127"/>
      <c r="G785" s="127"/>
    </row>
    <row r="786" spans="3:7" ht="13">
      <c r="C786" s="127"/>
      <c r="D786" s="127"/>
      <c r="G786" s="127"/>
    </row>
    <row r="787" spans="3:7" ht="13">
      <c r="C787" s="127"/>
      <c r="D787" s="127"/>
      <c r="G787" s="127"/>
    </row>
    <row r="788" spans="3:7" ht="13">
      <c r="C788" s="127"/>
      <c r="D788" s="127"/>
      <c r="G788" s="127"/>
    </row>
    <row r="789" spans="3:7" ht="13">
      <c r="C789" s="127"/>
      <c r="D789" s="127"/>
      <c r="G789" s="127"/>
    </row>
    <row r="790" spans="3:7" ht="13">
      <c r="C790" s="127"/>
      <c r="D790" s="127"/>
      <c r="G790" s="127"/>
    </row>
    <row r="791" spans="3:7" ht="13">
      <c r="C791" s="127"/>
      <c r="D791" s="127"/>
      <c r="G791" s="127"/>
    </row>
    <row r="792" spans="3:7" ht="13">
      <c r="C792" s="127"/>
      <c r="D792" s="127"/>
      <c r="G792" s="127"/>
    </row>
    <row r="793" spans="3:7" ht="13">
      <c r="C793" s="127"/>
      <c r="D793" s="127"/>
      <c r="G793" s="127"/>
    </row>
    <row r="794" spans="3:7" ht="13">
      <c r="C794" s="127"/>
      <c r="D794" s="127"/>
      <c r="G794" s="127"/>
    </row>
    <row r="795" spans="3:7" ht="13">
      <c r="C795" s="127"/>
      <c r="D795" s="127"/>
      <c r="G795" s="127"/>
    </row>
    <row r="796" spans="3:7" ht="13">
      <c r="C796" s="127"/>
      <c r="D796" s="127"/>
      <c r="G796" s="127"/>
    </row>
    <row r="797" spans="3:7" ht="13">
      <c r="C797" s="127"/>
      <c r="D797" s="127"/>
      <c r="G797" s="127"/>
    </row>
    <row r="798" spans="3:7" ht="13">
      <c r="C798" s="127"/>
      <c r="D798" s="127"/>
      <c r="G798" s="127"/>
    </row>
    <row r="799" spans="3:7" ht="13">
      <c r="C799" s="127"/>
      <c r="D799" s="127"/>
      <c r="G799" s="127"/>
    </row>
    <row r="800" spans="3:7" ht="13">
      <c r="C800" s="127"/>
      <c r="D800" s="127"/>
      <c r="G800" s="127"/>
    </row>
    <row r="801" spans="3:7" ht="13">
      <c r="C801" s="127"/>
      <c r="D801" s="127"/>
      <c r="G801" s="127"/>
    </row>
    <row r="802" spans="3:7" ht="13">
      <c r="C802" s="127"/>
      <c r="D802" s="127"/>
      <c r="G802" s="127"/>
    </row>
    <row r="803" spans="3:7" ht="13">
      <c r="C803" s="127"/>
      <c r="D803" s="127"/>
      <c r="G803" s="127"/>
    </row>
    <row r="804" spans="3:7" ht="13">
      <c r="C804" s="127"/>
      <c r="D804" s="127"/>
      <c r="G804" s="127"/>
    </row>
    <row r="805" spans="3:7" ht="13">
      <c r="C805" s="127"/>
      <c r="D805" s="127"/>
      <c r="G805" s="127"/>
    </row>
    <row r="806" spans="3:7" ht="13">
      <c r="C806" s="127"/>
      <c r="D806" s="127"/>
      <c r="G806" s="127"/>
    </row>
    <row r="807" spans="3:7" ht="13">
      <c r="C807" s="127"/>
      <c r="D807" s="127"/>
      <c r="G807" s="127"/>
    </row>
    <row r="808" spans="3:7" ht="13">
      <c r="C808" s="127"/>
      <c r="D808" s="127"/>
      <c r="G808" s="127"/>
    </row>
    <row r="809" spans="3:7" ht="13">
      <c r="C809" s="127"/>
      <c r="D809" s="127"/>
      <c r="G809" s="127"/>
    </row>
    <row r="810" spans="3:7" ht="13">
      <c r="C810" s="127"/>
      <c r="D810" s="127"/>
      <c r="G810" s="127"/>
    </row>
    <row r="811" spans="3:7" ht="13">
      <c r="C811" s="127"/>
      <c r="D811" s="127"/>
      <c r="G811" s="127"/>
    </row>
    <row r="812" spans="3:7" ht="13">
      <c r="C812" s="127"/>
      <c r="D812" s="127"/>
      <c r="G812" s="127"/>
    </row>
    <row r="813" spans="3:7" ht="13">
      <c r="C813" s="127"/>
      <c r="D813" s="127"/>
      <c r="G813" s="127"/>
    </row>
    <row r="814" spans="3:7" ht="13">
      <c r="C814" s="127"/>
      <c r="D814" s="127"/>
      <c r="G814" s="127"/>
    </row>
    <row r="815" spans="3:7" ht="13">
      <c r="C815" s="127"/>
      <c r="D815" s="127"/>
      <c r="G815" s="127"/>
    </row>
    <row r="816" spans="3:7" ht="13">
      <c r="C816" s="127"/>
      <c r="D816" s="127"/>
      <c r="G816" s="127"/>
    </row>
    <row r="817" spans="3:7" ht="13">
      <c r="C817" s="127"/>
      <c r="D817" s="127"/>
      <c r="G817" s="127"/>
    </row>
    <row r="818" spans="3:7" ht="13">
      <c r="C818" s="127"/>
      <c r="D818" s="127"/>
      <c r="G818" s="127"/>
    </row>
    <row r="819" spans="3:7" ht="13">
      <c r="C819" s="127"/>
      <c r="D819" s="127"/>
      <c r="G819" s="127"/>
    </row>
    <row r="820" spans="3:7" ht="13">
      <c r="C820" s="127"/>
      <c r="D820" s="127"/>
      <c r="G820" s="127"/>
    </row>
    <row r="821" spans="3:7" ht="13">
      <c r="C821" s="127"/>
      <c r="D821" s="127"/>
      <c r="G821" s="127"/>
    </row>
    <row r="822" spans="3:7" ht="13">
      <c r="C822" s="127"/>
      <c r="D822" s="127"/>
      <c r="G822" s="127"/>
    </row>
    <row r="823" spans="3:7" ht="13">
      <c r="C823" s="127"/>
      <c r="D823" s="127"/>
      <c r="G823" s="127"/>
    </row>
    <row r="824" spans="3:7" ht="13">
      <c r="C824" s="127"/>
      <c r="D824" s="127"/>
      <c r="G824" s="127"/>
    </row>
    <row r="825" spans="3:7" ht="13">
      <c r="C825" s="127"/>
      <c r="D825" s="127"/>
      <c r="G825" s="127"/>
    </row>
    <row r="826" spans="3:7" ht="13">
      <c r="C826" s="127"/>
      <c r="D826" s="127"/>
      <c r="G826" s="127"/>
    </row>
    <row r="827" spans="3:7" ht="13">
      <c r="C827" s="127"/>
      <c r="D827" s="127"/>
      <c r="G827" s="127"/>
    </row>
    <row r="828" spans="3:7" ht="13">
      <c r="C828" s="127"/>
      <c r="D828" s="127"/>
      <c r="G828" s="127"/>
    </row>
    <row r="829" spans="3:7" ht="13">
      <c r="C829" s="127"/>
      <c r="D829" s="127"/>
      <c r="G829" s="127"/>
    </row>
    <row r="830" spans="3:7" ht="13">
      <c r="C830" s="127"/>
      <c r="D830" s="127"/>
      <c r="G830" s="127"/>
    </row>
    <row r="831" spans="3:7" ht="13">
      <c r="C831" s="127"/>
      <c r="D831" s="127"/>
      <c r="G831" s="127"/>
    </row>
    <row r="832" spans="3:7" ht="13">
      <c r="C832" s="127"/>
      <c r="D832" s="127"/>
      <c r="G832" s="127"/>
    </row>
    <row r="833" spans="3:7" ht="13">
      <c r="C833" s="127"/>
      <c r="D833" s="127"/>
      <c r="G833" s="127"/>
    </row>
    <row r="834" spans="3:7" ht="13">
      <c r="C834" s="127"/>
      <c r="D834" s="127"/>
      <c r="G834" s="127"/>
    </row>
    <row r="835" spans="3:7" ht="13">
      <c r="C835" s="127"/>
      <c r="D835" s="127"/>
      <c r="G835" s="127"/>
    </row>
    <row r="836" spans="3:7" ht="13">
      <c r="C836" s="127"/>
      <c r="D836" s="127"/>
      <c r="G836" s="127"/>
    </row>
    <row r="837" spans="3:7" ht="13">
      <c r="C837" s="127"/>
      <c r="D837" s="127"/>
      <c r="G837" s="127"/>
    </row>
    <row r="838" spans="3:7" ht="13">
      <c r="C838" s="127"/>
      <c r="D838" s="127"/>
      <c r="G838" s="127"/>
    </row>
    <row r="839" spans="3:7" ht="13">
      <c r="C839" s="127"/>
      <c r="D839" s="127"/>
      <c r="G839" s="127"/>
    </row>
    <row r="840" spans="3:7" ht="13">
      <c r="C840" s="127"/>
      <c r="D840" s="127"/>
      <c r="G840" s="127"/>
    </row>
    <row r="841" spans="3:7" ht="13">
      <c r="C841" s="127"/>
      <c r="D841" s="127"/>
      <c r="G841" s="127"/>
    </row>
    <row r="842" spans="3:7" ht="13">
      <c r="C842" s="127"/>
      <c r="D842" s="127"/>
      <c r="G842" s="127"/>
    </row>
    <row r="843" spans="3:7" ht="13">
      <c r="C843" s="127"/>
      <c r="D843" s="127"/>
      <c r="G843" s="127"/>
    </row>
    <row r="844" spans="3:7" ht="13">
      <c r="C844" s="127"/>
      <c r="D844" s="127"/>
      <c r="G844" s="127"/>
    </row>
    <row r="845" spans="3:7" ht="13">
      <c r="C845" s="127"/>
      <c r="D845" s="127"/>
      <c r="G845" s="127"/>
    </row>
    <row r="846" spans="3:7" ht="13">
      <c r="C846" s="127"/>
      <c r="D846" s="127"/>
      <c r="G846" s="127"/>
    </row>
    <row r="847" spans="3:7" ht="13">
      <c r="C847" s="127"/>
      <c r="D847" s="127"/>
      <c r="G847" s="127"/>
    </row>
    <row r="848" spans="3:7" ht="13">
      <c r="C848" s="127"/>
      <c r="D848" s="127"/>
      <c r="G848" s="127"/>
    </row>
    <row r="849" spans="3:7" ht="13">
      <c r="C849" s="127"/>
      <c r="D849" s="127"/>
      <c r="G849" s="127"/>
    </row>
    <row r="850" spans="3:7" ht="13">
      <c r="C850" s="127"/>
      <c r="D850" s="127"/>
      <c r="G850" s="127"/>
    </row>
    <row r="851" spans="3:7" ht="13">
      <c r="C851" s="127"/>
      <c r="D851" s="127"/>
      <c r="G851" s="127"/>
    </row>
    <row r="852" spans="3:7" ht="13">
      <c r="C852" s="127"/>
      <c r="D852" s="127"/>
      <c r="G852" s="127"/>
    </row>
    <row r="853" spans="3:7" ht="13">
      <c r="C853" s="127"/>
      <c r="D853" s="127"/>
      <c r="G853" s="127"/>
    </row>
    <row r="854" spans="3:7" ht="13">
      <c r="C854" s="127"/>
      <c r="D854" s="127"/>
      <c r="G854" s="127"/>
    </row>
    <row r="855" spans="3:7" ht="13">
      <c r="C855" s="127"/>
      <c r="D855" s="127"/>
      <c r="G855" s="127"/>
    </row>
    <row r="856" spans="3:7" ht="13">
      <c r="C856" s="127"/>
      <c r="D856" s="127"/>
      <c r="G856" s="127"/>
    </row>
    <row r="857" spans="3:7" ht="13">
      <c r="C857" s="127"/>
      <c r="D857" s="127"/>
      <c r="G857" s="127"/>
    </row>
    <row r="858" spans="3:7" ht="13">
      <c r="C858" s="127"/>
      <c r="D858" s="127"/>
      <c r="G858" s="127"/>
    </row>
    <row r="859" spans="3:7" ht="13">
      <c r="C859" s="127"/>
      <c r="D859" s="127"/>
      <c r="G859" s="127"/>
    </row>
    <row r="860" spans="3:7" ht="13">
      <c r="C860" s="127"/>
      <c r="D860" s="127"/>
      <c r="G860" s="127"/>
    </row>
    <row r="861" spans="3:7" ht="13">
      <c r="C861" s="127"/>
      <c r="D861" s="127"/>
      <c r="G861" s="127"/>
    </row>
    <row r="862" spans="3:7" ht="13">
      <c r="C862" s="127"/>
      <c r="D862" s="127"/>
      <c r="G862" s="127"/>
    </row>
    <row r="863" spans="3:7" ht="13">
      <c r="C863" s="127"/>
      <c r="D863" s="127"/>
      <c r="G863" s="127"/>
    </row>
    <row r="864" spans="3:7" ht="13">
      <c r="C864" s="127"/>
      <c r="D864" s="127"/>
      <c r="G864" s="127"/>
    </row>
    <row r="865" spans="3:7" ht="13">
      <c r="C865" s="127"/>
      <c r="D865" s="127"/>
      <c r="G865" s="127"/>
    </row>
    <row r="866" spans="3:7" ht="13">
      <c r="C866" s="127"/>
      <c r="D866" s="127"/>
      <c r="G866" s="127"/>
    </row>
    <row r="867" spans="3:7" ht="13">
      <c r="C867" s="127"/>
      <c r="D867" s="127"/>
      <c r="G867" s="127"/>
    </row>
    <row r="868" spans="3:7" ht="13">
      <c r="C868" s="127"/>
      <c r="D868" s="127"/>
      <c r="G868" s="127"/>
    </row>
    <row r="869" spans="3:7" ht="13">
      <c r="C869" s="127"/>
      <c r="D869" s="127"/>
      <c r="G869" s="127"/>
    </row>
    <row r="870" spans="3:7" ht="13">
      <c r="C870" s="127"/>
      <c r="D870" s="127"/>
      <c r="G870" s="127"/>
    </row>
    <row r="871" spans="3:7" ht="13">
      <c r="C871" s="127"/>
      <c r="D871" s="127"/>
      <c r="G871" s="127"/>
    </row>
    <row r="872" spans="3:7" ht="13">
      <c r="C872" s="127"/>
      <c r="D872" s="127"/>
      <c r="G872" s="127"/>
    </row>
    <row r="873" spans="3:7" ht="13">
      <c r="C873" s="127"/>
      <c r="D873" s="127"/>
      <c r="G873" s="127"/>
    </row>
    <row r="874" spans="3:7" ht="13">
      <c r="C874" s="127"/>
      <c r="D874" s="127"/>
      <c r="G874" s="127"/>
    </row>
    <row r="875" spans="3:7" ht="13">
      <c r="C875" s="127"/>
      <c r="D875" s="127"/>
      <c r="G875" s="127"/>
    </row>
    <row r="876" spans="3:7" ht="13">
      <c r="C876" s="127"/>
      <c r="D876" s="127"/>
      <c r="G876" s="127"/>
    </row>
    <row r="877" spans="3:7" ht="13">
      <c r="C877" s="127"/>
      <c r="D877" s="127"/>
      <c r="G877" s="127"/>
    </row>
    <row r="878" spans="3:7" ht="13">
      <c r="C878" s="127"/>
      <c r="D878" s="127"/>
      <c r="G878" s="127"/>
    </row>
    <row r="879" spans="3:7" ht="13">
      <c r="C879" s="127"/>
      <c r="D879" s="127"/>
      <c r="G879" s="127"/>
    </row>
    <row r="880" spans="3:7" ht="13">
      <c r="C880" s="127"/>
      <c r="D880" s="127"/>
      <c r="G880" s="127"/>
    </row>
    <row r="881" spans="3:7" ht="13">
      <c r="C881" s="127"/>
      <c r="D881" s="127"/>
      <c r="G881" s="127"/>
    </row>
    <row r="882" spans="3:7" ht="13">
      <c r="C882" s="127"/>
      <c r="D882" s="127"/>
      <c r="G882" s="127"/>
    </row>
    <row r="883" spans="3:7" ht="13">
      <c r="C883" s="127"/>
      <c r="D883" s="127"/>
      <c r="G883" s="127"/>
    </row>
    <row r="884" spans="3:7" ht="13">
      <c r="C884" s="127"/>
      <c r="D884" s="127"/>
      <c r="G884" s="127"/>
    </row>
    <row r="885" spans="3:7" ht="13">
      <c r="C885" s="127"/>
      <c r="D885" s="127"/>
      <c r="G885" s="127"/>
    </row>
    <row r="886" spans="3:7" ht="13">
      <c r="C886" s="127"/>
      <c r="D886" s="127"/>
      <c r="G886" s="127"/>
    </row>
    <row r="887" spans="3:7" ht="13">
      <c r="C887" s="127"/>
      <c r="D887" s="127"/>
      <c r="G887" s="127"/>
    </row>
    <row r="888" spans="3:7" ht="13">
      <c r="C888" s="127"/>
      <c r="D888" s="127"/>
      <c r="G888" s="127"/>
    </row>
    <row r="889" spans="3:7" ht="13">
      <c r="C889" s="127"/>
      <c r="D889" s="127"/>
      <c r="G889" s="127"/>
    </row>
    <row r="890" spans="3:7" ht="13">
      <c r="C890" s="127"/>
      <c r="D890" s="127"/>
      <c r="G890" s="127"/>
    </row>
    <row r="891" spans="3:7" ht="13">
      <c r="C891" s="127"/>
      <c r="D891" s="127"/>
      <c r="G891" s="127"/>
    </row>
    <row r="892" spans="3:7" ht="13">
      <c r="C892" s="127"/>
      <c r="D892" s="127"/>
      <c r="G892" s="127"/>
    </row>
    <row r="893" spans="3:7" ht="13">
      <c r="C893" s="127"/>
      <c r="D893" s="127"/>
      <c r="G893" s="127"/>
    </row>
    <row r="894" spans="3:7" ht="13">
      <c r="C894" s="127"/>
      <c r="D894" s="127"/>
      <c r="G894" s="127"/>
    </row>
    <row r="895" spans="3:7" ht="13">
      <c r="C895" s="127"/>
      <c r="D895" s="127"/>
      <c r="G895" s="127"/>
    </row>
    <row r="896" spans="3:7" ht="13">
      <c r="C896" s="127"/>
      <c r="D896" s="127"/>
      <c r="G896" s="127"/>
    </row>
    <row r="897" spans="3:7" ht="13">
      <c r="C897" s="127"/>
      <c r="D897" s="127"/>
      <c r="G897" s="127"/>
    </row>
    <row r="898" spans="3:7" ht="13">
      <c r="C898" s="127"/>
      <c r="D898" s="127"/>
      <c r="G898" s="127"/>
    </row>
    <row r="899" spans="3:7" ht="13">
      <c r="C899" s="127"/>
      <c r="D899" s="127"/>
      <c r="G899" s="127"/>
    </row>
    <row r="900" spans="3:7" ht="13">
      <c r="C900" s="127"/>
      <c r="D900" s="127"/>
      <c r="G900" s="127"/>
    </row>
    <row r="901" spans="3:7" ht="13">
      <c r="C901" s="127"/>
      <c r="D901" s="127"/>
      <c r="G901" s="127"/>
    </row>
    <row r="902" spans="3:7" ht="13">
      <c r="C902" s="127"/>
      <c r="D902" s="127"/>
      <c r="G902" s="127"/>
    </row>
    <row r="903" spans="3:7" ht="13">
      <c r="C903" s="127"/>
      <c r="D903" s="127"/>
      <c r="G903" s="127"/>
    </row>
    <row r="904" spans="3:7" ht="13">
      <c r="C904" s="127"/>
      <c r="D904" s="127"/>
      <c r="G904" s="127"/>
    </row>
    <row r="905" spans="3:7" ht="13">
      <c r="C905" s="127"/>
      <c r="D905" s="127"/>
      <c r="G905" s="127"/>
    </row>
    <row r="906" spans="3:7" ht="13">
      <c r="C906" s="127"/>
      <c r="D906" s="127"/>
      <c r="G906" s="127"/>
    </row>
    <row r="907" spans="3:7" ht="13">
      <c r="C907" s="127"/>
      <c r="D907" s="127"/>
      <c r="G907" s="127"/>
    </row>
    <row r="908" spans="3:7" ht="13">
      <c r="C908" s="127"/>
      <c r="D908" s="127"/>
      <c r="G908" s="127"/>
    </row>
    <row r="909" spans="3:7" ht="13">
      <c r="C909" s="127"/>
      <c r="D909" s="127"/>
      <c r="G909" s="127"/>
    </row>
    <row r="910" spans="3:7" ht="13">
      <c r="C910" s="127"/>
      <c r="D910" s="127"/>
      <c r="G910" s="127"/>
    </row>
    <row r="911" spans="3:7" ht="13">
      <c r="C911" s="127"/>
      <c r="D911" s="127"/>
      <c r="G911" s="127"/>
    </row>
    <row r="912" spans="3:7" ht="13">
      <c r="C912" s="127"/>
      <c r="D912" s="127"/>
      <c r="G912" s="127"/>
    </row>
    <row r="913" spans="3:7" ht="13">
      <c r="C913" s="127"/>
      <c r="D913" s="127"/>
      <c r="G913" s="127"/>
    </row>
    <row r="914" spans="3:7" ht="13">
      <c r="C914" s="127"/>
      <c r="D914" s="127"/>
      <c r="G914" s="127"/>
    </row>
    <row r="915" spans="3:7" ht="13">
      <c r="C915" s="127"/>
      <c r="D915" s="127"/>
      <c r="G915" s="127"/>
    </row>
    <row r="916" spans="3:7" ht="13">
      <c r="C916" s="127"/>
      <c r="D916" s="127"/>
      <c r="G916" s="127"/>
    </row>
    <row r="917" spans="3:7" ht="13">
      <c r="C917" s="127"/>
      <c r="D917" s="127"/>
      <c r="G917" s="127"/>
    </row>
    <row r="918" spans="3:7" ht="13">
      <c r="C918" s="127"/>
      <c r="D918" s="127"/>
      <c r="G918" s="127"/>
    </row>
    <row r="919" spans="3:7" ht="13">
      <c r="C919" s="127"/>
      <c r="D919" s="127"/>
      <c r="G919" s="127"/>
    </row>
    <row r="920" spans="3:7" ht="13">
      <c r="C920" s="127"/>
      <c r="D920" s="127"/>
      <c r="G920" s="127"/>
    </row>
    <row r="921" spans="3:7" ht="13">
      <c r="C921" s="127"/>
      <c r="D921" s="127"/>
      <c r="G921" s="127"/>
    </row>
    <row r="922" spans="3:7" ht="13">
      <c r="C922" s="127"/>
      <c r="D922" s="127"/>
      <c r="G922" s="127"/>
    </row>
    <row r="923" spans="3:7" ht="13">
      <c r="C923" s="127"/>
      <c r="D923" s="127"/>
      <c r="G923" s="127"/>
    </row>
    <row r="924" spans="3:7" ht="13">
      <c r="C924" s="127"/>
      <c r="D924" s="127"/>
      <c r="G924" s="127"/>
    </row>
    <row r="925" spans="3:7" ht="13">
      <c r="C925" s="127"/>
      <c r="D925" s="127"/>
      <c r="G925" s="127"/>
    </row>
    <row r="926" spans="3:7" ht="13">
      <c r="C926" s="127"/>
      <c r="D926" s="127"/>
      <c r="G926" s="127"/>
    </row>
    <row r="927" spans="3:7" ht="13">
      <c r="C927" s="127"/>
      <c r="D927" s="127"/>
      <c r="G927" s="127"/>
    </row>
    <row r="928" spans="3:7" ht="13">
      <c r="C928" s="127"/>
      <c r="D928" s="127"/>
      <c r="G928" s="127"/>
    </row>
    <row r="929" spans="3:7" ht="13">
      <c r="C929" s="127"/>
      <c r="D929" s="127"/>
      <c r="G929" s="127"/>
    </row>
    <row r="930" spans="3:7" ht="13">
      <c r="C930" s="127"/>
      <c r="D930" s="127"/>
      <c r="G930" s="127"/>
    </row>
    <row r="931" spans="3:7" ht="13">
      <c r="C931" s="127"/>
      <c r="D931" s="127"/>
      <c r="G931" s="127"/>
    </row>
    <row r="932" spans="3:7" ht="13">
      <c r="C932" s="127"/>
      <c r="D932" s="127"/>
      <c r="G932" s="127"/>
    </row>
    <row r="933" spans="3:7" ht="13">
      <c r="C933" s="127"/>
      <c r="D933" s="127"/>
      <c r="G933" s="127"/>
    </row>
    <row r="934" spans="3:7" ht="13">
      <c r="C934" s="127"/>
      <c r="D934" s="127"/>
      <c r="G934" s="127"/>
    </row>
    <row r="935" spans="3:7" ht="13">
      <c r="C935" s="127"/>
      <c r="D935" s="127"/>
      <c r="G935" s="127"/>
    </row>
    <row r="936" spans="3:7" ht="13">
      <c r="C936" s="127"/>
      <c r="D936" s="127"/>
      <c r="G936" s="127"/>
    </row>
    <row r="937" spans="3:7" ht="13">
      <c r="C937" s="127"/>
      <c r="D937" s="127"/>
      <c r="G937" s="127"/>
    </row>
    <row r="938" spans="3:7" ht="13">
      <c r="C938" s="127"/>
      <c r="D938" s="127"/>
      <c r="G938" s="127"/>
    </row>
    <row r="939" spans="3:7" ht="13">
      <c r="C939" s="127"/>
      <c r="D939" s="127"/>
      <c r="G939" s="127"/>
    </row>
    <row r="940" spans="3:7" ht="13">
      <c r="C940" s="127"/>
      <c r="D940" s="127"/>
      <c r="G940" s="127"/>
    </row>
    <row r="941" spans="3:7" ht="13">
      <c r="C941" s="127"/>
      <c r="D941" s="127"/>
      <c r="G941" s="127"/>
    </row>
    <row r="942" spans="3:7" ht="13">
      <c r="C942" s="127"/>
      <c r="D942" s="127"/>
      <c r="G942" s="127"/>
    </row>
    <row r="943" spans="3:7" ht="13">
      <c r="C943" s="127"/>
      <c r="D943" s="127"/>
      <c r="G943" s="127"/>
    </row>
    <row r="944" spans="3:7" ht="13">
      <c r="C944" s="127"/>
      <c r="D944" s="127"/>
      <c r="G944" s="127"/>
    </row>
    <row r="945" spans="3:7" ht="13">
      <c r="C945" s="127"/>
      <c r="D945" s="127"/>
      <c r="G945" s="127"/>
    </row>
    <row r="946" spans="3:7" ht="13">
      <c r="C946" s="127"/>
      <c r="D946" s="127"/>
      <c r="G946" s="127"/>
    </row>
    <row r="947" spans="3:7" ht="13">
      <c r="C947" s="127"/>
      <c r="D947" s="127"/>
      <c r="G947" s="127"/>
    </row>
    <row r="948" spans="3:7" ht="13">
      <c r="C948" s="127"/>
      <c r="D948" s="127"/>
      <c r="G948" s="127"/>
    </row>
    <row r="949" spans="3:7" ht="13">
      <c r="C949" s="127"/>
      <c r="D949" s="127"/>
      <c r="G949" s="127"/>
    </row>
    <row r="950" spans="3:7" ht="13">
      <c r="C950" s="127"/>
      <c r="D950" s="127"/>
      <c r="G950" s="127"/>
    </row>
    <row r="951" spans="3:7" ht="13">
      <c r="C951" s="127"/>
      <c r="D951" s="127"/>
      <c r="G951" s="127"/>
    </row>
    <row r="952" spans="3:7" ht="13">
      <c r="C952" s="127"/>
      <c r="D952" s="127"/>
      <c r="G952" s="127"/>
    </row>
    <row r="953" spans="3:7" ht="13">
      <c r="C953" s="127"/>
      <c r="D953" s="127"/>
      <c r="G953" s="127"/>
    </row>
    <row r="954" spans="3:7" ht="13">
      <c r="C954" s="127"/>
      <c r="D954" s="127"/>
      <c r="G954" s="127"/>
    </row>
    <row r="955" spans="3:7" ht="13">
      <c r="C955" s="127"/>
      <c r="D955" s="127"/>
      <c r="G955" s="127"/>
    </row>
    <row r="956" spans="3:7" ht="13">
      <c r="C956" s="127"/>
      <c r="D956" s="127"/>
      <c r="G956" s="127"/>
    </row>
    <row r="957" spans="3:7" ht="13">
      <c r="C957" s="127"/>
      <c r="D957" s="127"/>
      <c r="G957" s="127"/>
    </row>
    <row r="958" spans="3:7" ht="13">
      <c r="C958" s="127"/>
      <c r="D958" s="127"/>
      <c r="G958" s="127"/>
    </row>
    <row r="959" spans="3:7" ht="13">
      <c r="C959" s="127"/>
      <c r="D959" s="127"/>
      <c r="G959" s="127"/>
    </row>
    <row r="960" spans="3:7" ht="13">
      <c r="C960" s="127"/>
      <c r="D960" s="127"/>
      <c r="G960" s="127"/>
    </row>
    <row r="961" spans="3:7" ht="13">
      <c r="C961" s="127"/>
      <c r="D961" s="127"/>
      <c r="G961" s="127"/>
    </row>
    <row r="962" spans="3:7" ht="13">
      <c r="C962" s="127"/>
      <c r="D962" s="127"/>
      <c r="G962" s="127"/>
    </row>
    <row r="963" spans="3:7" ht="13">
      <c r="C963" s="127"/>
      <c r="D963" s="127"/>
      <c r="G963" s="127"/>
    </row>
    <row r="964" spans="3:7" ht="13">
      <c r="C964" s="127"/>
      <c r="D964" s="127"/>
      <c r="G964" s="127"/>
    </row>
    <row r="965" spans="3:7" ht="13">
      <c r="C965" s="127"/>
      <c r="D965" s="127"/>
      <c r="G965" s="127"/>
    </row>
    <row r="966" spans="3:7" ht="13">
      <c r="C966" s="127"/>
      <c r="D966" s="127"/>
      <c r="G966" s="127"/>
    </row>
    <row r="967" spans="3:7" ht="13">
      <c r="C967" s="127"/>
      <c r="D967" s="127"/>
      <c r="G967" s="127"/>
    </row>
    <row r="968" spans="3:7" ht="13">
      <c r="C968" s="127"/>
      <c r="D968" s="127"/>
      <c r="G968" s="127"/>
    </row>
    <row r="969" spans="3:7" ht="13">
      <c r="C969" s="127"/>
      <c r="D969" s="127"/>
      <c r="G969" s="127"/>
    </row>
    <row r="970" spans="3:7" ht="13">
      <c r="C970" s="127"/>
      <c r="D970" s="127"/>
      <c r="G970" s="127"/>
    </row>
    <row r="971" spans="3:7" ht="13">
      <c r="C971" s="127"/>
      <c r="D971" s="127"/>
      <c r="G971" s="127"/>
    </row>
    <row r="972" spans="3:7" ht="13">
      <c r="C972" s="127"/>
      <c r="D972" s="127"/>
      <c r="G972" s="127"/>
    </row>
    <row r="973" spans="3:7" ht="13">
      <c r="C973" s="127"/>
      <c r="D973" s="127"/>
      <c r="G973" s="127"/>
    </row>
    <row r="974" spans="3:7" ht="13">
      <c r="C974" s="127"/>
      <c r="D974" s="127"/>
      <c r="G974" s="127"/>
    </row>
    <row r="975" spans="3:7" ht="13">
      <c r="C975" s="127"/>
      <c r="D975" s="127"/>
      <c r="G975" s="127"/>
    </row>
    <row r="976" spans="3:7" ht="13">
      <c r="C976" s="127"/>
      <c r="D976" s="127"/>
      <c r="G976" s="127"/>
    </row>
    <row r="977" spans="3:7" ht="13">
      <c r="C977" s="127"/>
      <c r="D977" s="127"/>
      <c r="G977" s="127"/>
    </row>
    <row r="978" spans="3:7" ht="13">
      <c r="C978" s="127"/>
      <c r="D978" s="127"/>
      <c r="G978" s="127"/>
    </row>
    <row r="979" spans="3:7" ht="13">
      <c r="C979" s="127"/>
      <c r="D979" s="127"/>
      <c r="G979" s="127"/>
    </row>
    <row r="980" spans="3:7" ht="13">
      <c r="C980" s="127"/>
      <c r="D980" s="127"/>
      <c r="G980" s="127"/>
    </row>
    <row r="981" spans="3:7" ht="13">
      <c r="C981" s="127"/>
      <c r="D981" s="127"/>
      <c r="G981" s="127"/>
    </row>
    <row r="982" spans="3:7" ht="13">
      <c r="C982" s="127"/>
      <c r="D982" s="127"/>
      <c r="G982" s="127"/>
    </row>
    <row r="983" spans="3:7" ht="13">
      <c r="C983" s="127"/>
      <c r="D983" s="127"/>
      <c r="G983" s="127"/>
    </row>
    <row r="984" spans="3:7" ht="13">
      <c r="C984" s="127"/>
      <c r="D984" s="127"/>
      <c r="G984" s="127"/>
    </row>
    <row r="985" spans="3:7" ht="13">
      <c r="C985" s="127"/>
      <c r="D985" s="127"/>
      <c r="G985" s="127"/>
    </row>
    <row r="986" spans="3:7" ht="13">
      <c r="C986" s="127"/>
      <c r="D986" s="127"/>
      <c r="G986" s="127"/>
    </row>
    <row r="987" spans="3:7" ht="13">
      <c r="C987" s="127"/>
      <c r="D987" s="127"/>
      <c r="G987" s="127"/>
    </row>
    <row r="988" spans="3:7" ht="13">
      <c r="C988" s="127"/>
      <c r="D988" s="127"/>
      <c r="G988" s="127"/>
    </row>
    <row r="989" spans="3:7" ht="13">
      <c r="C989" s="127"/>
      <c r="D989" s="127"/>
      <c r="G989" s="127"/>
    </row>
    <row r="990" spans="3:7" ht="13">
      <c r="C990" s="127"/>
      <c r="D990" s="127"/>
      <c r="G990" s="127"/>
    </row>
    <row r="991" spans="3:7" ht="13">
      <c r="C991" s="127"/>
      <c r="D991" s="127"/>
      <c r="G991" s="127"/>
    </row>
    <row r="992" spans="3:7" ht="13">
      <c r="C992" s="127"/>
      <c r="D992" s="127"/>
      <c r="G992" s="127"/>
    </row>
    <row r="993" spans="3:7" ht="13">
      <c r="C993" s="127"/>
      <c r="D993" s="127"/>
      <c r="G993" s="127"/>
    </row>
    <row r="994" spans="3:7" ht="13">
      <c r="C994" s="127"/>
      <c r="D994" s="127"/>
      <c r="G994" s="127"/>
    </row>
    <row r="995" spans="3:7" ht="13">
      <c r="C995" s="127"/>
      <c r="D995" s="127"/>
      <c r="G995" s="127"/>
    </row>
    <row r="996" spans="3:7" ht="13">
      <c r="C996" s="127"/>
      <c r="D996" s="127"/>
      <c r="G996" s="127"/>
    </row>
    <row r="997" spans="3:7" ht="13">
      <c r="C997" s="127"/>
      <c r="D997" s="127"/>
      <c r="G997" s="127"/>
    </row>
    <row r="998" spans="3:7" ht="13">
      <c r="C998" s="127"/>
      <c r="D998" s="127"/>
      <c r="G998" s="127"/>
    </row>
    <row r="999" spans="3:7" ht="13">
      <c r="C999" s="127"/>
      <c r="D999" s="127"/>
      <c r="G999" s="127"/>
    </row>
    <row r="1000" spans="3:7" ht="13">
      <c r="C1000" s="127"/>
      <c r="D1000" s="127"/>
      <c r="G1000" s="127"/>
    </row>
    <row r="1001" spans="3:7" ht="13">
      <c r="C1001" s="127"/>
      <c r="D1001" s="127"/>
      <c r="G1001" s="127"/>
    </row>
    <row r="1002" spans="3:7" ht="13">
      <c r="C1002" s="127"/>
      <c r="D1002" s="127"/>
      <c r="G1002" s="127"/>
    </row>
    <row r="1003" spans="3:7" ht="13">
      <c r="C1003" s="127"/>
      <c r="D1003" s="127"/>
      <c r="G1003" s="127"/>
    </row>
  </sheetData>
  <mergeCells count="1">
    <mergeCell ref="E35:G35"/>
  </mergeCells>
  <hyperlinks>
    <hyperlink ref="A2" r:id="rId1" xr:uid="{00000000-0004-0000-0500-000000000000}"/>
    <hyperlink ref="C2" r:id="rId2" xr:uid="{00000000-0004-0000-0500-000001000000}"/>
    <hyperlink ref="D2" r:id="rId3" xr:uid="{00000000-0004-0000-0500-000002000000}"/>
    <hyperlink ref="A3" r:id="rId4" xr:uid="{00000000-0004-0000-0500-000003000000}"/>
    <hyperlink ref="C3" r:id="rId5" xr:uid="{00000000-0004-0000-0500-000004000000}"/>
    <hyperlink ref="D3" r:id="rId6" xr:uid="{00000000-0004-0000-0500-000005000000}"/>
    <hyperlink ref="A4" r:id="rId7" xr:uid="{00000000-0004-0000-0500-000006000000}"/>
    <hyperlink ref="C4" r:id="rId8" xr:uid="{00000000-0004-0000-0500-000007000000}"/>
    <hyperlink ref="D4" r:id="rId9" xr:uid="{00000000-0004-0000-0500-000008000000}"/>
    <hyperlink ref="A5" r:id="rId10" xr:uid="{00000000-0004-0000-0500-000009000000}"/>
    <hyperlink ref="C5" r:id="rId11" xr:uid="{00000000-0004-0000-0500-00000A000000}"/>
    <hyperlink ref="D5" r:id="rId12" xr:uid="{00000000-0004-0000-0500-00000B000000}"/>
    <hyperlink ref="A6" r:id="rId13" xr:uid="{00000000-0004-0000-0500-00000C000000}"/>
    <hyperlink ref="C6" r:id="rId14" xr:uid="{00000000-0004-0000-0500-00000D000000}"/>
    <hyperlink ref="D6" r:id="rId15" xr:uid="{00000000-0004-0000-0500-00000E000000}"/>
    <hyperlink ref="A7" r:id="rId16" xr:uid="{00000000-0004-0000-0500-00000F000000}"/>
    <hyperlink ref="C7" r:id="rId17" xr:uid="{00000000-0004-0000-0500-000010000000}"/>
    <hyperlink ref="D7" r:id="rId18" xr:uid="{00000000-0004-0000-0500-000011000000}"/>
    <hyperlink ref="A8" r:id="rId19" xr:uid="{00000000-0004-0000-0500-000012000000}"/>
    <hyperlink ref="C8" r:id="rId20" xr:uid="{00000000-0004-0000-0500-000013000000}"/>
    <hyperlink ref="D8" r:id="rId21" xr:uid="{00000000-0004-0000-0500-000014000000}"/>
    <hyperlink ref="A9" r:id="rId22" xr:uid="{00000000-0004-0000-0500-000015000000}"/>
    <hyperlink ref="C9" r:id="rId23" xr:uid="{00000000-0004-0000-0500-000016000000}"/>
    <hyperlink ref="D9" r:id="rId24" xr:uid="{00000000-0004-0000-0500-000017000000}"/>
    <hyperlink ref="A10" r:id="rId25" xr:uid="{00000000-0004-0000-0500-000018000000}"/>
    <hyperlink ref="C10" r:id="rId26" xr:uid="{00000000-0004-0000-0500-000019000000}"/>
    <hyperlink ref="D10" r:id="rId27" xr:uid="{00000000-0004-0000-0500-00001A000000}"/>
    <hyperlink ref="A11" r:id="rId28" location="entry32489" xr:uid="{00000000-0004-0000-0500-00001B000000}"/>
    <hyperlink ref="C11" r:id="rId29" xr:uid="{00000000-0004-0000-0500-00001C000000}"/>
    <hyperlink ref="D11" r:id="rId30" xr:uid="{00000000-0004-0000-0500-00001D000000}"/>
    <hyperlink ref="A12" r:id="rId31" xr:uid="{00000000-0004-0000-0500-00001E000000}"/>
    <hyperlink ref="C12" r:id="rId32" xr:uid="{00000000-0004-0000-0500-00001F000000}"/>
    <hyperlink ref="D12" r:id="rId33" xr:uid="{00000000-0004-0000-0500-000020000000}"/>
    <hyperlink ref="A13" r:id="rId34" xr:uid="{00000000-0004-0000-0500-000021000000}"/>
    <hyperlink ref="C13" r:id="rId35" xr:uid="{00000000-0004-0000-0500-000022000000}"/>
    <hyperlink ref="D13" r:id="rId36" xr:uid="{00000000-0004-0000-0500-000023000000}"/>
    <hyperlink ref="A14" r:id="rId37" xr:uid="{00000000-0004-0000-0500-000024000000}"/>
    <hyperlink ref="C14" r:id="rId38" xr:uid="{00000000-0004-0000-0500-000025000000}"/>
    <hyperlink ref="D14" r:id="rId39" xr:uid="{00000000-0004-0000-0500-000026000000}"/>
    <hyperlink ref="A15" r:id="rId40" xr:uid="{00000000-0004-0000-0500-000027000000}"/>
    <hyperlink ref="C15" r:id="rId41" xr:uid="{00000000-0004-0000-0500-000028000000}"/>
    <hyperlink ref="D15" r:id="rId42" xr:uid="{00000000-0004-0000-0500-000029000000}"/>
    <hyperlink ref="A16" r:id="rId43" xr:uid="{00000000-0004-0000-0500-00002A000000}"/>
    <hyperlink ref="C16" r:id="rId44" xr:uid="{00000000-0004-0000-0500-00002B000000}"/>
    <hyperlink ref="D16" r:id="rId45" xr:uid="{00000000-0004-0000-0500-00002C000000}"/>
    <hyperlink ref="A17" r:id="rId46" xr:uid="{00000000-0004-0000-0500-00002D000000}"/>
    <hyperlink ref="C17" r:id="rId47" xr:uid="{00000000-0004-0000-0500-00002E000000}"/>
    <hyperlink ref="D17" r:id="rId48" xr:uid="{00000000-0004-0000-0500-00002F000000}"/>
    <hyperlink ref="A18" r:id="rId49" xr:uid="{00000000-0004-0000-0500-000030000000}"/>
    <hyperlink ref="C18" r:id="rId50" xr:uid="{00000000-0004-0000-0500-000031000000}"/>
    <hyperlink ref="D18" r:id="rId51" xr:uid="{00000000-0004-0000-0500-000032000000}"/>
    <hyperlink ref="C19" r:id="rId52" xr:uid="{00000000-0004-0000-0500-000033000000}"/>
    <hyperlink ref="D19" r:id="rId53" xr:uid="{00000000-0004-0000-0500-000034000000}"/>
    <hyperlink ref="N19" r:id="rId54" location="entry63484" xr:uid="{00000000-0004-0000-0500-000035000000}"/>
    <hyperlink ref="A20" r:id="rId55" xr:uid="{00000000-0004-0000-0500-000036000000}"/>
    <hyperlink ref="C20" r:id="rId56" xr:uid="{00000000-0004-0000-0500-000037000000}"/>
    <hyperlink ref="D20" r:id="rId57" xr:uid="{00000000-0004-0000-0500-000038000000}"/>
    <hyperlink ref="A21" r:id="rId58" xr:uid="{00000000-0004-0000-0500-000039000000}"/>
    <hyperlink ref="C21" r:id="rId59" xr:uid="{00000000-0004-0000-0500-00003A000000}"/>
    <hyperlink ref="D21" r:id="rId60" xr:uid="{00000000-0004-0000-0500-00003B000000}"/>
    <hyperlink ref="C22" r:id="rId61" xr:uid="{00000000-0004-0000-0500-00003C000000}"/>
    <hyperlink ref="D22" r:id="rId62" xr:uid="{00000000-0004-0000-0500-00003D000000}"/>
    <hyperlink ref="C23" r:id="rId63" xr:uid="{00000000-0004-0000-0500-00003E000000}"/>
    <hyperlink ref="D23" r:id="rId64" xr:uid="{00000000-0004-0000-0500-00003F000000}"/>
    <hyperlink ref="C24" r:id="rId65" xr:uid="{00000000-0004-0000-0500-000040000000}"/>
    <hyperlink ref="D24" r:id="rId66" xr:uid="{00000000-0004-0000-0500-000041000000}"/>
  </hyperlinks>
  <pageMargins left="0.7" right="0.7" top="0.75" bottom="0.75" header="0.3" footer="0.3"/>
  <legacyDrawing r:id="rId67"/>
  <tableParts count="1">
    <tablePart r:id="rId6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H1003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5" defaultRowHeight="15.75" customHeight="1"/>
  <cols>
    <col min="1" max="2" width="5.6640625" customWidth="1"/>
    <col min="4" max="4" width="13.1640625" customWidth="1"/>
    <col min="5" max="5" width="17" customWidth="1"/>
    <col min="6" max="6" width="7.6640625" customWidth="1"/>
    <col min="7" max="8" width="8.6640625" customWidth="1"/>
    <col min="9" max="9" width="8.5" customWidth="1"/>
    <col min="10" max="10" width="11" customWidth="1"/>
    <col min="11" max="11" width="8.33203125" customWidth="1"/>
    <col min="12" max="13" width="8.5" customWidth="1"/>
    <col min="14" max="14" width="13" customWidth="1"/>
    <col min="15" max="15" width="7.5" customWidth="1"/>
    <col min="21" max="21" width="7.5" customWidth="1"/>
    <col min="22" max="24" width="8.5" customWidth="1"/>
    <col min="25" max="25" width="5.83203125" customWidth="1"/>
    <col min="26" max="26" width="6.83203125" customWidth="1"/>
    <col min="27" max="27" width="5.1640625" customWidth="1"/>
    <col min="28" max="29" width="8.5" customWidth="1"/>
    <col min="30" max="30" width="8.6640625" customWidth="1"/>
    <col min="31" max="34" width="14.5" customWidth="1"/>
  </cols>
  <sheetData>
    <row r="1" spans="1:60" ht="13">
      <c r="A1" s="11"/>
      <c r="B1" s="11" t="s">
        <v>6</v>
      </c>
      <c r="C1" s="81" t="s">
        <v>7</v>
      </c>
      <c r="D1" s="81" t="s">
        <v>14</v>
      </c>
      <c r="E1" s="11" t="s">
        <v>15</v>
      </c>
      <c r="F1" s="11" t="s">
        <v>16</v>
      </c>
      <c r="G1" s="81" t="s">
        <v>17</v>
      </c>
      <c r="H1" s="11" t="s">
        <v>18</v>
      </c>
      <c r="I1" s="11" t="s">
        <v>19</v>
      </c>
      <c r="J1" s="11" t="s">
        <v>20</v>
      </c>
      <c r="K1" s="11" t="s">
        <v>21</v>
      </c>
      <c r="L1" s="11" t="s">
        <v>22</v>
      </c>
      <c r="M1" s="82" t="s">
        <v>142</v>
      </c>
      <c r="N1" s="11" t="s">
        <v>23</v>
      </c>
      <c r="O1" s="11" t="s">
        <v>24</v>
      </c>
      <c r="P1" s="11" t="s">
        <v>25</v>
      </c>
      <c r="Q1" s="11" t="s">
        <v>26</v>
      </c>
      <c r="R1" s="11" t="s">
        <v>27</v>
      </c>
      <c r="S1" s="11" t="s">
        <v>28</v>
      </c>
      <c r="T1" s="11" t="s">
        <v>576</v>
      </c>
      <c r="U1" s="11" t="s">
        <v>441</v>
      </c>
      <c r="V1" s="11" t="s">
        <v>31</v>
      </c>
      <c r="W1" s="11" t="s">
        <v>32</v>
      </c>
      <c r="X1" s="11" t="s">
        <v>33</v>
      </c>
      <c r="Y1" s="11" t="s">
        <v>34</v>
      </c>
      <c r="Z1" s="11" t="s">
        <v>35</v>
      </c>
      <c r="AA1" s="11" t="s">
        <v>36</v>
      </c>
      <c r="AB1" s="11" t="s">
        <v>37</v>
      </c>
      <c r="AC1" s="11" t="s">
        <v>38</v>
      </c>
      <c r="AD1" s="82" t="s">
        <v>39</v>
      </c>
      <c r="AE1" s="11" t="s">
        <v>40</v>
      </c>
      <c r="AF1" s="11" t="s">
        <v>41</v>
      </c>
      <c r="AG1" s="11" t="s">
        <v>42</v>
      </c>
      <c r="AH1" s="11" t="s">
        <v>43</v>
      </c>
      <c r="AI1" s="11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ht="18" customHeight="1">
      <c r="A2" s="93" t="s">
        <v>86</v>
      </c>
      <c r="B2" s="8" t="s">
        <v>304</v>
      </c>
      <c r="C2" s="96" t="s">
        <v>87</v>
      </c>
      <c r="D2" s="96" t="s">
        <v>88</v>
      </c>
      <c r="E2" t="str">
        <f t="shared" ref="E2:E5" si="0">TRIM(LEFT(D2,LEN(D2)-4))</f>
        <v>Greg Steiner</v>
      </c>
      <c r="F2" s="8" t="str">
        <f t="shared" ref="F2:F5" si="1">TRIM(RIGHT(D2,2))</f>
        <v>SP</v>
      </c>
      <c r="G2" s="97" t="s">
        <v>55</v>
      </c>
      <c r="H2" s="4">
        <v>1678</v>
      </c>
      <c r="I2" s="99">
        <v>10</v>
      </c>
      <c r="J2" s="43"/>
      <c r="K2" s="43"/>
      <c r="L2" s="43"/>
      <c r="M2" s="43"/>
      <c r="N2" s="40"/>
      <c r="O2" s="152" t="s">
        <v>78</v>
      </c>
      <c r="P2" s="109">
        <v>10</v>
      </c>
      <c r="Q2" s="152" t="s">
        <v>78</v>
      </c>
      <c r="R2" s="152"/>
      <c r="S2" s="152"/>
      <c r="T2" s="152"/>
      <c r="U2" s="40"/>
      <c r="V2" s="109">
        <v>2</v>
      </c>
      <c r="W2" s="109">
        <v>2</v>
      </c>
      <c r="X2" s="109">
        <v>12</v>
      </c>
      <c r="Y2" s="109">
        <v>8</v>
      </c>
      <c r="Z2" s="109">
        <v>404</v>
      </c>
      <c r="AA2" s="109">
        <v>4</v>
      </c>
      <c r="AB2" s="44">
        <f>9.25/2</f>
        <v>4.625</v>
      </c>
      <c r="AC2" s="108">
        <v>10</v>
      </c>
      <c r="AD2" s="109">
        <v>1521</v>
      </c>
      <c r="AE2" s="44">
        <v>20</v>
      </c>
      <c r="AF2" s="109">
        <v>386</v>
      </c>
      <c r="AG2" s="109">
        <v>320</v>
      </c>
      <c r="AH2" s="109">
        <v>320</v>
      </c>
      <c r="AI2" s="40"/>
      <c r="AJ2" s="153" t="str">
        <f>VLOOKUP(B2,Analysis!$A$24:$B$32,2,FALSE)</f>
        <v>:bulldogs:</v>
      </c>
      <c r="AK2" s="154" t="str">
        <f>AJ2&amp;" [b][url="&amp;A2&amp;"]"&amp;D2&amp;"[/url][/b] TPE: "&amp;AD2&amp;", Regression Class: "&amp;Q2</f>
        <v>:bulldogs: [b][url=http://probaseballexperience.jcink.net/index.php?showtopic=1154]Greg Steiner - SP[/url][/b] TPE: 1521, Regression Class: S2</v>
      </c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</row>
    <row r="3" spans="1:60" ht="13">
      <c r="A3" s="143" t="s">
        <v>79</v>
      </c>
      <c r="B3" s="141" t="s">
        <v>12</v>
      </c>
      <c r="C3" s="96" t="s">
        <v>80</v>
      </c>
      <c r="D3" s="96" t="s">
        <v>81</v>
      </c>
      <c r="E3" t="str">
        <f t="shared" si="0"/>
        <v>Connor Macdonald</v>
      </c>
      <c r="F3" s="8" t="str">
        <f t="shared" si="1"/>
        <v>2B</v>
      </c>
      <c r="G3" s="97" t="s">
        <v>84</v>
      </c>
      <c r="H3" s="4">
        <v>1642</v>
      </c>
      <c r="I3" s="85">
        <v>10</v>
      </c>
      <c r="J3" s="86"/>
      <c r="K3" s="86"/>
      <c r="L3" s="86"/>
      <c r="M3" s="86"/>
      <c r="N3" s="11" t="s">
        <v>85</v>
      </c>
      <c r="O3" s="11" t="s">
        <v>70</v>
      </c>
      <c r="P3" s="11">
        <v>5</v>
      </c>
      <c r="Q3" s="11" t="s">
        <v>70</v>
      </c>
      <c r="R3" s="11"/>
      <c r="S3" s="11"/>
      <c r="T3" s="11"/>
      <c r="U3" s="12"/>
      <c r="V3" s="12"/>
      <c r="W3" s="11">
        <v>10</v>
      </c>
      <c r="X3" s="11">
        <v>4</v>
      </c>
      <c r="Y3" s="11">
        <v>4</v>
      </c>
      <c r="Z3" s="11">
        <v>10</v>
      </c>
      <c r="AA3" s="11">
        <v>12</v>
      </c>
      <c r="AB3" s="11">
        <v>9.5</v>
      </c>
      <c r="AC3" s="87">
        <v>10</v>
      </c>
      <c r="AD3" s="86">
        <v>10</v>
      </c>
      <c r="AE3" s="82">
        <v>1759</v>
      </c>
      <c r="AF3" s="11">
        <v>614</v>
      </c>
      <c r="AG3" s="11">
        <v>596</v>
      </c>
      <c r="AH3" s="11">
        <v>582</v>
      </c>
      <c r="AI3" s="11">
        <v>561</v>
      </c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</row>
    <row r="4" spans="1:60" ht="13">
      <c r="A4" s="94" t="s">
        <v>346</v>
      </c>
      <c r="B4" s="8" t="s">
        <v>12</v>
      </c>
      <c r="C4" s="96" t="s">
        <v>349</v>
      </c>
      <c r="D4" s="96" t="s">
        <v>351</v>
      </c>
      <c r="E4" t="str">
        <f t="shared" si="0"/>
        <v>Godfrey Bowman</v>
      </c>
      <c r="F4" s="8" t="str">
        <f t="shared" si="1"/>
        <v>RF</v>
      </c>
      <c r="G4" s="97" t="s">
        <v>166</v>
      </c>
      <c r="H4" s="4">
        <v>1026</v>
      </c>
      <c r="I4" s="102">
        <v>9</v>
      </c>
      <c r="J4" s="98">
        <v>8.5</v>
      </c>
      <c r="K4" s="98">
        <v>9</v>
      </c>
      <c r="L4" s="99"/>
      <c r="M4" s="99"/>
      <c r="N4" s="8" t="s">
        <v>273</v>
      </c>
      <c r="O4" s="8" t="s">
        <v>33</v>
      </c>
      <c r="P4" s="8">
        <v>12</v>
      </c>
      <c r="Q4" s="8" t="s">
        <v>33</v>
      </c>
      <c r="R4" s="8"/>
      <c r="S4" s="8"/>
      <c r="T4" s="8"/>
      <c r="U4" s="8"/>
      <c r="X4" s="8">
        <v>2</v>
      </c>
      <c r="Y4" s="8">
        <v>2</v>
      </c>
      <c r="Z4" s="8">
        <v>2</v>
      </c>
      <c r="AA4" s="8">
        <v>5.75</v>
      </c>
      <c r="AB4" s="99">
        <v>6.5</v>
      </c>
      <c r="AC4" s="99">
        <v>8</v>
      </c>
      <c r="AD4" s="4">
        <v>731</v>
      </c>
    </row>
    <row r="5" spans="1:60" ht="13">
      <c r="A5" s="94" t="s">
        <v>426</v>
      </c>
      <c r="B5" s="8" t="s">
        <v>12</v>
      </c>
      <c r="C5" s="96" t="s">
        <v>427</v>
      </c>
      <c r="D5" s="96" t="s">
        <v>428</v>
      </c>
      <c r="E5" t="str">
        <f t="shared" si="0"/>
        <v>Huki Hawaii</v>
      </c>
      <c r="F5" s="8" t="str">
        <f t="shared" si="1"/>
        <v>C</v>
      </c>
      <c r="G5" s="97" t="s">
        <v>159</v>
      </c>
      <c r="H5" s="4">
        <v>844</v>
      </c>
      <c r="I5" s="98">
        <v>15</v>
      </c>
      <c r="J5" s="98">
        <v>10</v>
      </c>
      <c r="K5" s="98">
        <v>10</v>
      </c>
      <c r="L5" s="99"/>
      <c r="M5" s="99"/>
      <c r="N5" s="8"/>
      <c r="O5" s="8" t="s">
        <v>34</v>
      </c>
      <c r="P5" s="8">
        <v>2</v>
      </c>
      <c r="Q5" s="8" t="s">
        <v>34</v>
      </c>
      <c r="R5" s="8" t="s">
        <v>374</v>
      </c>
      <c r="S5" s="8">
        <v>6</v>
      </c>
      <c r="T5" s="8">
        <v>6</v>
      </c>
      <c r="U5" s="8"/>
      <c r="X5" s="8"/>
      <c r="Y5" s="8">
        <v>3</v>
      </c>
      <c r="Z5" s="8">
        <v>3</v>
      </c>
      <c r="AA5" s="8">
        <v>3</v>
      </c>
      <c r="AB5" s="99">
        <v>3</v>
      </c>
      <c r="AC5" s="98">
        <v>15</v>
      </c>
      <c r="AD5" s="4">
        <v>604</v>
      </c>
    </row>
    <row r="6" spans="1:60" ht="13">
      <c r="A6" s="93" t="s">
        <v>590</v>
      </c>
      <c r="B6" s="142" t="s">
        <v>5</v>
      </c>
      <c r="C6" s="140" t="s">
        <v>591</v>
      </c>
      <c r="D6" s="140" t="s">
        <v>593</v>
      </c>
      <c r="E6" t="str">
        <f>TRIM(LEFT(D6,LEN(D6)-5))</f>
        <v>Alvin Enax</v>
      </c>
      <c r="F6" t="s">
        <v>336</v>
      </c>
      <c r="G6" s="127" t="s">
        <v>109</v>
      </c>
      <c r="H6" s="4">
        <v>336</v>
      </c>
      <c r="I6" s="156">
        <v>3</v>
      </c>
      <c r="J6" s="43"/>
      <c r="K6" s="43"/>
      <c r="L6" s="43"/>
      <c r="M6" s="43"/>
      <c r="N6" s="40"/>
      <c r="O6" s="40" t="s">
        <v>126</v>
      </c>
      <c r="P6" s="42">
        <v>12</v>
      </c>
      <c r="Q6" s="40" t="s">
        <v>126</v>
      </c>
      <c r="R6" s="40"/>
      <c r="S6" s="40"/>
      <c r="T6" s="40"/>
      <c r="U6" s="40"/>
      <c r="V6" s="40"/>
      <c r="W6" s="42">
        <v>8</v>
      </c>
      <c r="X6" s="42">
        <v>2.5</v>
      </c>
      <c r="Y6" s="109">
        <v>2.5</v>
      </c>
      <c r="Z6" s="42">
        <v>3</v>
      </c>
      <c r="AA6" s="109">
        <v>3</v>
      </c>
      <c r="AB6" s="44">
        <v>4</v>
      </c>
      <c r="AC6" s="108">
        <v>3</v>
      </c>
      <c r="AD6" s="44">
        <v>4</v>
      </c>
      <c r="AE6" s="109">
        <v>336</v>
      </c>
      <c r="AF6" s="42">
        <v>208</v>
      </c>
      <c r="AG6" s="42">
        <v>180</v>
      </c>
      <c r="AH6" s="42">
        <v>180</v>
      </c>
      <c r="AI6" s="42">
        <v>108</v>
      </c>
      <c r="AJ6" s="40"/>
      <c r="AK6" s="40"/>
      <c r="AL6" s="40"/>
      <c r="AM6" s="40"/>
      <c r="AN6" s="40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</row>
    <row r="7" spans="1:60" ht="13">
      <c r="A7" s="94" t="s">
        <v>460</v>
      </c>
      <c r="B7" s="8" t="s">
        <v>12</v>
      </c>
      <c r="C7" s="96" t="s">
        <v>461</v>
      </c>
      <c r="D7" s="96" t="s">
        <v>462</v>
      </c>
      <c r="E7" t="str">
        <f t="shared" ref="E7:E22" si="2">TRIM(LEFT(D7,LEN(D7)-4))</f>
        <v>Arbin Asipi Jr</v>
      </c>
      <c r="F7" s="8" t="str">
        <f t="shared" ref="F7:F28" si="3">TRIM(RIGHT(D7,2))</f>
        <v>SS</v>
      </c>
      <c r="G7" s="97" t="s">
        <v>151</v>
      </c>
      <c r="H7" s="4">
        <v>706</v>
      </c>
      <c r="I7" s="87">
        <v>6</v>
      </c>
      <c r="J7" s="98">
        <v>11</v>
      </c>
      <c r="K7" s="98">
        <v>3</v>
      </c>
      <c r="L7" s="99"/>
      <c r="M7" s="99"/>
      <c r="N7" s="8" t="s">
        <v>459</v>
      </c>
      <c r="O7" s="8" t="s">
        <v>36</v>
      </c>
      <c r="P7" s="8">
        <v>9</v>
      </c>
      <c r="Q7" s="8" t="s">
        <v>35</v>
      </c>
      <c r="Y7" s="8"/>
      <c r="AA7" s="8">
        <v>0</v>
      </c>
      <c r="AB7" s="99">
        <v>6</v>
      </c>
      <c r="AC7" s="99">
        <v>6</v>
      </c>
      <c r="AD7" s="4">
        <v>493</v>
      </c>
    </row>
    <row r="8" spans="1:60" ht="13">
      <c r="A8" s="94" t="s">
        <v>486</v>
      </c>
      <c r="B8" s="8" t="s">
        <v>12</v>
      </c>
      <c r="C8" s="96" t="s">
        <v>488</v>
      </c>
      <c r="D8" s="97" t="s">
        <v>489</v>
      </c>
      <c r="E8" t="str">
        <f t="shared" si="2"/>
        <v>Hunter Harrison</v>
      </c>
      <c r="F8" s="8" t="str">
        <f t="shared" si="3"/>
        <v>3B</v>
      </c>
      <c r="G8" s="97" t="s">
        <v>298</v>
      </c>
      <c r="H8" s="4">
        <v>780</v>
      </c>
      <c r="I8" s="102">
        <v>7</v>
      </c>
      <c r="J8" s="98">
        <v>7.25</v>
      </c>
      <c r="K8" s="98">
        <v>8</v>
      </c>
      <c r="L8" s="99"/>
      <c r="M8" s="99"/>
      <c r="N8" s="8" t="s">
        <v>273</v>
      </c>
      <c r="O8" t="s">
        <v>36</v>
      </c>
      <c r="P8" s="8">
        <v>8</v>
      </c>
      <c r="Q8" t="s">
        <v>36</v>
      </c>
      <c r="Y8" s="8"/>
      <c r="AA8" s="8">
        <v>0</v>
      </c>
      <c r="AB8" s="99">
        <v>5</v>
      </c>
      <c r="AC8" s="99">
        <v>6</v>
      </c>
      <c r="AD8" s="4">
        <v>396</v>
      </c>
    </row>
    <row r="9" spans="1:60" ht="13">
      <c r="A9" s="94" t="s">
        <v>536</v>
      </c>
      <c r="B9" s="8" t="s">
        <v>12</v>
      </c>
      <c r="C9" s="96" t="s">
        <v>537</v>
      </c>
      <c r="D9" s="96" t="s">
        <v>538</v>
      </c>
      <c r="E9" t="str">
        <f t="shared" si="2"/>
        <v>Coreys Brother</v>
      </c>
      <c r="F9" s="8" t="str">
        <f t="shared" si="3"/>
        <v>SP</v>
      </c>
      <c r="G9" s="97" t="s">
        <v>55</v>
      </c>
      <c r="H9" s="4">
        <v>607</v>
      </c>
      <c r="I9" s="98">
        <v>5.75</v>
      </c>
      <c r="J9" s="98">
        <v>7.25</v>
      </c>
      <c r="K9" s="98">
        <v>8</v>
      </c>
      <c r="L9" s="98">
        <v>8.5</v>
      </c>
      <c r="M9" s="98"/>
      <c r="N9" s="9" t="s">
        <v>604</v>
      </c>
      <c r="O9" s="8" t="s">
        <v>35</v>
      </c>
      <c r="P9" s="8">
        <v>3</v>
      </c>
      <c r="Q9" s="8" t="s">
        <v>35</v>
      </c>
      <c r="R9" s="8"/>
      <c r="S9" s="8"/>
      <c r="T9" s="8"/>
      <c r="U9" s="8"/>
      <c r="W9" s="8"/>
      <c r="X9" s="8"/>
      <c r="Y9" s="8"/>
      <c r="Z9" s="8" t="s">
        <v>257</v>
      </c>
      <c r="AA9" s="8">
        <v>3</v>
      </c>
      <c r="AB9" s="99">
        <v>3</v>
      </c>
      <c r="AC9" s="102">
        <v>3</v>
      </c>
      <c r="AD9" s="4">
        <v>473</v>
      </c>
      <c r="AE9" s="8"/>
      <c r="AF9" s="8"/>
      <c r="AG9" s="8"/>
      <c r="AH9" s="8"/>
      <c r="AI9" s="8"/>
    </row>
    <row r="10" spans="1:60" ht="13">
      <c r="A10" s="94" t="s">
        <v>541</v>
      </c>
      <c r="B10" s="8" t="s">
        <v>12</v>
      </c>
      <c r="C10" s="96" t="s">
        <v>542</v>
      </c>
      <c r="D10" s="96" t="s">
        <v>543</v>
      </c>
      <c r="E10" t="str">
        <f t="shared" si="2"/>
        <v>Isidore Fox</v>
      </c>
      <c r="F10" s="8" t="str">
        <f t="shared" si="3"/>
        <v>CF</v>
      </c>
      <c r="G10" s="97" t="s">
        <v>62</v>
      </c>
      <c r="H10" s="4">
        <v>590</v>
      </c>
      <c r="I10" s="98">
        <v>5.75</v>
      </c>
      <c r="J10" s="99"/>
      <c r="K10" s="99"/>
      <c r="L10" s="99"/>
      <c r="M10" s="99"/>
      <c r="N10" t="s">
        <v>545</v>
      </c>
      <c r="O10" t="s">
        <v>36</v>
      </c>
      <c r="P10" s="8">
        <v>10</v>
      </c>
      <c r="Q10" s="8" t="s">
        <v>36</v>
      </c>
      <c r="Y10" s="8"/>
      <c r="AA10" s="8">
        <v>0</v>
      </c>
      <c r="AB10" s="99">
        <v>3</v>
      </c>
      <c r="AC10" s="90">
        <v>3</v>
      </c>
      <c r="AD10" s="4">
        <v>374</v>
      </c>
    </row>
    <row r="11" spans="1:60" ht="13">
      <c r="A11" s="8"/>
      <c r="B11" s="8" t="s">
        <v>12</v>
      </c>
      <c r="C11" s="96" t="s">
        <v>609</v>
      </c>
      <c r="D11" s="96" t="s">
        <v>611</v>
      </c>
      <c r="E11" t="str">
        <f t="shared" si="2"/>
        <v>Kyle Bellinger</v>
      </c>
      <c r="F11" s="8" t="str">
        <f t="shared" si="3"/>
        <v>2B</v>
      </c>
      <c r="G11" s="97" t="s">
        <v>554</v>
      </c>
      <c r="H11" s="4">
        <v>422</v>
      </c>
      <c r="I11" s="99">
        <v>3</v>
      </c>
      <c r="J11" s="102">
        <v>3</v>
      </c>
      <c r="K11" s="99"/>
      <c r="L11" s="99"/>
      <c r="M11" s="99"/>
      <c r="N11" s="8" t="s">
        <v>612</v>
      </c>
      <c r="O11" s="8" t="s">
        <v>37</v>
      </c>
      <c r="P11" s="8">
        <v>5</v>
      </c>
      <c r="Q11" s="8" t="s">
        <v>37</v>
      </c>
      <c r="W11" s="8"/>
      <c r="X11" s="8"/>
      <c r="Y11" s="8"/>
      <c r="Z11" s="8"/>
      <c r="AB11" s="99" t="s">
        <v>274</v>
      </c>
      <c r="AC11" s="99">
        <v>3</v>
      </c>
      <c r="AD11" s="4">
        <v>195</v>
      </c>
      <c r="AF11" s="8"/>
      <c r="AG11" s="8"/>
      <c r="AH11" s="8"/>
      <c r="AI11" s="8"/>
    </row>
    <row r="12" spans="1:60" ht="13">
      <c r="A12" s="8"/>
      <c r="B12" s="8" t="s">
        <v>12</v>
      </c>
      <c r="C12" s="96" t="s">
        <v>614</v>
      </c>
      <c r="D12" s="96" t="s">
        <v>616</v>
      </c>
      <c r="E12" t="str">
        <f t="shared" si="2"/>
        <v>Peter Dawson</v>
      </c>
      <c r="F12" s="8" t="str">
        <f t="shared" si="3"/>
        <v>SP</v>
      </c>
      <c r="G12" s="97" t="s">
        <v>109</v>
      </c>
      <c r="H12" s="4">
        <v>505</v>
      </c>
      <c r="I12" s="102">
        <v>3</v>
      </c>
      <c r="J12" s="98">
        <v>5.75</v>
      </c>
      <c r="K12" s="98">
        <v>6.5</v>
      </c>
      <c r="L12" s="99"/>
      <c r="M12" s="99"/>
      <c r="N12" s="8" t="s">
        <v>273</v>
      </c>
      <c r="O12" s="8" t="s">
        <v>37</v>
      </c>
      <c r="P12" s="8">
        <v>6</v>
      </c>
      <c r="Q12" s="8" t="s">
        <v>37</v>
      </c>
      <c r="W12" s="8"/>
      <c r="X12" s="8"/>
      <c r="Y12" s="8"/>
      <c r="Z12" s="8"/>
      <c r="AB12" s="99" t="s">
        <v>274</v>
      </c>
      <c r="AC12" s="99">
        <v>3</v>
      </c>
      <c r="AD12" s="4">
        <v>164</v>
      </c>
      <c r="AF12" s="8"/>
      <c r="AG12" s="8"/>
      <c r="AH12" s="8"/>
      <c r="AI12" s="8"/>
    </row>
    <row r="13" spans="1:60" ht="13">
      <c r="A13" s="8"/>
      <c r="B13" s="8" t="s">
        <v>12</v>
      </c>
      <c r="C13" s="96" t="s">
        <v>618</v>
      </c>
      <c r="D13" s="96" t="s">
        <v>620</v>
      </c>
      <c r="E13" t="str">
        <f t="shared" si="2"/>
        <v>Hendrix Lamar</v>
      </c>
      <c r="F13" s="8" t="str">
        <f t="shared" si="3"/>
        <v>C</v>
      </c>
      <c r="G13" s="97" t="s">
        <v>298</v>
      </c>
      <c r="H13" s="4">
        <v>474</v>
      </c>
      <c r="I13" s="99">
        <v>2</v>
      </c>
      <c r="J13" s="102">
        <v>2</v>
      </c>
      <c r="K13" s="99"/>
      <c r="L13" s="99"/>
      <c r="M13" s="99"/>
      <c r="N13" s="8" t="s">
        <v>612</v>
      </c>
      <c r="O13" s="8" t="s">
        <v>37</v>
      </c>
      <c r="P13" s="8">
        <v>27</v>
      </c>
      <c r="Q13" s="8" t="s">
        <v>37</v>
      </c>
      <c r="W13" s="8"/>
      <c r="X13" s="8"/>
      <c r="Y13" s="8"/>
      <c r="Z13" s="8"/>
      <c r="AB13" s="99" t="s">
        <v>274</v>
      </c>
      <c r="AC13" s="99">
        <v>2</v>
      </c>
      <c r="AD13" s="4">
        <v>148</v>
      </c>
      <c r="AF13" s="8"/>
      <c r="AG13" s="8"/>
      <c r="AH13" s="8"/>
      <c r="AI13" s="8"/>
    </row>
    <row r="14" spans="1:60" ht="13">
      <c r="A14" s="8"/>
      <c r="B14" s="8" t="s">
        <v>12</v>
      </c>
      <c r="C14" s="96" t="s">
        <v>622</v>
      </c>
      <c r="D14" s="96" t="s">
        <v>623</v>
      </c>
      <c r="E14" t="str">
        <f t="shared" si="2"/>
        <v>Leo Komarov</v>
      </c>
      <c r="F14" s="8" t="str">
        <f t="shared" si="3"/>
        <v>CL</v>
      </c>
      <c r="G14" s="97" t="s">
        <v>290</v>
      </c>
      <c r="H14" s="4">
        <v>348</v>
      </c>
      <c r="I14" s="99">
        <v>2</v>
      </c>
      <c r="J14" s="102">
        <v>2</v>
      </c>
      <c r="K14" s="99"/>
      <c r="L14" s="99"/>
      <c r="M14" s="99"/>
      <c r="N14" s="8" t="s">
        <v>612</v>
      </c>
      <c r="O14" s="8" t="s">
        <v>37</v>
      </c>
      <c r="P14" s="8">
        <v>16</v>
      </c>
      <c r="Q14" s="8" t="s">
        <v>37</v>
      </c>
      <c r="W14" s="8"/>
      <c r="X14" s="8"/>
      <c r="Y14" s="8"/>
      <c r="Z14" s="8"/>
      <c r="AB14" s="99" t="s">
        <v>274</v>
      </c>
      <c r="AC14" s="99">
        <v>2</v>
      </c>
      <c r="AD14" s="4">
        <v>160</v>
      </c>
      <c r="AF14" s="8"/>
      <c r="AG14" s="8"/>
      <c r="AH14" s="8"/>
      <c r="AI14" s="8"/>
    </row>
    <row r="15" spans="1:60" ht="13">
      <c r="A15" s="8"/>
      <c r="B15" s="8" t="s">
        <v>12</v>
      </c>
      <c r="C15" s="96" t="s">
        <v>624</v>
      </c>
      <c r="D15" s="96" t="s">
        <v>625</v>
      </c>
      <c r="E15" t="str">
        <f t="shared" si="2"/>
        <v>Dafydd Davies</v>
      </c>
      <c r="F15" s="8" t="str">
        <f t="shared" si="3"/>
        <v>SP</v>
      </c>
      <c r="G15" s="97" t="s">
        <v>109</v>
      </c>
      <c r="H15" s="4">
        <v>298</v>
      </c>
      <c r="I15" s="99">
        <v>3</v>
      </c>
      <c r="J15" s="102">
        <v>3</v>
      </c>
      <c r="K15" s="99"/>
      <c r="L15" s="99"/>
      <c r="M15" s="99"/>
      <c r="N15" s="8" t="s">
        <v>612</v>
      </c>
      <c r="O15" s="8" t="s">
        <v>37</v>
      </c>
      <c r="P15" s="8">
        <v>10</v>
      </c>
      <c r="Q15" s="8" t="s">
        <v>37</v>
      </c>
      <c r="W15" s="8"/>
      <c r="X15" s="8"/>
      <c r="Y15" s="8"/>
      <c r="Z15" s="8"/>
      <c r="AB15" s="99" t="s">
        <v>274</v>
      </c>
      <c r="AC15" s="99">
        <v>3</v>
      </c>
      <c r="AD15" s="4">
        <v>147</v>
      </c>
      <c r="AF15" s="8"/>
      <c r="AG15" s="8"/>
      <c r="AH15" s="8"/>
      <c r="AI15" s="8"/>
    </row>
    <row r="16" spans="1:60" ht="13">
      <c r="A16" s="94" t="s">
        <v>627</v>
      </c>
      <c r="B16" s="8" t="s">
        <v>12</v>
      </c>
      <c r="C16" s="96" t="s">
        <v>629</v>
      </c>
      <c r="D16" s="96" t="s">
        <v>630</v>
      </c>
      <c r="E16" t="str">
        <f t="shared" si="2"/>
        <v>Kosuke Yamauchi</v>
      </c>
      <c r="F16" s="8" t="str">
        <f t="shared" si="3"/>
        <v>SP</v>
      </c>
      <c r="G16" s="97" t="s">
        <v>55</v>
      </c>
      <c r="H16" s="4">
        <v>272</v>
      </c>
      <c r="I16" s="98">
        <v>2</v>
      </c>
      <c r="J16" s="98">
        <v>2</v>
      </c>
      <c r="K16" s="99"/>
      <c r="L16" s="99"/>
      <c r="M16" s="99"/>
      <c r="N16" t="s">
        <v>516</v>
      </c>
      <c r="O16" t="s">
        <v>35</v>
      </c>
      <c r="P16" s="8">
        <v>8</v>
      </c>
      <c r="Q16" s="8" t="s">
        <v>35</v>
      </c>
      <c r="Y16" s="8"/>
      <c r="Z16" t="s">
        <v>257</v>
      </c>
      <c r="AA16" s="8">
        <v>2</v>
      </c>
      <c r="AB16" s="99">
        <v>3</v>
      </c>
      <c r="AC16" s="87">
        <v>3</v>
      </c>
      <c r="AD16" s="8">
        <v>231</v>
      </c>
    </row>
    <row r="17" spans="1:60" ht="12.75" customHeight="1">
      <c r="B17" s="8" t="s">
        <v>12</v>
      </c>
      <c r="C17" s="96" t="s">
        <v>634</v>
      </c>
      <c r="D17" s="96" t="s">
        <v>635</v>
      </c>
      <c r="E17" s="8" t="str">
        <f t="shared" si="2"/>
        <v>Theodore Crunkleton</v>
      </c>
      <c r="F17" s="11" t="str">
        <f t="shared" si="3"/>
        <v>SS</v>
      </c>
      <c r="G17" s="138" t="s">
        <v>565</v>
      </c>
      <c r="H17" s="4">
        <v>371</v>
      </c>
      <c r="I17" s="99">
        <v>5</v>
      </c>
      <c r="J17" s="99">
        <v>5</v>
      </c>
      <c r="K17" s="87">
        <v>5</v>
      </c>
      <c r="L17" s="103"/>
      <c r="M17" s="103"/>
      <c r="N17" s="12"/>
      <c r="O17" s="4" t="s">
        <v>38</v>
      </c>
      <c r="P17" s="4">
        <v>8</v>
      </c>
      <c r="Q17" s="8" t="s">
        <v>37</v>
      </c>
      <c r="AB17" s="12"/>
      <c r="AC17" s="82" t="s">
        <v>274</v>
      </c>
      <c r="AD17" s="82">
        <v>163</v>
      </c>
    </row>
    <row r="18" spans="1:60" ht="12.75" customHeight="1">
      <c r="B18" s="8" t="s">
        <v>12</v>
      </c>
      <c r="C18" s="96" t="s">
        <v>637</v>
      </c>
      <c r="D18" s="96" t="s">
        <v>638</v>
      </c>
      <c r="E18" s="8" t="str">
        <f t="shared" si="2"/>
        <v>Blu Line</v>
      </c>
      <c r="F18" s="11" t="str">
        <f t="shared" si="3"/>
        <v>CL</v>
      </c>
      <c r="G18" s="138" t="s">
        <v>109</v>
      </c>
      <c r="H18" s="4">
        <v>380</v>
      </c>
      <c r="I18" s="99">
        <v>5</v>
      </c>
      <c r="J18" s="99">
        <v>5</v>
      </c>
      <c r="K18" s="87">
        <v>5</v>
      </c>
      <c r="L18" s="103"/>
      <c r="M18" s="103"/>
      <c r="N18" s="12"/>
      <c r="O18" s="4" t="s">
        <v>38</v>
      </c>
      <c r="P18" s="4">
        <v>1</v>
      </c>
      <c r="Q18" s="8" t="s">
        <v>37</v>
      </c>
      <c r="AB18" s="12"/>
      <c r="AC18" s="82" t="s">
        <v>274</v>
      </c>
      <c r="AD18" s="82">
        <v>108</v>
      </c>
    </row>
    <row r="19" spans="1:60" ht="12.75" customHeight="1">
      <c r="B19" s="8" t="s">
        <v>12</v>
      </c>
      <c r="C19" s="96" t="s">
        <v>640</v>
      </c>
      <c r="D19" s="96" t="s">
        <v>642</v>
      </c>
      <c r="E19" s="8" t="str">
        <f t="shared" si="2"/>
        <v>Mamoru Okonomi</v>
      </c>
      <c r="F19" s="11" t="str">
        <f t="shared" si="3"/>
        <v>CL</v>
      </c>
      <c r="G19" s="138" t="s">
        <v>55</v>
      </c>
      <c r="H19" s="4">
        <v>351</v>
      </c>
      <c r="I19" s="99">
        <v>2</v>
      </c>
      <c r="J19" s="99">
        <v>2</v>
      </c>
      <c r="K19" s="102">
        <v>2</v>
      </c>
      <c r="L19" s="103"/>
      <c r="M19" s="103"/>
      <c r="N19" s="12"/>
      <c r="O19" s="4" t="s">
        <v>38</v>
      </c>
      <c r="P19" s="4">
        <v>10</v>
      </c>
      <c r="Q19" s="4" t="s">
        <v>38</v>
      </c>
      <c r="AB19" s="12"/>
      <c r="AC19" s="103" t="s">
        <v>274</v>
      </c>
      <c r="AD19" s="82">
        <v>100</v>
      </c>
    </row>
    <row r="20" spans="1:60" ht="12.75" customHeight="1">
      <c r="B20" s="8" t="s">
        <v>12</v>
      </c>
      <c r="C20" s="96" t="s">
        <v>644</v>
      </c>
      <c r="D20" s="96" t="s">
        <v>646</v>
      </c>
      <c r="E20" s="8" t="str">
        <f t="shared" si="2"/>
        <v>Thor Sigurdsson</v>
      </c>
      <c r="F20" s="11" t="str">
        <f t="shared" si="3"/>
        <v>CF</v>
      </c>
      <c r="G20" s="138" t="s">
        <v>97</v>
      </c>
      <c r="H20" s="4">
        <v>188</v>
      </c>
      <c r="I20" s="99">
        <v>2</v>
      </c>
      <c r="J20" s="102">
        <v>2</v>
      </c>
      <c r="K20" s="103"/>
      <c r="L20" s="103"/>
      <c r="M20" s="103"/>
      <c r="N20" s="12"/>
      <c r="O20" s="4" t="s">
        <v>38</v>
      </c>
      <c r="P20" s="4">
        <v>15</v>
      </c>
      <c r="Q20" s="4" t="s">
        <v>38</v>
      </c>
      <c r="AB20" s="12"/>
      <c r="AC20" s="103" t="s">
        <v>274</v>
      </c>
      <c r="AD20" s="82">
        <v>100</v>
      </c>
    </row>
    <row r="21" spans="1:60" ht="12.75" customHeight="1">
      <c r="B21" s="8" t="s">
        <v>12</v>
      </c>
      <c r="C21" s="96" t="s">
        <v>649</v>
      </c>
      <c r="D21" s="96" t="s">
        <v>651</v>
      </c>
      <c r="E21" s="8" t="str">
        <f t="shared" si="2"/>
        <v>Mason Brown 2.0</v>
      </c>
      <c r="F21" s="11" t="str">
        <f t="shared" si="3"/>
        <v>LF</v>
      </c>
      <c r="G21" s="138" t="s">
        <v>554</v>
      </c>
      <c r="H21" s="4">
        <v>165</v>
      </c>
      <c r="I21" s="99">
        <v>2</v>
      </c>
      <c r="J21" s="99">
        <v>2</v>
      </c>
      <c r="K21" s="102">
        <v>2</v>
      </c>
      <c r="L21" s="103"/>
      <c r="M21" s="103"/>
      <c r="N21" s="12"/>
      <c r="O21" s="4" t="s">
        <v>38</v>
      </c>
      <c r="P21" s="4">
        <v>26</v>
      </c>
      <c r="Q21" s="4" t="s">
        <v>38</v>
      </c>
      <c r="AB21" s="12"/>
      <c r="AC21" s="103" t="s">
        <v>274</v>
      </c>
      <c r="AD21" s="82">
        <v>100</v>
      </c>
    </row>
    <row r="22" spans="1:60" ht="13">
      <c r="B22" s="4" t="s">
        <v>12</v>
      </c>
      <c r="C22" s="140" t="s">
        <v>654</v>
      </c>
      <c r="D22" s="140" t="s">
        <v>655</v>
      </c>
      <c r="E22" t="str">
        <f t="shared" si="2"/>
        <v>Hayley MaConnell</v>
      </c>
      <c r="F22" t="str">
        <f t="shared" si="3"/>
        <v>SP</v>
      </c>
      <c r="G22" s="127" t="s">
        <v>120</v>
      </c>
      <c r="H22" s="4">
        <v>559</v>
      </c>
      <c r="I22" s="87">
        <v>5</v>
      </c>
      <c r="J22" s="157">
        <v>5</v>
      </c>
      <c r="K22" s="98">
        <v>6.5</v>
      </c>
      <c r="L22" s="99"/>
      <c r="M22" s="99"/>
      <c r="N22" s="9" t="s">
        <v>566</v>
      </c>
      <c r="O22" t="s">
        <v>37</v>
      </c>
      <c r="P22">
        <v>38</v>
      </c>
      <c r="Q22" t="s">
        <v>37</v>
      </c>
      <c r="AB22" s="99" t="s">
        <v>274</v>
      </c>
      <c r="AC22" s="99">
        <v>5</v>
      </c>
      <c r="AD22" s="4">
        <v>174</v>
      </c>
    </row>
    <row r="23" spans="1:60" ht="12.75" customHeight="1">
      <c r="A23" s="94" t="s">
        <v>658</v>
      </c>
      <c r="B23" s="4" t="s">
        <v>12</v>
      </c>
      <c r="C23" s="140" t="s">
        <v>660</v>
      </c>
      <c r="D23" s="140" t="s">
        <v>663</v>
      </c>
      <c r="E23" t="str">
        <f>TRIM(LEFT(D23,LEN(D23)-5))</f>
        <v>Michael Marti</v>
      </c>
      <c r="F23" t="str">
        <f t="shared" si="3"/>
        <v>C</v>
      </c>
      <c r="G23" s="127" t="s">
        <v>159</v>
      </c>
      <c r="H23" s="4">
        <v>243</v>
      </c>
      <c r="I23" s="98">
        <v>2</v>
      </c>
      <c r="J23" s="99"/>
      <c r="K23" s="99"/>
      <c r="L23" s="99"/>
      <c r="M23" s="99"/>
      <c r="O23" t="s">
        <v>70</v>
      </c>
      <c r="P23">
        <v>55</v>
      </c>
      <c r="Q23" t="s">
        <v>70</v>
      </c>
      <c r="V23">
        <v>0.5</v>
      </c>
      <c r="W23">
        <v>2.5</v>
      </c>
      <c r="X23">
        <v>2.5</v>
      </c>
      <c r="Y23" s="8">
        <v>2</v>
      </c>
      <c r="Z23">
        <v>233</v>
      </c>
      <c r="AA23" s="8">
        <v>2</v>
      </c>
      <c r="AB23" s="99"/>
      <c r="AC23" s="99">
        <v>2</v>
      </c>
      <c r="AD23" s="99"/>
      <c r="AE23" s="4">
        <v>243</v>
      </c>
      <c r="AF23">
        <v>233</v>
      </c>
      <c r="AG23">
        <v>230</v>
      </c>
      <c r="AH23">
        <v>230</v>
      </c>
      <c r="AJ23" s="8" t="str">
        <f>VLOOKUP(B23,Analysis!$A$24:$B$32,2,FALSE)</f>
        <v>:vandals:</v>
      </c>
      <c r="AK23" s="8" t="str">
        <f>AJ23&amp;" [b][url="&amp;A23&amp;"]"&amp;D23&amp;"[/url][/b] TPE: "&amp;H23&amp;", Regression Class: "&amp;Q23</f>
        <v>:vandals: [b][url=http://probaseballexperience.jcink.net/index.php?showtopic=247]Michael Martin - C[/url][/b] TPE: 243, Regression Class: S1</v>
      </c>
    </row>
    <row r="24" spans="1:60" ht="12.75" customHeight="1">
      <c r="A24" s="94" t="s">
        <v>596</v>
      </c>
      <c r="B24" s="8" t="s">
        <v>304</v>
      </c>
      <c r="C24" s="96" t="s">
        <v>597</v>
      </c>
      <c r="D24" s="96" t="s">
        <v>598</v>
      </c>
      <c r="E24" s="8" t="str">
        <f>TRIM(LEFT(D24,LEN(D24)-4))</f>
        <v>Orlando Jackson</v>
      </c>
      <c r="F24" s="8" t="str">
        <f t="shared" si="3"/>
        <v>LF</v>
      </c>
      <c r="G24" s="97" t="s">
        <v>76</v>
      </c>
      <c r="H24" s="4">
        <v>422</v>
      </c>
      <c r="I24" s="98">
        <v>4</v>
      </c>
      <c r="J24" s="99"/>
      <c r="K24" s="99"/>
      <c r="L24" s="99"/>
      <c r="M24" s="99"/>
      <c r="N24" s="8" t="s">
        <v>273</v>
      </c>
      <c r="O24" s="8" t="s">
        <v>33</v>
      </c>
      <c r="P24" s="8">
        <v>18</v>
      </c>
      <c r="Q24" s="8" t="s">
        <v>32</v>
      </c>
      <c r="R24" s="8"/>
      <c r="S24" s="8"/>
      <c r="T24" s="8"/>
      <c r="V24" s="8"/>
      <c r="W24" s="8">
        <v>2</v>
      </c>
      <c r="X24" s="8">
        <v>1.5</v>
      </c>
      <c r="Y24" s="8">
        <v>1.5</v>
      </c>
      <c r="Z24" s="8">
        <v>1.5</v>
      </c>
      <c r="AA24" s="8">
        <v>4</v>
      </c>
      <c r="AB24" s="99">
        <v>5</v>
      </c>
      <c r="AC24" s="99">
        <v>6.5</v>
      </c>
      <c r="AD24" s="4">
        <v>422</v>
      </c>
      <c r="AE24" s="8">
        <v>100</v>
      </c>
      <c r="AF24" s="8">
        <v>100</v>
      </c>
      <c r="AG24" s="8"/>
      <c r="AH24" s="8"/>
    </row>
    <row r="25" spans="1:60" ht="13">
      <c r="A25" s="47"/>
      <c r="B25" s="47" t="s">
        <v>44</v>
      </c>
      <c r="C25" s="159" t="s">
        <v>665</v>
      </c>
      <c r="D25" s="112" t="s">
        <v>667</v>
      </c>
      <c r="E25" s="47" t="str">
        <f t="shared" ref="E25:E27" si="4">IFERROR(TRIM(LEFT(D25,LEN(D25)-4)),"")</f>
        <v>Chris King</v>
      </c>
      <c r="F25" s="47" t="str">
        <f t="shared" si="3"/>
        <v>3B</v>
      </c>
      <c r="G25" s="47" t="s">
        <v>84</v>
      </c>
      <c r="H25" s="113">
        <v>175</v>
      </c>
      <c r="I25" s="114" t="s">
        <v>274</v>
      </c>
      <c r="J25" s="114">
        <v>3</v>
      </c>
      <c r="K25" s="114">
        <v>3</v>
      </c>
      <c r="L25" s="115"/>
      <c r="M25" s="115"/>
      <c r="N25" s="48" t="s">
        <v>670</v>
      </c>
      <c r="O25" s="47" t="s">
        <v>19</v>
      </c>
      <c r="P25" s="117">
        <v>4</v>
      </c>
      <c r="Q25" s="47" t="s">
        <v>19</v>
      </c>
      <c r="R25" s="47"/>
      <c r="S25" s="47"/>
      <c r="T25" s="47"/>
      <c r="U25" s="49"/>
      <c r="V25" s="47"/>
      <c r="W25" s="47"/>
      <c r="X25" s="47"/>
      <c r="Y25" s="47"/>
      <c r="Z25" s="49"/>
      <c r="AA25" s="47"/>
      <c r="AB25" s="115"/>
      <c r="AC25" s="115"/>
      <c r="AD25" s="47" t="s">
        <v>47</v>
      </c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</row>
    <row r="26" spans="1:60" ht="13">
      <c r="A26" s="50"/>
      <c r="B26" s="50" t="s">
        <v>44</v>
      </c>
      <c r="C26" s="144" t="s">
        <v>672</v>
      </c>
      <c r="D26" s="160" t="str">
        <f>HYPERLINK("http://probaseballexperience.jcink.net/index.php?showtopic=6150","Jonny Times II - CF")</f>
        <v>Jonny Times II - CF</v>
      </c>
      <c r="E26" s="50" t="str">
        <f t="shared" si="4"/>
        <v>Jonny Times II</v>
      </c>
      <c r="F26" s="50" t="str">
        <f t="shared" si="3"/>
        <v>CF</v>
      </c>
      <c r="G26" s="50" t="s">
        <v>662</v>
      </c>
      <c r="H26" s="123">
        <v>175</v>
      </c>
      <c r="I26" s="114" t="s">
        <v>274</v>
      </c>
      <c r="J26" s="114">
        <v>3</v>
      </c>
      <c r="K26" s="114">
        <v>3</v>
      </c>
      <c r="L26" s="146"/>
      <c r="M26" s="146"/>
      <c r="N26" s="48" t="s">
        <v>670</v>
      </c>
      <c r="O26" s="50" t="s">
        <v>19</v>
      </c>
      <c r="P26" s="147">
        <v>5</v>
      </c>
      <c r="Q26" s="50" t="s">
        <v>19</v>
      </c>
      <c r="R26" s="50"/>
      <c r="S26" s="50"/>
      <c r="T26" s="50"/>
      <c r="U26" s="148"/>
      <c r="V26" s="50"/>
      <c r="W26" s="50"/>
      <c r="X26" s="50"/>
      <c r="Y26" s="50"/>
      <c r="Z26" s="148"/>
      <c r="AA26" s="50"/>
      <c r="AB26" s="146"/>
      <c r="AC26" s="146"/>
      <c r="AD26" s="50" t="s">
        <v>47</v>
      </c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</row>
    <row r="27" spans="1:60" ht="13">
      <c r="A27" s="50"/>
      <c r="B27" s="50" t="s">
        <v>12</v>
      </c>
      <c r="C27" s="144" t="s">
        <v>674</v>
      </c>
      <c r="D27" s="112" t="s">
        <v>676</v>
      </c>
      <c r="E27" s="50" t="str">
        <f t="shared" si="4"/>
        <v>Colby Kidd</v>
      </c>
      <c r="F27" s="50" t="str">
        <f t="shared" si="3"/>
        <v>CL</v>
      </c>
      <c r="G27" s="161" t="s">
        <v>114</v>
      </c>
      <c r="H27" s="123">
        <v>144</v>
      </c>
      <c r="I27" s="114" t="s">
        <v>274</v>
      </c>
      <c r="J27" s="145">
        <v>1.5</v>
      </c>
      <c r="K27" s="145">
        <v>1.5</v>
      </c>
      <c r="L27" s="146"/>
      <c r="M27" s="146"/>
      <c r="N27" s="48" t="s">
        <v>670</v>
      </c>
      <c r="O27" s="50" t="s">
        <v>19</v>
      </c>
      <c r="P27" s="147">
        <v>10</v>
      </c>
      <c r="Q27" s="50" t="s">
        <v>19</v>
      </c>
      <c r="R27" s="50"/>
      <c r="S27" s="50"/>
      <c r="T27" s="50"/>
      <c r="U27" s="148"/>
      <c r="V27" s="50"/>
      <c r="W27" s="50"/>
      <c r="X27" s="50"/>
      <c r="Y27" s="50"/>
      <c r="Z27" s="148"/>
      <c r="AA27" s="50"/>
      <c r="AB27" s="146"/>
      <c r="AC27" s="146"/>
      <c r="AD27" s="50" t="s">
        <v>47</v>
      </c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</row>
    <row r="28" spans="1:60" ht="13">
      <c r="A28" s="47"/>
      <c r="B28" s="47" t="s">
        <v>12</v>
      </c>
      <c r="C28" s="111" t="s">
        <v>678</v>
      </c>
      <c r="D28" s="112" t="s">
        <v>679</v>
      </c>
      <c r="E28" s="47" t="str">
        <f>TRIM(LEFT(D28,LEN(D28)-4))</f>
        <v>Randy Drumbo</v>
      </c>
      <c r="F28" s="47" t="str">
        <f t="shared" si="3"/>
        <v>C</v>
      </c>
      <c r="G28" s="47" t="s">
        <v>192</v>
      </c>
      <c r="H28" s="113">
        <v>149</v>
      </c>
      <c r="I28" s="114" t="s">
        <v>274</v>
      </c>
      <c r="J28" s="145">
        <v>1.5</v>
      </c>
      <c r="K28" s="145">
        <v>1.5</v>
      </c>
      <c r="L28" s="115"/>
      <c r="M28" s="115"/>
      <c r="N28" s="48" t="s">
        <v>670</v>
      </c>
      <c r="O28" s="47" t="s">
        <v>19</v>
      </c>
      <c r="P28" s="162">
        <v>26</v>
      </c>
      <c r="Q28" s="47" t="s">
        <v>38</v>
      </c>
      <c r="R28" s="47"/>
      <c r="S28" s="47"/>
      <c r="T28" s="47"/>
      <c r="U28" s="49"/>
      <c r="V28" s="47"/>
      <c r="W28" s="47"/>
      <c r="X28" s="47"/>
      <c r="Y28" s="47"/>
      <c r="Z28" s="49"/>
      <c r="AA28" s="47"/>
      <c r="AB28" s="115"/>
      <c r="AC28" s="115"/>
      <c r="AD28" s="47" t="s">
        <v>47</v>
      </c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</row>
    <row r="29" spans="1:60" ht="13">
      <c r="C29" s="127"/>
      <c r="D29" s="127"/>
      <c r="G29" s="127"/>
      <c r="I29" s="99"/>
      <c r="J29" s="99"/>
      <c r="K29" s="99"/>
      <c r="L29" s="99"/>
      <c r="M29" s="99"/>
      <c r="N29" s="8" t="s">
        <v>338</v>
      </c>
      <c r="U29" s="8"/>
      <c r="Z29" s="8"/>
      <c r="AA29">
        <f>9.25/2+4.75</f>
        <v>9.375</v>
      </c>
      <c r="AB29" s="99"/>
      <c r="AC29" s="98">
        <v>3.75</v>
      </c>
    </row>
    <row r="30" spans="1:60" ht="13">
      <c r="C30" s="127"/>
      <c r="D30" s="127"/>
      <c r="G30" s="127"/>
      <c r="I30" s="98">
        <v>0.75</v>
      </c>
      <c r="J30" s="99"/>
      <c r="K30" s="99"/>
      <c r="L30" s="99"/>
      <c r="M30" s="99"/>
      <c r="N30" s="8" t="s">
        <v>340</v>
      </c>
      <c r="U30" s="8"/>
      <c r="Z30" s="8">
        <v>3</v>
      </c>
      <c r="AB30" s="99"/>
      <c r="AC30" s="98">
        <v>5.875</v>
      </c>
    </row>
    <row r="31" spans="1:60" ht="13">
      <c r="A31" s="12"/>
      <c r="B31" s="12"/>
      <c r="C31" s="89"/>
      <c r="D31" s="89"/>
      <c r="E31" s="12"/>
      <c r="F31" s="12"/>
      <c r="G31" s="89"/>
      <c r="H31" s="12"/>
      <c r="I31" s="86">
        <f t="shared" ref="I31:L31" si="5">SUM(I2:I30)</f>
        <v>114.25</v>
      </c>
      <c r="J31" s="86">
        <f t="shared" si="5"/>
        <v>91.75</v>
      </c>
      <c r="K31" s="86">
        <f t="shared" si="5"/>
        <v>74</v>
      </c>
      <c r="L31" s="86">
        <f t="shared" si="5"/>
        <v>8.5</v>
      </c>
      <c r="M31" s="86"/>
      <c r="N31" s="12"/>
      <c r="O31" s="12"/>
      <c r="P31" s="12"/>
      <c r="Q31" s="12"/>
      <c r="R31" s="12"/>
      <c r="S31" s="12"/>
      <c r="T31" s="12"/>
      <c r="U31" s="11"/>
      <c r="V31" s="12"/>
      <c r="W31" s="12"/>
      <c r="X31" s="12"/>
      <c r="Y31" s="12">
        <f>SUM(Y4:Y10)</f>
        <v>7.5</v>
      </c>
      <c r="Z31" s="12">
        <f t="shared" ref="Z31:AC31" si="6">SUM(Z4:Z30)</f>
        <v>245.5</v>
      </c>
      <c r="AA31" s="12">
        <f t="shared" si="6"/>
        <v>32.125</v>
      </c>
      <c r="AB31" s="86">
        <f t="shared" si="6"/>
        <v>38.5</v>
      </c>
      <c r="AC31" s="86">
        <f t="shared" si="6"/>
        <v>83.125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</row>
    <row r="32" spans="1:60" ht="13">
      <c r="C32" s="127"/>
      <c r="D32" s="127"/>
      <c r="G32" s="127"/>
    </row>
    <row r="33" spans="3:33" ht="13">
      <c r="C33" s="127"/>
      <c r="D33" s="127"/>
      <c r="E33" s="128" t="s">
        <v>343</v>
      </c>
      <c r="F33" s="99"/>
      <c r="G33" s="129"/>
      <c r="AE33" s="8"/>
      <c r="AF33" s="8"/>
      <c r="AG33" s="8"/>
    </row>
    <row r="34" spans="3:33" ht="13">
      <c r="C34" s="127"/>
      <c r="D34" s="127"/>
      <c r="E34" s="98" t="s">
        <v>344</v>
      </c>
      <c r="F34" s="99"/>
      <c r="G34" s="129"/>
    </row>
    <row r="35" spans="3:33" ht="13">
      <c r="C35" s="127"/>
      <c r="D35" s="127"/>
      <c r="E35" s="149" t="s">
        <v>345</v>
      </c>
      <c r="F35" s="150"/>
      <c r="G35" s="151"/>
    </row>
    <row r="36" spans="3:33" ht="13">
      <c r="C36" s="127"/>
      <c r="D36" s="127"/>
      <c r="E36" s="125" t="s">
        <v>347</v>
      </c>
      <c r="F36" s="102"/>
      <c r="G36" s="133"/>
    </row>
    <row r="37" spans="3:33" ht="13">
      <c r="C37" s="127"/>
      <c r="D37" s="127"/>
      <c r="E37" s="90" t="s">
        <v>348</v>
      </c>
      <c r="F37" s="87"/>
      <c r="G37" s="134"/>
    </row>
    <row r="38" spans="3:33" ht="13">
      <c r="C38" s="127"/>
      <c r="D38" s="127"/>
      <c r="E38" s="416" t="s">
        <v>350</v>
      </c>
      <c r="F38" s="417"/>
      <c r="G38" s="418"/>
    </row>
    <row r="39" spans="3:33" ht="13">
      <c r="C39" s="127"/>
      <c r="D39" s="127"/>
      <c r="G39" s="127"/>
    </row>
    <row r="40" spans="3:33" ht="13">
      <c r="C40" s="127"/>
      <c r="D40" s="127"/>
      <c r="G40" s="127"/>
    </row>
    <row r="41" spans="3:33" ht="13">
      <c r="C41" s="127"/>
      <c r="D41" s="127"/>
      <c r="G41" s="127"/>
    </row>
    <row r="42" spans="3:33" ht="13">
      <c r="C42" s="127"/>
      <c r="D42" s="127"/>
      <c r="G42" s="127"/>
    </row>
    <row r="43" spans="3:33" ht="13">
      <c r="C43" s="127"/>
      <c r="D43" s="127"/>
      <c r="G43" s="127"/>
    </row>
    <row r="44" spans="3:33" ht="13">
      <c r="C44" s="127"/>
      <c r="D44" s="127"/>
      <c r="G44" s="127"/>
    </row>
    <row r="45" spans="3:33" ht="13">
      <c r="C45" s="127"/>
      <c r="D45" s="127"/>
      <c r="G45" s="127"/>
    </row>
    <row r="46" spans="3:33" ht="13">
      <c r="C46" s="127"/>
      <c r="D46" s="127"/>
      <c r="G46" s="127"/>
    </row>
    <row r="47" spans="3:33" ht="13">
      <c r="C47" s="127"/>
      <c r="D47" s="127"/>
      <c r="G47" s="127"/>
    </row>
    <row r="48" spans="3:33" ht="13">
      <c r="C48" s="127"/>
      <c r="D48" s="127"/>
      <c r="G48" s="127"/>
    </row>
    <row r="49" spans="3:7" ht="13">
      <c r="C49" s="127"/>
      <c r="D49" s="127"/>
      <c r="G49" s="127"/>
    </row>
    <row r="50" spans="3:7" ht="13">
      <c r="C50" s="127"/>
      <c r="D50" s="127"/>
      <c r="G50" s="127"/>
    </row>
    <row r="51" spans="3:7" ht="13">
      <c r="C51" s="127"/>
      <c r="D51" s="127"/>
      <c r="G51" s="127"/>
    </row>
    <row r="52" spans="3:7" ht="13">
      <c r="C52" s="127"/>
      <c r="D52" s="127"/>
      <c r="G52" s="127"/>
    </row>
    <row r="53" spans="3:7" ht="13">
      <c r="C53" s="127"/>
      <c r="D53" s="127"/>
      <c r="G53" s="127"/>
    </row>
    <row r="54" spans="3:7" ht="13">
      <c r="C54" s="127"/>
      <c r="D54" s="127"/>
      <c r="G54" s="127"/>
    </row>
    <row r="55" spans="3:7" ht="13">
      <c r="C55" s="127"/>
      <c r="D55" s="127"/>
      <c r="G55" s="127"/>
    </row>
    <row r="56" spans="3:7" ht="13">
      <c r="C56" s="127"/>
      <c r="D56" s="127"/>
      <c r="G56" s="127"/>
    </row>
    <row r="57" spans="3:7" ht="13">
      <c r="C57" s="127"/>
      <c r="D57" s="127"/>
      <c r="G57" s="127"/>
    </row>
    <row r="58" spans="3:7" ht="13">
      <c r="C58" s="127"/>
      <c r="D58" s="127"/>
      <c r="G58" s="127"/>
    </row>
    <row r="59" spans="3:7" ht="13">
      <c r="C59" s="127"/>
      <c r="D59" s="127"/>
      <c r="G59" s="127"/>
    </row>
    <row r="60" spans="3:7" ht="13">
      <c r="C60" s="127"/>
      <c r="D60" s="127"/>
      <c r="G60" s="127"/>
    </row>
    <row r="61" spans="3:7" ht="13">
      <c r="C61" s="127"/>
      <c r="D61" s="127"/>
      <c r="G61" s="127"/>
    </row>
    <row r="62" spans="3:7" ht="13">
      <c r="C62" s="127"/>
      <c r="D62" s="127"/>
      <c r="G62" s="127"/>
    </row>
    <row r="63" spans="3:7" ht="13">
      <c r="C63" s="127"/>
      <c r="D63" s="127"/>
      <c r="G63" s="127"/>
    </row>
    <row r="64" spans="3:7" ht="13">
      <c r="C64" s="127"/>
      <c r="D64" s="127"/>
      <c r="G64" s="127"/>
    </row>
    <row r="65" spans="3:7" ht="13">
      <c r="C65" s="127"/>
      <c r="D65" s="127"/>
      <c r="G65" s="127"/>
    </row>
    <row r="66" spans="3:7" ht="13">
      <c r="C66" s="127"/>
      <c r="D66" s="127"/>
      <c r="G66" s="127"/>
    </row>
    <row r="67" spans="3:7" ht="13">
      <c r="C67" s="127"/>
      <c r="D67" s="127"/>
      <c r="G67" s="127"/>
    </row>
    <row r="68" spans="3:7" ht="13">
      <c r="C68" s="127"/>
      <c r="D68" s="127"/>
      <c r="G68" s="127"/>
    </row>
    <row r="69" spans="3:7" ht="13">
      <c r="C69" s="127"/>
      <c r="D69" s="127"/>
      <c r="G69" s="127"/>
    </row>
    <row r="70" spans="3:7" ht="13">
      <c r="C70" s="127"/>
      <c r="D70" s="127"/>
      <c r="G70" s="127"/>
    </row>
    <row r="71" spans="3:7" ht="13">
      <c r="C71" s="127"/>
      <c r="D71" s="127"/>
      <c r="G71" s="127"/>
    </row>
    <row r="72" spans="3:7" ht="13">
      <c r="C72" s="127"/>
      <c r="D72" s="127"/>
      <c r="G72" s="127"/>
    </row>
    <row r="73" spans="3:7" ht="13">
      <c r="C73" s="127"/>
      <c r="D73" s="127"/>
      <c r="G73" s="127"/>
    </row>
    <row r="74" spans="3:7" ht="13">
      <c r="C74" s="127"/>
      <c r="D74" s="127"/>
      <c r="G74" s="127"/>
    </row>
    <row r="75" spans="3:7" ht="13">
      <c r="C75" s="127"/>
      <c r="D75" s="127"/>
      <c r="G75" s="127"/>
    </row>
    <row r="76" spans="3:7" ht="13">
      <c r="C76" s="127"/>
      <c r="D76" s="127"/>
      <c r="G76" s="127"/>
    </row>
    <row r="77" spans="3:7" ht="13">
      <c r="C77" s="127"/>
      <c r="D77" s="127"/>
      <c r="G77" s="127"/>
    </row>
    <row r="78" spans="3:7" ht="13">
      <c r="C78" s="127"/>
      <c r="D78" s="127"/>
      <c r="G78" s="127"/>
    </row>
    <row r="79" spans="3:7" ht="13">
      <c r="C79" s="127"/>
      <c r="D79" s="127"/>
      <c r="G79" s="127"/>
    </row>
    <row r="80" spans="3:7" ht="13">
      <c r="C80" s="127"/>
      <c r="D80" s="127"/>
      <c r="G80" s="127"/>
    </row>
    <row r="81" spans="3:7" ht="13">
      <c r="C81" s="127"/>
      <c r="D81" s="127"/>
      <c r="G81" s="127"/>
    </row>
    <row r="82" spans="3:7" ht="13">
      <c r="C82" s="127"/>
      <c r="D82" s="127"/>
      <c r="G82" s="127"/>
    </row>
    <row r="83" spans="3:7" ht="13">
      <c r="C83" s="127"/>
      <c r="D83" s="127"/>
      <c r="G83" s="127"/>
    </row>
    <row r="84" spans="3:7" ht="13">
      <c r="C84" s="127"/>
      <c r="D84" s="127"/>
      <c r="G84" s="127"/>
    </row>
    <row r="85" spans="3:7" ht="13">
      <c r="C85" s="127"/>
      <c r="D85" s="127"/>
      <c r="G85" s="127"/>
    </row>
    <row r="86" spans="3:7" ht="13">
      <c r="C86" s="127"/>
      <c r="D86" s="127"/>
      <c r="G86" s="127"/>
    </row>
    <row r="87" spans="3:7" ht="13">
      <c r="C87" s="127"/>
      <c r="D87" s="127"/>
      <c r="G87" s="127"/>
    </row>
    <row r="88" spans="3:7" ht="13">
      <c r="C88" s="127"/>
      <c r="D88" s="127"/>
      <c r="G88" s="127"/>
    </row>
    <row r="89" spans="3:7" ht="13">
      <c r="C89" s="127"/>
      <c r="D89" s="127"/>
      <c r="G89" s="127"/>
    </row>
    <row r="90" spans="3:7" ht="13">
      <c r="C90" s="127"/>
      <c r="D90" s="127"/>
      <c r="G90" s="127"/>
    </row>
    <row r="91" spans="3:7" ht="13">
      <c r="C91" s="127"/>
      <c r="D91" s="127"/>
      <c r="G91" s="127"/>
    </row>
    <row r="92" spans="3:7" ht="13">
      <c r="C92" s="127"/>
      <c r="D92" s="127"/>
      <c r="G92" s="127"/>
    </row>
    <row r="93" spans="3:7" ht="13">
      <c r="C93" s="127"/>
      <c r="D93" s="127"/>
      <c r="G93" s="127"/>
    </row>
    <row r="94" spans="3:7" ht="13">
      <c r="C94" s="127"/>
      <c r="D94" s="127"/>
      <c r="G94" s="127"/>
    </row>
    <row r="95" spans="3:7" ht="13">
      <c r="C95" s="127"/>
      <c r="D95" s="127"/>
      <c r="G95" s="127"/>
    </row>
    <row r="96" spans="3:7" ht="13">
      <c r="C96" s="127"/>
      <c r="D96" s="127"/>
      <c r="G96" s="127"/>
    </row>
    <row r="97" spans="3:7" ht="13">
      <c r="C97" s="127"/>
      <c r="D97" s="127"/>
      <c r="G97" s="127"/>
    </row>
    <row r="98" spans="3:7" ht="13">
      <c r="C98" s="127"/>
      <c r="D98" s="127"/>
      <c r="G98" s="127"/>
    </row>
    <row r="99" spans="3:7" ht="13">
      <c r="C99" s="127"/>
      <c r="D99" s="127"/>
      <c r="G99" s="127"/>
    </row>
    <row r="100" spans="3:7" ht="13">
      <c r="C100" s="127"/>
      <c r="D100" s="127"/>
      <c r="G100" s="127"/>
    </row>
    <row r="101" spans="3:7" ht="13">
      <c r="C101" s="127"/>
      <c r="D101" s="127"/>
      <c r="G101" s="127"/>
    </row>
    <row r="102" spans="3:7" ht="13">
      <c r="C102" s="127"/>
      <c r="D102" s="127"/>
      <c r="G102" s="127"/>
    </row>
    <row r="103" spans="3:7" ht="13">
      <c r="C103" s="127"/>
      <c r="D103" s="127"/>
      <c r="G103" s="127"/>
    </row>
    <row r="104" spans="3:7" ht="13">
      <c r="C104" s="127"/>
      <c r="D104" s="127"/>
      <c r="G104" s="127"/>
    </row>
    <row r="105" spans="3:7" ht="13">
      <c r="C105" s="127"/>
      <c r="D105" s="127"/>
      <c r="G105" s="127"/>
    </row>
    <row r="106" spans="3:7" ht="13">
      <c r="C106" s="127"/>
      <c r="D106" s="127"/>
      <c r="G106" s="127"/>
    </row>
    <row r="107" spans="3:7" ht="13">
      <c r="C107" s="127"/>
      <c r="D107" s="127"/>
      <c r="G107" s="127"/>
    </row>
    <row r="108" spans="3:7" ht="13">
      <c r="C108" s="127"/>
      <c r="D108" s="127"/>
      <c r="G108" s="127"/>
    </row>
    <row r="109" spans="3:7" ht="13">
      <c r="C109" s="127"/>
      <c r="D109" s="127"/>
      <c r="G109" s="127"/>
    </row>
    <row r="110" spans="3:7" ht="13">
      <c r="C110" s="127"/>
      <c r="D110" s="127"/>
      <c r="G110" s="127"/>
    </row>
    <row r="111" spans="3:7" ht="13">
      <c r="C111" s="127"/>
      <c r="D111" s="127"/>
      <c r="G111" s="127"/>
    </row>
    <row r="112" spans="3:7" ht="13">
      <c r="C112" s="127"/>
      <c r="D112" s="127"/>
      <c r="G112" s="127"/>
    </row>
    <row r="113" spans="3:7" ht="13">
      <c r="C113" s="127"/>
      <c r="D113" s="127"/>
      <c r="G113" s="127"/>
    </row>
    <row r="114" spans="3:7" ht="13">
      <c r="C114" s="127"/>
      <c r="D114" s="127"/>
      <c r="G114" s="127"/>
    </row>
    <row r="115" spans="3:7" ht="13">
      <c r="C115" s="127"/>
      <c r="D115" s="127"/>
      <c r="G115" s="127"/>
    </row>
    <row r="116" spans="3:7" ht="13">
      <c r="C116" s="127"/>
      <c r="D116" s="127"/>
      <c r="G116" s="127"/>
    </row>
    <row r="117" spans="3:7" ht="13">
      <c r="C117" s="127"/>
      <c r="D117" s="127"/>
      <c r="G117" s="127"/>
    </row>
    <row r="118" spans="3:7" ht="13">
      <c r="C118" s="127"/>
      <c r="D118" s="127"/>
      <c r="G118" s="127"/>
    </row>
    <row r="119" spans="3:7" ht="13">
      <c r="C119" s="127"/>
      <c r="D119" s="127"/>
      <c r="G119" s="127"/>
    </row>
    <row r="120" spans="3:7" ht="13">
      <c r="C120" s="127"/>
      <c r="D120" s="127"/>
      <c r="G120" s="127"/>
    </row>
    <row r="121" spans="3:7" ht="13">
      <c r="C121" s="127"/>
      <c r="D121" s="127"/>
      <c r="G121" s="127"/>
    </row>
    <row r="122" spans="3:7" ht="13">
      <c r="C122" s="127"/>
      <c r="D122" s="127"/>
      <c r="G122" s="127"/>
    </row>
    <row r="123" spans="3:7" ht="13">
      <c r="C123" s="127"/>
      <c r="D123" s="127"/>
      <c r="G123" s="127"/>
    </row>
    <row r="124" spans="3:7" ht="13">
      <c r="C124" s="127"/>
      <c r="D124" s="127"/>
      <c r="G124" s="127"/>
    </row>
    <row r="125" spans="3:7" ht="13">
      <c r="C125" s="127"/>
      <c r="D125" s="127"/>
      <c r="G125" s="127"/>
    </row>
    <row r="126" spans="3:7" ht="13">
      <c r="C126" s="127"/>
      <c r="D126" s="127"/>
      <c r="G126" s="127"/>
    </row>
    <row r="127" spans="3:7" ht="13">
      <c r="C127" s="127"/>
      <c r="D127" s="127"/>
      <c r="G127" s="127"/>
    </row>
    <row r="128" spans="3:7" ht="13">
      <c r="C128" s="127"/>
      <c r="D128" s="127"/>
      <c r="G128" s="127"/>
    </row>
    <row r="129" spans="3:7" ht="13">
      <c r="C129" s="127"/>
      <c r="D129" s="127"/>
      <c r="G129" s="127"/>
    </row>
    <row r="130" spans="3:7" ht="13">
      <c r="C130" s="127"/>
      <c r="D130" s="127"/>
      <c r="G130" s="127"/>
    </row>
    <row r="131" spans="3:7" ht="13">
      <c r="C131" s="127"/>
      <c r="D131" s="127"/>
      <c r="G131" s="127"/>
    </row>
    <row r="132" spans="3:7" ht="13">
      <c r="C132" s="127"/>
      <c r="D132" s="127"/>
      <c r="G132" s="127"/>
    </row>
    <row r="133" spans="3:7" ht="13">
      <c r="C133" s="127"/>
      <c r="D133" s="127"/>
      <c r="G133" s="127"/>
    </row>
    <row r="134" spans="3:7" ht="13">
      <c r="C134" s="127"/>
      <c r="D134" s="127"/>
      <c r="G134" s="127"/>
    </row>
    <row r="135" spans="3:7" ht="13">
      <c r="C135" s="127"/>
      <c r="D135" s="127"/>
      <c r="G135" s="127"/>
    </row>
    <row r="136" spans="3:7" ht="13">
      <c r="C136" s="127"/>
      <c r="D136" s="127"/>
      <c r="G136" s="127"/>
    </row>
    <row r="137" spans="3:7" ht="13">
      <c r="C137" s="127"/>
      <c r="D137" s="127"/>
      <c r="G137" s="127"/>
    </row>
    <row r="138" spans="3:7" ht="13">
      <c r="C138" s="127"/>
      <c r="D138" s="127"/>
      <c r="G138" s="127"/>
    </row>
    <row r="139" spans="3:7" ht="13">
      <c r="C139" s="127"/>
      <c r="D139" s="127"/>
      <c r="G139" s="127"/>
    </row>
    <row r="140" spans="3:7" ht="13">
      <c r="C140" s="127"/>
      <c r="D140" s="127"/>
      <c r="G140" s="127"/>
    </row>
    <row r="141" spans="3:7" ht="13">
      <c r="C141" s="127"/>
      <c r="D141" s="127"/>
      <c r="G141" s="127"/>
    </row>
    <row r="142" spans="3:7" ht="13">
      <c r="C142" s="127"/>
      <c r="D142" s="127"/>
      <c r="G142" s="127"/>
    </row>
    <row r="143" spans="3:7" ht="13">
      <c r="C143" s="127"/>
      <c r="D143" s="127"/>
      <c r="G143" s="127"/>
    </row>
    <row r="144" spans="3:7" ht="13">
      <c r="C144" s="127"/>
      <c r="D144" s="127"/>
      <c r="G144" s="127"/>
    </row>
    <row r="145" spans="3:7" ht="13">
      <c r="C145" s="127"/>
      <c r="D145" s="127"/>
      <c r="G145" s="127"/>
    </row>
    <row r="146" spans="3:7" ht="13">
      <c r="C146" s="127"/>
      <c r="D146" s="127"/>
      <c r="G146" s="127"/>
    </row>
    <row r="147" spans="3:7" ht="13">
      <c r="C147" s="127"/>
      <c r="D147" s="127"/>
      <c r="G147" s="127"/>
    </row>
    <row r="148" spans="3:7" ht="13">
      <c r="C148" s="127"/>
      <c r="D148" s="127"/>
      <c r="G148" s="127"/>
    </row>
    <row r="149" spans="3:7" ht="13">
      <c r="C149" s="127"/>
      <c r="D149" s="127"/>
      <c r="G149" s="127"/>
    </row>
    <row r="150" spans="3:7" ht="13">
      <c r="C150" s="127"/>
      <c r="D150" s="127"/>
      <c r="G150" s="127"/>
    </row>
    <row r="151" spans="3:7" ht="13">
      <c r="C151" s="127"/>
      <c r="D151" s="127"/>
      <c r="G151" s="127"/>
    </row>
    <row r="152" spans="3:7" ht="13">
      <c r="C152" s="127"/>
      <c r="D152" s="127"/>
      <c r="G152" s="127"/>
    </row>
    <row r="153" spans="3:7" ht="13">
      <c r="C153" s="127"/>
      <c r="D153" s="127"/>
      <c r="G153" s="127"/>
    </row>
    <row r="154" spans="3:7" ht="13">
      <c r="C154" s="127"/>
      <c r="D154" s="127"/>
      <c r="G154" s="127"/>
    </row>
    <row r="155" spans="3:7" ht="13">
      <c r="C155" s="127"/>
      <c r="D155" s="127"/>
      <c r="G155" s="127"/>
    </row>
    <row r="156" spans="3:7" ht="13">
      <c r="C156" s="127"/>
      <c r="D156" s="127"/>
      <c r="G156" s="127"/>
    </row>
    <row r="157" spans="3:7" ht="13">
      <c r="C157" s="127"/>
      <c r="D157" s="127"/>
      <c r="G157" s="127"/>
    </row>
    <row r="158" spans="3:7" ht="13">
      <c r="C158" s="127"/>
      <c r="D158" s="127"/>
      <c r="G158" s="127"/>
    </row>
    <row r="159" spans="3:7" ht="13">
      <c r="C159" s="127"/>
      <c r="D159" s="127"/>
      <c r="G159" s="127"/>
    </row>
    <row r="160" spans="3:7" ht="13">
      <c r="C160" s="127"/>
      <c r="D160" s="127"/>
      <c r="G160" s="127"/>
    </row>
    <row r="161" spans="3:7" ht="13">
      <c r="C161" s="127"/>
      <c r="D161" s="127"/>
      <c r="G161" s="127"/>
    </row>
    <row r="162" spans="3:7" ht="13">
      <c r="C162" s="127"/>
      <c r="D162" s="127"/>
      <c r="G162" s="127"/>
    </row>
    <row r="163" spans="3:7" ht="13">
      <c r="C163" s="127"/>
      <c r="D163" s="127"/>
      <c r="G163" s="127"/>
    </row>
    <row r="164" spans="3:7" ht="13">
      <c r="C164" s="127"/>
      <c r="D164" s="127"/>
      <c r="G164" s="127"/>
    </row>
    <row r="165" spans="3:7" ht="13">
      <c r="C165" s="127"/>
      <c r="D165" s="127"/>
      <c r="G165" s="127"/>
    </row>
    <row r="166" spans="3:7" ht="13">
      <c r="C166" s="127"/>
      <c r="D166" s="127"/>
      <c r="G166" s="127"/>
    </row>
    <row r="167" spans="3:7" ht="13">
      <c r="C167" s="127"/>
      <c r="D167" s="127"/>
      <c r="G167" s="127"/>
    </row>
    <row r="168" spans="3:7" ht="13">
      <c r="C168" s="127"/>
      <c r="D168" s="127"/>
      <c r="G168" s="127"/>
    </row>
    <row r="169" spans="3:7" ht="13">
      <c r="C169" s="127"/>
      <c r="D169" s="127"/>
      <c r="G169" s="127"/>
    </row>
    <row r="170" spans="3:7" ht="13">
      <c r="C170" s="127"/>
      <c r="D170" s="127"/>
      <c r="G170" s="127"/>
    </row>
    <row r="171" spans="3:7" ht="13">
      <c r="C171" s="127"/>
      <c r="D171" s="127"/>
      <c r="G171" s="127"/>
    </row>
    <row r="172" spans="3:7" ht="13">
      <c r="C172" s="127"/>
      <c r="D172" s="127"/>
      <c r="G172" s="127"/>
    </row>
    <row r="173" spans="3:7" ht="13">
      <c r="C173" s="127"/>
      <c r="D173" s="127"/>
      <c r="G173" s="127"/>
    </row>
    <row r="174" spans="3:7" ht="13">
      <c r="C174" s="127"/>
      <c r="D174" s="127"/>
      <c r="G174" s="127"/>
    </row>
    <row r="175" spans="3:7" ht="13">
      <c r="C175" s="127"/>
      <c r="D175" s="127"/>
      <c r="G175" s="127"/>
    </row>
    <row r="176" spans="3:7" ht="13">
      <c r="C176" s="127"/>
      <c r="D176" s="127"/>
      <c r="G176" s="127"/>
    </row>
    <row r="177" spans="3:7" ht="13">
      <c r="C177" s="127"/>
      <c r="D177" s="127"/>
      <c r="G177" s="127"/>
    </row>
    <row r="178" spans="3:7" ht="13">
      <c r="C178" s="127"/>
      <c r="D178" s="127"/>
      <c r="G178" s="127"/>
    </row>
    <row r="179" spans="3:7" ht="13">
      <c r="C179" s="127"/>
      <c r="D179" s="127"/>
      <c r="G179" s="127"/>
    </row>
    <row r="180" spans="3:7" ht="13">
      <c r="C180" s="127"/>
      <c r="D180" s="127"/>
      <c r="G180" s="127"/>
    </row>
    <row r="181" spans="3:7" ht="13">
      <c r="C181" s="127"/>
      <c r="D181" s="127"/>
      <c r="G181" s="127"/>
    </row>
    <row r="182" spans="3:7" ht="13">
      <c r="C182" s="127"/>
      <c r="D182" s="127"/>
      <c r="G182" s="127"/>
    </row>
    <row r="183" spans="3:7" ht="13">
      <c r="C183" s="127"/>
      <c r="D183" s="127"/>
      <c r="G183" s="127"/>
    </row>
    <row r="184" spans="3:7" ht="13">
      <c r="C184" s="127"/>
      <c r="D184" s="127"/>
      <c r="G184" s="127"/>
    </row>
    <row r="185" spans="3:7" ht="13">
      <c r="C185" s="127"/>
      <c r="D185" s="127"/>
      <c r="G185" s="127"/>
    </row>
    <row r="186" spans="3:7" ht="13">
      <c r="C186" s="127"/>
      <c r="D186" s="127"/>
      <c r="G186" s="127"/>
    </row>
    <row r="187" spans="3:7" ht="13">
      <c r="C187" s="127"/>
      <c r="D187" s="127"/>
      <c r="G187" s="127"/>
    </row>
    <row r="188" spans="3:7" ht="13">
      <c r="C188" s="127"/>
      <c r="D188" s="127"/>
      <c r="G188" s="127"/>
    </row>
    <row r="189" spans="3:7" ht="13">
      <c r="C189" s="127"/>
      <c r="D189" s="127"/>
      <c r="G189" s="127"/>
    </row>
    <row r="190" spans="3:7" ht="13">
      <c r="C190" s="127"/>
      <c r="D190" s="127"/>
      <c r="G190" s="127"/>
    </row>
    <row r="191" spans="3:7" ht="13">
      <c r="C191" s="127"/>
      <c r="D191" s="127"/>
      <c r="G191" s="127"/>
    </row>
    <row r="192" spans="3:7" ht="13">
      <c r="C192" s="127"/>
      <c r="D192" s="127"/>
      <c r="G192" s="127"/>
    </row>
    <row r="193" spans="3:7" ht="13">
      <c r="C193" s="127"/>
      <c r="D193" s="127"/>
      <c r="G193" s="127"/>
    </row>
    <row r="194" spans="3:7" ht="13">
      <c r="C194" s="127"/>
      <c r="D194" s="127"/>
      <c r="G194" s="127"/>
    </row>
    <row r="195" spans="3:7" ht="13">
      <c r="C195" s="127"/>
      <c r="D195" s="127"/>
      <c r="G195" s="127"/>
    </row>
    <row r="196" spans="3:7" ht="13">
      <c r="C196" s="127"/>
      <c r="D196" s="127"/>
      <c r="G196" s="127"/>
    </row>
    <row r="197" spans="3:7" ht="13">
      <c r="C197" s="127"/>
      <c r="D197" s="127"/>
      <c r="G197" s="127"/>
    </row>
    <row r="198" spans="3:7" ht="13">
      <c r="C198" s="127"/>
      <c r="D198" s="127"/>
      <c r="G198" s="127"/>
    </row>
    <row r="199" spans="3:7" ht="13">
      <c r="C199" s="127"/>
      <c r="D199" s="127"/>
      <c r="G199" s="127"/>
    </row>
    <row r="200" spans="3:7" ht="13">
      <c r="C200" s="127"/>
      <c r="D200" s="127"/>
      <c r="G200" s="127"/>
    </row>
    <row r="201" spans="3:7" ht="13">
      <c r="C201" s="127"/>
      <c r="D201" s="127"/>
      <c r="G201" s="127"/>
    </row>
    <row r="202" spans="3:7" ht="13">
      <c r="C202" s="127"/>
      <c r="D202" s="127"/>
      <c r="G202" s="127"/>
    </row>
    <row r="203" spans="3:7" ht="13">
      <c r="C203" s="127"/>
      <c r="D203" s="127"/>
      <c r="G203" s="127"/>
    </row>
    <row r="204" spans="3:7" ht="13">
      <c r="C204" s="127"/>
      <c r="D204" s="127"/>
      <c r="G204" s="127"/>
    </row>
    <row r="205" spans="3:7" ht="13">
      <c r="C205" s="127"/>
      <c r="D205" s="127"/>
      <c r="G205" s="127"/>
    </row>
    <row r="206" spans="3:7" ht="13">
      <c r="C206" s="127"/>
      <c r="D206" s="127"/>
      <c r="G206" s="127"/>
    </row>
    <row r="207" spans="3:7" ht="13">
      <c r="C207" s="127"/>
      <c r="D207" s="127"/>
      <c r="G207" s="127"/>
    </row>
    <row r="208" spans="3:7" ht="13">
      <c r="C208" s="127"/>
      <c r="D208" s="127"/>
      <c r="G208" s="127"/>
    </row>
    <row r="209" spans="3:7" ht="13">
      <c r="C209" s="127"/>
      <c r="D209" s="127"/>
      <c r="G209" s="127"/>
    </row>
    <row r="210" spans="3:7" ht="13">
      <c r="C210" s="127"/>
      <c r="D210" s="127"/>
      <c r="G210" s="127"/>
    </row>
    <row r="211" spans="3:7" ht="13">
      <c r="C211" s="127"/>
      <c r="D211" s="127"/>
      <c r="G211" s="127"/>
    </row>
    <row r="212" spans="3:7" ht="13">
      <c r="C212" s="127"/>
      <c r="D212" s="127"/>
      <c r="G212" s="127"/>
    </row>
    <row r="213" spans="3:7" ht="13">
      <c r="C213" s="127"/>
      <c r="D213" s="127"/>
      <c r="G213" s="127"/>
    </row>
    <row r="214" spans="3:7" ht="13">
      <c r="C214" s="127"/>
      <c r="D214" s="127"/>
      <c r="G214" s="127"/>
    </row>
    <row r="215" spans="3:7" ht="13">
      <c r="C215" s="127"/>
      <c r="D215" s="127"/>
      <c r="G215" s="127"/>
    </row>
    <row r="216" spans="3:7" ht="13">
      <c r="C216" s="127"/>
      <c r="D216" s="127"/>
      <c r="G216" s="127"/>
    </row>
    <row r="217" spans="3:7" ht="13">
      <c r="C217" s="127"/>
      <c r="D217" s="127"/>
      <c r="G217" s="127"/>
    </row>
    <row r="218" spans="3:7" ht="13">
      <c r="C218" s="127"/>
      <c r="D218" s="127"/>
      <c r="G218" s="127"/>
    </row>
    <row r="219" spans="3:7" ht="13">
      <c r="C219" s="127"/>
      <c r="D219" s="127"/>
      <c r="G219" s="127"/>
    </row>
    <row r="220" spans="3:7" ht="13">
      <c r="C220" s="127"/>
      <c r="D220" s="127"/>
      <c r="G220" s="127"/>
    </row>
    <row r="221" spans="3:7" ht="13">
      <c r="C221" s="127"/>
      <c r="D221" s="127"/>
      <c r="G221" s="127"/>
    </row>
    <row r="222" spans="3:7" ht="13">
      <c r="C222" s="127"/>
      <c r="D222" s="127"/>
      <c r="G222" s="127"/>
    </row>
    <row r="223" spans="3:7" ht="13">
      <c r="C223" s="127"/>
      <c r="D223" s="127"/>
      <c r="G223" s="127"/>
    </row>
    <row r="224" spans="3:7" ht="13">
      <c r="C224" s="127"/>
      <c r="D224" s="127"/>
      <c r="G224" s="127"/>
    </row>
    <row r="225" spans="3:7" ht="13">
      <c r="C225" s="127"/>
      <c r="D225" s="127"/>
      <c r="G225" s="127"/>
    </row>
    <row r="226" spans="3:7" ht="13">
      <c r="C226" s="127"/>
      <c r="D226" s="127"/>
      <c r="G226" s="127"/>
    </row>
    <row r="227" spans="3:7" ht="13">
      <c r="C227" s="127"/>
      <c r="D227" s="127"/>
      <c r="G227" s="127"/>
    </row>
    <row r="228" spans="3:7" ht="13">
      <c r="C228" s="127"/>
      <c r="D228" s="127"/>
      <c r="G228" s="127"/>
    </row>
    <row r="229" spans="3:7" ht="13">
      <c r="C229" s="127"/>
      <c r="D229" s="127"/>
      <c r="G229" s="127"/>
    </row>
    <row r="230" spans="3:7" ht="13">
      <c r="C230" s="127"/>
      <c r="D230" s="127"/>
      <c r="G230" s="127"/>
    </row>
    <row r="231" spans="3:7" ht="13">
      <c r="C231" s="127"/>
      <c r="D231" s="127"/>
      <c r="G231" s="127"/>
    </row>
    <row r="232" spans="3:7" ht="13">
      <c r="C232" s="127"/>
      <c r="D232" s="127"/>
      <c r="G232" s="127"/>
    </row>
    <row r="233" spans="3:7" ht="13">
      <c r="C233" s="127"/>
      <c r="D233" s="127"/>
      <c r="G233" s="127"/>
    </row>
    <row r="234" spans="3:7" ht="13">
      <c r="C234" s="127"/>
      <c r="D234" s="127"/>
      <c r="G234" s="127"/>
    </row>
    <row r="235" spans="3:7" ht="13">
      <c r="C235" s="127"/>
      <c r="D235" s="127"/>
      <c r="G235" s="127"/>
    </row>
    <row r="236" spans="3:7" ht="13">
      <c r="C236" s="127"/>
      <c r="D236" s="127"/>
      <c r="G236" s="127"/>
    </row>
    <row r="237" spans="3:7" ht="13">
      <c r="C237" s="127"/>
      <c r="D237" s="127"/>
      <c r="G237" s="127"/>
    </row>
    <row r="238" spans="3:7" ht="13">
      <c r="C238" s="127"/>
      <c r="D238" s="127"/>
      <c r="G238" s="127"/>
    </row>
    <row r="239" spans="3:7" ht="13">
      <c r="C239" s="127"/>
      <c r="D239" s="127"/>
      <c r="G239" s="127"/>
    </row>
    <row r="240" spans="3:7" ht="13">
      <c r="C240" s="127"/>
      <c r="D240" s="127"/>
      <c r="G240" s="127"/>
    </row>
    <row r="241" spans="3:7" ht="13">
      <c r="C241" s="127"/>
      <c r="D241" s="127"/>
      <c r="G241" s="127"/>
    </row>
    <row r="242" spans="3:7" ht="13">
      <c r="C242" s="127"/>
      <c r="D242" s="127"/>
      <c r="G242" s="127"/>
    </row>
    <row r="243" spans="3:7" ht="13">
      <c r="C243" s="127"/>
      <c r="D243" s="127"/>
      <c r="G243" s="127"/>
    </row>
    <row r="244" spans="3:7" ht="13">
      <c r="C244" s="127"/>
      <c r="D244" s="127"/>
      <c r="G244" s="127"/>
    </row>
    <row r="245" spans="3:7" ht="13">
      <c r="C245" s="127"/>
      <c r="D245" s="127"/>
      <c r="G245" s="127"/>
    </row>
    <row r="246" spans="3:7" ht="13">
      <c r="C246" s="127"/>
      <c r="D246" s="127"/>
      <c r="G246" s="127"/>
    </row>
    <row r="247" spans="3:7" ht="13">
      <c r="C247" s="127"/>
      <c r="D247" s="127"/>
      <c r="G247" s="127"/>
    </row>
    <row r="248" spans="3:7" ht="13">
      <c r="C248" s="127"/>
      <c r="D248" s="127"/>
      <c r="G248" s="127"/>
    </row>
    <row r="249" spans="3:7" ht="13">
      <c r="C249" s="127"/>
      <c r="D249" s="127"/>
      <c r="G249" s="127"/>
    </row>
    <row r="250" spans="3:7" ht="13">
      <c r="C250" s="127"/>
      <c r="D250" s="127"/>
      <c r="G250" s="127"/>
    </row>
    <row r="251" spans="3:7" ht="13">
      <c r="C251" s="127"/>
      <c r="D251" s="127"/>
      <c r="G251" s="127"/>
    </row>
    <row r="252" spans="3:7" ht="13">
      <c r="C252" s="127"/>
      <c r="D252" s="127"/>
      <c r="G252" s="127"/>
    </row>
    <row r="253" spans="3:7" ht="13">
      <c r="C253" s="127"/>
      <c r="D253" s="127"/>
      <c r="G253" s="127"/>
    </row>
    <row r="254" spans="3:7" ht="13">
      <c r="C254" s="127"/>
      <c r="D254" s="127"/>
      <c r="G254" s="127"/>
    </row>
    <row r="255" spans="3:7" ht="13">
      <c r="C255" s="127"/>
      <c r="D255" s="127"/>
      <c r="G255" s="127"/>
    </row>
    <row r="256" spans="3:7" ht="13">
      <c r="C256" s="127"/>
      <c r="D256" s="127"/>
      <c r="G256" s="127"/>
    </row>
    <row r="257" spans="3:7" ht="13">
      <c r="C257" s="127"/>
      <c r="D257" s="127"/>
      <c r="G257" s="127"/>
    </row>
    <row r="258" spans="3:7" ht="13">
      <c r="C258" s="127"/>
      <c r="D258" s="127"/>
      <c r="G258" s="127"/>
    </row>
    <row r="259" spans="3:7" ht="13">
      <c r="C259" s="127"/>
      <c r="D259" s="127"/>
      <c r="G259" s="127"/>
    </row>
    <row r="260" spans="3:7" ht="13">
      <c r="C260" s="127"/>
      <c r="D260" s="127"/>
      <c r="G260" s="127"/>
    </row>
    <row r="261" spans="3:7" ht="13">
      <c r="C261" s="127"/>
      <c r="D261" s="127"/>
      <c r="G261" s="127"/>
    </row>
    <row r="262" spans="3:7" ht="13">
      <c r="C262" s="127"/>
      <c r="D262" s="127"/>
      <c r="G262" s="127"/>
    </row>
    <row r="263" spans="3:7" ht="13">
      <c r="C263" s="127"/>
      <c r="D263" s="127"/>
      <c r="G263" s="127"/>
    </row>
    <row r="264" spans="3:7" ht="13">
      <c r="C264" s="127"/>
      <c r="D264" s="127"/>
      <c r="G264" s="127"/>
    </row>
    <row r="265" spans="3:7" ht="13">
      <c r="C265" s="127"/>
      <c r="D265" s="127"/>
      <c r="G265" s="127"/>
    </row>
    <row r="266" spans="3:7" ht="13">
      <c r="C266" s="127"/>
      <c r="D266" s="127"/>
      <c r="G266" s="127"/>
    </row>
    <row r="267" spans="3:7" ht="13">
      <c r="C267" s="127"/>
      <c r="D267" s="127"/>
      <c r="G267" s="127"/>
    </row>
    <row r="268" spans="3:7" ht="13">
      <c r="C268" s="127"/>
      <c r="D268" s="127"/>
      <c r="G268" s="127"/>
    </row>
    <row r="269" spans="3:7" ht="13">
      <c r="C269" s="127"/>
      <c r="D269" s="127"/>
      <c r="G269" s="127"/>
    </row>
    <row r="270" spans="3:7" ht="13">
      <c r="C270" s="127"/>
      <c r="D270" s="127"/>
      <c r="G270" s="127"/>
    </row>
    <row r="271" spans="3:7" ht="13">
      <c r="C271" s="127"/>
      <c r="D271" s="127"/>
      <c r="G271" s="127"/>
    </row>
    <row r="272" spans="3:7" ht="13">
      <c r="C272" s="127"/>
      <c r="D272" s="127"/>
      <c r="G272" s="127"/>
    </row>
    <row r="273" spans="3:7" ht="13">
      <c r="C273" s="127"/>
      <c r="D273" s="127"/>
      <c r="G273" s="127"/>
    </row>
    <row r="274" spans="3:7" ht="13">
      <c r="C274" s="127"/>
      <c r="D274" s="127"/>
      <c r="G274" s="127"/>
    </row>
    <row r="275" spans="3:7" ht="13">
      <c r="C275" s="127"/>
      <c r="D275" s="127"/>
      <c r="G275" s="127"/>
    </row>
    <row r="276" spans="3:7" ht="13">
      <c r="C276" s="127"/>
      <c r="D276" s="127"/>
      <c r="G276" s="127"/>
    </row>
    <row r="277" spans="3:7" ht="13">
      <c r="C277" s="127"/>
      <c r="D277" s="127"/>
      <c r="G277" s="127"/>
    </row>
    <row r="278" spans="3:7" ht="13">
      <c r="C278" s="127"/>
      <c r="D278" s="127"/>
      <c r="G278" s="127"/>
    </row>
    <row r="279" spans="3:7" ht="13">
      <c r="C279" s="127"/>
      <c r="D279" s="127"/>
      <c r="G279" s="127"/>
    </row>
    <row r="280" spans="3:7" ht="13">
      <c r="C280" s="127"/>
      <c r="D280" s="127"/>
      <c r="G280" s="127"/>
    </row>
    <row r="281" spans="3:7" ht="13">
      <c r="C281" s="127"/>
      <c r="D281" s="127"/>
      <c r="G281" s="127"/>
    </row>
    <row r="282" spans="3:7" ht="13">
      <c r="C282" s="127"/>
      <c r="D282" s="127"/>
      <c r="G282" s="127"/>
    </row>
    <row r="283" spans="3:7" ht="13">
      <c r="C283" s="127"/>
      <c r="D283" s="127"/>
      <c r="G283" s="127"/>
    </row>
    <row r="284" spans="3:7" ht="13">
      <c r="C284" s="127"/>
      <c r="D284" s="127"/>
      <c r="G284" s="127"/>
    </row>
    <row r="285" spans="3:7" ht="13">
      <c r="C285" s="127"/>
      <c r="D285" s="127"/>
      <c r="G285" s="127"/>
    </row>
    <row r="286" spans="3:7" ht="13">
      <c r="C286" s="127"/>
      <c r="D286" s="127"/>
      <c r="G286" s="127"/>
    </row>
    <row r="287" spans="3:7" ht="13">
      <c r="C287" s="127"/>
      <c r="D287" s="127"/>
      <c r="G287" s="127"/>
    </row>
    <row r="288" spans="3:7" ht="13">
      <c r="C288" s="127"/>
      <c r="D288" s="127"/>
      <c r="G288" s="127"/>
    </row>
    <row r="289" spans="3:7" ht="13">
      <c r="C289" s="127"/>
      <c r="D289" s="127"/>
      <c r="G289" s="127"/>
    </row>
    <row r="290" spans="3:7" ht="13">
      <c r="C290" s="127"/>
      <c r="D290" s="127"/>
      <c r="G290" s="127"/>
    </row>
    <row r="291" spans="3:7" ht="13">
      <c r="C291" s="127"/>
      <c r="D291" s="127"/>
      <c r="G291" s="127"/>
    </row>
    <row r="292" spans="3:7" ht="13">
      <c r="C292" s="127"/>
      <c r="D292" s="127"/>
      <c r="G292" s="127"/>
    </row>
    <row r="293" spans="3:7" ht="13">
      <c r="C293" s="127"/>
      <c r="D293" s="127"/>
      <c r="G293" s="127"/>
    </row>
    <row r="294" spans="3:7" ht="13">
      <c r="C294" s="127"/>
      <c r="D294" s="127"/>
      <c r="G294" s="127"/>
    </row>
    <row r="295" spans="3:7" ht="13">
      <c r="C295" s="127"/>
      <c r="D295" s="127"/>
      <c r="G295" s="127"/>
    </row>
    <row r="296" spans="3:7" ht="13">
      <c r="C296" s="127"/>
      <c r="D296" s="127"/>
      <c r="G296" s="127"/>
    </row>
    <row r="297" spans="3:7" ht="13">
      <c r="C297" s="127"/>
      <c r="D297" s="127"/>
      <c r="G297" s="127"/>
    </row>
    <row r="298" spans="3:7" ht="13">
      <c r="C298" s="127"/>
      <c r="D298" s="127"/>
      <c r="G298" s="127"/>
    </row>
    <row r="299" spans="3:7" ht="13">
      <c r="C299" s="127"/>
      <c r="D299" s="127"/>
      <c r="G299" s="127"/>
    </row>
    <row r="300" spans="3:7" ht="13">
      <c r="C300" s="127"/>
      <c r="D300" s="127"/>
      <c r="G300" s="127"/>
    </row>
    <row r="301" spans="3:7" ht="13">
      <c r="C301" s="127"/>
      <c r="D301" s="127"/>
      <c r="G301" s="127"/>
    </row>
    <row r="302" spans="3:7" ht="13">
      <c r="C302" s="127"/>
      <c r="D302" s="127"/>
      <c r="G302" s="127"/>
    </row>
    <row r="303" spans="3:7" ht="13">
      <c r="C303" s="127"/>
      <c r="D303" s="127"/>
      <c r="G303" s="127"/>
    </row>
    <row r="304" spans="3:7" ht="13">
      <c r="C304" s="127"/>
      <c r="D304" s="127"/>
      <c r="G304" s="127"/>
    </row>
    <row r="305" spans="3:7" ht="13">
      <c r="C305" s="127"/>
      <c r="D305" s="127"/>
      <c r="G305" s="127"/>
    </row>
    <row r="306" spans="3:7" ht="13">
      <c r="C306" s="127"/>
      <c r="D306" s="127"/>
      <c r="G306" s="127"/>
    </row>
    <row r="307" spans="3:7" ht="13">
      <c r="C307" s="127"/>
      <c r="D307" s="127"/>
      <c r="G307" s="127"/>
    </row>
    <row r="308" spans="3:7" ht="13">
      <c r="C308" s="127"/>
      <c r="D308" s="127"/>
      <c r="G308" s="127"/>
    </row>
    <row r="309" spans="3:7" ht="13">
      <c r="C309" s="127"/>
      <c r="D309" s="127"/>
      <c r="G309" s="127"/>
    </row>
    <row r="310" spans="3:7" ht="13">
      <c r="C310" s="127"/>
      <c r="D310" s="127"/>
      <c r="G310" s="127"/>
    </row>
    <row r="311" spans="3:7" ht="13">
      <c r="C311" s="127"/>
      <c r="D311" s="127"/>
      <c r="G311" s="127"/>
    </row>
    <row r="312" spans="3:7" ht="13">
      <c r="C312" s="127"/>
      <c r="D312" s="127"/>
      <c r="G312" s="127"/>
    </row>
    <row r="313" spans="3:7" ht="13">
      <c r="C313" s="127"/>
      <c r="D313" s="127"/>
      <c r="G313" s="127"/>
    </row>
    <row r="314" spans="3:7" ht="13">
      <c r="C314" s="127"/>
      <c r="D314" s="127"/>
      <c r="G314" s="127"/>
    </row>
    <row r="315" spans="3:7" ht="13">
      <c r="C315" s="127"/>
      <c r="D315" s="127"/>
      <c r="G315" s="127"/>
    </row>
    <row r="316" spans="3:7" ht="13">
      <c r="C316" s="127"/>
      <c r="D316" s="127"/>
      <c r="G316" s="127"/>
    </row>
    <row r="317" spans="3:7" ht="13">
      <c r="C317" s="127"/>
      <c r="D317" s="127"/>
      <c r="G317" s="127"/>
    </row>
    <row r="318" spans="3:7" ht="13">
      <c r="C318" s="127"/>
      <c r="D318" s="127"/>
      <c r="G318" s="127"/>
    </row>
    <row r="319" spans="3:7" ht="13">
      <c r="C319" s="127"/>
      <c r="D319" s="127"/>
      <c r="G319" s="127"/>
    </row>
    <row r="320" spans="3:7" ht="13">
      <c r="C320" s="127"/>
      <c r="D320" s="127"/>
      <c r="G320" s="127"/>
    </row>
    <row r="321" spans="3:7" ht="13">
      <c r="C321" s="127"/>
      <c r="D321" s="127"/>
      <c r="G321" s="127"/>
    </row>
    <row r="322" spans="3:7" ht="13">
      <c r="C322" s="127"/>
      <c r="D322" s="127"/>
      <c r="G322" s="127"/>
    </row>
    <row r="323" spans="3:7" ht="13">
      <c r="C323" s="127"/>
      <c r="D323" s="127"/>
      <c r="G323" s="127"/>
    </row>
    <row r="324" spans="3:7" ht="13">
      <c r="C324" s="127"/>
      <c r="D324" s="127"/>
      <c r="G324" s="127"/>
    </row>
    <row r="325" spans="3:7" ht="13">
      <c r="C325" s="127"/>
      <c r="D325" s="127"/>
      <c r="G325" s="127"/>
    </row>
    <row r="326" spans="3:7" ht="13">
      <c r="C326" s="127"/>
      <c r="D326" s="127"/>
      <c r="G326" s="127"/>
    </row>
    <row r="327" spans="3:7" ht="13">
      <c r="C327" s="127"/>
      <c r="D327" s="127"/>
      <c r="G327" s="127"/>
    </row>
    <row r="328" spans="3:7" ht="13">
      <c r="C328" s="127"/>
      <c r="D328" s="127"/>
      <c r="G328" s="127"/>
    </row>
    <row r="329" spans="3:7" ht="13">
      <c r="C329" s="127"/>
      <c r="D329" s="127"/>
      <c r="G329" s="127"/>
    </row>
    <row r="330" spans="3:7" ht="13">
      <c r="C330" s="127"/>
      <c r="D330" s="127"/>
      <c r="G330" s="127"/>
    </row>
    <row r="331" spans="3:7" ht="13">
      <c r="C331" s="127"/>
      <c r="D331" s="127"/>
      <c r="G331" s="127"/>
    </row>
    <row r="332" spans="3:7" ht="13">
      <c r="C332" s="127"/>
      <c r="D332" s="127"/>
      <c r="G332" s="127"/>
    </row>
    <row r="333" spans="3:7" ht="13">
      <c r="C333" s="127"/>
      <c r="D333" s="127"/>
      <c r="G333" s="127"/>
    </row>
    <row r="334" spans="3:7" ht="13">
      <c r="C334" s="127"/>
      <c r="D334" s="127"/>
      <c r="G334" s="127"/>
    </row>
    <row r="335" spans="3:7" ht="13">
      <c r="C335" s="127"/>
      <c r="D335" s="127"/>
      <c r="G335" s="127"/>
    </row>
    <row r="336" spans="3:7" ht="13">
      <c r="C336" s="127"/>
      <c r="D336" s="127"/>
      <c r="G336" s="127"/>
    </row>
    <row r="337" spans="3:7" ht="13">
      <c r="C337" s="127"/>
      <c r="D337" s="127"/>
      <c r="G337" s="127"/>
    </row>
    <row r="338" spans="3:7" ht="13">
      <c r="C338" s="127"/>
      <c r="D338" s="127"/>
      <c r="G338" s="127"/>
    </row>
    <row r="339" spans="3:7" ht="13">
      <c r="C339" s="127"/>
      <c r="D339" s="127"/>
      <c r="G339" s="127"/>
    </row>
    <row r="340" spans="3:7" ht="13">
      <c r="C340" s="127"/>
      <c r="D340" s="127"/>
      <c r="G340" s="127"/>
    </row>
    <row r="341" spans="3:7" ht="13">
      <c r="C341" s="127"/>
      <c r="D341" s="127"/>
      <c r="G341" s="127"/>
    </row>
    <row r="342" spans="3:7" ht="13">
      <c r="C342" s="127"/>
      <c r="D342" s="127"/>
      <c r="G342" s="127"/>
    </row>
    <row r="343" spans="3:7" ht="13">
      <c r="C343" s="127"/>
      <c r="D343" s="127"/>
      <c r="G343" s="127"/>
    </row>
    <row r="344" spans="3:7" ht="13">
      <c r="C344" s="127"/>
      <c r="D344" s="127"/>
      <c r="G344" s="127"/>
    </row>
    <row r="345" spans="3:7" ht="13">
      <c r="C345" s="127"/>
      <c r="D345" s="127"/>
      <c r="G345" s="127"/>
    </row>
    <row r="346" spans="3:7" ht="13">
      <c r="C346" s="127"/>
      <c r="D346" s="127"/>
      <c r="G346" s="127"/>
    </row>
    <row r="347" spans="3:7" ht="13">
      <c r="C347" s="127"/>
      <c r="D347" s="127"/>
      <c r="G347" s="127"/>
    </row>
    <row r="348" spans="3:7" ht="13">
      <c r="C348" s="127"/>
      <c r="D348" s="127"/>
      <c r="G348" s="127"/>
    </row>
    <row r="349" spans="3:7" ht="13">
      <c r="C349" s="127"/>
      <c r="D349" s="127"/>
      <c r="G349" s="127"/>
    </row>
    <row r="350" spans="3:7" ht="13">
      <c r="C350" s="127"/>
      <c r="D350" s="127"/>
      <c r="G350" s="127"/>
    </row>
    <row r="351" spans="3:7" ht="13">
      <c r="C351" s="127"/>
      <c r="D351" s="127"/>
      <c r="G351" s="127"/>
    </row>
    <row r="352" spans="3:7" ht="13">
      <c r="C352" s="127"/>
      <c r="D352" s="127"/>
      <c r="G352" s="127"/>
    </row>
    <row r="353" spans="3:7" ht="13">
      <c r="C353" s="127"/>
      <c r="D353" s="127"/>
      <c r="G353" s="127"/>
    </row>
    <row r="354" spans="3:7" ht="13">
      <c r="C354" s="127"/>
      <c r="D354" s="127"/>
      <c r="G354" s="127"/>
    </row>
    <row r="355" spans="3:7" ht="13">
      <c r="C355" s="127"/>
      <c r="D355" s="127"/>
      <c r="G355" s="127"/>
    </row>
    <row r="356" spans="3:7" ht="13">
      <c r="C356" s="127"/>
      <c r="D356" s="127"/>
      <c r="G356" s="127"/>
    </row>
    <row r="357" spans="3:7" ht="13">
      <c r="C357" s="127"/>
      <c r="D357" s="127"/>
      <c r="G357" s="127"/>
    </row>
    <row r="358" spans="3:7" ht="13">
      <c r="C358" s="127"/>
      <c r="D358" s="127"/>
      <c r="G358" s="127"/>
    </row>
    <row r="359" spans="3:7" ht="13">
      <c r="C359" s="127"/>
      <c r="D359" s="127"/>
      <c r="G359" s="127"/>
    </row>
    <row r="360" spans="3:7" ht="13">
      <c r="C360" s="127"/>
      <c r="D360" s="127"/>
      <c r="G360" s="127"/>
    </row>
    <row r="361" spans="3:7" ht="13">
      <c r="C361" s="127"/>
      <c r="D361" s="127"/>
      <c r="G361" s="127"/>
    </row>
    <row r="362" spans="3:7" ht="13">
      <c r="C362" s="127"/>
      <c r="D362" s="127"/>
      <c r="G362" s="127"/>
    </row>
    <row r="363" spans="3:7" ht="13">
      <c r="C363" s="127"/>
      <c r="D363" s="127"/>
      <c r="G363" s="127"/>
    </row>
    <row r="364" spans="3:7" ht="13">
      <c r="C364" s="127"/>
      <c r="D364" s="127"/>
      <c r="G364" s="127"/>
    </row>
    <row r="365" spans="3:7" ht="13">
      <c r="C365" s="127"/>
      <c r="D365" s="127"/>
      <c r="G365" s="127"/>
    </row>
    <row r="366" spans="3:7" ht="13">
      <c r="C366" s="127"/>
      <c r="D366" s="127"/>
      <c r="G366" s="127"/>
    </row>
    <row r="367" spans="3:7" ht="13">
      <c r="C367" s="127"/>
      <c r="D367" s="127"/>
      <c r="G367" s="127"/>
    </row>
    <row r="368" spans="3:7" ht="13">
      <c r="C368" s="127"/>
      <c r="D368" s="127"/>
      <c r="G368" s="127"/>
    </row>
    <row r="369" spans="3:7" ht="13">
      <c r="C369" s="127"/>
      <c r="D369" s="127"/>
      <c r="G369" s="127"/>
    </row>
    <row r="370" spans="3:7" ht="13">
      <c r="C370" s="127"/>
      <c r="D370" s="127"/>
      <c r="G370" s="127"/>
    </row>
    <row r="371" spans="3:7" ht="13">
      <c r="C371" s="127"/>
      <c r="D371" s="127"/>
      <c r="G371" s="127"/>
    </row>
    <row r="372" spans="3:7" ht="13">
      <c r="C372" s="127"/>
      <c r="D372" s="127"/>
      <c r="G372" s="127"/>
    </row>
    <row r="373" spans="3:7" ht="13">
      <c r="C373" s="127"/>
      <c r="D373" s="127"/>
      <c r="G373" s="127"/>
    </row>
    <row r="374" spans="3:7" ht="13">
      <c r="C374" s="127"/>
      <c r="D374" s="127"/>
      <c r="G374" s="127"/>
    </row>
    <row r="375" spans="3:7" ht="13">
      <c r="C375" s="127"/>
      <c r="D375" s="127"/>
      <c r="G375" s="127"/>
    </row>
    <row r="376" spans="3:7" ht="13">
      <c r="C376" s="127"/>
      <c r="D376" s="127"/>
      <c r="G376" s="127"/>
    </row>
    <row r="377" spans="3:7" ht="13">
      <c r="C377" s="127"/>
      <c r="D377" s="127"/>
      <c r="G377" s="127"/>
    </row>
    <row r="378" spans="3:7" ht="13">
      <c r="C378" s="127"/>
      <c r="D378" s="127"/>
      <c r="G378" s="127"/>
    </row>
    <row r="379" spans="3:7" ht="13">
      <c r="C379" s="127"/>
      <c r="D379" s="127"/>
      <c r="G379" s="127"/>
    </row>
    <row r="380" spans="3:7" ht="13">
      <c r="C380" s="127"/>
      <c r="D380" s="127"/>
      <c r="G380" s="127"/>
    </row>
    <row r="381" spans="3:7" ht="13">
      <c r="C381" s="127"/>
      <c r="D381" s="127"/>
      <c r="G381" s="127"/>
    </row>
    <row r="382" spans="3:7" ht="13">
      <c r="C382" s="127"/>
      <c r="D382" s="127"/>
      <c r="G382" s="127"/>
    </row>
    <row r="383" spans="3:7" ht="13">
      <c r="C383" s="127"/>
      <c r="D383" s="127"/>
      <c r="G383" s="127"/>
    </row>
    <row r="384" spans="3:7" ht="13">
      <c r="C384" s="127"/>
      <c r="D384" s="127"/>
      <c r="G384" s="127"/>
    </row>
    <row r="385" spans="3:7" ht="13">
      <c r="C385" s="127"/>
      <c r="D385" s="127"/>
      <c r="G385" s="127"/>
    </row>
    <row r="386" spans="3:7" ht="13">
      <c r="C386" s="127"/>
      <c r="D386" s="127"/>
      <c r="G386" s="127"/>
    </row>
    <row r="387" spans="3:7" ht="13">
      <c r="C387" s="127"/>
      <c r="D387" s="127"/>
      <c r="G387" s="127"/>
    </row>
    <row r="388" spans="3:7" ht="13">
      <c r="C388" s="127"/>
      <c r="D388" s="127"/>
      <c r="G388" s="127"/>
    </row>
    <row r="389" spans="3:7" ht="13">
      <c r="C389" s="127"/>
      <c r="D389" s="127"/>
      <c r="G389" s="127"/>
    </row>
    <row r="390" spans="3:7" ht="13">
      <c r="C390" s="127"/>
      <c r="D390" s="127"/>
      <c r="G390" s="127"/>
    </row>
    <row r="391" spans="3:7" ht="13">
      <c r="C391" s="127"/>
      <c r="D391" s="127"/>
      <c r="G391" s="127"/>
    </row>
    <row r="392" spans="3:7" ht="13">
      <c r="C392" s="127"/>
      <c r="D392" s="127"/>
      <c r="G392" s="127"/>
    </row>
    <row r="393" spans="3:7" ht="13">
      <c r="C393" s="127"/>
      <c r="D393" s="127"/>
      <c r="G393" s="127"/>
    </row>
    <row r="394" spans="3:7" ht="13">
      <c r="C394" s="127"/>
      <c r="D394" s="127"/>
      <c r="G394" s="127"/>
    </row>
    <row r="395" spans="3:7" ht="13">
      <c r="C395" s="127"/>
      <c r="D395" s="127"/>
      <c r="G395" s="127"/>
    </row>
    <row r="396" spans="3:7" ht="13">
      <c r="C396" s="127"/>
      <c r="D396" s="127"/>
      <c r="G396" s="127"/>
    </row>
    <row r="397" spans="3:7" ht="13">
      <c r="C397" s="127"/>
      <c r="D397" s="127"/>
      <c r="G397" s="127"/>
    </row>
    <row r="398" spans="3:7" ht="13">
      <c r="C398" s="127"/>
      <c r="D398" s="127"/>
      <c r="G398" s="127"/>
    </row>
    <row r="399" spans="3:7" ht="13">
      <c r="C399" s="127"/>
      <c r="D399" s="127"/>
      <c r="G399" s="127"/>
    </row>
    <row r="400" spans="3:7" ht="13">
      <c r="C400" s="127"/>
      <c r="D400" s="127"/>
      <c r="G400" s="127"/>
    </row>
    <row r="401" spans="3:7" ht="13">
      <c r="C401" s="127"/>
      <c r="D401" s="127"/>
      <c r="G401" s="127"/>
    </row>
    <row r="402" spans="3:7" ht="13">
      <c r="C402" s="127"/>
      <c r="D402" s="127"/>
      <c r="G402" s="127"/>
    </row>
    <row r="403" spans="3:7" ht="13">
      <c r="C403" s="127"/>
      <c r="D403" s="127"/>
      <c r="G403" s="127"/>
    </row>
    <row r="404" spans="3:7" ht="13">
      <c r="C404" s="127"/>
      <c r="D404" s="127"/>
      <c r="G404" s="127"/>
    </row>
    <row r="405" spans="3:7" ht="13">
      <c r="C405" s="127"/>
      <c r="D405" s="127"/>
      <c r="G405" s="127"/>
    </row>
    <row r="406" spans="3:7" ht="13">
      <c r="C406" s="127"/>
      <c r="D406" s="127"/>
      <c r="G406" s="127"/>
    </row>
    <row r="407" spans="3:7" ht="13">
      <c r="C407" s="127"/>
      <c r="D407" s="127"/>
      <c r="G407" s="127"/>
    </row>
    <row r="408" spans="3:7" ht="13">
      <c r="C408" s="127"/>
      <c r="D408" s="127"/>
      <c r="G408" s="127"/>
    </row>
    <row r="409" spans="3:7" ht="13">
      <c r="C409" s="127"/>
      <c r="D409" s="127"/>
      <c r="G409" s="127"/>
    </row>
    <row r="410" spans="3:7" ht="13">
      <c r="C410" s="127"/>
      <c r="D410" s="127"/>
      <c r="G410" s="127"/>
    </row>
    <row r="411" spans="3:7" ht="13">
      <c r="C411" s="127"/>
      <c r="D411" s="127"/>
      <c r="G411" s="127"/>
    </row>
    <row r="412" spans="3:7" ht="13">
      <c r="C412" s="127"/>
      <c r="D412" s="127"/>
      <c r="G412" s="127"/>
    </row>
    <row r="413" spans="3:7" ht="13">
      <c r="C413" s="127"/>
      <c r="D413" s="127"/>
      <c r="G413" s="127"/>
    </row>
    <row r="414" spans="3:7" ht="13">
      <c r="C414" s="127"/>
      <c r="D414" s="127"/>
      <c r="G414" s="127"/>
    </row>
    <row r="415" spans="3:7" ht="13">
      <c r="C415" s="127"/>
      <c r="D415" s="127"/>
      <c r="G415" s="127"/>
    </row>
    <row r="416" spans="3:7" ht="13">
      <c r="C416" s="127"/>
      <c r="D416" s="127"/>
      <c r="G416" s="127"/>
    </row>
    <row r="417" spans="3:7" ht="13">
      <c r="C417" s="127"/>
      <c r="D417" s="127"/>
      <c r="G417" s="127"/>
    </row>
    <row r="418" spans="3:7" ht="13">
      <c r="C418" s="127"/>
      <c r="D418" s="127"/>
      <c r="G418" s="127"/>
    </row>
    <row r="419" spans="3:7" ht="13">
      <c r="C419" s="127"/>
      <c r="D419" s="127"/>
      <c r="G419" s="127"/>
    </row>
    <row r="420" spans="3:7" ht="13">
      <c r="C420" s="127"/>
      <c r="D420" s="127"/>
      <c r="G420" s="127"/>
    </row>
    <row r="421" spans="3:7" ht="13">
      <c r="C421" s="127"/>
      <c r="D421" s="127"/>
      <c r="G421" s="127"/>
    </row>
    <row r="422" spans="3:7" ht="13">
      <c r="C422" s="127"/>
      <c r="D422" s="127"/>
      <c r="G422" s="127"/>
    </row>
    <row r="423" spans="3:7" ht="13">
      <c r="C423" s="127"/>
      <c r="D423" s="127"/>
      <c r="G423" s="127"/>
    </row>
    <row r="424" spans="3:7" ht="13">
      <c r="C424" s="127"/>
      <c r="D424" s="127"/>
      <c r="G424" s="127"/>
    </row>
    <row r="425" spans="3:7" ht="13">
      <c r="C425" s="127"/>
      <c r="D425" s="127"/>
      <c r="G425" s="127"/>
    </row>
    <row r="426" spans="3:7" ht="13">
      <c r="C426" s="127"/>
      <c r="D426" s="127"/>
      <c r="G426" s="127"/>
    </row>
    <row r="427" spans="3:7" ht="13">
      <c r="C427" s="127"/>
      <c r="D427" s="127"/>
      <c r="G427" s="127"/>
    </row>
    <row r="428" spans="3:7" ht="13">
      <c r="C428" s="127"/>
      <c r="D428" s="127"/>
      <c r="G428" s="127"/>
    </row>
    <row r="429" spans="3:7" ht="13">
      <c r="C429" s="127"/>
      <c r="D429" s="127"/>
      <c r="G429" s="127"/>
    </row>
    <row r="430" spans="3:7" ht="13">
      <c r="C430" s="127"/>
      <c r="D430" s="127"/>
      <c r="G430" s="127"/>
    </row>
    <row r="431" spans="3:7" ht="13">
      <c r="C431" s="127"/>
      <c r="D431" s="127"/>
      <c r="G431" s="127"/>
    </row>
    <row r="432" spans="3:7" ht="13">
      <c r="C432" s="127"/>
      <c r="D432" s="127"/>
      <c r="G432" s="127"/>
    </row>
    <row r="433" spans="3:7" ht="13">
      <c r="C433" s="127"/>
      <c r="D433" s="127"/>
      <c r="G433" s="127"/>
    </row>
    <row r="434" spans="3:7" ht="13">
      <c r="C434" s="127"/>
      <c r="D434" s="127"/>
      <c r="G434" s="127"/>
    </row>
    <row r="435" spans="3:7" ht="13">
      <c r="C435" s="127"/>
      <c r="D435" s="127"/>
      <c r="G435" s="127"/>
    </row>
    <row r="436" spans="3:7" ht="13">
      <c r="C436" s="127"/>
      <c r="D436" s="127"/>
      <c r="G436" s="127"/>
    </row>
    <row r="437" spans="3:7" ht="13">
      <c r="C437" s="127"/>
      <c r="D437" s="127"/>
      <c r="G437" s="127"/>
    </row>
    <row r="438" spans="3:7" ht="13">
      <c r="C438" s="127"/>
      <c r="D438" s="127"/>
      <c r="G438" s="127"/>
    </row>
    <row r="439" spans="3:7" ht="13">
      <c r="C439" s="127"/>
      <c r="D439" s="127"/>
      <c r="G439" s="127"/>
    </row>
    <row r="440" spans="3:7" ht="13">
      <c r="C440" s="127"/>
      <c r="D440" s="127"/>
      <c r="G440" s="127"/>
    </row>
    <row r="441" spans="3:7" ht="13">
      <c r="C441" s="127"/>
      <c r="D441" s="127"/>
      <c r="G441" s="127"/>
    </row>
    <row r="442" spans="3:7" ht="13">
      <c r="C442" s="127"/>
      <c r="D442" s="127"/>
      <c r="G442" s="127"/>
    </row>
    <row r="443" spans="3:7" ht="13">
      <c r="C443" s="127"/>
      <c r="D443" s="127"/>
      <c r="G443" s="127"/>
    </row>
    <row r="444" spans="3:7" ht="13">
      <c r="C444" s="127"/>
      <c r="D444" s="127"/>
      <c r="G444" s="127"/>
    </row>
    <row r="445" spans="3:7" ht="13">
      <c r="C445" s="127"/>
      <c r="D445" s="127"/>
      <c r="G445" s="127"/>
    </row>
    <row r="446" spans="3:7" ht="13">
      <c r="C446" s="127"/>
      <c r="D446" s="127"/>
      <c r="G446" s="127"/>
    </row>
    <row r="447" spans="3:7" ht="13">
      <c r="C447" s="127"/>
      <c r="D447" s="127"/>
      <c r="G447" s="127"/>
    </row>
    <row r="448" spans="3:7" ht="13">
      <c r="C448" s="127"/>
      <c r="D448" s="127"/>
      <c r="G448" s="127"/>
    </row>
    <row r="449" spans="3:7" ht="13">
      <c r="C449" s="127"/>
      <c r="D449" s="127"/>
      <c r="G449" s="127"/>
    </row>
    <row r="450" spans="3:7" ht="13">
      <c r="C450" s="127"/>
      <c r="D450" s="127"/>
      <c r="G450" s="127"/>
    </row>
    <row r="451" spans="3:7" ht="13">
      <c r="C451" s="127"/>
      <c r="D451" s="127"/>
      <c r="G451" s="127"/>
    </row>
    <row r="452" spans="3:7" ht="13">
      <c r="C452" s="127"/>
      <c r="D452" s="127"/>
      <c r="G452" s="127"/>
    </row>
    <row r="453" spans="3:7" ht="13">
      <c r="C453" s="127"/>
      <c r="D453" s="127"/>
      <c r="G453" s="127"/>
    </row>
    <row r="454" spans="3:7" ht="13">
      <c r="C454" s="127"/>
      <c r="D454" s="127"/>
      <c r="G454" s="127"/>
    </row>
    <row r="455" spans="3:7" ht="13">
      <c r="C455" s="127"/>
      <c r="D455" s="127"/>
      <c r="G455" s="127"/>
    </row>
    <row r="456" spans="3:7" ht="13">
      <c r="C456" s="127"/>
      <c r="D456" s="127"/>
      <c r="G456" s="127"/>
    </row>
    <row r="457" spans="3:7" ht="13">
      <c r="C457" s="127"/>
      <c r="D457" s="127"/>
      <c r="G457" s="127"/>
    </row>
    <row r="458" spans="3:7" ht="13">
      <c r="C458" s="127"/>
      <c r="D458" s="127"/>
      <c r="G458" s="127"/>
    </row>
    <row r="459" spans="3:7" ht="13">
      <c r="C459" s="127"/>
      <c r="D459" s="127"/>
      <c r="G459" s="127"/>
    </row>
    <row r="460" spans="3:7" ht="13">
      <c r="C460" s="127"/>
      <c r="D460" s="127"/>
      <c r="G460" s="127"/>
    </row>
    <row r="461" spans="3:7" ht="13">
      <c r="C461" s="127"/>
      <c r="D461" s="127"/>
      <c r="G461" s="127"/>
    </row>
    <row r="462" spans="3:7" ht="13">
      <c r="C462" s="127"/>
      <c r="D462" s="127"/>
      <c r="G462" s="127"/>
    </row>
    <row r="463" spans="3:7" ht="13">
      <c r="C463" s="127"/>
      <c r="D463" s="127"/>
      <c r="G463" s="127"/>
    </row>
    <row r="464" spans="3:7" ht="13">
      <c r="C464" s="127"/>
      <c r="D464" s="127"/>
      <c r="G464" s="127"/>
    </row>
    <row r="465" spans="3:7" ht="13">
      <c r="C465" s="127"/>
      <c r="D465" s="127"/>
      <c r="G465" s="127"/>
    </row>
    <row r="466" spans="3:7" ht="13">
      <c r="C466" s="127"/>
      <c r="D466" s="127"/>
      <c r="G466" s="127"/>
    </row>
    <row r="467" spans="3:7" ht="13">
      <c r="C467" s="127"/>
      <c r="D467" s="127"/>
      <c r="G467" s="127"/>
    </row>
    <row r="468" spans="3:7" ht="13">
      <c r="C468" s="127"/>
      <c r="D468" s="127"/>
      <c r="G468" s="127"/>
    </row>
    <row r="469" spans="3:7" ht="13">
      <c r="C469" s="127"/>
      <c r="D469" s="127"/>
      <c r="G469" s="127"/>
    </row>
    <row r="470" spans="3:7" ht="13">
      <c r="C470" s="127"/>
      <c r="D470" s="127"/>
      <c r="G470" s="127"/>
    </row>
    <row r="471" spans="3:7" ht="13">
      <c r="C471" s="127"/>
      <c r="D471" s="127"/>
      <c r="G471" s="127"/>
    </row>
    <row r="472" spans="3:7" ht="13">
      <c r="C472" s="127"/>
      <c r="D472" s="127"/>
      <c r="G472" s="127"/>
    </row>
    <row r="473" spans="3:7" ht="13">
      <c r="C473" s="127"/>
      <c r="D473" s="127"/>
      <c r="G473" s="127"/>
    </row>
    <row r="474" spans="3:7" ht="13">
      <c r="C474" s="127"/>
      <c r="D474" s="127"/>
      <c r="G474" s="127"/>
    </row>
    <row r="475" spans="3:7" ht="13">
      <c r="C475" s="127"/>
      <c r="D475" s="127"/>
      <c r="G475" s="127"/>
    </row>
    <row r="476" spans="3:7" ht="13">
      <c r="C476" s="127"/>
      <c r="D476" s="127"/>
      <c r="G476" s="127"/>
    </row>
    <row r="477" spans="3:7" ht="13">
      <c r="C477" s="127"/>
      <c r="D477" s="127"/>
      <c r="G477" s="127"/>
    </row>
    <row r="478" spans="3:7" ht="13">
      <c r="C478" s="127"/>
      <c r="D478" s="127"/>
      <c r="G478" s="127"/>
    </row>
    <row r="479" spans="3:7" ht="13">
      <c r="C479" s="127"/>
      <c r="D479" s="127"/>
      <c r="G479" s="127"/>
    </row>
    <row r="480" spans="3:7" ht="13">
      <c r="C480" s="127"/>
      <c r="D480" s="127"/>
      <c r="G480" s="127"/>
    </row>
    <row r="481" spans="3:7" ht="13">
      <c r="C481" s="127"/>
      <c r="D481" s="127"/>
      <c r="G481" s="127"/>
    </row>
    <row r="482" spans="3:7" ht="13">
      <c r="C482" s="127"/>
      <c r="D482" s="127"/>
      <c r="G482" s="127"/>
    </row>
    <row r="483" spans="3:7" ht="13">
      <c r="C483" s="127"/>
      <c r="D483" s="127"/>
      <c r="G483" s="127"/>
    </row>
    <row r="484" spans="3:7" ht="13">
      <c r="C484" s="127"/>
      <c r="D484" s="127"/>
      <c r="G484" s="127"/>
    </row>
    <row r="485" spans="3:7" ht="13">
      <c r="C485" s="127"/>
      <c r="D485" s="127"/>
      <c r="G485" s="127"/>
    </row>
    <row r="486" spans="3:7" ht="13">
      <c r="C486" s="127"/>
      <c r="D486" s="127"/>
      <c r="G486" s="127"/>
    </row>
    <row r="487" spans="3:7" ht="13">
      <c r="C487" s="127"/>
      <c r="D487" s="127"/>
      <c r="G487" s="127"/>
    </row>
    <row r="488" spans="3:7" ht="13">
      <c r="C488" s="127"/>
      <c r="D488" s="127"/>
      <c r="G488" s="127"/>
    </row>
    <row r="489" spans="3:7" ht="13">
      <c r="C489" s="127"/>
      <c r="D489" s="127"/>
      <c r="G489" s="127"/>
    </row>
    <row r="490" spans="3:7" ht="13">
      <c r="C490" s="127"/>
      <c r="D490" s="127"/>
      <c r="G490" s="127"/>
    </row>
    <row r="491" spans="3:7" ht="13">
      <c r="C491" s="127"/>
      <c r="D491" s="127"/>
      <c r="G491" s="127"/>
    </row>
    <row r="492" spans="3:7" ht="13">
      <c r="C492" s="127"/>
      <c r="D492" s="127"/>
      <c r="G492" s="127"/>
    </row>
    <row r="493" spans="3:7" ht="13">
      <c r="C493" s="127"/>
      <c r="D493" s="127"/>
      <c r="G493" s="127"/>
    </row>
    <row r="494" spans="3:7" ht="13">
      <c r="C494" s="127"/>
      <c r="D494" s="127"/>
      <c r="G494" s="127"/>
    </row>
    <row r="495" spans="3:7" ht="13">
      <c r="C495" s="127"/>
      <c r="D495" s="127"/>
      <c r="G495" s="127"/>
    </row>
    <row r="496" spans="3:7" ht="13">
      <c r="C496" s="127"/>
      <c r="D496" s="127"/>
      <c r="G496" s="127"/>
    </row>
    <row r="497" spans="3:7" ht="13">
      <c r="C497" s="127"/>
      <c r="D497" s="127"/>
      <c r="G497" s="127"/>
    </row>
    <row r="498" spans="3:7" ht="13">
      <c r="C498" s="127"/>
      <c r="D498" s="127"/>
      <c r="G498" s="127"/>
    </row>
    <row r="499" spans="3:7" ht="13">
      <c r="C499" s="127"/>
      <c r="D499" s="127"/>
      <c r="G499" s="127"/>
    </row>
    <row r="500" spans="3:7" ht="13">
      <c r="C500" s="127"/>
      <c r="D500" s="127"/>
      <c r="G500" s="127"/>
    </row>
    <row r="501" spans="3:7" ht="13">
      <c r="C501" s="127"/>
      <c r="D501" s="127"/>
      <c r="G501" s="127"/>
    </row>
    <row r="502" spans="3:7" ht="13">
      <c r="C502" s="127"/>
      <c r="D502" s="127"/>
      <c r="G502" s="127"/>
    </row>
    <row r="503" spans="3:7" ht="13">
      <c r="C503" s="127"/>
      <c r="D503" s="127"/>
      <c r="G503" s="127"/>
    </row>
    <row r="504" spans="3:7" ht="13">
      <c r="C504" s="127"/>
      <c r="D504" s="127"/>
      <c r="G504" s="127"/>
    </row>
    <row r="505" spans="3:7" ht="13">
      <c r="C505" s="127"/>
      <c r="D505" s="127"/>
      <c r="G505" s="127"/>
    </row>
    <row r="506" spans="3:7" ht="13">
      <c r="C506" s="127"/>
      <c r="D506" s="127"/>
      <c r="G506" s="127"/>
    </row>
    <row r="507" spans="3:7" ht="13">
      <c r="C507" s="127"/>
      <c r="D507" s="127"/>
      <c r="G507" s="127"/>
    </row>
    <row r="508" spans="3:7" ht="13">
      <c r="C508" s="127"/>
      <c r="D508" s="127"/>
      <c r="G508" s="127"/>
    </row>
    <row r="509" spans="3:7" ht="13">
      <c r="C509" s="127"/>
      <c r="D509" s="127"/>
      <c r="G509" s="127"/>
    </row>
    <row r="510" spans="3:7" ht="13">
      <c r="C510" s="127"/>
      <c r="D510" s="127"/>
      <c r="G510" s="127"/>
    </row>
    <row r="511" spans="3:7" ht="13">
      <c r="C511" s="127"/>
      <c r="D511" s="127"/>
      <c r="G511" s="127"/>
    </row>
    <row r="512" spans="3:7" ht="13">
      <c r="C512" s="127"/>
      <c r="D512" s="127"/>
      <c r="G512" s="127"/>
    </row>
    <row r="513" spans="3:7" ht="13">
      <c r="C513" s="127"/>
      <c r="D513" s="127"/>
      <c r="G513" s="127"/>
    </row>
    <row r="514" spans="3:7" ht="13">
      <c r="C514" s="127"/>
      <c r="D514" s="127"/>
      <c r="G514" s="127"/>
    </row>
    <row r="515" spans="3:7" ht="13">
      <c r="C515" s="127"/>
      <c r="D515" s="127"/>
      <c r="G515" s="127"/>
    </row>
    <row r="516" spans="3:7" ht="13">
      <c r="C516" s="127"/>
      <c r="D516" s="127"/>
      <c r="G516" s="127"/>
    </row>
    <row r="517" spans="3:7" ht="13">
      <c r="C517" s="127"/>
      <c r="D517" s="127"/>
      <c r="G517" s="127"/>
    </row>
    <row r="518" spans="3:7" ht="13">
      <c r="C518" s="127"/>
      <c r="D518" s="127"/>
      <c r="G518" s="127"/>
    </row>
    <row r="519" spans="3:7" ht="13">
      <c r="C519" s="127"/>
      <c r="D519" s="127"/>
      <c r="G519" s="127"/>
    </row>
    <row r="520" spans="3:7" ht="13">
      <c r="C520" s="127"/>
      <c r="D520" s="127"/>
      <c r="G520" s="127"/>
    </row>
    <row r="521" spans="3:7" ht="13">
      <c r="C521" s="127"/>
      <c r="D521" s="127"/>
      <c r="G521" s="127"/>
    </row>
    <row r="522" spans="3:7" ht="13">
      <c r="C522" s="127"/>
      <c r="D522" s="127"/>
      <c r="G522" s="127"/>
    </row>
    <row r="523" spans="3:7" ht="13">
      <c r="C523" s="127"/>
      <c r="D523" s="127"/>
      <c r="G523" s="127"/>
    </row>
    <row r="524" spans="3:7" ht="13">
      <c r="C524" s="127"/>
      <c r="D524" s="127"/>
      <c r="G524" s="127"/>
    </row>
    <row r="525" spans="3:7" ht="13">
      <c r="C525" s="127"/>
      <c r="D525" s="127"/>
      <c r="G525" s="127"/>
    </row>
    <row r="526" spans="3:7" ht="13">
      <c r="C526" s="127"/>
      <c r="D526" s="127"/>
      <c r="G526" s="127"/>
    </row>
    <row r="527" spans="3:7" ht="13">
      <c r="C527" s="127"/>
      <c r="D527" s="127"/>
      <c r="G527" s="127"/>
    </row>
    <row r="528" spans="3:7" ht="13">
      <c r="C528" s="127"/>
      <c r="D528" s="127"/>
      <c r="G528" s="127"/>
    </row>
    <row r="529" spans="3:7" ht="13">
      <c r="C529" s="127"/>
      <c r="D529" s="127"/>
      <c r="G529" s="127"/>
    </row>
    <row r="530" spans="3:7" ht="13">
      <c r="C530" s="127"/>
      <c r="D530" s="127"/>
      <c r="G530" s="127"/>
    </row>
    <row r="531" spans="3:7" ht="13">
      <c r="C531" s="127"/>
      <c r="D531" s="127"/>
      <c r="G531" s="127"/>
    </row>
    <row r="532" spans="3:7" ht="13">
      <c r="C532" s="127"/>
      <c r="D532" s="127"/>
      <c r="G532" s="127"/>
    </row>
    <row r="533" spans="3:7" ht="13">
      <c r="C533" s="127"/>
      <c r="D533" s="127"/>
      <c r="G533" s="127"/>
    </row>
    <row r="534" spans="3:7" ht="13">
      <c r="C534" s="127"/>
      <c r="D534" s="127"/>
      <c r="G534" s="127"/>
    </row>
    <row r="535" spans="3:7" ht="13">
      <c r="C535" s="127"/>
      <c r="D535" s="127"/>
      <c r="G535" s="127"/>
    </row>
    <row r="536" spans="3:7" ht="13">
      <c r="C536" s="127"/>
      <c r="D536" s="127"/>
      <c r="G536" s="127"/>
    </row>
    <row r="537" spans="3:7" ht="13">
      <c r="C537" s="127"/>
      <c r="D537" s="127"/>
      <c r="G537" s="127"/>
    </row>
    <row r="538" spans="3:7" ht="13">
      <c r="C538" s="127"/>
      <c r="D538" s="127"/>
      <c r="G538" s="127"/>
    </row>
    <row r="539" spans="3:7" ht="13">
      <c r="C539" s="127"/>
      <c r="D539" s="127"/>
      <c r="G539" s="127"/>
    </row>
    <row r="540" spans="3:7" ht="13">
      <c r="C540" s="127"/>
      <c r="D540" s="127"/>
      <c r="G540" s="127"/>
    </row>
    <row r="541" spans="3:7" ht="13">
      <c r="C541" s="127"/>
      <c r="D541" s="127"/>
      <c r="G541" s="127"/>
    </row>
    <row r="542" spans="3:7" ht="13">
      <c r="C542" s="127"/>
      <c r="D542" s="127"/>
      <c r="G542" s="127"/>
    </row>
    <row r="543" spans="3:7" ht="13">
      <c r="C543" s="127"/>
      <c r="D543" s="127"/>
      <c r="G543" s="127"/>
    </row>
    <row r="544" spans="3:7" ht="13">
      <c r="C544" s="127"/>
      <c r="D544" s="127"/>
      <c r="G544" s="127"/>
    </row>
    <row r="545" spans="3:7" ht="13">
      <c r="C545" s="127"/>
      <c r="D545" s="127"/>
      <c r="G545" s="127"/>
    </row>
    <row r="546" spans="3:7" ht="13">
      <c r="C546" s="127"/>
      <c r="D546" s="127"/>
      <c r="G546" s="127"/>
    </row>
    <row r="547" spans="3:7" ht="13">
      <c r="C547" s="127"/>
      <c r="D547" s="127"/>
      <c r="G547" s="127"/>
    </row>
    <row r="548" spans="3:7" ht="13">
      <c r="C548" s="127"/>
      <c r="D548" s="127"/>
      <c r="G548" s="127"/>
    </row>
    <row r="549" spans="3:7" ht="13">
      <c r="C549" s="127"/>
      <c r="D549" s="127"/>
      <c r="G549" s="127"/>
    </row>
    <row r="550" spans="3:7" ht="13">
      <c r="C550" s="127"/>
      <c r="D550" s="127"/>
      <c r="G550" s="127"/>
    </row>
    <row r="551" spans="3:7" ht="13">
      <c r="C551" s="127"/>
      <c r="D551" s="127"/>
      <c r="G551" s="127"/>
    </row>
    <row r="552" spans="3:7" ht="13">
      <c r="C552" s="127"/>
      <c r="D552" s="127"/>
      <c r="G552" s="127"/>
    </row>
    <row r="553" spans="3:7" ht="13">
      <c r="C553" s="127"/>
      <c r="D553" s="127"/>
      <c r="G553" s="127"/>
    </row>
    <row r="554" spans="3:7" ht="13">
      <c r="C554" s="127"/>
      <c r="D554" s="127"/>
      <c r="G554" s="127"/>
    </row>
    <row r="555" spans="3:7" ht="13">
      <c r="C555" s="127"/>
      <c r="D555" s="127"/>
      <c r="G555" s="127"/>
    </row>
    <row r="556" spans="3:7" ht="13">
      <c r="C556" s="127"/>
      <c r="D556" s="127"/>
      <c r="G556" s="127"/>
    </row>
    <row r="557" spans="3:7" ht="13">
      <c r="C557" s="127"/>
      <c r="D557" s="127"/>
      <c r="G557" s="127"/>
    </row>
    <row r="558" spans="3:7" ht="13">
      <c r="C558" s="127"/>
      <c r="D558" s="127"/>
      <c r="G558" s="127"/>
    </row>
    <row r="559" spans="3:7" ht="13">
      <c r="C559" s="127"/>
      <c r="D559" s="127"/>
      <c r="G559" s="127"/>
    </row>
    <row r="560" spans="3:7" ht="13">
      <c r="C560" s="127"/>
      <c r="D560" s="127"/>
      <c r="G560" s="127"/>
    </row>
    <row r="561" spans="3:7" ht="13">
      <c r="C561" s="127"/>
      <c r="D561" s="127"/>
      <c r="G561" s="127"/>
    </row>
    <row r="562" spans="3:7" ht="13">
      <c r="C562" s="127"/>
      <c r="D562" s="127"/>
      <c r="G562" s="127"/>
    </row>
    <row r="563" spans="3:7" ht="13">
      <c r="C563" s="127"/>
      <c r="D563" s="127"/>
      <c r="G563" s="127"/>
    </row>
    <row r="564" spans="3:7" ht="13">
      <c r="C564" s="127"/>
      <c r="D564" s="127"/>
      <c r="G564" s="127"/>
    </row>
    <row r="565" spans="3:7" ht="13">
      <c r="C565" s="127"/>
      <c r="D565" s="127"/>
      <c r="G565" s="127"/>
    </row>
    <row r="566" spans="3:7" ht="13">
      <c r="C566" s="127"/>
      <c r="D566" s="127"/>
      <c r="G566" s="127"/>
    </row>
    <row r="567" spans="3:7" ht="13">
      <c r="C567" s="127"/>
      <c r="D567" s="127"/>
      <c r="G567" s="127"/>
    </row>
    <row r="568" spans="3:7" ht="13">
      <c r="C568" s="127"/>
      <c r="D568" s="127"/>
      <c r="G568" s="127"/>
    </row>
    <row r="569" spans="3:7" ht="13">
      <c r="C569" s="127"/>
      <c r="D569" s="127"/>
      <c r="G569" s="127"/>
    </row>
    <row r="570" spans="3:7" ht="13">
      <c r="C570" s="127"/>
      <c r="D570" s="127"/>
      <c r="G570" s="127"/>
    </row>
    <row r="571" spans="3:7" ht="13">
      <c r="C571" s="127"/>
      <c r="D571" s="127"/>
      <c r="G571" s="127"/>
    </row>
    <row r="572" spans="3:7" ht="13">
      <c r="C572" s="127"/>
      <c r="D572" s="127"/>
      <c r="G572" s="127"/>
    </row>
    <row r="573" spans="3:7" ht="13">
      <c r="C573" s="127"/>
      <c r="D573" s="127"/>
      <c r="G573" s="127"/>
    </row>
    <row r="574" spans="3:7" ht="13">
      <c r="C574" s="127"/>
      <c r="D574" s="127"/>
      <c r="G574" s="127"/>
    </row>
    <row r="575" spans="3:7" ht="13">
      <c r="C575" s="127"/>
      <c r="D575" s="127"/>
      <c r="G575" s="127"/>
    </row>
    <row r="576" spans="3:7" ht="13">
      <c r="C576" s="127"/>
      <c r="D576" s="127"/>
      <c r="G576" s="127"/>
    </row>
    <row r="577" spans="3:7" ht="13">
      <c r="C577" s="127"/>
      <c r="D577" s="127"/>
      <c r="G577" s="127"/>
    </row>
    <row r="578" spans="3:7" ht="13">
      <c r="C578" s="127"/>
      <c r="D578" s="127"/>
      <c r="G578" s="127"/>
    </row>
    <row r="579" spans="3:7" ht="13">
      <c r="C579" s="127"/>
      <c r="D579" s="127"/>
      <c r="G579" s="127"/>
    </row>
    <row r="580" spans="3:7" ht="13">
      <c r="C580" s="127"/>
      <c r="D580" s="127"/>
      <c r="G580" s="127"/>
    </row>
    <row r="581" spans="3:7" ht="13">
      <c r="C581" s="127"/>
      <c r="D581" s="127"/>
      <c r="G581" s="127"/>
    </row>
    <row r="582" spans="3:7" ht="13">
      <c r="C582" s="127"/>
      <c r="D582" s="127"/>
      <c r="G582" s="127"/>
    </row>
    <row r="583" spans="3:7" ht="13">
      <c r="C583" s="127"/>
      <c r="D583" s="127"/>
      <c r="G583" s="127"/>
    </row>
    <row r="584" spans="3:7" ht="13">
      <c r="C584" s="127"/>
      <c r="D584" s="127"/>
      <c r="G584" s="127"/>
    </row>
    <row r="585" spans="3:7" ht="13">
      <c r="C585" s="127"/>
      <c r="D585" s="127"/>
      <c r="G585" s="127"/>
    </row>
    <row r="586" spans="3:7" ht="13">
      <c r="C586" s="127"/>
      <c r="D586" s="127"/>
      <c r="G586" s="127"/>
    </row>
    <row r="587" spans="3:7" ht="13">
      <c r="C587" s="127"/>
      <c r="D587" s="127"/>
      <c r="G587" s="127"/>
    </row>
    <row r="588" spans="3:7" ht="13">
      <c r="C588" s="127"/>
      <c r="D588" s="127"/>
      <c r="G588" s="127"/>
    </row>
    <row r="589" spans="3:7" ht="13">
      <c r="C589" s="127"/>
      <c r="D589" s="127"/>
      <c r="G589" s="127"/>
    </row>
    <row r="590" spans="3:7" ht="13">
      <c r="C590" s="127"/>
      <c r="D590" s="127"/>
      <c r="G590" s="127"/>
    </row>
    <row r="591" spans="3:7" ht="13">
      <c r="C591" s="127"/>
      <c r="D591" s="127"/>
      <c r="G591" s="127"/>
    </row>
    <row r="592" spans="3:7" ht="13">
      <c r="C592" s="127"/>
      <c r="D592" s="127"/>
      <c r="G592" s="127"/>
    </row>
    <row r="593" spans="3:7" ht="13">
      <c r="C593" s="127"/>
      <c r="D593" s="127"/>
      <c r="G593" s="127"/>
    </row>
    <row r="594" spans="3:7" ht="13">
      <c r="C594" s="127"/>
      <c r="D594" s="127"/>
      <c r="G594" s="127"/>
    </row>
    <row r="595" spans="3:7" ht="13">
      <c r="C595" s="127"/>
      <c r="D595" s="127"/>
      <c r="G595" s="127"/>
    </row>
    <row r="596" spans="3:7" ht="13">
      <c r="C596" s="127"/>
      <c r="D596" s="127"/>
      <c r="G596" s="127"/>
    </row>
    <row r="597" spans="3:7" ht="13">
      <c r="C597" s="127"/>
      <c r="D597" s="127"/>
      <c r="G597" s="127"/>
    </row>
    <row r="598" spans="3:7" ht="13">
      <c r="C598" s="127"/>
      <c r="D598" s="127"/>
      <c r="G598" s="127"/>
    </row>
    <row r="599" spans="3:7" ht="13">
      <c r="C599" s="127"/>
      <c r="D599" s="127"/>
      <c r="G599" s="127"/>
    </row>
    <row r="600" spans="3:7" ht="13">
      <c r="C600" s="127"/>
      <c r="D600" s="127"/>
      <c r="G600" s="127"/>
    </row>
    <row r="601" spans="3:7" ht="13">
      <c r="C601" s="127"/>
      <c r="D601" s="127"/>
      <c r="G601" s="127"/>
    </row>
    <row r="602" spans="3:7" ht="13">
      <c r="C602" s="127"/>
      <c r="D602" s="127"/>
      <c r="G602" s="127"/>
    </row>
    <row r="603" spans="3:7" ht="13">
      <c r="C603" s="127"/>
      <c r="D603" s="127"/>
      <c r="G603" s="127"/>
    </row>
    <row r="604" spans="3:7" ht="13">
      <c r="C604" s="127"/>
      <c r="D604" s="127"/>
      <c r="G604" s="127"/>
    </row>
    <row r="605" spans="3:7" ht="13">
      <c r="C605" s="127"/>
      <c r="D605" s="127"/>
      <c r="G605" s="127"/>
    </row>
    <row r="606" spans="3:7" ht="13">
      <c r="C606" s="127"/>
      <c r="D606" s="127"/>
      <c r="G606" s="127"/>
    </row>
    <row r="607" spans="3:7" ht="13">
      <c r="C607" s="127"/>
      <c r="D607" s="127"/>
      <c r="G607" s="127"/>
    </row>
    <row r="608" spans="3:7" ht="13">
      <c r="C608" s="127"/>
      <c r="D608" s="127"/>
      <c r="G608" s="127"/>
    </row>
    <row r="609" spans="3:7" ht="13">
      <c r="C609" s="127"/>
      <c r="D609" s="127"/>
      <c r="G609" s="127"/>
    </row>
    <row r="610" spans="3:7" ht="13">
      <c r="C610" s="127"/>
      <c r="D610" s="127"/>
      <c r="G610" s="127"/>
    </row>
    <row r="611" spans="3:7" ht="13">
      <c r="C611" s="127"/>
      <c r="D611" s="127"/>
      <c r="G611" s="127"/>
    </row>
    <row r="612" spans="3:7" ht="13">
      <c r="C612" s="127"/>
      <c r="D612" s="127"/>
      <c r="G612" s="127"/>
    </row>
    <row r="613" spans="3:7" ht="13">
      <c r="C613" s="127"/>
      <c r="D613" s="127"/>
      <c r="G613" s="127"/>
    </row>
    <row r="614" spans="3:7" ht="13">
      <c r="C614" s="127"/>
      <c r="D614" s="127"/>
      <c r="G614" s="127"/>
    </row>
    <row r="615" spans="3:7" ht="13">
      <c r="C615" s="127"/>
      <c r="D615" s="127"/>
      <c r="G615" s="127"/>
    </row>
    <row r="616" spans="3:7" ht="13">
      <c r="C616" s="127"/>
      <c r="D616" s="127"/>
      <c r="G616" s="127"/>
    </row>
    <row r="617" spans="3:7" ht="13">
      <c r="C617" s="127"/>
      <c r="D617" s="127"/>
      <c r="G617" s="127"/>
    </row>
    <row r="618" spans="3:7" ht="13">
      <c r="C618" s="127"/>
      <c r="D618" s="127"/>
      <c r="G618" s="127"/>
    </row>
    <row r="619" spans="3:7" ht="13">
      <c r="C619" s="127"/>
      <c r="D619" s="127"/>
      <c r="G619" s="127"/>
    </row>
    <row r="620" spans="3:7" ht="13">
      <c r="C620" s="127"/>
      <c r="D620" s="127"/>
      <c r="G620" s="127"/>
    </row>
    <row r="621" spans="3:7" ht="13">
      <c r="C621" s="127"/>
      <c r="D621" s="127"/>
      <c r="G621" s="127"/>
    </row>
    <row r="622" spans="3:7" ht="13">
      <c r="C622" s="127"/>
      <c r="D622" s="127"/>
      <c r="G622" s="127"/>
    </row>
    <row r="623" spans="3:7" ht="13">
      <c r="C623" s="127"/>
      <c r="D623" s="127"/>
      <c r="G623" s="127"/>
    </row>
    <row r="624" spans="3:7" ht="13">
      <c r="C624" s="127"/>
      <c r="D624" s="127"/>
      <c r="G624" s="127"/>
    </row>
    <row r="625" spans="3:7" ht="13">
      <c r="C625" s="127"/>
      <c r="D625" s="127"/>
      <c r="G625" s="127"/>
    </row>
    <row r="626" spans="3:7" ht="13">
      <c r="C626" s="127"/>
      <c r="D626" s="127"/>
      <c r="G626" s="127"/>
    </row>
    <row r="627" spans="3:7" ht="13">
      <c r="C627" s="127"/>
      <c r="D627" s="127"/>
      <c r="G627" s="127"/>
    </row>
    <row r="628" spans="3:7" ht="13">
      <c r="C628" s="127"/>
      <c r="D628" s="127"/>
      <c r="G628" s="127"/>
    </row>
    <row r="629" spans="3:7" ht="13">
      <c r="C629" s="127"/>
      <c r="D629" s="127"/>
      <c r="G629" s="127"/>
    </row>
    <row r="630" spans="3:7" ht="13">
      <c r="C630" s="127"/>
      <c r="D630" s="127"/>
      <c r="G630" s="127"/>
    </row>
    <row r="631" spans="3:7" ht="13">
      <c r="C631" s="127"/>
      <c r="D631" s="127"/>
      <c r="G631" s="127"/>
    </row>
    <row r="632" spans="3:7" ht="13">
      <c r="C632" s="127"/>
      <c r="D632" s="127"/>
      <c r="G632" s="127"/>
    </row>
    <row r="633" spans="3:7" ht="13">
      <c r="C633" s="127"/>
      <c r="D633" s="127"/>
      <c r="G633" s="127"/>
    </row>
    <row r="634" spans="3:7" ht="13">
      <c r="C634" s="127"/>
      <c r="D634" s="127"/>
      <c r="G634" s="127"/>
    </row>
    <row r="635" spans="3:7" ht="13">
      <c r="C635" s="127"/>
      <c r="D635" s="127"/>
      <c r="G635" s="127"/>
    </row>
    <row r="636" spans="3:7" ht="13">
      <c r="C636" s="127"/>
      <c r="D636" s="127"/>
      <c r="G636" s="127"/>
    </row>
    <row r="637" spans="3:7" ht="13">
      <c r="C637" s="127"/>
      <c r="D637" s="127"/>
      <c r="G637" s="127"/>
    </row>
    <row r="638" spans="3:7" ht="13">
      <c r="C638" s="127"/>
      <c r="D638" s="127"/>
      <c r="G638" s="127"/>
    </row>
    <row r="639" spans="3:7" ht="13">
      <c r="C639" s="127"/>
      <c r="D639" s="127"/>
      <c r="G639" s="127"/>
    </row>
    <row r="640" spans="3:7" ht="13">
      <c r="C640" s="127"/>
      <c r="D640" s="127"/>
      <c r="G640" s="127"/>
    </row>
    <row r="641" spans="3:7" ht="13">
      <c r="C641" s="127"/>
      <c r="D641" s="127"/>
      <c r="G641" s="127"/>
    </row>
    <row r="642" spans="3:7" ht="13">
      <c r="C642" s="127"/>
      <c r="D642" s="127"/>
      <c r="G642" s="127"/>
    </row>
    <row r="643" spans="3:7" ht="13">
      <c r="C643" s="127"/>
      <c r="D643" s="127"/>
      <c r="G643" s="127"/>
    </row>
    <row r="644" spans="3:7" ht="13">
      <c r="C644" s="127"/>
      <c r="D644" s="127"/>
      <c r="G644" s="127"/>
    </row>
    <row r="645" spans="3:7" ht="13">
      <c r="C645" s="127"/>
      <c r="D645" s="127"/>
      <c r="G645" s="127"/>
    </row>
    <row r="646" spans="3:7" ht="13">
      <c r="C646" s="127"/>
      <c r="D646" s="127"/>
      <c r="G646" s="127"/>
    </row>
    <row r="647" spans="3:7" ht="13">
      <c r="C647" s="127"/>
      <c r="D647" s="127"/>
      <c r="G647" s="127"/>
    </row>
    <row r="648" spans="3:7" ht="13">
      <c r="C648" s="127"/>
      <c r="D648" s="127"/>
      <c r="G648" s="127"/>
    </row>
    <row r="649" spans="3:7" ht="13">
      <c r="C649" s="127"/>
      <c r="D649" s="127"/>
      <c r="G649" s="127"/>
    </row>
    <row r="650" spans="3:7" ht="13">
      <c r="C650" s="127"/>
      <c r="D650" s="127"/>
      <c r="G650" s="127"/>
    </row>
    <row r="651" spans="3:7" ht="13">
      <c r="C651" s="127"/>
      <c r="D651" s="127"/>
      <c r="G651" s="127"/>
    </row>
    <row r="652" spans="3:7" ht="13">
      <c r="C652" s="127"/>
      <c r="D652" s="127"/>
      <c r="G652" s="127"/>
    </row>
    <row r="653" spans="3:7" ht="13">
      <c r="C653" s="127"/>
      <c r="D653" s="127"/>
      <c r="G653" s="127"/>
    </row>
    <row r="654" spans="3:7" ht="13">
      <c r="C654" s="127"/>
      <c r="D654" s="127"/>
      <c r="G654" s="127"/>
    </row>
    <row r="655" spans="3:7" ht="13">
      <c r="C655" s="127"/>
      <c r="D655" s="127"/>
      <c r="G655" s="127"/>
    </row>
    <row r="656" spans="3:7" ht="13">
      <c r="C656" s="127"/>
      <c r="D656" s="127"/>
      <c r="G656" s="127"/>
    </row>
    <row r="657" spans="3:7" ht="13">
      <c r="C657" s="127"/>
      <c r="D657" s="127"/>
      <c r="G657" s="127"/>
    </row>
    <row r="658" spans="3:7" ht="13">
      <c r="C658" s="127"/>
      <c r="D658" s="127"/>
      <c r="G658" s="127"/>
    </row>
    <row r="659" spans="3:7" ht="13">
      <c r="C659" s="127"/>
      <c r="D659" s="127"/>
      <c r="G659" s="127"/>
    </row>
    <row r="660" spans="3:7" ht="13">
      <c r="C660" s="127"/>
      <c r="D660" s="127"/>
      <c r="G660" s="127"/>
    </row>
    <row r="661" spans="3:7" ht="13">
      <c r="C661" s="127"/>
      <c r="D661" s="127"/>
      <c r="G661" s="127"/>
    </row>
    <row r="662" spans="3:7" ht="13">
      <c r="C662" s="127"/>
      <c r="D662" s="127"/>
      <c r="G662" s="127"/>
    </row>
    <row r="663" spans="3:7" ht="13">
      <c r="C663" s="127"/>
      <c r="D663" s="127"/>
      <c r="G663" s="127"/>
    </row>
    <row r="664" spans="3:7" ht="13">
      <c r="C664" s="127"/>
      <c r="D664" s="127"/>
      <c r="G664" s="127"/>
    </row>
    <row r="665" spans="3:7" ht="13">
      <c r="C665" s="127"/>
      <c r="D665" s="127"/>
      <c r="G665" s="127"/>
    </row>
    <row r="666" spans="3:7" ht="13">
      <c r="C666" s="127"/>
      <c r="D666" s="127"/>
      <c r="G666" s="127"/>
    </row>
    <row r="667" spans="3:7" ht="13">
      <c r="C667" s="127"/>
      <c r="D667" s="127"/>
      <c r="G667" s="127"/>
    </row>
    <row r="668" spans="3:7" ht="13">
      <c r="C668" s="127"/>
      <c r="D668" s="127"/>
      <c r="G668" s="127"/>
    </row>
    <row r="669" spans="3:7" ht="13">
      <c r="C669" s="127"/>
      <c r="D669" s="127"/>
      <c r="G669" s="127"/>
    </row>
    <row r="670" spans="3:7" ht="13">
      <c r="C670" s="127"/>
      <c r="D670" s="127"/>
      <c r="G670" s="127"/>
    </row>
    <row r="671" spans="3:7" ht="13">
      <c r="C671" s="127"/>
      <c r="D671" s="127"/>
      <c r="G671" s="127"/>
    </row>
    <row r="672" spans="3:7" ht="13">
      <c r="C672" s="127"/>
      <c r="D672" s="127"/>
      <c r="G672" s="127"/>
    </row>
    <row r="673" spans="3:7" ht="13">
      <c r="C673" s="127"/>
      <c r="D673" s="127"/>
      <c r="G673" s="127"/>
    </row>
    <row r="674" spans="3:7" ht="13">
      <c r="C674" s="127"/>
      <c r="D674" s="127"/>
      <c r="G674" s="127"/>
    </row>
    <row r="675" spans="3:7" ht="13">
      <c r="C675" s="127"/>
      <c r="D675" s="127"/>
      <c r="G675" s="127"/>
    </row>
    <row r="676" spans="3:7" ht="13">
      <c r="C676" s="127"/>
      <c r="D676" s="127"/>
      <c r="G676" s="127"/>
    </row>
    <row r="677" spans="3:7" ht="13">
      <c r="C677" s="127"/>
      <c r="D677" s="127"/>
      <c r="G677" s="127"/>
    </row>
    <row r="678" spans="3:7" ht="13">
      <c r="C678" s="127"/>
      <c r="D678" s="127"/>
      <c r="G678" s="127"/>
    </row>
    <row r="679" spans="3:7" ht="13">
      <c r="C679" s="127"/>
      <c r="D679" s="127"/>
      <c r="G679" s="127"/>
    </row>
    <row r="680" spans="3:7" ht="13">
      <c r="C680" s="127"/>
      <c r="D680" s="127"/>
      <c r="G680" s="127"/>
    </row>
    <row r="681" spans="3:7" ht="13">
      <c r="C681" s="127"/>
      <c r="D681" s="127"/>
      <c r="G681" s="127"/>
    </row>
    <row r="682" spans="3:7" ht="13">
      <c r="C682" s="127"/>
      <c r="D682" s="127"/>
      <c r="G682" s="127"/>
    </row>
    <row r="683" spans="3:7" ht="13">
      <c r="C683" s="127"/>
      <c r="D683" s="127"/>
      <c r="G683" s="127"/>
    </row>
    <row r="684" spans="3:7" ht="13">
      <c r="C684" s="127"/>
      <c r="D684" s="127"/>
      <c r="G684" s="127"/>
    </row>
    <row r="685" spans="3:7" ht="13">
      <c r="C685" s="127"/>
      <c r="D685" s="127"/>
      <c r="G685" s="127"/>
    </row>
    <row r="686" spans="3:7" ht="13">
      <c r="C686" s="127"/>
      <c r="D686" s="127"/>
      <c r="G686" s="127"/>
    </row>
    <row r="687" spans="3:7" ht="13">
      <c r="C687" s="127"/>
      <c r="D687" s="127"/>
      <c r="G687" s="127"/>
    </row>
    <row r="688" spans="3:7" ht="13">
      <c r="C688" s="127"/>
      <c r="D688" s="127"/>
      <c r="G688" s="127"/>
    </row>
    <row r="689" spans="3:7" ht="13">
      <c r="C689" s="127"/>
      <c r="D689" s="127"/>
      <c r="G689" s="127"/>
    </row>
    <row r="690" spans="3:7" ht="13">
      <c r="C690" s="127"/>
      <c r="D690" s="127"/>
      <c r="G690" s="127"/>
    </row>
    <row r="691" spans="3:7" ht="13">
      <c r="C691" s="127"/>
      <c r="D691" s="127"/>
      <c r="G691" s="127"/>
    </row>
    <row r="692" spans="3:7" ht="13">
      <c r="C692" s="127"/>
      <c r="D692" s="127"/>
      <c r="G692" s="127"/>
    </row>
    <row r="693" spans="3:7" ht="13">
      <c r="C693" s="127"/>
      <c r="D693" s="127"/>
      <c r="G693" s="127"/>
    </row>
    <row r="694" spans="3:7" ht="13">
      <c r="C694" s="127"/>
      <c r="D694" s="127"/>
      <c r="G694" s="127"/>
    </row>
    <row r="695" spans="3:7" ht="13">
      <c r="C695" s="127"/>
      <c r="D695" s="127"/>
      <c r="G695" s="127"/>
    </row>
    <row r="696" spans="3:7" ht="13">
      <c r="C696" s="127"/>
      <c r="D696" s="127"/>
      <c r="G696" s="127"/>
    </row>
    <row r="697" spans="3:7" ht="13">
      <c r="C697" s="127"/>
      <c r="D697" s="127"/>
      <c r="G697" s="127"/>
    </row>
    <row r="698" spans="3:7" ht="13">
      <c r="C698" s="127"/>
      <c r="D698" s="127"/>
      <c r="G698" s="127"/>
    </row>
    <row r="699" spans="3:7" ht="13">
      <c r="C699" s="127"/>
      <c r="D699" s="127"/>
      <c r="G699" s="127"/>
    </row>
    <row r="700" spans="3:7" ht="13">
      <c r="C700" s="127"/>
      <c r="D700" s="127"/>
      <c r="G700" s="127"/>
    </row>
    <row r="701" spans="3:7" ht="13">
      <c r="C701" s="127"/>
      <c r="D701" s="127"/>
      <c r="G701" s="127"/>
    </row>
    <row r="702" spans="3:7" ht="13">
      <c r="C702" s="127"/>
      <c r="D702" s="127"/>
      <c r="G702" s="127"/>
    </row>
    <row r="703" spans="3:7" ht="13">
      <c r="C703" s="127"/>
      <c r="D703" s="127"/>
      <c r="G703" s="127"/>
    </row>
    <row r="704" spans="3:7" ht="13">
      <c r="C704" s="127"/>
      <c r="D704" s="127"/>
      <c r="G704" s="127"/>
    </row>
    <row r="705" spans="3:7" ht="13">
      <c r="C705" s="127"/>
      <c r="D705" s="127"/>
      <c r="G705" s="127"/>
    </row>
    <row r="706" spans="3:7" ht="13">
      <c r="C706" s="127"/>
      <c r="D706" s="127"/>
      <c r="G706" s="127"/>
    </row>
    <row r="707" spans="3:7" ht="13">
      <c r="C707" s="127"/>
      <c r="D707" s="127"/>
      <c r="G707" s="127"/>
    </row>
    <row r="708" spans="3:7" ht="13">
      <c r="C708" s="127"/>
      <c r="D708" s="127"/>
      <c r="G708" s="127"/>
    </row>
    <row r="709" spans="3:7" ht="13">
      <c r="C709" s="127"/>
      <c r="D709" s="127"/>
      <c r="G709" s="127"/>
    </row>
    <row r="710" spans="3:7" ht="13">
      <c r="C710" s="127"/>
      <c r="D710" s="127"/>
      <c r="G710" s="127"/>
    </row>
    <row r="711" spans="3:7" ht="13">
      <c r="C711" s="127"/>
      <c r="D711" s="127"/>
      <c r="G711" s="127"/>
    </row>
    <row r="712" spans="3:7" ht="13">
      <c r="C712" s="127"/>
      <c r="D712" s="127"/>
      <c r="G712" s="127"/>
    </row>
    <row r="713" spans="3:7" ht="13">
      <c r="C713" s="127"/>
      <c r="D713" s="127"/>
      <c r="G713" s="127"/>
    </row>
    <row r="714" spans="3:7" ht="13">
      <c r="C714" s="127"/>
      <c r="D714" s="127"/>
      <c r="G714" s="127"/>
    </row>
    <row r="715" spans="3:7" ht="13">
      <c r="C715" s="127"/>
      <c r="D715" s="127"/>
      <c r="G715" s="127"/>
    </row>
    <row r="716" spans="3:7" ht="13">
      <c r="C716" s="127"/>
      <c r="D716" s="127"/>
      <c r="G716" s="127"/>
    </row>
    <row r="717" spans="3:7" ht="13">
      <c r="C717" s="127"/>
      <c r="D717" s="127"/>
      <c r="G717" s="127"/>
    </row>
    <row r="718" spans="3:7" ht="13">
      <c r="C718" s="127"/>
      <c r="D718" s="127"/>
      <c r="G718" s="127"/>
    </row>
    <row r="719" spans="3:7" ht="13">
      <c r="C719" s="127"/>
      <c r="D719" s="127"/>
      <c r="G719" s="127"/>
    </row>
    <row r="720" spans="3:7" ht="13">
      <c r="C720" s="127"/>
      <c r="D720" s="127"/>
      <c r="G720" s="127"/>
    </row>
    <row r="721" spans="3:7" ht="13">
      <c r="C721" s="127"/>
      <c r="D721" s="127"/>
      <c r="G721" s="127"/>
    </row>
    <row r="722" spans="3:7" ht="13">
      <c r="C722" s="127"/>
      <c r="D722" s="127"/>
      <c r="G722" s="127"/>
    </row>
    <row r="723" spans="3:7" ht="13">
      <c r="C723" s="127"/>
      <c r="D723" s="127"/>
      <c r="G723" s="127"/>
    </row>
    <row r="724" spans="3:7" ht="13">
      <c r="C724" s="127"/>
      <c r="D724" s="127"/>
      <c r="G724" s="127"/>
    </row>
    <row r="725" spans="3:7" ht="13">
      <c r="C725" s="127"/>
      <c r="D725" s="127"/>
      <c r="G725" s="127"/>
    </row>
    <row r="726" spans="3:7" ht="13">
      <c r="C726" s="127"/>
      <c r="D726" s="127"/>
      <c r="G726" s="127"/>
    </row>
    <row r="727" spans="3:7" ht="13">
      <c r="C727" s="127"/>
      <c r="D727" s="127"/>
      <c r="G727" s="127"/>
    </row>
    <row r="728" spans="3:7" ht="13">
      <c r="C728" s="127"/>
      <c r="D728" s="127"/>
      <c r="G728" s="127"/>
    </row>
    <row r="729" spans="3:7" ht="13">
      <c r="C729" s="127"/>
      <c r="D729" s="127"/>
      <c r="G729" s="127"/>
    </row>
    <row r="730" spans="3:7" ht="13">
      <c r="C730" s="127"/>
      <c r="D730" s="127"/>
      <c r="G730" s="127"/>
    </row>
    <row r="731" spans="3:7" ht="13">
      <c r="C731" s="127"/>
      <c r="D731" s="127"/>
      <c r="G731" s="127"/>
    </row>
    <row r="732" spans="3:7" ht="13">
      <c r="C732" s="127"/>
      <c r="D732" s="127"/>
      <c r="G732" s="127"/>
    </row>
    <row r="733" spans="3:7" ht="13">
      <c r="C733" s="127"/>
      <c r="D733" s="127"/>
      <c r="G733" s="127"/>
    </row>
    <row r="734" spans="3:7" ht="13">
      <c r="C734" s="127"/>
      <c r="D734" s="127"/>
      <c r="G734" s="127"/>
    </row>
    <row r="735" spans="3:7" ht="13">
      <c r="C735" s="127"/>
      <c r="D735" s="127"/>
      <c r="G735" s="127"/>
    </row>
    <row r="736" spans="3:7" ht="13">
      <c r="C736" s="127"/>
      <c r="D736" s="127"/>
      <c r="G736" s="127"/>
    </row>
    <row r="737" spans="3:7" ht="13">
      <c r="C737" s="127"/>
      <c r="D737" s="127"/>
      <c r="G737" s="127"/>
    </row>
    <row r="738" spans="3:7" ht="13">
      <c r="C738" s="127"/>
      <c r="D738" s="127"/>
      <c r="G738" s="127"/>
    </row>
    <row r="739" spans="3:7" ht="13">
      <c r="C739" s="127"/>
      <c r="D739" s="127"/>
      <c r="G739" s="127"/>
    </row>
    <row r="740" spans="3:7" ht="13">
      <c r="C740" s="127"/>
      <c r="D740" s="127"/>
      <c r="G740" s="127"/>
    </row>
    <row r="741" spans="3:7" ht="13">
      <c r="C741" s="127"/>
      <c r="D741" s="127"/>
      <c r="G741" s="127"/>
    </row>
    <row r="742" spans="3:7" ht="13">
      <c r="C742" s="127"/>
      <c r="D742" s="127"/>
      <c r="G742" s="127"/>
    </row>
    <row r="743" spans="3:7" ht="13">
      <c r="C743" s="127"/>
      <c r="D743" s="127"/>
      <c r="G743" s="127"/>
    </row>
    <row r="744" spans="3:7" ht="13">
      <c r="C744" s="127"/>
      <c r="D744" s="127"/>
      <c r="G744" s="127"/>
    </row>
    <row r="745" spans="3:7" ht="13">
      <c r="C745" s="127"/>
      <c r="D745" s="127"/>
      <c r="G745" s="127"/>
    </row>
    <row r="746" spans="3:7" ht="13">
      <c r="C746" s="127"/>
      <c r="D746" s="127"/>
      <c r="G746" s="127"/>
    </row>
    <row r="747" spans="3:7" ht="13">
      <c r="C747" s="127"/>
      <c r="D747" s="127"/>
      <c r="G747" s="127"/>
    </row>
    <row r="748" spans="3:7" ht="13">
      <c r="C748" s="127"/>
      <c r="D748" s="127"/>
      <c r="G748" s="127"/>
    </row>
    <row r="749" spans="3:7" ht="13">
      <c r="C749" s="127"/>
      <c r="D749" s="127"/>
      <c r="G749" s="127"/>
    </row>
    <row r="750" spans="3:7" ht="13">
      <c r="C750" s="127"/>
      <c r="D750" s="127"/>
      <c r="G750" s="127"/>
    </row>
    <row r="751" spans="3:7" ht="13">
      <c r="C751" s="127"/>
      <c r="D751" s="127"/>
      <c r="G751" s="127"/>
    </row>
    <row r="752" spans="3:7" ht="13">
      <c r="C752" s="127"/>
      <c r="D752" s="127"/>
      <c r="G752" s="127"/>
    </row>
    <row r="753" spans="3:7" ht="13">
      <c r="C753" s="127"/>
      <c r="D753" s="127"/>
      <c r="G753" s="127"/>
    </row>
    <row r="754" spans="3:7" ht="13">
      <c r="C754" s="127"/>
      <c r="D754" s="127"/>
      <c r="G754" s="127"/>
    </row>
    <row r="755" spans="3:7" ht="13">
      <c r="C755" s="127"/>
      <c r="D755" s="127"/>
      <c r="G755" s="127"/>
    </row>
    <row r="756" spans="3:7" ht="13">
      <c r="C756" s="127"/>
      <c r="D756" s="127"/>
      <c r="G756" s="127"/>
    </row>
    <row r="757" spans="3:7" ht="13">
      <c r="C757" s="127"/>
      <c r="D757" s="127"/>
      <c r="G757" s="127"/>
    </row>
    <row r="758" spans="3:7" ht="13">
      <c r="C758" s="127"/>
      <c r="D758" s="127"/>
      <c r="G758" s="127"/>
    </row>
    <row r="759" spans="3:7" ht="13">
      <c r="C759" s="127"/>
      <c r="D759" s="127"/>
      <c r="G759" s="127"/>
    </row>
    <row r="760" spans="3:7" ht="13">
      <c r="C760" s="127"/>
      <c r="D760" s="127"/>
      <c r="G760" s="127"/>
    </row>
    <row r="761" spans="3:7" ht="13">
      <c r="C761" s="127"/>
      <c r="D761" s="127"/>
      <c r="G761" s="127"/>
    </row>
    <row r="762" spans="3:7" ht="13">
      <c r="C762" s="127"/>
      <c r="D762" s="127"/>
      <c r="G762" s="127"/>
    </row>
    <row r="763" spans="3:7" ht="13">
      <c r="C763" s="127"/>
      <c r="D763" s="127"/>
      <c r="G763" s="127"/>
    </row>
    <row r="764" spans="3:7" ht="13">
      <c r="C764" s="127"/>
      <c r="D764" s="127"/>
      <c r="G764" s="127"/>
    </row>
    <row r="765" spans="3:7" ht="13">
      <c r="C765" s="127"/>
      <c r="D765" s="127"/>
      <c r="G765" s="127"/>
    </row>
    <row r="766" spans="3:7" ht="13">
      <c r="C766" s="127"/>
      <c r="D766" s="127"/>
      <c r="G766" s="127"/>
    </row>
    <row r="767" spans="3:7" ht="13">
      <c r="C767" s="127"/>
      <c r="D767" s="127"/>
      <c r="G767" s="127"/>
    </row>
    <row r="768" spans="3:7" ht="13">
      <c r="C768" s="127"/>
      <c r="D768" s="127"/>
      <c r="G768" s="127"/>
    </row>
    <row r="769" spans="3:7" ht="13">
      <c r="C769" s="127"/>
      <c r="D769" s="127"/>
      <c r="G769" s="127"/>
    </row>
    <row r="770" spans="3:7" ht="13">
      <c r="C770" s="127"/>
      <c r="D770" s="127"/>
      <c r="G770" s="127"/>
    </row>
    <row r="771" spans="3:7" ht="13">
      <c r="C771" s="127"/>
      <c r="D771" s="127"/>
      <c r="G771" s="127"/>
    </row>
    <row r="772" spans="3:7" ht="13">
      <c r="C772" s="127"/>
      <c r="D772" s="127"/>
      <c r="G772" s="127"/>
    </row>
    <row r="773" spans="3:7" ht="13">
      <c r="C773" s="127"/>
      <c r="D773" s="127"/>
      <c r="G773" s="127"/>
    </row>
    <row r="774" spans="3:7" ht="13">
      <c r="C774" s="127"/>
      <c r="D774" s="127"/>
      <c r="G774" s="127"/>
    </row>
    <row r="775" spans="3:7" ht="13">
      <c r="C775" s="127"/>
      <c r="D775" s="127"/>
      <c r="G775" s="127"/>
    </row>
    <row r="776" spans="3:7" ht="13">
      <c r="C776" s="127"/>
      <c r="D776" s="127"/>
      <c r="G776" s="127"/>
    </row>
    <row r="777" spans="3:7" ht="13">
      <c r="C777" s="127"/>
      <c r="D777" s="127"/>
      <c r="G777" s="127"/>
    </row>
    <row r="778" spans="3:7" ht="13">
      <c r="C778" s="127"/>
      <c r="D778" s="127"/>
      <c r="G778" s="127"/>
    </row>
    <row r="779" spans="3:7" ht="13">
      <c r="C779" s="127"/>
      <c r="D779" s="127"/>
      <c r="G779" s="127"/>
    </row>
    <row r="780" spans="3:7" ht="13">
      <c r="C780" s="127"/>
      <c r="D780" s="127"/>
      <c r="G780" s="127"/>
    </row>
    <row r="781" spans="3:7" ht="13">
      <c r="C781" s="127"/>
      <c r="D781" s="127"/>
      <c r="G781" s="127"/>
    </row>
    <row r="782" spans="3:7" ht="13">
      <c r="C782" s="127"/>
      <c r="D782" s="127"/>
      <c r="G782" s="127"/>
    </row>
    <row r="783" spans="3:7" ht="13">
      <c r="C783" s="127"/>
      <c r="D783" s="127"/>
      <c r="G783" s="127"/>
    </row>
    <row r="784" spans="3:7" ht="13">
      <c r="C784" s="127"/>
      <c r="D784" s="127"/>
      <c r="G784" s="127"/>
    </row>
    <row r="785" spans="3:7" ht="13">
      <c r="C785" s="127"/>
      <c r="D785" s="127"/>
      <c r="G785" s="127"/>
    </row>
    <row r="786" spans="3:7" ht="13">
      <c r="C786" s="127"/>
      <c r="D786" s="127"/>
      <c r="G786" s="127"/>
    </row>
    <row r="787" spans="3:7" ht="13">
      <c r="C787" s="127"/>
      <c r="D787" s="127"/>
      <c r="G787" s="127"/>
    </row>
    <row r="788" spans="3:7" ht="13">
      <c r="C788" s="127"/>
      <c r="D788" s="127"/>
      <c r="G788" s="127"/>
    </row>
    <row r="789" spans="3:7" ht="13">
      <c r="C789" s="127"/>
      <c r="D789" s="127"/>
      <c r="G789" s="127"/>
    </row>
    <row r="790" spans="3:7" ht="13">
      <c r="C790" s="127"/>
      <c r="D790" s="127"/>
      <c r="G790" s="127"/>
    </row>
    <row r="791" spans="3:7" ht="13">
      <c r="C791" s="127"/>
      <c r="D791" s="127"/>
      <c r="G791" s="127"/>
    </row>
    <row r="792" spans="3:7" ht="13">
      <c r="C792" s="127"/>
      <c r="D792" s="127"/>
      <c r="G792" s="127"/>
    </row>
    <row r="793" spans="3:7" ht="13">
      <c r="C793" s="127"/>
      <c r="D793" s="127"/>
      <c r="G793" s="127"/>
    </row>
    <row r="794" spans="3:7" ht="13">
      <c r="C794" s="127"/>
      <c r="D794" s="127"/>
      <c r="G794" s="127"/>
    </row>
    <row r="795" spans="3:7" ht="13">
      <c r="C795" s="127"/>
      <c r="D795" s="127"/>
      <c r="G795" s="127"/>
    </row>
    <row r="796" spans="3:7" ht="13">
      <c r="C796" s="127"/>
      <c r="D796" s="127"/>
      <c r="G796" s="127"/>
    </row>
    <row r="797" spans="3:7" ht="13">
      <c r="C797" s="127"/>
      <c r="D797" s="127"/>
      <c r="G797" s="127"/>
    </row>
    <row r="798" spans="3:7" ht="13">
      <c r="C798" s="127"/>
      <c r="D798" s="127"/>
      <c r="G798" s="127"/>
    </row>
    <row r="799" spans="3:7" ht="13">
      <c r="C799" s="127"/>
      <c r="D799" s="127"/>
      <c r="G799" s="127"/>
    </row>
    <row r="800" spans="3:7" ht="13">
      <c r="C800" s="127"/>
      <c r="D800" s="127"/>
      <c r="G800" s="127"/>
    </row>
    <row r="801" spans="3:7" ht="13">
      <c r="C801" s="127"/>
      <c r="D801" s="127"/>
      <c r="G801" s="127"/>
    </row>
    <row r="802" spans="3:7" ht="13">
      <c r="C802" s="127"/>
      <c r="D802" s="127"/>
      <c r="G802" s="127"/>
    </row>
    <row r="803" spans="3:7" ht="13">
      <c r="C803" s="127"/>
      <c r="D803" s="127"/>
      <c r="G803" s="127"/>
    </row>
    <row r="804" spans="3:7" ht="13">
      <c r="C804" s="127"/>
      <c r="D804" s="127"/>
      <c r="G804" s="127"/>
    </row>
    <row r="805" spans="3:7" ht="13">
      <c r="C805" s="127"/>
      <c r="D805" s="127"/>
      <c r="G805" s="127"/>
    </row>
    <row r="806" spans="3:7" ht="13">
      <c r="C806" s="127"/>
      <c r="D806" s="127"/>
      <c r="G806" s="127"/>
    </row>
    <row r="807" spans="3:7" ht="13">
      <c r="C807" s="127"/>
      <c r="D807" s="127"/>
      <c r="G807" s="127"/>
    </row>
    <row r="808" spans="3:7" ht="13">
      <c r="C808" s="127"/>
      <c r="D808" s="127"/>
      <c r="G808" s="127"/>
    </row>
    <row r="809" spans="3:7" ht="13">
      <c r="C809" s="127"/>
      <c r="D809" s="127"/>
      <c r="G809" s="127"/>
    </row>
    <row r="810" spans="3:7" ht="13">
      <c r="C810" s="127"/>
      <c r="D810" s="127"/>
      <c r="G810" s="127"/>
    </row>
    <row r="811" spans="3:7" ht="13">
      <c r="C811" s="127"/>
      <c r="D811" s="127"/>
      <c r="G811" s="127"/>
    </row>
    <row r="812" spans="3:7" ht="13">
      <c r="C812" s="127"/>
      <c r="D812" s="127"/>
      <c r="G812" s="127"/>
    </row>
    <row r="813" spans="3:7" ht="13">
      <c r="C813" s="127"/>
      <c r="D813" s="127"/>
      <c r="G813" s="127"/>
    </row>
    <row r="814" spans="3:7" ht="13">
      <c r="C814" s="127"/>
      <c r="D814" s="127"/>
      <c r="G814" s="127"/>
    </row>
    <row r="815" spans="3:7" ht="13">
      <c r="C815" s="127"/>
      <c r="D815" s="127"/>
      <c r="G815" s="127"/>
    </row>
    <row r="816" spans="3:7" ht="13">
      <c r="C816" s="127"/>
      <c r="D816" s="127"/>
      <c r="G816" s="127"/>
    </row>
    <row r="817" spans="3:7" ht="13">
      <c r="C817" s="127"/>
      <c r="D817" s="127"/>
      <c r="G817" s="127"/>
    </row>
    <row r="818" spans="3:7" ht="13">
      <c r="C818" s="127"/>
      <c r="D818" s="127"/>
      <c r="G818" s="127"/>
    </row>
    <row r="819" spans="3:7" ht="13">
      <c r="C819" s="127"/>
      <c r="D819" s="127"/>
      <c r="G819" s="127"/>
    </row>
    <row r="820" spans="3:7" ht="13">
      <c r="C820" s="127"/>
      <c r="D820" s="127"/>
      <c r="G820" s="127"/>
    </row>
    <row r="821" spans="3:7" ht="13">
      <c r="C821" s="127"/>
      <c r="D821" s="127"/>
      <c r="G821" s="127"/>
    </row>
    <row r="822" spans="3:7" ht="13">
      <c r="C822" s="127"/>
      <c r="D822" s="127"/>
      <c r="G822" s="127"/>
    </row>
    <row r="823" spans="3:7" ht="13">
      <c r="C823" s="127"/>
      <c r="D823" s="127"/>
      <c r="G823" s="127"/>
    </row>
    <row r="824" spans="3:7" ht="13">
      <c r="C824" s="127"/>
      <c r="D824" s="127"/>
      <c r="G824" s="127"/>
    </row>
    <row r="825" spans="3:7" ht="13">
      <c r="C825" s="127"/>
      <c r="D825" s="127"/>
      <c r="G825" s="127"/>
    </row>
    <row r="826" spans="3:7" ht="13">
      <c r="C826" s="127"/>
      <c r="D826" s="127"/>
      <c r="G826" s="127"/>
    </row>
    <row r="827" spans="3:7" ht="13">
      <c r="C827" s="127"/>
      <c r="D827" s="127"/>
      <c r="G827" s="127"/>
    </row>
    <row r="828" spans="3:7" ht="13">
      <c r="C828" s="127"/>
      <c r="D828" s="127"/>
      <c r="G828" s="127"/>
    </row>
    <row r="829" spans="3:7" ht="13">
      <c r="C829" s="127"/>
      <c r="D829" s="127"/>
      <c r="G829" s="127"/>
    </row>
    <row r="830" spans="3:7" ht="13">
      <c r="C830" s="127"/>
      <c r="D830" s="127"/>
      <c r="G830" s="127"/>
    </row>
    <row r="831" spans="3:7" ht="13">
      <c r="C831" s="127"/>
      <c r="D831" s="127"/>
      <c r="G831" s="127"/>
    </row>
    <row r="832" spans="3:7" ht="13">
      <c r="C832" s="127"/>
      <c r="D832" s="127"/>
      <c r="G832" s="127"/>
    </row>
    <row r="833" spans="3:7" ht="13">
      <c r="C833" s="127"/>
      <c r="D833" s="127"/>
      <c r="G833" s="127"/>
    </row>
    <row r="834" spans="3:7" ht="13">
      <c r="C834" s="127"/>
      <c r="D834" s="127"/>
      <c r="G834" s="127"/>
    </row>
    <row r="835" spans="3:7" ht="13">
      <c r="C835" s="127"/>
      <c r="D835" s="127"/>
      <c r="G835" s="127"/>
    </row>
    <row r="836" spans="3:7" ht="13">
      <c r="C836" s="127"/>
      <c r="D836" s="127"/>
      <c r="G836" s="127"/>
    </row>
    <row r="837" spans="3:7" ht="13">
      <c r="C837" s="127"/>
      <c r="D837" s="127"/>
      <c r="G837" s="127"/>
    </row>
    <row r="838" spans="3:7" ht="13">
      <c r="C838" s="127"/>
      <c r="D838" s="127"/>
      <c r="G838" s="127"/>
    </row>
    <row r="839" spans="3:7" ht="13">
      <c r="C839" s="127"/>
      <c r="D839" s="127"/>
      <c r="G839" s="127"/>
    </row>
    <row r="840" spans="3:7" ht="13">
      <c r="C840" s="127"/>
      <c r="D840" s="127"/>
      <c r="G840" s="127"/>
    </row>
    <row r="841" spans="3:7" ht="13">
      <c r="C841" s="127"/>
      <c r="D841" s="127"/>
      <c r="G841" s="127"/>
    </row>
    <row r="842" spans="3:7" ht="13">
      <c r="C842" s="127"/>
      <c r="D842" s="127"/>
      <c r="G842" s="127"/>
    </row>
    <row r="843" spans="3:7" ht="13">
      <c r="C843" s="127"/>
      <c r="D843" s="127"/>
      <c r="G843" s="127"/>
    </row>
    <row r="844" spans="3:7" ht="13">
      <c r="C844" s="127"/>
      <c r="D844" s="127"/>
      <c r="G844" s="127"/>
    </row>
    <row r="845" spans="3:7" ht="13">
      <c r="C845" s="127"/>
      <c r="D845" s="127"/>
      <c r="G845" s="127"/>
    </row>
    <row r="846" spans="3:7" ht="13">
      <c r="C846" s="127"/>
      <c r="D846" s="127"/>
      <c r="G846" s="127"/>
    </row>
    <row r="847" spans="3:7" ht="13">
      <c r="C847" s="127"/>
      <c r="D847" s="127"/>
      <c r="G847" s="127"/>
    </row>
    <row r="848" spans="3:7" ht="13">
      <c r="C848" s="127"/>
      <c r="D848" s="127"/>
      <c r="G848" s="127"/>
    </row>
    <row r="849" spans="3:7" ht="13">
      <c r="C849" s="127"/>
      <c r="D849" s="127"/>
      <c r="G849" s="127"/>
    </row>
    <row r="850" spans="3:7" ht="13">
      <c r="C850" s="127"/>
      <c r="D850" s="127"/>
      <c r="G850" s="127"/>
    </row>
    <row r="851" spans="3:7" ht="13">
      <c r="C851" s="127"/>
      <c r="D851" s="127"/>
      <c r="G851" s="127"/>
    </row>
    <row r="852" spans="3:7" ht="13">
      <c r="C852" s="127"/>
      <c r="D852" s="127"/>
      <c r="G852" s="127"/>
    </row>
    <row r="853" spans="3:7" ht="13">
      <c r="C853" s="127"/>
      <c r="D853" s="127"/>
      <c r="G853" s="127"/>
    </row>
    <row r="854" spans="3:7" ht="13">
      <c r="C854" s="127"/>
      <c r="D854" s="127"/>
      <c r="G854" s="127"/>
    </row>
    <row r="855" spans="3:7" ht="13">
      <c r="C855" s="127"/>
      <c r="D855" s="127"/>
      <c r="G855" s="127"/>
    </row>
    <row r="856" spans="3:7" ht="13">
      <c r="C856" s="127"/>
      <c r="D856" s="127"/>
      <c r="G856" s="127"/>
    </row>
    <row r="857" spans="3:7" ht="13">
      <c r="C857" s="127"/>
      <c r="D857" s="127"/>
      <c r="G857" s="127"/>
    </row>
    <row r="858" spans="3:7" ht="13">
      <c r="C858" s="127"/>
      <c r="D858" s="127"/>
      <c r="G858" s="127"/>
    </row>
    <row r="859" spans="3:7" ht="13">
      <c r="C859" s="127"/>
      <c r="D859" s="127"/>
      <c r="G859" s="127"/>
    </row>
    <row r="860" spans="3:7" ht="13">
      <c r="C860" s="127"/>
      <c r="D860" s="127"/>
      <c r="G860" s="127"/>
    </row>
    <row r="861" spans="3:7" ht="13">
      <c r="C861" s="127"/>
      <c r="D861" s="127"/>
      <c r="G861" s="127"/>
    </row>
    <row r="862" spans="3:7" ht="13">
      <c r="C862" s="127"/>
      <c r="D862" s="127"/>
      <c r="G862" s="127"/>
    </row>
    <row r="863" spans="3:7" ht="13">
      <c r="C863" s="127"/>
      <c r="D863" s="127"/>
      <c r="G863" s="127"/>
    </row>
    <row r="864" spans="3:7" ht="13">
      <c r="C864" s="127"/>
      <c r="D864" s="127"/>
      <c r="G864" s="127"/>
    </row>
    <row r="865" spans="3:7" ht="13">
      <c r="C865" s="127"/>
      <c r="D865" s="127"/>
      <c r="G865" s="127"/>
    </row>
    <row r="866" spans="3:7" ht="13">
      <c r="C866" s="127"/>
      <c r="D866" s="127"/>
      <c r="G866" s="127"/>
    </row>
    <row r="867" spans="3:7" ht="13">
      <c r="C867" s="127"/>
      <c r="D867" s="127"/>
      <c r="G867" s="127"/>
    </row>
    <row r="868" spans="3:7" ht="13">
      <c r="C868" s="127"/>
      <c r="D868" s="127"/>
      <c r="G868" s="127"/>
    </row>
    <row r="869" spans="3:7" ht="13">
      <c r="C869" s="127"/>
      <c r="D869" s="127"/>
      <c r="G869" s="127"/>
    </row>
    <row r="870" spans="3:7" ht="13">
      <c r="C870" s="127"/>
      <c r="D870" s="127"/>
      <c r="G870" s="127"/>
    </row>
    <row r="871" spans="3:7" ht="13">
      <c r="C871" s="127"/>
      <c r="D871" s="127"/>
      <c r="G871" s="127"/>
    </row>
    <row r="872" spans="3:7" ht="13">
      <c r="C872" s="127"/>
      <c r="D872" s="127"/>
      <c r="G872" s="127"/>
    </row>
    <row r="873" spans="3:7" ht="13">
      <c r="C873" s="127"/>
      <c r="D873" s="127"/>
      <c r="G873" s="127"/>
    </row>
    <row r="874" spans="3:7" ht="13">
      <c r="C874" s="127"/>
      <c r="D874" s="127"/>
      <c r="G874" s="127"/>
    </row>
    <row r="875" spans="3:7" ht="13">
      <c r="C875" s="127"/>
      <c r="D875" s="127"/>
      <c r="G875" s="127"/>
    </row>
    <row r="876" spans="3:7" ht="13">
      <c r="C876" s="127"/>
      <c r="D876" s="127"/>
      <c r="G876" s="127"/>
    </row>
    <row r="877" spans="3:7" ht="13">
      <c r="C877" s="127"/>
      <c r="D877" s="127"/>
      <c r="G877" s="127"/>
    </row>
    <row r="878" spans="3:7" ht="13">
      <c r="C878" s="127"/>
      <c r="D878" s="127"/>
      <c r="G878" s="127"/>
    </row>
    <row r="879" spans="3:7" ht="13">
      <c r="C879" s="127"/>
      <c r="D879" s="127"/>
      <c r="G879" s="127"/>
    </row>
    <row r="880" spans="3:7" ht="13">
      <c r="C880" s="127"/>
      <c r="D880" s="127"/>
      <c r="G880" s="127"/>
    </row>
    <row r="881" spans="3:7" ht="13">
      <c r="C881" s="127"/>
      <c r="D881" s="127"/>
      <c r="G881" s="127"/>
    </row>
    <row r="882" spans="3:7" ht="13">
      <c r="C882" s="127"/>
      <c r="D882" s="127"/>
      <c r="G882" s="127"/>
    </row>
    <row r="883" spans="3:7" ht="13">
      <c r="C883" s="127"/>
      <c r="D883" s="127"/>
      <c r="G883" s="127"/>
    </row>
    <row r="884" spans="3:7" ht="13">
      <c r="C884" s="127"/>
      <c r="D884" s="127"/>
      <c r="G884" s="127"/>
    </row>
    <row r="885" spans="3:7" ht="13">
      <c r="C885" s="127"/>
      <c r="D885" s="127"/>
      <c r="G885" s="127"/>
    </row>
    <row r="886" spans="3:7" ht="13">
      <c r="C886" s="127"/>
      <c r="D886" s="127"/>
      <c r="G886" s="127"/>
    </row>
    <row r="887" spans="3:7" ht="13">
      <c r="C887" s="127"/>
      <c r="D887" s="127"/>
      <c r="G887" s="127"/>
    </row>
    <row r="888" spans="3:7" ht="13">
      <c r="C888" s="127"/>
      <c r="D888" s="127"/>
      <c r="G888" s="127"/>
    </row>
    <row r="889" spans="3:7" ht="13">
      <c r="C889" s="127"/>
      <c r="D889" s="127"/>
      <c r="G889" s="127"/>
    </row>
    <row r="890" spans="3:7" ht="13">
      <c r="C890" s="127"/>
      <c r="D890" s="127"/>
      <c r="G890" s="127"/>
    </row>
    <row r="891" spans="3:7" ht="13">
      <c r="C891" s="127"/>
      <c r="D891" s="127"/>
      <c r="G891" s="127"/>
    </row>
    <row r="892" spans="3:7" ht="13">
      <c r="C892" s="127"/>
      <c r="D892" s="127"/>
      <c r="G892" s="127"/>
    </row>
    <row r="893" spans="3:7" ht="13">
      <c r="C893" s="127"/>
      <c r="D893" s="127"/>
      <c r="G893" s="127"/>
    </row>
    <row r="894" spans="3:7" ht="13">
      <c r="C894" s="127"/>
      <c r="D894" s="127"/>
      <c r="G894" s="127"/>
    </row>
    <row r="895" spans="3:7" ht="13">
      <c r="C895" s="127"/>
      <c r="D895" s="127"/>
      <c r="G895" s="127"/>
    </row>
    <row r="896" spans="3:7" ht="13">
      <c r="C896" s="127"/>
      <c r="D896" s="127"/>
      <c r="G896" s="127"/>
    </row>
    <row r="897" spans="3:7" ht="13">
      <c r="C897" s="127"/>
      <c r="D897" s="127"/>
      <c r="G897" s="127"/>
    </row>
    <row r="898" spans="3:7" ht="13">
      <c r="C898" s="127"/>
      <c r="D898" s="127"/>
      <c r="G898" s="127"/>
    </row>
    <row r="899" spans="3:7" ht="13">
      <c r="C899" s="127"/>
      <c r="D899" s="127"/>
      <c r="G899" s="127"/>
    </row>
    <row r="900" spans="3:7" ht="13">
      <c r="C900" s="127"/>
      <c r="D900" s="127"/>
      <c r="G900" s="127"/>
    </row>
    <row r="901" spans="3:7" ht="13">
      <c r="C901" s="127"/>
      <c r="D901" s="127"/>
      <c r="G901" s="127"/>
    </row>
    <row r="902" spans="3:7" ht="13">
      <c r="C902" s="127"/>
      <c r="D902" s="127"/>
      <c r="G902" s="127"/>
    </row>
    <row r="903" spans="3:7" ht="13">
      <c r="C903" s="127"/>
      <c r="D903" s="127"/>
      <c r="G903" s="127"/>
    </row>
    <row r="904" spans="3:7" ht="13">
      <c r="C904" s="127"/>
      <c r="D904" s="127"/>
      <c r="G904" s="127"/>
    </row>
    <row r="905" spans="3:7" ht="13">
      <c r="C905" s="127"/>
      <c r="D905" s="127"/>
      <c r="G905" s="127"/>
    </row>
    <row r="906" spans="3:7" ht="13">
      <c r="C906" s="127"/>
      <c r="D906" s="127"/>
      <c r="G906" s="127"/>
    </row>
    <row r="907" spans="3:7" ht="13">
      <c r="C907" s="127"/>
      <c r="D907" s="127"/>
      <c r="G907" s="127"/>
    </row>
    <row r="908" spans="3:7" ht="13">
      <c r="C908" s="127"/>
      <c r="D908" s="127"/>
      <c r="G908" s="127"/>
    </row>
    <row r="909" spans="3:7" ht="13">
      <c r="C909" s="127"/>
      <c r="D909" s="127"/>
      <c r="G909" s="127"/>
    </row>
    <row r="910" spans="3:7" ht="13">
      <c r="C910" s="127"/>
      <c r="D910" s="127"/>
      <c r="G910" s="127"/>
    </row>
    <row r="911" spans="3:7" ht="13">
      <c r="C911" s="127"/>
      <c r="D911" s="127"/>
      <c r="G911" s="127"/>
    </row>
    <row r="912" spans="3:7" ht="13">
      <c r="C912" s="127"/>
      <c r="D912" s="127"/>
      <c r="G912" s="127"/>
    </row>
    <row r="913" spans="3:7" ht="13">
      <c r="C913" s="127"/>
      <c r="D913" s="127"/>
      <c r="G913" s="127"/>
    </row>
    <row r="914" spans="3:7" ht="13">
      <c r="C914" s="127"/>
      <c r="D914" s="127"/>
      <c r="G914" s="127"/>
    </row>
    <row r="915" spans="3:7" ht="13">
      <c r="C915" s="127"/>
      <c r="D915" s="127"/>
      <c r="G915" s="127"/>
    </row>
    <row r="916" spans="3:7" ht="13">
      <c r="C916" s="127"/>
      <c r="D916" s="127"/>
      <c r="G916" s="127"/>
    </row>
    <row r="917" spans="3:7" ht="13">
      <c r="C917" s="127"/>
      <c r="D917" s="127"/>
      <c r="G917" s="127"/>
    </row>
    <row r="918" spans="3:7" ht="13">
      <c r="C918" s="127"/>
      <c r="D918" s="127"/>
      <c r="G918" s="127"/>
    </row>
    <row r="919" spans="3:7" ht="13">
      <c r="C919" s="127"/>
      <c r="D919" s="127"/>
      <c r="G919" s="127"/>
    </row>
    <row r="920" spans="3:7" ht="13">
      <c r="C920" s="127"/>
      <c r="D920" s="127"/>
      <c r="G920" s="127"/>
    </row>
    <row r="921" spans="3:7" ht="13">
      <c r="C921" s="127"/>
      <c r="D921" s="127"/>
      <c r="G921" s="127"/>
    </row>
    <row r="922" spans="3:7" ht="13">
      <c r="C922" s="127"/>
      <c r="D922" s="127"/>
      <c r="G922" s="127"/>
    </row>
    <row r="923" spans="3:7" ht="13">
      <c r="C923" s="127"/>
      <c r="D923" s="127"/>
      <c r="G923" s="127"/>
    </row>
    <row r="924" spans="3:7" ht="13">
      <c r="C924" s="127"/>
      <c r="D924" s="127"/>
      <c r="G924" s="127"/>
    </row>
    <row r="925" spans="3:7" ht="13">
      <c r="C925" s="127"/>
      <c r="D925" s="127"/>
      <c r="G925" s="127"/>
    </row>
    <row r="926" spans="3:7" ht="13">
      <c r="C926" s="127"/>
      <c r="D926" s="127"/>
      <c r="G926" s="127"/>
    </row>
    <row r="927" spans="3:7" ht="13">
      <c r="C927" s="127"/>
      <c r="D927" s="127"/>
      <c r="G927" s="127"/>
    </row>
    <row r="928" spans="3:7" ht="13">
      <c r="C928" s="127"/>
      <c r="D928" s="127"/>
      <c r="G928" s="127"/>
    </row>
    <row r="929" spans="3:7" ht="13">
      <c r="C929" s="127"/>
      <c r="D929" s="127"/>
      <c r="G929" s="127"/>
    </row>
    <row r="930" spans="3:7" ht="13">
      <c r="C930" s="127"/>
      <c r="D930" s="127"/>
      <c r="G930" s="127"/>
    </row>
    <row r="931" spans="3:7" ht="13">
      <c r="C931" s="127"/>
      <c r="D931" s="127"/>
      <c r="G931" s="127"/>
    </row>
    <row r="932" spans="3:7" ht="13">
      <c r="C932" s="127"/>
      <c r="D932" s="127"/>
      <c r="G932" s="127"/>
    </row>
    <row r="933" spans="3:7" ht="13">
      <c r="C933" s="127"/>
      <c r="D933" s="127"/>
      <c r="G933" s="127"/>
    </row>
    <row r="934" spans="3:7" ht="13">
      <c r="C934" s="127"/>
      <c r="D934" s="127"/>
      <c r="G934" s="127"/>
    </row>
    <row r="935" spans="3:7" ht="13">
      <c r="C935" s="127"/>
      <c r="D935" s="127"/>
      <c r="G935" s="127"/>
    </row>
    <row r="936" spans="3:7" ht="13">
      <c r="C936" s="127"/>
      <c r="D936" s="127"/>
      <c r="G936" s="127"/>
    </row>
    <row r="937" spans="3:7" ht="13">
      <c r="C937" s="127"/>
      <c r="D937" s="127"/>
      <c r="G937" s="127"/>
    </row>
    <row r="938" spans="3:7" ht="13">
      <c r="C938" s="127"/>
      <c r="D938" s="127"/>
      <c r="G938" s="127"/>
    </row>
    <row r="939" spans="3:7" ht="13">
      <c r="C939" s="127"/>
      <c r="D939" s="127"/>
      <c r="G939" s="127"/>
    </row>
    <row r="940" spans="3:7" ht="13">
      <c r="C940" s="127"/>
      <c r="D940" s="127"/>
      <c r="G940" s="127"/>
    </row>
    <row r="941" spans="3:7" ht="13">
      <c r="C941" s="127"/>
      <c r="D941" s="127"/>
      <c r="G941" s="127"/>
    </row>
    <row r="942" spans="3:7" ht="13">
      <c r="C942" s="127"/>
      <c r="D942" s="127"/>
      <c r="G942" s="127"/>
    </row>
    <row r="943" spans="3:7" ht="13">
      <c r="C943" s="127"/>
      <c r="D943" s="127"/>
      <c r="G943" s="127"/>
    </row>
    <row r="944" spans="3:7" ht="13">
      <c r="C944" s="127"/>
      <c r="D944" s="127"/>
      <c r="G944" s="127"/>
    </row>
    <row r="945" spans="3:7" ht="13">
      <c r="C945" s="127"/>
      <c r="D945" s="127"/>
      <c r="G945" s="127"/>
    </row>
    <row r="946" spans="3:7" ht="13">
      <c r="C946" s="127"/>
      <c r="D946" s="127"/>
      <c r="G946" s="127"/>
    </row>
    <row r="947" spans="3:7" ht="13">
      <c r="C947" s="127"/>
      <c r="D947" s="127"/>
      <c r="G947" s="127"/>
    </row>
    <row r="948" spans="3:7" ht="13">
      <c r="C948" s="127"/>
      <c r="D948" s="127"/>
      <c r="G948" s="127"/>
    </row>
    <row r="949" spans="3:7" ht="13">
      <c r="C949" s="127"/>
      <c r="D949" s="127"/>
      <c r="G949" s="127"/>
    </row>
    <row r="950" spans="3:7" ht="13">
      <c r="C950" s="127"/>
      <c r="D950" s="127"/>
      <c r="G950" s="127"/>
    </row>
    <row r="951" spans="3:7" ht="13">
      <c r="C951" s="127"/>
      <c r="D951" s="127"/>
      <c r="G951" s="127"/>
    </row>
    <row r="952" spans="3:7" ht="13">
      <c r="C952" s="127"/>
      <c r="D952" s="127"/>
      <c r="G952" s="127"/>
    </row>
    <row r="953" spans="3:7" ht="13">
      <c r="C953" s="127"/>
      <c r="D953" s="127"/>
      <c r="G953" s="127"/>
    </row>
    <row r="954" spans="3:7" ht="13">
      <c r="C954" s="127"/>
      <c r="D954" s="127"/>
      <c r="G954" s="127"/>
    </row>
    <row r="955" spans="3:7" ht="13">
      <c r="C955" s="127"/>
      <c r="D955" s="127"/>
      <c r="G955" s="127"/>
    </row>
    <row r="956" spans="3:7" ht="13">
      <c r="C956" s="127"/>
      <c r="D956" s="127"/>
      <c r="G956" s="127"/>
    </row>
    <row r="957" spans="3:7" ht="13">
      <c r="C957" s="127"/>
      <c r="D957" s="127"/>
      <c r="G957" s="127"/>
    </row>
    <row r="958" spans="3:7" ht="13">
      <c r="C958" s="127"/>
      <c r="D958" s="127"/>
      <c r="G958" s="127"/>
    </row>
    <row r="959" spans="3:7" ht="13">
      <c r="C959" s="127"/>
      <c r="D959" s="127"/>
      <c r="G959" s="127"/>
    </row>
    <row r="960" spans="3:7" ht="13">
      <c r="C960" s="127"/>
      <c r="D960" s="127"/>
      <c r="G960" s="127"/>
    </row>
    <row r="961" spans="3:7" ht="13">
      <c r="C961" s="127"/>
      <c r="D961" s="127"/>
      <c r="G961" s="127"/>
    </row>
    <row r="962" spans="3:7" ht="13">
      <c r="C962" s="127"/>
      <c r="D962" s="127"/>
      <c r="G962" s="127"/>
    </row>
    <row r="963" spans="3:7" ht="13">
      <c r="C963" s="127"/>
      <c r="D963" s="127"/>
      <c r="G963" s="127"/>
    </row>
    <row r="964" spans="3:7" ht="13">
      <c r="C964" s="127"/>
      <c r="D964" s="127"/>
      <c r="G964" s="127"/>
    </row>
    <row r="965" spans="3:7" ht="13">
      <c r="C965" s="127"/>
      <c r="D965" s="127"/>
      <c r="G965" s="127"/>
    </row>
    <row r="966" spans="3:7" ht="13">
      <c r="C966" s="127"/>
      <c r="D966" s="127"/>
      <c r="G966" s="127"/>
    </row>
    <row r="967" spans="3:7" ht="13">
      <c r="C967" s="127"/>
      <c r="D967" s="127"/>
      <c r="G967" s="127"/>
    </row>
    <row r="968" spans="3:7" ht="13">
      <c r="C968" s="127"/>
      <c r="D968" s="127"/>
      <c r="G968" s="127"/>
    </row>
    <row r="969" spans="3:7" ht="13">
      <c r="C969" s="127"/>
      <c r="D969" s="127"/>
      <c r="G969" s="127"/>
    </row>
    <row r="970" spans="3:7" ht="13">
      <c r="C970" s="127"/>
      <c r="D970" s="127"/>
      <c r="G970" s="127"/>
    </row>
    <row r="971" spans="3:7" ht="13">
      <c r="C971" s="127"/>
      <c r="D971" s="127"/>
      <c r="G971" s="127"/>
    </row>
    <row r="972" spans="3:7" ht="13">
      <c r="C972" s="127"/>
      <c r="D972" s="127"/>
      <c r="G972" s="127"/>
    </row>
    <row r="973" spans="3:7" ht="13">
      <c r="C973" s="127"/>
      <c r="D973" s="127"/>
      <c r="G973" s="127"/>
    </row>
    <row r="974" spans="3:7" ht="13">
      <c r="C974" s="127"/>
      <c r="D974" s="127"/>
      <c r="G974" s="127"/>
    </row>
    <row r="975" spans="3:7" ht="13">
      <c r="C975" s="127"/>
      <c r="D975" s="127"/>
      <c r="G975" s="127"/>
    </row>
    <row r="976" spans="3:7" ht="13">
      <c r="C976" s="127"/>
      <c r="D976" s="127"/>
      <c r="G976" s="127"/>
    </row>
    <row r="977" spans="3:7" ht="13">
      <c r="C977" s="127"/>
      <c r="D977" s="127"/>
      <c r="G977" s="127"/>
    </row>
    <row r="978" spans="3:7" ht="13">
      <c r="C978" s="127"/>
      <c r="D978" s="127"/>
      <c r="G978" s="127"/>
    </row>
    <row r="979" spans="3:7" ht="13">
      <c r="C979" s="127"/>
      <c r="D979" s="127"/>
      <c r="G979" s="127"/>
    </row>
    <row r="980" spans="3:7" ht="13">
      <c r="C980" s="127"/>
      <c r="D980" s="127"/>
      <c r="G980" s="127"/>
    </row>
    <row r="981" spans="3:7" ht="13">
      <c r="C981" s="127"/>
      <c r="D981" s="127"/>
      <c r="G981" s="127"/>
    </row>
    <row r="982" spans="3:7" ht="13">
      <c r="C982" s="127"/>
      <c r="D982" s="127"/>
      <c r="G982" s="127"/>
    </row>
    <row r="983" spans="3:7" ht="13">
      <c r="C983" s="127"/>
      <c r="D983" s="127"/>
      <c r="G983" s="127"/>
    </row>
    <row r="984" spans="3:7" ht="13">
      <c r="C984" s="127"/>
      <c r="D984" s="127"/>
      <c r="G984" s="127"/>
    </row>
    <row r="985" spans="3:7" ht="13">
      <c r="C985" s="127"/>
      <c r="D985" s="127"/>
      <c r="G985" s="127"/>
    </row>
    <row r="986" spans="3:7" ht="13">
      <c r="C986" s="127"/>
      <c r="D986" s="127"/>
      <c r="G986" s="127"/>
    </row>
    <row r="987" spans="3:7" ht="13">
      <c r="C987" s="127"/>
      <c r="D987" s="127"/>
      <c r="G987" s="127"/>
    </row>
    <row r="988" spans="3:7" ht="13">
      <c r="C988" s="127"/>
      <c r="D988" s="127"/>
      <c r="G988" s="127"/>
    </row>
    <row r="989" spans="3:7" ht="13">
      <c r="C989" s="127"/>
      <c r="D989" s="127"/>
      <c r="G989" s="127"/>
    </row>
    <row r="990" spans="3:7" ht="13">
      <c r="C990" s="127"/>
      <c r="D990" s="127"/>
      <c r="G990" s="127"/>
    </row>
    <row r="991" spans="3:7" ht="13">
      <c r="C991" s="127"/>
      <c r="D991" s="127"/>
      <c r="G991" s="127"/>
    </row>
    <row r="992" spans="3:7" ht="13">
      <c r="C992" s="127"/>
      <c r="D992" s="127"/>
      <c r="G992" s="127"/>
    </row>
    <row r="993" spans="3:7" ht="13">
      <c r="C993" s="127"/>
      <c r="D993" s="127"/>
      <c r="G993" s="127"/>
    </row>
    <row r="994" spans="3:7" ht="13">
      <c r="C994" s="127"/>
      <c r="D994" s="127"/>
      <c r="G994" s="127"/>
    </row>
    <row r="995" spans="3:7" ht="13">
      <c r="C995" s="127"/>
      <c r="D995" s="127"/>
      <c r="G995" s="127"/>
    </row>
    <row r="996" spans="3:7" ht="13">
      <c r="C996" s="127"/>
      <c r="D996" s="127"/>
      <c r="G996" s="127"/>
    </row>
    <row r="997" spans="3:7" ht="13">
      <c r="C997" s="127"/>
      <c r="D997" s="127"/>
      <c r="G997" s="127"/>
    </row>
    <row r="998" spans="3:7" ht="13">
      <c r="C998" s="127"/>
      <c r="D998" s="127"/>
      <c r="G998" s="127"/>
    </row>
    <row r="999" spans="3:7" ht="13">
      <c r="C999" s="127"/>
      <c r="D999" s="127"/>
      <c r="G999" s="127"/>
    </row>
    <row r="1000" spans="3:7" ht="13">
      <c r="C1000" s="127"/>
      <c r="D1000" s="127"/>
      <c r="G1000" s="127"/>
    </row>
    <row r="1001" spans="3:7" ht="13">
      <c r="C1001" s="127"/>
      <c r="D1001" s="127"/>
      <c r="G1001" s="127"/>
    </row>
    <row r="1002" spans="3:7" ht="13">
      <c r="C1002" s="127"/>
      <c r="D1002" s="127"/>
      <c r="G1002" s="127"/>
    </row>
    <row r="1003" spans="3:7" ht="13">
      <c r="C1003" s="127"/>
      <c r="D1003" s="127"/>
      <c r="G1003" s="127"/>
    </row>
  </sheetData>
  <mergeCells count="1">
    <mergeCell ref="E38:G38"/>
  </mergeCells>
  <hyperlinks>
    <hyperlink ref="A2" r:id="rId1" xr:uid="{00000000-0004-0000-0600-000000000000}"/>
    <hyperlink ref="C2" r:id="rId2" xr:uid="{00000000-0004-0000-0600-000001000000}"/>
    <hyperlink ref="D2" r:id="rId3" xr:uid="{00000000-0004-0000-0600-000002000000}"/>
    <hyperlink ref="A3" r:id="rId4" xr:uid="{00000000-0004-0000-0600-000003000000}"/>
    <hyperlink ref="C3" r:id="rId5" xr:uid="{00000000-0004-0000-0600-000004000000}"/>
    <hyperlink ref="D3" r:id="rId6" xr:uid="{00000000-0004-0000-0600-000005000000}"/>
    <hyperlink ref="A4" r:id="rId7" xr:uid="{00000000-0004-0000-0600-000006000000}"/>
    <hyperlink ref="C4" r:id="rId8" xr:uid="{00000000-0004-0000-0600-000007000000}"/>
    <hyperlink ref="D4" r:id="rId9" xr:uid="{00000000-0004-0000-0600-000008000000}"/>
    <hyperlink ref="A5" r:id="rId10" xr:uid="{00000000-0004-0000-0600-000009000000}"/>
    <hyperlink ref="C5" r:id="rId11" xr:uid="{00000000-0004-0000-0600-00000A000000}"/>
    <hyperlink ref="D5" r:id="rId12" xr:uid="{00000000-0004-0000-0600-00000B000000}"/>
    <hyperlink ref="A6" r:id="rId13" xr:uid="{00000000-0004-0000-0600-00000C000000}"/>
    <hyperlink ref="C6" r:id="rId14" xr:uid="{00000000-0004-0000-0600-00000D000000}"/>
    <hyperlink ref="D6" r:id="rId15" xr:uid="{00000000-0004-0000-0600-00000E000000}"/>
    <hyperlink ref="A7" r:id="rId16" xr:uid="{00000000-0004-0000-0600-00000F000000}"/>
    <hyperlink ref="C7" r:id="rId17" xr:uid="{00000000-0004-0000-0600-000010000000}"/>
    <hyperlink ref="D7" r:id="rId18" xr:uid="{00000000-0004-0000-0600-000011000000}"/>
    <hyperlink ref="A8" r:id="rId19" xr:uid="{00000000-0004-0000-0600-000012000000}"/>
    <hyperlink ref="C8" r:id="rId20" xr:uid="{00000000-0004-0000-0600-000013000000}"/>
    <hyperlink ref="A9" r:id="rId21" xr:uid="{00000000-0004-0000-0600-000014000000}"/>
    <hyperlink ref="C9" r:id="rId22" xr:uid="{00000000-0004-0000-0600-000015000000}"/>
    <hyperlink ref="D9" r:id="rId23" xr:uid="{00000000-0004-0000-0600-000016000000}"/>
    <hyperlink ref="N9" r:id="rId24" location="entry66298" xr:uid="{00000000-0004-0000-0600-000017000000}"/>
    <hyperlink ref="A10" r:id="rId25" xr:uid="{00000000-0004-0000-0600-000018000000}"/>
    <hyperlink ref="C10" r:id="rId26" xr:uid="{00000000-0004-0000-0600-000019000000}"/>
    <hyperlink ref="D10" r:id="rId27" xr:uid="{00000000-0004-0000-0600-00001A000000}"/>
    <hyperlink ref="C11" r:id="rId28" xr:uid="{00000000-0004-0000-0600-00001B000000}"/>
    <hyperlink ref="D11" r:id="rId29" xr:uid="{00000000-0004-0000-0600-00001C000000}"/>
    <hyperlink ref="C12" r:id="rId30" xr:uid="{00000000-0004-0000-0600-00001D000000}"/>
    <hyperlink ref="D12" r:id="rId31" xr:uid="{00000000-0004-0000-0600-00001E000000}"/>
    <hyperlink ref="C13" r:id="rId32" xr:uid="{00000000-0004-0000-0600-00001F000000}"/>
    <hyperlink ref="D13" r:id="rId33" xr:uid="{00000000-0004-0000-0600-000020000000}"/>
    <hyperlink ref="C14" r:id="rId34" xr:uid="{00000000-0004-0000-0600-000021000000}"/>
    <hyperlink ref="D14" r:id="rId35" xr:uid="{00000000-0004-0000-0600-000022000000}"/>
    <hyperlink ref="C15" r:id="rId36" xr:uid="{00000000-0004-0000-0600-000023000000}"/>
    <hyperlink ref="D15" r:id="rId37" xr:uid="{00000000-0004-0000-0600-000024000000}"/>
    <hyperlink ref="A16" r:id="rId38" xr:uid="{00000000-0004-0000-0600-000025000000}"/>
    <hyperlink ref="C16" r:id="rId39" xr:uid="{00000000-0004-0000-0600-000026000000}"/>
    <hyperlink ref="D16" r:id="rId40" xr:uid="{00000000-0004-0000-0600-000027000000}"/>
    <hyperlink ref="C17" r:id="rId41" xr:uid="{00000000-0004-0000-0600-000028000000}"/>
    <hyperlink ref="D17" r:id="rId42" xr:uid="{00000000-0004-0000-0600-000029000000}"/>
    <hyperlink ref="C18" r:id="rId43" xr:uid="{00000000-0004-0000-0600-00002A000000}"/>
    <hyperlink ref="D18" r:id="rId44" xr:uid="{00000000-0004-0000-0600-00002B000000}"/>
    <hyperlink ref="C19" r:id="rId45" xr:uid="{00000000-0004-0000-0600-00002C000000}"/>
    <hyperlink ref="D19" r:id="rId46" xr:uid="{00000000-0004-0000-0600-00002D000000}"/>
    <hyperlink ref="C20" r:id="rId47" xr:uid="{00000000-0004-0000-0600-00002E000000}"/>
    <hyperlink ref="D20" r:id="rId48" xr:uid="{00000000-0004-0000-0600-00002F000000}"/>
    <hyperlink ref="C21" r:id="rId49" xr:uid="{00000000-0004-0000-0600-000030000000}"/>
    <hyperlink ref="D21" r:id="rId50" xr:uid="{00000000-0004-0000-0600-000031000000}"/>
    <hyperlink ref="C22" r:id="rId51" xr:uid="{00000000-0004-0000-0600-000032000000}"/>
    <hyperlink ref="D22" r:id="rId52" xr:uid="{00000000-0004-0000-0600-000033000000}"/>
    <hyperlink ref="N22" r:id="rId53" xr:uid="{00000000-0004-0000-0600-000034000000}"/>
    <hyperlink ref="A23" r:id="rId54" xr:uid="{00000000-0004-0000-0600-000035000000}"/>
    <hyperlink ref="C23" r:id="rId55" xr:uid="{00000000-0004-0000-0600-000036000000}"/>
    <hyperlink ref="D23" r:id="rId56" xr:uid="{00000000-0004-0000-0600-000037000000}"/>
    <hyperlink ref="A24" r:id="rId57" xr:uid="{00000000-0004-0000-0600-000038000000}"/>
    <hyperlink ref="C24" r:id="rId58" xr:uid="{00000000-0004-0000-0600-000039000000}"/>
    <hyperlink ref="D24" r:id="rId59" xr:uid="{00000000-0004-0000-0600-00003A000000}"/>
    <hyperlink ref="C25" r:id="rId60" xr:uid="{00000000-0004-0000-0600-00003B000000}"/>
    <hyperlink ref="D25" r:id="rId61" xr:uid="{00000000-0004-0000-0600-00003C000000}"/>
    <hyperlink ref="C26" r:id="rId62" xr:uid="{00000000-0004-0000-0600-00003D000000}"/>
    <hyperlink ref="C27" r:id="rId63" xr:uid="{00000000-0004-0000-0600-00003E000000}"/>
    <hyperlink ref="D27" r:id="rId64" xr:uid="{00000000-0004-0000-0600-00003F000000}"/>
    <hyperlink ref="C28" r:id="rId65" xr:uid="{00000000-0004-0000-0600-000040000000}"/>
    <hyperlink ref="D28" r:id="rId66" xr:uid="{00000000-0004-0000-0600-000041000000}"/>
  </hyperlinks>
  <pageMargins left="0.7" right="0.7" top="0.75" bottom="0.75" header="0.3" footer="0.3"/>
  <legacyDrawing r:id="rId67"/>
  <tableParts count="1">
    <tablePart r:id="rId68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H103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4.83203125" customWidth="1"/>
    <col min="2" max="2" width="5.6640625" customWidth="1"/>
    <col min="3" max="3" width="13.1640625" customWidth="1"/>
    <col min="4" max="4" width="17.33203125" customWidth="1"/>
    <col min="5" max="5" width="11.83203125" customWidth="1"/>
    <col min="6" max="6" width="7.6640625" customWidth="1"/>
    <col min="7" max="7" width="9.5" customWidth="1"/>
    <col min="8" max="8" width="7" customWidth="1"/>
    <col min="9" max="9" width="8.5" customWidth="1"/>
    <col min="10" max="13" width="9.6640625" customWidth="1"/>
    <col min="28" max="29" width="8.5" customWidth="1"/>
    <col min="30" max="30" width="4.6640625" customWidth="1"/>
  </cols>
  <sheetData>
    <row r="1" spans="1:37" ht="13">
      <c r="A1" s="11"/>
      <c r="B1" s="11" t="s">
        <v>6</v>
      </c>
      <c r="C1" s="81" t="s">
        <v>7</v>
      </c>
      <c r="D1" s="81" t="s">
        <v>14</v>
      </c>
      <c r="E1" s="11" t="s">
        <v>15</v>
      </c>
      <c r="F1" s="11" t="s">
        <v>16</v>
      </c>
      <c r="G1" s="81" t="s">
        <v>17</v>
      </c>
      <c r="H1" s="11" t="s">
        <v>18</v>
      </c>
      <c r="I1" s="11" t="s">
        <v>19</v>
      </c>
      <c r="J1" s="11" t="s">
        <v>20</v>
      </c>
      <c r="K1" s="11" t="s">
        <v>21</v>
      </c>
      <c r="L1" s="11" t="s">
        <v>22</v>
      </c>
      <c r="M1" s="82" t="s">
        <v>142</v>
      </c>
      <c r="N1" s="11" t="s">
        <v>23</v>
      </c>
      <c r="O1" s="11" t="s">
        <v>24</v>
      </c>
      <c r="P1" s="11" t="s">
        <v>25</v>
      </c>
      <c r="Q1" s="11" t="s">
        <v>26</v>
      </c>
      <c r="R1" s="11" t="s">
        <v>27</v>
      </c>
      <c r="S1" s="11" t="s">
        <v>28</v>
      </c>
      <c r="T1" s="11" t="s">
        <v>576</v>
      </c>
      <c r="U1" s="11" t="s">
        <v>441</v>
      </c>
      <c r="V1" s="11" t="s">
        <v>31</v>
      </c>
      <c r="W1" s="11" t="s">
        <v>32</v>
      </c>
      <c r="X1" s="11" t="s">
        <v>33</v>
      </c>
      <c r="Y1" s="11" t="s">
        <v>34</v>
      </c>
      <c r="Z1" s="11" t="s">
        <v>35</v>
      </c>
      <c r="AA1" s="11" t="s">
        <v>36</v>
      </c>
      <c r="AB1" s="11" t="s">
        <v>37</v>
      </c>
      <c r="AC1" s="11" t="s">
        <v>38</v>
      </c>
      <c r="AD1" s="82" t="s">
        <v>39</v>
      </c>
      <c r="AE1" s="11" t="s">
        <v>40</v>
      </c>
      <c r="AF1" s="11" t="s">
        <v>41</v>
      </c>
      <c r="AG1" s="11" t="s">
        <v>42</v>
      </c>
      <c r="AH1" s="11" t="s">
        <v>43</v>
      </c>
      <c r="AI1" s="8"/>
    </row>
    <row r="2" spans="1:37" ht="13">
      <c r="A2" s="94" t="s">
        <v>436</v>
      </c>
      <c r="B2" s="8" t="s">
        <v>13</v>
      </c>
      <c r="C2" s="96" t="s">
        <v>437</v>
      </c>
      <c r="D2" s="96" t="s">
        <v>438</v>
      </c>
      <c r="E2" t="str">
        <f t="shared" ref="E2:E4" si="0">TRIM(LEFT(D2,LEN(D2)-4))</f>
        <v>Tyler Oles</v>
      </c>
      <c r="F2" s="8" t="s">
        <v>90</v>
      </c>
      <c r="G2" s="97" t="s">
        <v>55</v>
      </c>
      <c r="H2" s="4">
        <v>701</v>
      </c>
      <c r="I2" s="99">
        <v>4</v>
      </c>
      <c r="J2" s="99"/>
      <c r="K2" s="99"/>
      <c r="L2" s="99"/>
      <c r="M2" s="99"/>
      <c r="N2" s="8"/>
      <c r="O2" s="8" t="s">
        <v>33</v>
      </c>
      <c r="P2" s="8">
        <v>4</v>
      </c>
      <c r="Q2" s="8" t="s">
        <v>33</v>
      </c>
      <c r="R2" s="8"/>
      <c r="S2" s="8"/>
      <c r="T2" s="8"/>
      <c r="X2" s="8">
        <v>3</v>
      </c>
      <c r="Y2" s="8">
        <v>3</v>
      </c>
      <c r="Z2" s="8">
        <v>5</v>
      </c>
      <c r="AB2" s="99">
        <v>10</v>
      </c>
      <c r="AC2" s="99">
        <v>4</v>
      </c>
      <c r="AD2" s="8">
        <v>701</v>
      </c>
      <c r="AE2" s="8">
        <v>2.5</v>
      </c>
    </row>
    <row r="3" spans="1:37" ht="12.75" customHeight="1">
      <c r="A3" s="26" t="s">
        <v>567</v>
      </c>
      <c r="B3" s="8" t="s">
        <v>13</v>
      </c>
      <c r="C3" s="140" t="s">
        <v>568</v>
      </c>
      <c r="D3" s="140" t="s">
        <v>569</v>
      </c>
      <c r="E3" t="str">
        <f t="shared" si="0"/>
        <v>Mac Kaarbine</v>
      </c>
      <c r="F3" t="str">
        <f t="shared" ref="F3:F19" si="1">TRIM(RIGHT(D3,2))</f>
        <v>SP</v>
      </c>
      <c r="G3" s="127" t="s">
        <v>114</v>
      </c>
      <c r="H3" s="4">
        <v>491</v>
      </c>
      <c r="I3" s="137">
        <v>5</v>
      </c>
      <c r="J3" s="99"/>
      <c r="K3" s="99"/>
      <c r="L3" s="99"/>
      <c r="M3" s="99"/>
      <c r="N3" t="s">
        <v>571</v>
      </c>
      <c r="O3" t="s">
        <v>33</v>
      </c>
      <c r="P3">
        <v>15</v>
      </c>
      <c r="Q3" t="s">
        <v>33</v>
      </c>
      <c r="X3">
        <v>4</v>
      </c>
      <c r="Y3">
        <v>3</v>
      </c>
      <c r="Z3">
        <v>3</v>
      </c>
      <c r="AA3">
        <v>5</v>
      </c>
      <c r="AB3" s="99">
        <v>5</v>
      </c>
      <c r="AC3" s="99">
        <v>5</v>
      </c>
      <c r="AD3" s="8">
        <v>471</v>
      </c>
    </row>
    <row r="4" spans="1:37" ht="12.75" customHeight="1">
      <c r="A4" s="94" t="s">
        <v>577</v>
      </c>
      <c r="B4" s="8" t="s">
        <v>13</v>
      </c>
      <c r="C4" s="140" t="s">
        <v>578</v>
      </c>
      <c r="D4" s="140" t="s">
        <v>579</v>
      </c>
      <c r="E4" t="str">
        <f t="shared" si="0"/>
        <v>Micheal Lang</v>
      </c>
      <c r="F4" t="str">
        <f t="shared" si="1"/>
        <v>SP</v>
      </c>
      <c r="G4" s="127" t="s">
        <v>109</v>
      </c>
      <c r="H4" s="4">
        <v>443</v>
      </c>
      <c r="I4" s="98">
        <v>4</v>
      </c>
      <c r="J4" s="98">
        <v>5</v>
      </c>
      <c r="K4" s="99"/>
      <c r="L4" s="99"/>
      <c r="M4" s="99"/>
      <c r="N4" s="8" t="s">
        <v>417</v>
      </c>
      <c r="O4" t="s">
        <v>35</v>
      </c>
      <c r="P4">
        <v>5</v>
      </c>
      <c r="Q4" t="s">
        <v>35</v>
      </c>
      <c r="X4" s="8"/>
      <c r="Y4" s="8"/>
      <c r="AA4" s="8" t="s">
        <v>257</v>
      </c>
      <c r="AB4" s="99">
        <v>4</v>
      </c>
      <c r="AC4" s="102">
        <v>4</v>
      </c>
      <c r="AD4" s="8">
        <v>364</v>
      </c>
      <c r="AE4" s="8">
        <v>4</v>
      </c>
    </row>
    <row r="5" spans="1:37" ht="12.75" customHeight="1">
      <c r="A5" s="94" t="s">
        <v>194</v>
      </c>
      <c r="B5" s="8" t="s">
        <v>3</v>
      </c>
      <c r="C5" s="96" t="s">
        <v>50</v>
      </c>
      <c r="D5" s="96" t="s">
        <v>195</v>
      </c>
      <c r="E5" t="str">
        <f>TRIM(LEFT(D5,LEN(D5)-5))</f>
        <v>Jarrod Stanton</v>
      </c>
      <c r="F5" s="8" t="str">
        <f t="shared" si="1"/>
        <v>2B</v>
      </c>
      <c r="G5" s="97" t="s">
        <v>132</v>
      </c>
      <c r="H5" s="4">
        <v>1228</v>
      </c>
      <c r="I5" s="90">
        <v>5</v>
      </c>
      <c r="J5" s="158"/>
      <c r="K5" s="99"/>
      <c r="L5" s="99"/>
      <c r="M5" s="99"/>
      <c r="N5" s="8" t="s">
        <v>197</v>
      </c>
      <c r="O5" s="8" t="s">
        <v>78</v>
      </c>
      <c r="P5" s="8">
        <v>1</v>
      </c>
      <c r="Q5" s="8" t="s">
        <v>70</v>
      </c>
      <c r="R5" s="8"/>
      <c r="S5" s="8"/>
      <c r="T5" s="8"/>
      <c r="V5" s="8">
        <v>5</v>
      </c>
      <c r="W5" s="8">
        <v>5</v>
      </c>
      <c r="X5" s="8">
        <v>6.5</v>
      </c>
      <c r="Y5" s="8">
        <v>8.5</v>
      </c>
      <c r="Z5" s="8">
        <v>9</v>
      </c>
      <c r="AA5" s="8">
        <v>9</v>
      </c>
      <c r="AB5" s="99">
        <v>9.5</v>
      </c>
      <c r="AC5" s="99">
        <v>9.75</v>
      </c>
      <c r="AD5" s="8">
        <v>1445</v>
      </c>
      <c r="AE5" s="8">
        <v>540</v>
      </c>
      <c r="AF5" s="8">
        <v>522</v>
      </c>
      <c r="AG5" s="8">
        <v>508</v>
      </c>
      <c r="AH5" s="8">
        <v>464</v>
      </c>
    </row>
    <row r="6" spans="1:37" ht="12.75" customHeight="1">
      <c r="B6" s="8" t="s">
        <v>13</v>
      </c>
      <c r="C6" s="96" t="s">
        <v>592</v>
      </c>
      <c r="D6" s="96" t="s">
        <v>594</v>
      </c>
      <c r="E6" t="str">
        <f t="shared" ref="E6:E24" si="2">TRIM(LEFT(D6,LEN(D6)-4))</f>
        <v>Brett Smoky</v>
      </c>
      <c r="F6" t="str">
        <f t="shared" si="1"/>
        <v>CL</v>
      </c>
      <c r="G6" s="97" t="s">
        <v>114</v>
      </c>
      <c r="H6" s="4">
        <v>430</v>
      </c>
      <c r="I6" s="98">
        <v>4</v>
      </c>
      <c r="J6" s="99"/>
      <c r="K6" s="99"/>
      <c r="L6" s="99"/>
      <c r="M6" s="99"/>
      <c r="O6" s="8" t="s">
        <v>34</v>
      </c>
      <c r="P6" s="8">
        <v>13</v>
      </c>
      <c r="Q6" s="8" t="s">
        <v>34</v>
      </c>
      <c r="AB6" s="99">
        <v>1</v>
      </c>
      <c r="AC6" s="98">
        <v>4</v>
      </c>
      <c r="AD6" s="8">
        <v>430</v>
      </c>
    </row>
    <row r="7" spans="1:37" ht="12.75" customHeight="1">
      <c r="A7" s="94" t="s">
        <v>613</v>
      </c>
      <c r="B7" s="8" t="s">
        <v>13</v>
      </c>
      <c r="C7" s="140" t="s">
        <v>615</v>
      </c>
      <c r="D7" s="140" t="s">
        <v>617</v>
      </c>
      <c r="E7" t="str">
        <f t="shared" si="2"/>
        <v>Ace Faulkner</v>
      </c>
      <c r="F7" t="str">
        <f t="shared" si="1"/>
        <v>SP</v>
      </c>
      <c r="G7" s="127" t="s">
        <v>109</v>
      </c>
      <c r="H7" s="4">
        <v>444</v>
      </c>
      <c r="I7" s="98">
        <v>6</v>
      </c>
      <c r="J7" s="99"/>
      <c r="K7" s="99"/>
      <c r="L7" s="99"/>
      <c r="M7" s="99"/>
      <c r="O7" t="s">
        <v>34</v>
      </c>
      <c r="P7">
        <v>6</v>
      </c>
      <c r="Q7" t="s">
        <v>34</v>
      </c>
      <c r="Y7" s="8"/>
      <c r="Z7">
        <v>3</v>
      </c>
      <c r="AA7" s="8">
        <v>3</v>
      </c>
      <c r="AB7" s="99">
        <v>3</v>
      </c>
      <c r="AC7" s="98">
        <v>8</v>
      </c>
      <c r="AD7" s="8">
        <v>353</v>
      </c>
      <c r="AE7" s="99">
        <v>3</v>
      </c>
      <c r="AJ7" s="8" t="str">
        <f>VLOOKUP(B7,Analysis!$A$24:$B$32,2,FALSE)</f>
        <v>:utah:</v>
      </c>
      <c r="AK7" s="8" t="str">
        <f>AJ7&amp;" [b][url="&amp;A7&amp;"]"&amp;D7&amp;"[/url][/b] TPE: "&amp;AD7&amp;", Regression Class: "&amp;Q7</f>
        <v>:utah: [b][url=http://probaseballexperience.jcink.net/index.php?showtopic=3153]Ace Faulkner - SP[/url][/b] TPE: 353, Regression Class: S6</v>
      </c>
    </row>
    <row r="8" spans="1:37" ht="13">
      <c r="A8" s="8"/>
      <c r="B8" s="8" t="s">
        <v>13</v>
      </c>
      <c r="C8" s="96" t="s">
        <v>628</v>
      </c>
      <c r="D8" s="96" t="s">
        <v>631</v>
      </c>
      <c r="E8" s="8" t="str">
        <f t="shared" si="2"/>
        <v>Dorothy Morimura</v>
      </c>
      <c r="F8" s="8" t="str">
        <f t="shared" si="1"/>
        <v>RF</v>
      </c>
      <c r="G8" s="97" t="s">
        <v>298</v>
      </c>
      <c r="H8" s="4">
        <v>556</v>
      </c>
      <c r="I8" s="99">
        <v>2.5</v>
      </c>
      <c r="J8" s="102">
        <v>3</v>
      </c>
      <c r="K8" s="99"/>
      <c r="L8" s="99"/>
      <c r="M8" s="99"/>
      <c r="N8" s="8" t="s">
        <v>612</v>
      </c>
      <c r="O8" s="8" t="s">
        <v>37</v>
      </c>
      <c r="P8" s="8">
        <v>25</v>
      </c>
      <c r="Q8" s="8" t="s">
        <v>37</v>
      </c>
      <c r="AB8" s="99" t="s">
        <v>633</v>
      </c>
      <c r="AC8" s="99">
        <v>2</v>
      </c>
      <c r="AD8" s="4">
        <v>222</v>
      </c>
    </row>
    <row r="9" spans="1:37" ht="13">
      <c r="A9" s="8"/>
      <c r="B9" s="8" t="s">
        <v>13</v>
      </c>
      <c r="C9" s="96" t="s">
        <v>657</v>
      </c>
      <c r="D9" s="96" t="s">
        <v>659</v>
      </c>
      <c r="E9" s="8" t="str">
        <f t="shared" si="2"/>
        <v>Seth Crossland</v>
      </c>
      <c r="F9" s="8" t="str">
        <f t="shared" si="1"/>
        <v>CF</v>
      </c>
      <c r="G9" s="97" t="s">
        <v>662</v>
      </c>
      <c r="H9" s="4">
        <v>566</v>
      </c>
      <c r="I9" s="99">
        <v>5</v>
      </c>
      <c r="J9" s="102">
        <v>5</v>
      </c>
      <c r="K9" s="99"/>
      <c r="L9" s="99"/>
      <c r="M9" s="99"/>
      <c r="N9" s="8" t="s">
        <v>612</v>
      </c>
      <c r="O9" s="8" t="s">
        <v>37</v>
      </c>
      <c r="P9" s="8">
        <v>4</v>
      </c>
      <c r="Q9" s="8" t="s">
        <v>37</v>
      </c>
      <c r="AB9" s="99" t="s">
        <v>274</v>
      </c>
      <c r="AC9" s="99">
        <v>5</v>
      </c>
      <c r="AD9" s="4">
        <v>168</v>
      </c>
    </row>
    <row r="10" spans="1:37" ht="13">
      <c r="A10" s="8"/>
      <c r="B10" s="8" t="s">
        <v>13</v>
      </c>
      <c r="C10" s="96" t="s">
        <v>680</v>
      </c>
      <c r="D10" s="96" t="s">
        <v>681</v>
      </c>
      <c r="E10" s="8" t="str">
        <f t="shared" si="2"/>
        <v>JD Jacks</v>
      </c>
      <c r="F10" s="8" t="str">
        <f t="shared" si="1"/>
        <v>SS</v>
      </c>
      <c r="G10" s="97" t="s">
        <v>97</v>
      </c>
      <c r="H10" s="4">
        <v>563</v>
      </c>
      <c r="I10" s="102">
        <v>3</v>
      </c>
      <c r="J10" s="98">
        <v>8</v>
      </c>
      <c r="K10" s="98">
        <v>8</v>
      </c>
      <c r="L10" s="98">
        <v>8</v>
      </c>
      <c r="M10" s="99"/>
      <c r="N10" s="8" t="s">
        <v>273</v>
      </c>
      <c r="O10" s="8" t="s">
        <v>37</v>
      </c>
      <c r="P10" s="8">
        <v>42</v>
      </c>
      <c r="Q10" s="8" t="s">
        <v>37</v>
      </c>
      <c r="AB10" s="99" t="s">
        <v>274</v>
      </c>
      <c r="AC10" s="99">
        <v>2</v>
      </c>
      <c r="AD10" s="4">
        <v>159</v>
      </c>
    </row>
    <row r="11" spans="1:37" ht="12.75" customHeight="1">
      <c r="A11" s="8"/>
      <c r="B11" s="8" t="s">
        <v>13</v>
      </c>
      <c r="C11" s="96" t="s">
        <v>683</v>
      </c>
      <c r="D11" s="96" t="s">
        <v>685</v>
      </c>
      <c r="E11" s="8" t="str">
        <f t="shared" si="2"/>
        <v>Josh Steele</v>
      </c>
      <c r="F11" s="8" t="str">
        <f t="shared" si="1"/>
        <v>2B</v>
      </c>
      <c r="G11" s="97" t="s">
        <v>84</v>
      </c>
      <c r="H11" s="4">
        <v>534</v>
      </c>
      <c r="I11" s="99">
        <v>3.5</v>
      </c>
      <c r="J11" s="102">
        <v>4</v>
      </c>
      <c r="K11" s="99"/>
      <c r="L11" s="99"/>
      <c r="M11" s="99"/>
      <c r="N11" s="8" t="s">
        <v>612</v>
      </c>
      <c r="O11" s="8" t="s">
        <v>37</v>
      </c>
      <c r="P11" s="8">
        <v>18</v>
      </c>
      <c r="Q11" s="8" t="s">
        <v>37</v>
      </c>
      <c r="AB11" s="99" t="s">
        <v>274</v>
      </c>
      <c r="AC11" s="99">
        <v>3</v>
      </c>
      <c r="AD11" s="4">
        <v>154</v>
      </c>
    </row>
    <row r="12" spans="1:37" ht="12.75" customHeight="1">
      <c r="A12" s="82"/>
      <c r="B12" s="8" t="s">
        <v>13</v>
      </c>
      <c r="C12" s="96" t="s">
        <v>686</v>
      </c>
      <c r="D12" s="96" t="s">
        <v>689</v>
      </c>
      <c r="E12" s="8" t="str">
        <f t="shared" si="2"/>
        <v>Alain Johns</v>
      </c>
      <c r="F12" s="8" t="str">
        <f t="shared" si="1"/>
        <v>CF</v>
      </c>
      <c r="G12" s="97" t="s">
        <v>62</v>
      </c>
      <c r="H12" s="4">
        <v>471</v>
      </c>
      <c r="I12" s="98">
        <v>6</v>
      </c>
      <c r="J12" s="98">
        <v>6</v>
      </c>
      <c r="K12" s="90">
        <v>6</v>
      </c>
      <c r="L12" s="103"/>
      <c r="M12" s="103"/>
      <c r="N12" s="105" t="s">
        <v>692</v>
      </c>
      <c r="O12" s="4" t="s">
        <v>38</v>
      </c>
      <c r="P12" s="4">
        <v>3</v>
      </c>
      <c r="Q12" s="8" t="s">
        <v>37</v>
      </c>
      <c r="AB12" s="12"/>
      <c r="AC12" s="82" t="s">
        <v>274</v>
      </c>
      <c r="AD12" s="82">
        <v>199</v>
      </c>
    </row>
    <row r="13" spans="1:37" ht="12.75" customHeight="1">
      <c r="A13" s="8"/>
      <c r="B13" s="8" t="s">
        <v>13</v>
      </c>
      <c r="C13" s="96" t="s">
        <v>694</v>
      </c>
      <c r="D13" s="96" t="s">
        <v>696</v>
      </c>
      <c r="E13" s="8" t="str">
        <f t="shared" si="2"/>
        <v>Epictitus Milburn</v>
      </c>
      <c r="F13" s="8" t="str">
        <f t="shared" si="1"/>
        <v>SP</v>
      </c>
      <c r="G13" s="97" t="s">
        <v>55</v>
      </c>
      <c r="H13" s="4">
        <v>262</v>
      </c>
      <c r="I13" s="102">
        <v>1</v>
      </c>
      <c r="J13" s="99"/>
      <c r="K13" s="99"/>
      <c r="L13" s="99"/>
      <c r="M13" s="99"/>
      <c r="N13" s="8" t="s">
        <v>273</v>
      </c>
      <c r="O13" s="8" t="s">
        <v>37</v>
      </c>
      <c r="P13" s="8">
        <v>22</v>
      </c>
      <c r="Q13" s="8" t="s">
        <v>37</v>
      </c>
      <c r="AB13" s="99" t="s">
        <v>274</v>
      </c>
      <c r="AC13" s="99">
        <v>1</v>
      </c>
      <c r="AD13" s="8">
        <v>176</v>
      </c>
    </row>
    <row r="14" spans="1:37" ht="12.75" customHeight="1">
      <c r="A14" s="82"/>
      <c r="B14" s="8" t="s">
        <v>13</v>
      </c>
      <c r="C14" s="96" t="s">
        <v>700</v>
      </c>
      <c r="D14" s="96" t="s">
        <v>701</v>
      </c>
      <c r="E14" s="8" t="str">
        <f t="shared" si="2"/>
        <v>Moises Hammond</v>
      </c>
      <c r="F14" s="8" t="str">
        <f t="shared" si="1"/>
        <v>C</v>
      </c>
      <c r="G14" s="97" t="s">
        <v>132</v>
      </c>
      <c r="H14" s="4">
        <v>292</v>
      </c>
      <c r="I14" s="98">
        <v>3.5</v>
      </c>
      <c r="J14" s="125">
        <v>3.5</v>
      </c>
      <c r="L14" s="103"/>
      <c r="M14" s="103"/>
      <c r="N14" s="105" t="s">
        <v>702</v>
      </c>
      <c r="O14" s="4" t="s">
        <v>38</v>
      </c>
      <c r="P14" s="4">
        <v>9</v>
      </c>
      <c r="Q14" s="8" t="s">
        <v>37</v>
      </c>
      <c r="AB14" s="12"/>
      <c r="AC14" s="98">
        <v>3.5</v>
      </c>
      <c r="AD14" s="82">
        <v>177</v>
      </c>
    </row>
    <row r="15" spans="1:37" ht="12.75" customHeight="1">
      <c r="A15" s="8"/>
      <c r="B15" s="8" t="s">
        <v>13</v>
      </c>
      <c r="C15" s="96" t="s">
        <v>704</v>
      </c>
      <c r="D15" s="96" t="s">
        <v>705</v>
      </c>
      <c r="E15" s="8" t="str">
        <f t="shared" si="2"/>
        <v>Cisco Xochipilli</v>
      </c>
      <c r="F15" s="8" t="str">
        <f t="shared" si="1"/>
        <v>C</v>
      </c>
      <c r="G15" s="97" t="s">
        <v>265</v>
      </c>
      <c r="H15" s="4">
        <v>246</v>
      </c>
      <c r="I15" s="99">
        <v>3.5</v>
      </c>
      <c r="J15" s="102">
        <v>4</v>
      </c>
      <c r="K15" s="99"/>
      <c r="L15" s="99"/>
      <c r="M15" s="99"/>
      <c r="N15" s="8" t="s">
        <v>612</v>
      </c>
      <c r="O15" s="8" t="s">
        <v>37</v>
      </c>
      <c r="P15" s="8">
        <v>9</v>
      </c>
      <c r="Q15" s="8" t="s">
        <v>37</v>
      </c>
      <c r="AB15" s="99" t="s">
        <v>274</v>
      </c>
      <c r="AC15" s="99">
        <v>3</v>
      </c>
      <c r="AD15" s="4">
        <v>167</v>
      </c>
    </row>
    <row r="16" spans="1:37" ht="12.75" customHeight="1">
      <c r="A16" s="8"/>
      <c r="B16" s="8" t="s">
        <v>13</v>
      </c>
      <c r="C16" s="96" t="s">
        <v>708</v>
      </c>
      <c r="D16" s="96" t="s">
        <v>710</v>
      </c>
      <c r="E16" s="8" t="str">
        <f t="shared" si="2"/>
        <v>Icy Douglas</v>
      </c>
      <c r="F16" s="8" t="str">
        <f t="shared" si="1"/>
        <v>LF</v>
      </c>
      <c r="G16" s="97" t="s">
        <v>192</v>
      </c>
      <c r="H16" s="4">
        <v>184</v>
      </c>
      <c r="I16" s="99">
        <v>3.5</v>
      </c>
      <c r="J16" s="102">
        <v>4</v>
      </c>
      <c r="K16" s="99"/>
      <c r="L16" s="99"/>
      <c r="M16" s="99"/>
      <c r="N16" s="8" t="s">
        <v>612</v>
      </c>
      <c r="O16" s="8" t="s">
        <v>37</v>
      </c>
      <c r="P16" s="8">
        <v>14</v>
      </c>
      <c r="Q16" s="8" t="s">
        <v>37</v>
      </c>
      <c r="AB16" s="99" t="s">
        <v>274</v>
      </c>
      <c r="AC16" s="99">
        <v>3</v>
      </c>
      <c r="AD16" s="4">
        <v>144</v>
      </c>
    </row>
    <row r="17" spans="1:60" ht="12.75" customHeight="1">
      <c r="B17" s="8" t="s">
        <v>13</v>
      </c>
      <c r="C17" s="96" t="s">
        <v>443</v>
      </c>
      <c r="D17" s="96" t="s">
        <v>712</v>
      </c>
      <c r="E17" s="8" t="str">
        <f t="shared" si="2"/>
        <v>Colben Fairborn</v>
      </c>
      <c r="F17" s="8" t="str">
        <f t="shared" si="1"/>
        <v>CL</v>
      </c>
      <c r="G17" s="97" t="s">
        <v>114</v>
      </c>
      <c r="H17" s="4">
        <v>356</v>
      </c>
      <c r="I17" s="99">
        <v>3</v>
      </c>
      <c r="J17" s="102">
        <v>3</v>
      </c>
      <c r="K17" s="103"/>
      <c r="L17" s="103"/>
      <c r="M17" s="103"/>
      <c r="N17" s="105" t="s">
        <v>692</v>
      </c>
      <c r="O17" s="4" t="s">
        <v>38</v>
      </c>
      <c r="P17" s="4">
        <v>4</v>
      </c>
      <c r="Q17" s="4" t="s">
        <v>38</v>
      </c>
      <c r="AB17" s="12"/>
      <c r="AC17" s="99">
        <v>3</v>
      </c>
      <c r="AD17" s="82">
        <v>100</v>
      </c>
    </row>
    <row r="18" spans="1:60" ht="12.75" customHeight="1">
      <c r="B18" s="8" t="s">
        <v>13</v>
      </c>
      <c r="C18" s="96" t="s">
        <v>715</v>
      </c>
      <c r="D18" s="96" t="s">
        <v>716</v>
      </c>
      <c r="E18" s="8" t="str">
        <f t="shared" si="2"/>
        <v>Jake Grinz</v>
      </c>
      <c r="F18" s="8" t="str">
        <f t="shared" si="1"/>
        <v>SS</v>
      </c>
      <c r="G18" s="97" t="s">
        <v>62</v>
      </c>
      <c r="H18" s="4">
        <v>146</v>
      </c>
      <c r="I18" s="99">
        <v>2</v>
      </c>
      <c r="J18" s="102">
        <v>2</v>
      </c>
      <c r="K18" s="103"/>
      <c r="L18" s="103"/>
      <c r="M18" s="103"/>
      <c r="N18" s="105" t="s">
        <v>692</v>
      </c>
      <c r="O18" s="4" t="s">
        <v>38</v>
      </c>
      <c r="P18" s="4">
        <v>25</v>
      </c>
      <c r="Q18" s="4" t="s">
        <v>38</v>
      </c>
      <c r="AB18" s="12"/>
      <c r="AC18" s="82" t="s">
        <v>274</v>
      </c>
      <c r="AD18" s="82">
        <v>100</v>
      </c>
    </row>
    <row r="19" spans="1:60" ht="13">
      <c r="B19" s="8" t="s">
        <v>13</v>
      </c>
      <c r="C19" s="96" t="s">
        <v>718</v>
      </c>
      <c r="D19" s="96" t="s">
        <v>719</v>
      </c>
      <c r="E19" s="8" t="str">
        <f t="shared" si="2"/>
        <v>Jason Lester</v>
      </c>
      <c r="F19" s="8" t="str">
        <f t="shared" si="1"/>
        <v>1B</v>
      </c>
      <c r="G19" s="97" t="s">
        <v>554</v>
      </c>
      <c r="H19" s="4">
        <v>128</v>
      </c>
      <c r="I19" s="98">
        <v>1</v>
      </c>
      <c r="J19" s="98">
        <v>1.5</v>
      </c>
      <c r="K19" s="102">
        <v>3</v>
      </c>
      <c r="L19" s="103"/>
      <c r="M19" s="103"/>
      <c r="N19" s="105" t="s">
        <v>721</v>
      </c>
      <c r="O19" s="4" t="s">
        <v>38</v>
      </c>
      <c r="P19" s="4">
        <v>33</v>
      </c>
      <c r="Q19" s="8" t="s">
        <v>37</v>
      </c>
      <c r="AB19" s="12"/>
      <c r="AC19" s="82" t="s">
        <v>274</v>
      </c>
      <c r="AD19" s="82">
        <v>113</v>
      </c>
    </row>
    <row r="20" spans="1:60" ht="12.75" customHeight="1">
      <c r="A20" s="94" t="s">
        <v>546</v>
      </c>
      <c r="B20" s="4" t="s">
        <v>13</v>
      </c>
      <c r="C20" s="96" t="s">
        <v>547</v>
      </c>
      <c r="D20" s="96" t="s">
        <v>548</v>
      </c>
      <c r="E20" s="8" t="str">
        <f t="shared" si="2"/>
        <v>Robert Phelps</v>
      </c>
      <c r="F20" s="8" t="s">
        <v>180</v>
      </c>
      <c r="G20" s="97" t="s">
        <v>84</v>
      </c>
      <c r="H20" s="4">
        <v>458</v>
      </c>
      <c r="I20" s="98">
        <v>5</v>
      </c>
      <c r="J20" s="99"/>
      <c r="K20" s="99"/>
      <c r="L20" s="99"/>
      <c r="M20" s="99"/>
      <c r="N20" s="8"/>
      <c r="O20" s="8" t="s">
        <v>70</v>
      </c>
      <c r="P20" s="8">
        <v>7</v>
      </c>
      <c r="Q20" s="8" t="s">
        <v>70</v>
      </c>
      <c r="R20" s="8"/>
      <c r="S20" s="8"/>
      <c r="T20" s="8"/>
      <c r="U20" s="8"/>
      <c r="W20" s="8">
        <v>4.5</v>
      </c>
      <c r="X20" s="8">
        <v>4</v>
      </c>
      <c r="Y20" s="8">
        <v>5</v>
      </c>
      <c r="Z20" s="8">
        <v>5.75</v>
      </c>
      <c r="AA20" s="8">
        <v>7.25</v>
      </c>
      <c r="AB20" s="8">
        <v>5.75</v>
      </c>
      <c r="AC20" s="99">
        <v>5.75</v>
      </c>
      <c r="AD20" s="8">
        <v>611</v>
      </c>
      <c r="AE20" s="99">
        <v>5.75</v>
      </c>
      <c r="AF20" s="8">
        <v>456</v>
      </c>
      <c r="AG20" s="8">
        <v>444</v>
      </c>
      <c r="AH20" s="8">
        <v>436</v>
      </c>
      <c r="AI20" s="8">
        <v>418</v>
      </c>
    </row>
    <row r="21" spans="1:60" ht="18" customHeight="1">
      <c r="A21" s="94" t="s">
        <v>725</v>
      </c>
      <c r="B21" s="4" t="s">
        <v>13</v>
      </c>
      <c r="C21" s="96" t="s">
        <v>727</v>
      </c>
      <c r="D21" s="96" t="s">
        <v>730</v>
      </c>
      <c r="E21" s="8" t="str">
        <f t="shared" si="2"/>
        <v>Omar Wright</v>
      </c>
      <c r="F21" s="8" t="str">
        <f t="shared" ref="F21:F36" si="3">TRIM(RIGHT(D21,2))</f>
        <v>SP</v>
      </c>
      <c r="G21" s="97" t="s">
        <v>114</v>
      </c>
      <c r="H21" s="141">
        <v>198</v>
      </c>
      <c r="I21" s="98">
        <v>0.5</v>
      </c>
      <c r="J21" s="99"/>
      <c r="K21" s="99"/>
      <c r="L21" s="99"/>
      <c r="M21" s="99"/>
      <c r="N21" s="8"/>
      <c r="O21" s="8" t="s">
        <v>32</v>
      </c>
      <c r="P21" s="8">
        <v>1</v>
      </c>
      <c r="Q21" s="8" t="s">
        <v>32</v>
      </c>
      <c r="R21" s="8"/>
      <c r="S21" s="8"/>
      <c r="T21" s="8"/>
      <c r="X21" s="8">
        <v>4</v>
      </c>
      <c r="Y21" s="8">
        <v>4</v>
      </c>
      <c r="Z21" s="8"/>
      <c r="AC21" s="99">
        <v>0.5</v>
      </c>
      <c r="AD21" s="99">
        <v>0.5</v>
      </c>
      <c r="AE21" s="142">
        <v>198</v>
      </c>
      <c r="AF21" s="8">
        <v>100</v>
      </c>
      <c r="AG21" s="8" t="e">
        <f>$AE21-#REF!</f>
        <v>#REF!</v>
      </c>
    </row>
    <row r="22" spans="1:60" ht="12.75" customHeight="1">
      <c r="B22" s="4" t="s">
        <v>13</v>
      </c>
      <c r="C22" s="118" t="s">
        <v>732</v>
      </c>
      <c r="D22" s="25" t="s">
        <v>733</v>
      </c>
      <c r="E22" s="8" t="str">
        <f t="shared" si="2"/>
        <v>Bobson Dugnutt</v>
      </c>
      <c r="F22" s="8" t="str">
        <f t="shared" si="3"/>
        <v>CL</v>
      </c>
      <c r="G22" s="15" t="s">
        <v>55</v>
      </c>
      <c r="H22" s="4">
        <v>100</v>
      </c>
      <c r="I22" s="98">
        <v>0.5</v>
      </c>
      <c r="J22" s="99"/>
      <c r="K22" s="99"/>
      <c r="L22" s="99"/>
      <c r="M22" s="99"/>
      <c r="N22" s="4"/>
      <c r="AB22" s="99"/>
      <c r="AC22" s="98"/>
    </row>
    <row r="23" spans="1:60" ht="13">
      <c r="A23" s="163" t="s">
        <v>504</v>
      </c>
      <c r="B23" s="8" t="s">
        <v>304</v>
      </c>
      <c r="C23" s="140" t="s">
        <v>506</v>
      </c>
      <c r="D23" s="140" t="s">
        <v>507</v>
      </c>
      <c r="E23" t="str">
        <f t="shared" si="2"/>
        <v>Mikhail Burgen</v>
      </c>
      <c r="F23" t="str">
        <f t="shared" si="3"/>
        <v>SP</v>
      </c>
      <c r="G23" s="127" t="s">
        <v>55</v>
      </c>
      <c r="H23" s="4">
        <v>772</v>
      </c>
      <c r="I23" s="164">
        <v>40</v>
      </c>
      <c r="J23" s="164">
        <v>3</v>
      </c>
      <c r="K23" s="164">
        <v>4</v>
      </c>
      <c r="L23" s="125">
        <v>5</v>
      </c>
      <c r="M23" s="90">
        <v>5</v>
      </c>
      <c r="N23" s="9" t="s">
        <v>735</v>
      </c>
      <c r="O23" s="165" t="s">
        <v>35</v>
      </c>
      <c r="P23" s="166">
        <v>12</v>
      </c>
      <c r="Q23" s="165" t="s">
        <v>35</v>
      </c>
      <c r="R23" s="165"/>
      <c r="S23" s="165"/>
      <c r="T23" s="165"/>
      <c r="U23" s="165"/>
      <c r="V23" s="165"/>
      <c r="W23" s="165"/>
      <c r="X23" s="165"/>
      <c r="Y23" s="167"/>
      <c r="Z23" s="165"/>
      <c r="AA23" s="167" t="s">
        <v>257</v>
      </c>
      <c r="AB23" s="168">
        <v>3</v>
      </c>
      <c r="AC23" s="156">
        <v>15</v>
      </c>
      <c r="AD23" s="169">
        <v>403</v>
      </c>
      <c r="AE23" s="166">
        <v>3</v>
      </c>
      <c r="AF23" s="165"/>
      <c r="AG23" s="165"/>
      <c r="AH23" s="165"/>
      <c r="AI23" s="21"/>
      <c r="AJ23" s="93" t="str">
        <f>VLOOKUP(B23,Analysis!$A$24:$B$32,2,FALSE)</f>
        <v>:bulldogs:</v>
      </c>
      <c r="AK23" s="93" t="str">
        <f>AJ23&amp;" [b][url="&amp;A23&amp;"]"&amp;D23&amp;"[/url][/b] TPE: "&amp;AD23&amp;", Regression Class: "&amp;Q23</f>
        <v>:bulldogs: [b][url=http://probaseballexperience.jcink.net/index.php?showtopic=3634]Mikhail Burgen - SP[/url][/b] TPE: 403, Regression Class: S7</v>
      </c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</row>
    <row r="24" spans="1:60" ht="12.75" customHeight="1">
      <c r="A24" s="26" t="s">
        <v>493</v>
      </c>
      <c r="B24" s="8" t="s">
        <v>304</v>
      </c>
      <c r="C24" s="140" t="s">
        <v>495</v>
      </c>
      <c r="D24" s="140" t="s">
        <v>497</v>
      </c>
      <c r="E24" t="str">
        <f t="shared" si="2"/>
        <v>Austin Dye</v>
      </c>
      <c r="F24" t="str">
        <f t="shared" si="3"/>
        <v>SS</v>
      </c>
      <c r="G24" s="127" t="s">
        <v>500</v>
      </c>
      <c r="H24" s="4">
        <v>585</v>
      </c>
      <c r="I24" s="98">
        <v>5</v>
      </c>
      <c r="J24" s="99"/>
      <c r="K24" s="99"/>
      <c r="L24" s="99"/>
      <c r="M24" s="99"/>
      <c r="O24" t="s">
        <v>70</v>
      </c>
      <c r="P24" t="s">
        <v>141</v>
      </c>
      <c r="Q24" t="s">
        <v>70</v>
      </c>
      <c r="W24">
        <v>2</v>
      </c>
      <c r="Y24">
        <v>2</v>
      </c>
      <c r="Z24">
        <v>4</v>
      </c>
      <c r="AA24">
        <v>6</v>
      </c>
      <c r="AB24" s="99">
        <v>8</v>
      </c>
      <c r="AC24" s="98">
        <v>5</v>
      </c>
      <c r="AD24" s="8">
        <v>564</v>
      </c>
      <c r="AG24">
        <v>261</v>
      </c>
      <c r="AH24">
        <v>261</v>
      </c>
      <c r="AJ24" t="str">
        <f>F24&amp;" - "&amp;E24</f>
        <v>SS - Austin Dye</v>
      </c>
    </row>
    <row r="25" spans="1:60" ht="13">
      <c r="A25" s="94" t="s">
        <v>741</v>
      </c>
      <c r="B25" s="8" t="s">
        <v>304</v>
      </c>
      <c r="C25" s="96" t="s">
        <v>742</v>
      </c>
      <c r="D25" s="96" t="s">
        <v>744</v>
      </c>
      <c r="E25" t="str">
        <f>TRIM(LEFT(D25,LEN(D25)-5))</f>
        <v>Kahlil Callahan</v>
      </c>
      <c r="F25" t="str">
        <f t="shared" si="3"/>
        <v>CL</v>
      </c>
      <c r="G25" s="97" t="s">
        <v>109</v>
      </c>
      <c r="H25" s="8">
        <v>100</v>
      </c>
      <c r="I25" s="98">
        <v>0.5</v>
      </c>
      <c r="J25" s="8"/>
      <c r="N25" s="8"/>
      <c r="O25" s="8" t="s">
        <v>126</v>
      </c>
      <c r="P25" s="8">
        <v>19</v>
      </c>
      <c r="Q25" s="8" t="s">
        <v>126</v>
      </c>
      <c r="R25" s="8"/>
      <c r="S25" s="8"/>
      <c r="T25" s="8"/>
      <c r="W25" s="8">
        <v>3</v>
      </c>
      <c r="X25" s="8"/>
      <c r="Y25" s="8">
        <v>0.37</v>
      </c>
      <c r="Z25" s="8"/>
      <c r="AA25" s="8"/>
      <c r="AB25" s="8"/>
      <c r="AC25" s="8"/>
      <c r="AD25" s="8"/>
      <c r="AE25" s="8">
        <v>100</v>
      </c>
      <c r="AF25" s="8">
        <v>100</v>
      </c>
      <c r="AG25" s="8">
        <v>100</v>
      </c>
      <c r="AH25" s="8">
        <v>100</v>
      </c>
      <c r="AI25" s="8">
        <v>100</v>
      </c>
      <c r="AJ25" s="8" t="str">
        <f>VLOOKUP(B25,Analysis!$A$24:$B$32,2,FALSE)</f>
        <v>:bulldogs:</v>
      </c>
      <c r="AK25" s="8" t="str">
        <f>AJ25&amp;" [b][url="&amp;A25&amp;"]"&amp;D25&amp;"[/url][/b] TPE: "&amp;H25&amp;", Regression Class: "&amp;Q25</f>
        <v>:bulldogs: [b][url=http://probaseballexperience.jcink.net/index.php?showtopic=1738]Kahlil Callahan - CL[/url][/b] TPE: 100, Regression Class: S3</v>
      </c>
    </row>
    <row r="26" spans="1:60" ht="12.75" customHeight="1">
      <c r="A26" s="47"/>
      <c r="B26" s="47" t="s">
        <v>44</v>
      </c>
      <c r="C26" s="111" t="s">
        <v>745</v>
      </c>
      <c r="D26" s="112" t="s">
        <v>747</v>
      </c>
      <c r="E26" s="47" t="str">
        <f t="shared" ref="E26:E34" si="4">IFERROR(TRIM(LEFT(D26,LEN(D26)-4)),"")</f>
        <v>Blake Faux</v>
      </c>
      <c r="F26" s="47" t="str">
        <f t="shared" si="3"/>
        <v>SP</v>
      </c>
      <c r="G26" s="47" t="s">
        <v>749</v>
      </c>
      <c r="H26" s="113">
        <v>264</v>
      </c>
      <c r="I26" s="114" t="s">
        <v>274</v>
      </c>
      <c r="J26" s="114">
        <v>3</v>
      </c>
      <c r="K26" s="114">
        <v>3</v>
      </c>
      <c r="L26" s="114">
        <v>3</v>
      </c>
      <c r="M26" s="115"/>
      <c r="N26" s="48" t="s">
        <v>750</v>
      </c>
      <c r="O26" s="47" t="s">
        <v>19</v>
      </c>
      <c r="P26" s="117">
        <v>2</v>
      </c>
      <c r="Q26" s="47" t="s">
        <v>38</v>
      </c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115"/>
      <c r="AC26" s="115"/>
      <c r="AD26" s="47" t="s">
        <v>47</v>
      </c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</row>
    <row r="27" spans="1:60" ht="12.75" customHeight="1">
      <c r="A27" s="47"/>
      <c r="B27" s="47" t="s">
        <v>13</v>
      </c>
      <c r="C27" s="159" t="s">
        <v>310</v>
      </c>
      <c r="D27" s="112" t="s">
        <v>752</v>
      </c>
      <c r="E27" s="47" t="str">
        <f t="shared" si="4"/>
        <v>Bryan Barnes</v>
      </c>
      <c r="F27" s="47" t="str">
        <f t="shared" si="3"/>
        <v>3B</v>
      </c>
      <c r="G27" s="47" t="s">
        <v>159</v>
      </c>
      <c r="H27" s="113">
        <v>335</v>
      </c>
      <c r="I27" s="114" t="s">
        <v>274</v>
      </c>
      <c r="J27" s="114">
        <v>2</v>
      </c>
      <c r="K27" s="114">
        <v>2</v>
      </c>
      <c r="L27" s="114">
        <v>2</v>
      </c>
      <c r="M27" s="115"/>
      <c r="N27" s="48" t="s">
        <v>750</v>
      </c>
      <c r="O27" s="47" t="s">
        <v>19</v>
      </c>
      <c r="P27" s="162">
        <v>13</v>
      </c>
      <c r="Q27" s="47" t="s">
        <v>38</v>
      </c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115"/>
      <c r="AC27" s="115"/>
      <c r="AD27" s="47" t="s">
        <v>47</v>
      </c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</row>
    <row r="28" spans="1:60" ht="12.75" customHeight="1">
      <c r="A28" s="50"/>
      <c r="B28" s="50" t="s">
        <v>13</v>
      </c>
      <c r="C28" s="159" t="s">
        <v>755</v>
      </c>
      <c r="D28" s="112" t="s">
        <v>756</v>
      </c>
      <c r="E28" s="50" t="str">
        <f t="shared" si="4"/>
        <v>Amp Dupree</v>
      </c>
      <c r="F28" s="50" t="str">
        <f t="shared" si="3"/>
        <v>SP</v>
      </c>
      <c r="G28" s="161" t="s">
        <v>114</v>
      </c>
      <c r="H28" s="123">
        <v>178</v>
      </c>
      <c r="I28" s="145" t="s">
        <v>274</v>
      </c>
      <c r="J28" s="114">
        <v>3</v>
      </c>
      <c r="K28" s="114">
        <v>3</v>
      </c>
      <c r="L28" s="114">
        <v>3</v>
      </c>
      <c r="N28" s="9" t="s">
        <v>759</v>
      </c>
      <c r="O28" s="50" t="s">
        <v>19</v>
      </c>
      <c r="P28" s="147">
        <v>14</v>
      </c>
      <c r="Q28" s="50" t="s">
        <v>19</v>
      </c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146"/>
      <c r="AC28" s="146"/>
      <c r="AD28" s="50" t="s">
        <v>47</v>
      </c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</row>
    <row r="29" spans="1:60" ht="12.75" customHeight="1">
      <c r="A29" s="47"/>
      <c r="B29" s="47" t="s">
        <v>13</v>
      </c>
      <c r="C29" s="111" t="s">
        <v>762</v>
      </c>
      <c r="D29" s="112" t="s">
        <v>763</v>
      </c>
      <c r="E29" s="47" t="str">
        <f t="shared" si="4"/>
        <v>Bruce Thursday</v>
      </c>
      <c r="F29" s="47" t="str">
        <f t="shared" si="3"/>
        <v>CL</v>
      </c>
      <c r="G29" s="161" t="s">
        <v>114</v>
      </c>
      <c r="H29" s="113">
        <v>118</v>
      </c>
      <c r="I29" s="145" t="s">
        <v>274</v>
      </c>
      <c r="J29" s="145">
        <v>3</v>
      </c>
      <c r="K29" s="145">
        <v>3</v>
      </c>
      <c r="L29" s="145">
        <v>3</v>
      </c>
      <c r="M29" s="146"/>
      <c r="N29" s="124" t="s">
        <v>765</v>
      </c>
      <c r="O29" s="47" t="s">
        <v>19</v>
      </c>
      <c r="P29" s="162">
        <v>17</v>
      </c>
      <c r="Q29" s="47" t="s">
        <v>19</v>
      </c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115"/>
      <c r="AC29" s="115"/>
      <c r="AD29" s="47" t="s">
        <v>47</v>
      </c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</row>
    <row r="30" spans="1:60" ht="12.75" customHeight="1">
      <c r="A30" s="50"/>
      <c r="B30" s="50" t="s">
        <v>13</v>
      </c>
      <c r="C30" s="159" t="s">
        <v>768</v>
      </c>
      <c r="D30" s="112" t="s">
        <v>770</v>
      </c>
      <c r="E30" s="50" t="str">
        <f t="shared" si="4"/>
        <v>Pipo DeRani</v>
      </c>
      <c r="F30" s="50" t="str">
        <f t="shared" si="3"/>
        <v>C</v>
      </c>
      <c r="G30" s="50" t="s">
        <v>298</v>
      </c>
      <c r="H30" s="123">
        <v>108</v>
      </c>
      <c r="I30" s="145" t="s">
        <v>274</v>
      </c>
      <c r="J30" s="145">
        <v>3</v>
      </c>
      <c r="K30" s="145">
        <v>3</v>
      </c>
      <c r="L30" s="145">
        <v>3</v>
      </c>
      <c r="M30" s="146"/>
      <c r="N30" s="124" t="s">
        <v>765</v>
      </c>
      <c r="O30" s="50" t="s">
        <v>19</v>
      </c>
      <c r="P30" s="147">
        <v>21</v>
      </c>
      <c r="Q30" s="50" t="s">
        <v>19</v>
      </c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146"/>
      <c r="AC30" s="146"/>
      <c r="AD30" s="50" t="s">
        <v>47</v>
      </c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</row>
    <row r="31" spans="1:60" ht="12.75" customHeight="1">
      <c r="A31" s="47"/>
      <c r="B31" s="47" t="s">
        <v>13</v>
      </c>
      <c r="C31" s="173" t="s">
        <v>774</v>
      </c>
      <c r="D31" s="112" t="s">
        <v>777</v>
      </c>
      <c r="E31" s="47" t="str">
        <f t="shared" si="4"/>
        <v>Alexei Brusilov</v>
      </c>
      <c r="F31" s="47" t="str">
        <f t="shared" si="3"/>
        <v>CL</v>
      </c>
      <c r="G31" s="47" t="s">
        <v>55</v>
      </c>
      <c r="H31" s="113">
        <v>108</v>
      </c>
      <c r="I31" s="114" t="s">
        <v>274</v>
      </c>
      <c r="J31" s="114">
        <v>3</v>
      </c>
      <c r="K31" s="114">
        <v>3</v>
      </c>
      <c r="L31" s="114">
        <v>3</v>
      </c>
      <c r="M31" s="115"/>
      <c r="N31" s="116" t="s">
        <v>779</v>
      </c>
      <c r="O31" s="47" t="s">
        <v>19</v>
      </c>
      <c r="P31" s="117">
        <v>23</v>
      </c>
      <c r="Q31" s="47" t="s">
        <v>19</v>
      </c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115"/>
      <c r="AC31" s="115"/>
      <c r="AD31" s="47" t="s">
        <v>47</v>
      </c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</row>
    <row r="32" spans="1:60" ht="12.75" customHeight="1">
      <c r="A32" s="50"/>
      <c r="B32" s="50" t="s">
        <v>13</v>
      </c>
      <c r="C32" s="144" t="s">
        <v>780</v>
      </c>
      <c r="D32" s="112" t="s">
        <v>782</v>
      </c>
      <c r="E32" s="50" t="str">
        <f t="shared" si="4"/>
        <v>Hisoka Ito</v>
      </c>
      <c r="F32" s="50" t="str">
        <f t="shared" si="3"/>
        <v>CL</v>
      </c>
      <c r="G32" s="161" t="s">
        <v>114</v>
      </c>
      <c r="H32" s="123">
        <v>108</v>
      </c>
      <c r="I32" s="114" t="s">
        <v>274</v>
      </c>
      <c r="J32" s="145">
        <v>0.5</v>
      </c>
      <c r="K32" s="145">
        <v>0.5</v>
      </c>
      <c r="L32" s="146"/>
      <c r="M32" s="146"/>
      <c r="N32" s="51" t="s">
        <v>670</v>
      </c>
      <c r="O32" s="50" t="s">
        <v>19</v>
      </c>
      <c r="P32" s="147">
        <v>49</v>
      </c>
      <c r="Q32" s="50" t="s">
        <v>19</v>
      </c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146"/>
      <c r="AC32" s="146"/>
      <c r="AD32" s="50" t="s">
        <v>47</v>
      </c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</row>
    <row r="33" spans="1:58" ht="12.75" customHeight="1">
      <c r="A33" s="47"/>
      <c r="B33" s="47" t="s">
        <v>13</v>
      </c>
      <c r="C33" s="111" t="s">
        <v>785</v>
      </c>
      <c r="D33" s="112" t="s">
        <v>787</v>
      </c>
      <c r="E33" s="47" t="str">
        <f t="shared" si="4"/>
        <v>Holden MaGroin</v>
      </c>
      <c r="F33" s="47" t="str">
        <f t="shared" si="3"/>
        <v>CL</v>
      </c>
      <c r="G33" s="161" t="s">
        <v>109</v>
      </c>
      <c r="H33" s="162">
        <v>125</v>
      </c>
      <c r="I33" s="114" t="s">
        <v>274</v>
      </c>
      <c r="J33" s="145">
        <v>0.5</v>
      </c>
      <c r="K33" s="145">
        <v>0.5</v>
      </c>
      <c r="L33" s="146"/>
      <c r="M33" s="146"/>
      <c r="N33" s="51" t="s">
        <v>670</v>
      </c>
      <c r="O33" s="47" t="s">
        <v>19</v>
      </c>
      <c r="P33" s="117">
        <v>57</v>
      </c>
      <c r="Q33" s="47" t="s">
        <v>38</v>
      </c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115"/>
      <c r="AC33" s="115"/>
      <c r="AD33" s="47" t="s">
        <v>47</v>
      </c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</row>
    <row r="34" spans="1:58" ht="12.75" customHeight="1">
      <c r="A34" s="50"/>
      <c r="B34" s="50" t="s">
        <v>13</v>
      </c>
      <c r="C34" s="144" t="s">
        <v>788</v>
      </c>
      <c r="D34" s="112" t="s">
        <v>789</v>
      </c>
      <c r="E34" s="50" t="str">
        <f t="shared" si="4"/>
        <v>Dale Miller</v>
      </c>
      <c r="F34" s="50" t="str">
        <f t="shared" si="3"/>
        <v>LF</v>
      </c>
      <c r="G34" s="50" t="s">
        <v>68</v>
      </c>
      <c r="H34" s="174">
        <v>100</v>
      </c>
      <c r="I34" s="114" t="s">
        <v>274</v>
      </c>
      <c r="J34" s="145">
        <v>0.5</v>
      </c>
      <c r="K34" s="145">
        <v>0.5</v>
      </c>
      <c r="L34" s="146"/>
      <c r="M34" s="146"/>
      <c r="N34" s="51" t="s">
        <v>670</v>
      </c>
      <c r="O34" s="50" t="s">
        <v>19</v>
      </c>
      <c r="P34" s="147">
        <v>65</v>
      </c>
      <c r="Q34" s="50" t="s">
        <v>38</v>
      </c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146"/>
      <c r="AC34" s="146"/>
      <c r="AD34" s="50" t="s">
        <v>47</v>
      </c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</row>
    <row r="35" spans="1:58" ht="12.75" customHeight="1">
      <c r="A35" s="8"/>
      <c r="B35" s="4" t="s">
        <v>13</v>
      </c>
      <c r="C35" s="96" t="s">
        <v>792</v>
      </c>
      <c r="D35" s="96" t="s">
        <v>794</v>
      </c>
      <c r="E35" t="str">
        <f t="shared" ref="E35:E36" si="5">TRIM(LEFT(D35,LEN(D35)-4))</f>
        <v>Josh Kings</v>
      </c>
      <c r="F35" s="8" t="str">
        <f t="shared" si="3"/>
        <v>2B</v>
      </c>
      <c r="G35" s="97" t="s">
        <v>795</v>
      </c>
      <c r="H35" s="4">
        <v>205</v>
      </c>
      <c r="I35" s="99">
        <v>1</v>
      </c>
      <c r="J35" s="102">
        <v>1</v>
      </c>
      <c r="K35" s="99"/>
      <c r="L35" s="99"/>
      <c r="M35" s="99"/>
      <c r="N35" s="8" t="s">
        <v>612</v>
      </c>
      <c r="O35" s="8" t="s">
        <v>37</v>
      </c>
      <c r="P35" s="8">
        <v>43</v>
      </c>
      <c r="Q35" s="8" t="s">
        <v>37</v>
      </c>
      <c r="W35" s="8"/>
      <c r="X35" s="8"/>
      <c r="Y35" s="8"/>
      <c r="Z35" s="8"/>
      <c r="AB35" s="99" t="s">
        <v>274</v>
      </c>
      <c r="AC35" s="99">
        <v>1</v>
      </c>
      <c r="AD35" s="8">
        <v>115</v>
      </c>
      <c r="AF35" s="8"/>
      <c r="AG35" s="8"/>
      <c r="AH35" s="8"/>
      <c r="AI35" s="8"/>
    </row>
    <row r="36" spans="1:58" ht="12.75" customHeight="1">
      <c r="B36" s="4" t="s">
        <v>13</v>
      </c>
      <c r="C36" s="140" t="s">
        <v>796</v>
      </c>
      <c r="D36" s="140" t="s">
        <v>799</v>
      </c>
      <c r="E36" t="str">
        <f t="shared" si="5"/>
        <v>Kris Kramer</v>
      </c>
      <c r="F36" t="str">
        <f t="shared" si="3"/>
        <v>3B</v>
      </c>
      <c r="G36" s="127" t="s">
        <v>192</v>
      </c>
      <c r="H36" s="4">
        <v>173</v>
      </c>
      <c r="I36" s="98">
        <v>1</v>
      </c>
      <c r="J36" s="102">
        <v>5</v>
      </c>
      <c r="K36" s="99"/>
      <c r="L36" s="99"/>
      <c r="M36" s="99"/>
      <c r="N36" s="9" t="s">
        <v>566</v>
      </c>
      <c r="O36" t="s">
        <v>37</v>
      </c>
      <c r="P36">
        <v>33</v>
      </c>
      <c r="Q36" t="s">
        <v>37</v>
      </c>
      <c r="AB36" s="99" t="s">
        <v>274</v>
      </c>
      <c r="AC36" s="98">
        <v>1</v>
      </c>
      <c r="AD36">
        <v>100</v>
      </c>
    </row>
    <row r="37" spans="1:58" ht="12.75" customHeight="1">
      <c r="C37" s="127"/>
      <c r="D37" s="127"/>
      <c r="G37" s="127"/>
      <c r="I37" s="99"/>
      <c r="J37" s="99"/>
      <c r="K37" s="99"/>
      <c r="L37" s="99"/>
      <c r="M37" s="99"/>
      <c r="N37" s="4" t="s">
        <v>801</v>
      </c>
      <c r="AB37" s="99"/>
      <c r="AC37" s="98">
        <v>6</v>
      </c>
    </row>
    <row r="38" spans="1:58" ht="12.75" customHeight="1">
      <c r="C38" s="127"/>
      <c r="D38" s="127"/>
      <c r="G38" s="127"/>
      <c r="K38" s="98"/>
      <c r="L38" s="99"/>
      <c r="M38" s="99"/>
      <c r="N38" t="s">
        <v>338</v>
      </c>
      <c r="Z38">
        <v>3.5</v>
      </c>
      <c r="AA38">
        <v>1.5</v>
      </c>
      <c r="AB38" s="99">
        <v>6</v>
      </c>
      <c r="AC38" s="99"/>
    </row>
    <row r="39" spans="1:58" ht="13">
      <c r="C39" s="127"/>
      <c r="D39" s="127"/>
      <c r="G39" s="127"/>
      <c r="I39" s="98">
        <v>1</v>
      </c>
      <c r="J39" s="98">
        <v>1</v>
      </c>
      <c r="K39" s="99"/>
      <c r="L39" s="99"/>
      <c r="M39" s="99"/>
      <c r="N39" t="s">
        <v>340</v>
      </c>
      <c r="Z39">
        <v>18</v>
      </c>
      <c r="AA39">
        <v>1</v>
      </c>
      <c r="AB39" s="99"/>
      <c r="AC39" s="99">
        <f>2.5/2+3.06</f>
        <v>4.3100000000000005</v>
      </c>
      <c r="AE39">
        <v>1.74</v>
      </c>
    </row>
    <row r="40" spans="1:58" ht="13">
      <c r="A40" s="12"/>
      <c r="B40" s="12"/>
      <c r="C40" s="89"/>
      <c r="D40" s="89"/>
      <c r="E40" s="12"/>
      <c r="F40" s="12"/>
      <c r="G40" s="89"/>
      <c r="H40" s="12"/>
      <c r="I40" s="86">
        <f t="shared" ref="I40:M40" si="6">SUM(I2:I39)</f>
        <v>120</v>
      </c>
      <c r="J40" s="86">
        <f t="shared" si="6"/>
        <v>77.5</v>
      </c>
      <c r="K40" s="86">
        <f t="shared" si="6"/>
        <v>39.5</v>
      </c>
      <c r="L40" s="86">
        <f t="shared" si="6"/>
        <v>30</v>
      </c>
      <c r="M40" s="86">
        <f t="shared" si="6"/>
        <v>5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86">
        <f t="shared" ref="AB40:AC40" si="7">SUM(AB2:AB39)</f>
        <v>55.25</v>
      </c>
      <c r="AC40" s="86">
        <f t="shared" si="7"/>
        <v>98.81</v>
      </c>
      <c r="AD40" s="12"/>
      <c r="AE40" s="12"/>
      <c r="AF40" s="12"/>
      <c r="AG40" s="12"/>
      <c r="AH40" s="12"/>
    </row>
    <row r="41" spans="1:58" ht="13">
      <c r="C41" s="127"/>
      <c r="D41" s="127"/>
      <c r="G41" s="127"/>
    </row>
    <row r="42" spans="1:58" ht="13">
      <c r="C42" s="127"/>
      <c r="D42" s="127"/>
      <c r="E42" s="128" t="s">
        <v>343</v>
      </c>
      <c r="F42" s="99"/>
      <c r="G42" s="129"/>
    </row>
    <row r="43" spans="1:58" ht="13">
      <c r="C43" s="127"/>
      <c r="D43" s="127"/>
      <c r="E43" s="98" t="s">
        <v>344</v>
      </c>
      <c r="F43" s="99"/>
      <c r="G43" s="129"/>
    </row>
    <row r="44" spans="1:58" ht="13">
      <c r="C44" s="127"/>
      <c r="D44" s="127"/>
      <c r="E44" s="149" t="s">
        <v>345</v>
      </c>
      <c r="F44" s="150"/>
      <c r="G44" s="151"/>
    </row>
    <row r="45" spans="1:58" ht="13">
      <c r="C45" s="127"/>
      <c r="D45" s="127"/>
      <c r="E45" s="125" t="s">
        <v>347</v>
      </c>
      <c r="F45" s="102"/>
      <c r="G45" s="133"/>
    </row>
    <row r="46" spans="1:58" ht="13">
      <c r="C46" s="127"/>
      <c r="D46" s="127"/>
      <c r="E46" s="90" t="s">
        <v>348</v>
      </c>
      <c r="F46" s="87"/>
      <c r="G46" s="134"/>
    </row>
    <row r="47" spans="1:58" ht="13">
      <c r="C47" s="127"/>
      <c r="D47" s="127"/>
      <c r="E47" s="416" t="s">
        <v>350</v>
      </c>
      <c r="F47" s="417"/>
      <c r="G47" s="418"/>
    </row>
    <row r="48" spans="1:58" ht="13">
      <c r="C48" s="127"/>
      <c r="D48" s="127"/>
      <c r="G48" s="127"/>
    </row>
    <row r="49" spans="3:7" ht="13">
      <c r="C49" s="127"/>
      <c r="D49" s="127"/>
      <c r="G49" s="127"/>
    </row>
    <row r="50" spans="3:7" ht="13">
      <c r="C50" s="127"/>
      <c r="D50" s="127"/>
      <c r="G50" s="127"/>
    </row>
    <row r="51" spans="3:7" ht="13">
      <c r="C51" s="127"/>
      <c r="D51" s="127"/>
      <c r="G51" s="127"/>
    </row>
    <row r="52" spans="3:7" ht="13">
      <c r="C52" s="127"/>
      <c r="D52" s="127"/>
      <c r="G52" s="127"/>
    </row>
    <row r="53" spans="3:7" ht="13">
      <c r="C53" s="127"/>
      <c r="D53" s="127"/>
      <c r="G53" s="127"/>
    </row>
    <row r="54" spans="3:7" ht="13">
      <c r="C54" s="127"/>
      <c r="D54" s="127"/>
      <c r="G54" s="127"/>
    </row>
    <row r="55" spans="3:7" ht="13">
      <c r="C55" s="127"/>
      <c r="D55" s="127"/>
      <c r="G55" s="127"/>
    </row>
    <row r="56" spans="3:7" ht="13">
      <c r="C56" s="127"/>
      <c r="D56" s="127"/>
      <c r="G56" s="127"/>
    </row>
    <row r="57" spans="3:7" ht="13">
      <c r="C57" s="127"/>
      <c r="D57" s="127"/>
      <c r="G57" s="127"/>
    </row>
    <row r="58" spans="3:7" ht="13">
      <c r="C58" s="127"/>
      <c r="D58" s="127"/>
      <c r="G58" s="127"/>
    </row>
    <row r="59" spans="3:7" ht="13">
      <c r="C59" s="127"/>
      <c r="D59" s="127"/>
      <c r="G59" s="127"/>
    </row>
    <row r="60" spans="3:7" ht="13">
      <c r="C60" s="127"/>
      <c r="D60" s="127"/>
      <c r="G60" s="127"/>
    </row>
    <row r="61" spans="3:7" ht="13">
      <c r="C61" s="127"/>
      <c r="D61" s="127"/>
      <c r="G61" s="127"/>
    </row>
    <row r="62" spans="3:7" ht="13">
      <c r="C62" s="127"/>
      <c r="D62" s="127"/>
      <c r="G62" s="127"/>
    </row>
    <row r="63" spans="3:7" ht="13">
      <c r="C63" s="127"/>
      <c r="D63" s="127"/>
      <c r="G63" s="127"/>
    </row>
    <row r="64" spans="3:7" ht="13">
      <c r="C64" s="127"/>
      <c r="D64" s="127"/>
      <c r="G64" s="127"/>
    </row>
    <row r="65" spans="3:7" ht="13">
      <c r="C65" s="127"/>
      <c r="D65" s="127"/>
      <c r="G65" s="127"/>
    </row>
    <row r="66" spans="3:7" ht="13">
      <c r="C66" s="127"/>
      <c r="D66" s="127"/>
      <c r="G66" s="127"/>
    </row>
    <row r="67" spans="3:7" ht="13">
      <c r="C67" s="127"/>
      <c r="D67" s="127"/>
      <c r="G67" s="127"/>
    </row>
    <row r="68" spans="3:7" ht="13">
      <c r="C68" s="127"/>
      <c r="D68" s="127"/>
      <c r="G68" s="127"/>
    </row>
    <row r="69" spans="3:7" ht="13">
      <c r="C69" s="127"/>
      <c r="D69" s="127"/>
      <c r="G69" s="127"/>
    </row>
    <row r="70" spans="3:7" ht="13">
      <c r="C70" s="127"/>
      <c r="D70" s="127"/>
      <c r="G70" s="127"/>
    </row>
    <row r="71" spans="3:7" ht="13">
      <c r="C71" s="127"/>
      <c r="D71" s="127"/>
      <c r="G71" s="127"/>
    </row>
    <row r="72" spans="3:7" ht="13">
      <c r="C72" s="127"/>
      <c r="D72" s="127"/>
      <c r="G72" s="127"/>
    </row>
    <row r="73" spans="3:7" ht="13">
      <c r="C73" s="127"/>
      <c r="D73" s="127"/>
      <c r="G73" s="127"/>
    </row>
    <row r="74" spans="3:7" ht="13">
      <c r="C74" s="127"/>
      <c r="D74" s="127"/>
      <c r="G74" s="127"/>
    </row>
    <row r="75" spans="3:7" ht="13">
      <c r="C75" s="127"/>
      <c r="D75" s="127"/>
      <c r="G75" s="127"/>
    </row>
    <row r="76" spans="3:7" ht="13">
      <c r="C76" s="127"/>
      <c r="D76" s="127"/>
      <c r="G76" s="127"/>
    </row>
    <row r="77" spans="3:7" ht="13">
      <c r="C77" s="127"/>
      <c r="D77" s="127"/>
      <c r="G77" s="127"/>
    </row>
    <row r="78" spans="3:7" ht="13">
      <c r="C78" s="127"/>
      <c r="D78" s="127"/>
      <c r="G78" s="127"/>
    </row>
    <row r="79" spans="3:7" ht="13">
      <c r="C79" s="127"/>
      <c r="D79" s="127"/>
      <c r="G79" s="127"/>
    </row>
    <row r="80" spans="3:7" ht="13">
      <c r="C80" s="127"/>
      <c r="D80" s="127"/>
      <c r="G80" s="127"/>
    </row>
    <row r="81" spans="3:7" ht="13">
      <c r="C81" s="127"/>
      <c r="D81" s="127"/>
      <c r="G81" s="127"/>
    </row>
    <row r="82" spans="3:7" ht="13">
      <c r="C82" s="127"/>
      <c r="D82" s="127"/>
      <c r="G82" s="127"/>
    </row>
    <row r="83" spans="3:7" ht="13">
      <c r="C83" s="127"/>
      <c r="D83" s="127"/>
      <c r="G83" s="127"/>
    </row>
    <row r="84" spans="3:7" ht="13">
      <c r="C84" s="127"/>
      <c r="D84" s="127"/>
      <c r="G84" s="127"/>
    </row>
    <row r="85" spans="3:7" ht="13">
      <c r="C85" s="127"/>
      <c r="D85" s="127"/>
      <c r="G85" s="127"/>
    </row>
    <row r="86" spans="3:7" ht="13">
      <c r="C86" s="127"/>
      <c r="D86" s="127"/>
      <c r="G86" s="127"/>
    </row>
    <row r="87" spans="3:7" ht="13">
      <c r="C87" s="127"/>
      <c r="D87" s="127"/>
      <c r="G87" s="127"/>
    </row>
    <row r="88" spans="3:7" ht="13">
      <c r="C88" s="127"/>
      <c r="D88" s="127"/>
      <c r="G88" s="127"/>
    </row>
    <row r="89" spans="3:7" ht="13">
      <c r="C89" s="127"/>
      <c r="D89" s="127"/>
      <c r="G89" s="127"/>
    </row>
    <row r="90" spans="3:7" ht="13">
      <c r="C90" s="127"/>
      <c r="D90" s="127"/>
      <c r="G90" s="127"/>
    </row>
    <row r="91" spans="3:7" ht="13">
      <c r="C91" s="127"/>
      <c r="D91" s="127"/>
      <c r="G91" s="127"/>
    </row>
    <row r="92" spans="3:7" ht="13">
      <c r="C92" s="127"/>
      <c r="D92" s="127"/>
      <c r="G92" s="127"/>
    </row>
    <row r="93" spans="3:7" ht="13">
      <c r="C93" s="127"/>
      <c r="D93" s="127"/>
      <c r="G93" s="127"/>
    </row>
    <row r="94" spans="3:7" ht="13">
      <c r="C94" s="127"/>
      <c r="D94" s="127"/>
      <c r="G94" s="127"/>
    </row>
    <row r="95" spans="3:7" ht="13">
      <c r="C95" s="127"/>
      <c r="D95" s="127"/>
      <c r="G95" s="127"/>
    </row>
    <row r="96" spans="3:7" ht="13">
      <c r="C96" s="127"/>
      <c r="D96" s="127"/>
      <c r="G96" s="127"/>
    </row>
    <row r="97" spans="3:7" ht="13">
      <c r="C97" s="127"/>
      <c r="D97" s="127"/>
      <c r="G97" s="127"/>
    </row>
    <row r="98" spans="3:7" ht="13">
      <c r="C98" s="127"/>
      <c r="D98" s="127"/>
      <c r="G98" s="127"/>
    </row>
    <row r="99" spans="3:7" ht="13">
      <c r="C99" s="127"/>
      <c r="D99" s="127"/>
      <c r="G99" s="127"/>
    </row>
    <row r="100" spans="3:7" ht="13">
      <c r="C100" s="127"/>
      <c r="D100" s="127"/>
      <c r="G100" s="127"/>
    </row>
    <row r="101" spans="3:7" ht="13">
      <c r="C101" s="127"/>
      <c r="D101" s="127"/>
      <c r="G101" s="127"/>
    </row>
    <row r="102" spans="3:7" ht="13">
      <c r="C102" s="127"/>
      <c r="D102" s="127"/>
      <c r="G102" s="127"/>
    </row>
    <row r="103" spans="3:7" ht="13">
      <c r="C103" s="127"/>
      <c r="D103" s="127"/>
      <c r="G103" s="127"/>
    </row>
    <row r="104" spans="3:7" ht="13">
      <c r="C104" s="127"/>
      <c r="D104" s="127"/>
      <c r="G104" s="127"/>
    </row>
    <row r="105" spans="3:7" ht="13">
      <c r="C105" s="127"/>
      <c r="D105" s="127"/>
      <c r="G105" s="127"/>
    </row>
    <row r="106" spans="3:7" ht="13">
      <c r="C106" s="127"/>
      <c r="D106" s="127"/>
      <c r="G106" s="127"/>
    </row>
    <row r="107" spans="3:7" ht="13">
      <c r="C107" s="127"/>
      <c r="D107" s="127"/>
      <c r="G107" s="127"/>
    </row>
    <row r="108" spans="3:7" ht="13">
      <c r="C108" s="127"/>
      <c r="D108" s="127"/>
      <c r="G108" s="127"/>
    </row>
    <row r="109" spans="3:7" ht="13">
      <c r="C109" s="127"/>
      <c r="D109" s="127"/>
      <c r="G109" s="127"/>
    </row>
    <row r="110" spans="3:7" ht="13">
      <c r="C110" s="127"/>
      <c r="D110" s="127"/>
      <c r="G110" s="127"/>
    </row>
    <row r="111" spans="3:7" ht="13">
      <c r="C111" s="127"/>
      <c r="D111" s="127"/>
      <c r="G111" s="127"/>
    </row>
    <row r="112" spans="3:7" ht="13">
      <c r="C112" s="127"/>
      <c r="D112" s="127"/>
      <c r="G112" s="127"/>
    </row>
    <row r="113" spans="3:7" ht="13">
      <c r="C113" s="127"/>
      <c r="D113" s="127"/>
      <c r="G113" s="127"/>
    </row>
    <row r="114" spans="3:7" ht="13">
      <c r="C114" s="127"/>
      <c r="D114" s="127"/>
      <c r="G114" s="127"/>
    </row>
    <row r="115" spans="3:7" ht="13">
      <c r="C115" s="127"/>
      <c r="D115" s="127"/>
      <c r="G115" s="127"/>
    </row>
    <row r="116" spans="3:7" ht="13">
      <c r="C116" s="127"/>
      <c r="D116" s="127"/>
      <c r="G116" s="127"/>
    </row>
    <row r="117" spans="3:7" ht="13">
      <c r="C117" s="127"/>
      <c r="D117" s="127"/>
      <c r="G117" s="127"/>
    </row>
    <row r="118" spans="3:7" ht="13">
      <c r="C118" s="127"/>
      <c r="D118" s="127"/>
      <c r="G118" s="127"/>
    </row>
    <row r="119" spans="3:7" ht="13">
      <c r="C119" s="127"/>
      <c r="D119" s="127"/>
      <c r="G119" s="127"/>
    </row>
    <row r="120" spans="3:7" ht="13">
      <c r="C120" s="127"/>
      <c r="D120" s="127"/>
      <c r="G120" s="127"/>
    </row>
    <row r="121" spans="3:7" ht="13">
      <c r="C121" s="127"/>
      <c r="D121" s="127"/>
      <c r="G121" s="127"/>
    </row>
    <row r="122" spans="3:7" ht="13">
      <c r="C122" s="127"/>
      <c r="D122" s="127"/>
      <c r="G122" s="127"/>
    </row>
    <row r="123" spans="3:7" ht="13">
      <c r="C123" s="127"/>
      <c r="D123" s="127"/>
      <c r="G123" s="127"/>
    </row>
    <row r="124" spans="3:7" ht="13">
      <c r="C124" s="127"/>
      <c r="D124" s="127"/>
      <c r="G124" s="127"/>
    </row>
    <row r="125" spans="3:7" ht="13">
      <c r="C125" s="127"/>
      <c r="D125" s="127"/>
      <c r="G125" s="127"/>
    </row>
    <row r="126" spans="3:7" ht="13">
      <c r="C126" s="127"/>
      <c r="D126" s="127"/>
      <c r="G126" s="127"/>
    </row>
    <row r="127" spans="3:7" ht="13">
      <c r="C127" s="127"/>
      <c r="D127" s="127"/>
      <c r="G127" s="127"/>
    </row>
    <row r="128" spans="3:7" ht="13">
      <c r="C128" s="127"/>
      <c r="D128" s="127"/>
      <c r="G128" s="127"/>
    </row>
    <row r="129" spans="3:7" ht="13">
      <c r="C129" s="127"/>
      <c r="D129" s="127"/>
      <c r="G129" s="127"/>
    </row>
    <row r="130" spans="3:7" ht="13">
      <c r="C130" s="127"/>
      <c r="D130" s="127"/>
      <c r="G130" s="127"/>
    </row>
    <row r="131" spans="3:7" ht="13">
      <c r="C131" s="127"/>
      <c r="D131" s="127"/>
      <c r="G131" s="127"/>
    </row>
    <row r="132" spans="3:7" ht="13">
      <c r="C132" s="127"/>
      <c r="D132" s="127"/>
      <c r="G132" s="127"/>
    </row>
    <row r="133" spans="3:7" ht="13">
      <c r="C133" s="127"/>
      <c r="D133" s="127"/>
      <c r="G133" s="127"/>
    </row>
    <row r="134" spans="3:7" ht="13">
      <c r="C134" s="127"/>
      <c r="D134" s="127"/>
      <c r="G134" s="127"/>
    </row>
    <row r="135" spans="3:7" ht="13">
      <c r="C135" s="127"/>
      <c r="D135" s="127"/>
      <c r="G135" s="127"/>
    </row>
    <row r="136" spans="3:7" ht="13">
      <c r="C136" s="127"/>
      <c r="D136" s="127"/>
      <c r="G136" s="127"/>
    </row>
    <row r="137" spans="3:7" ht="13">
      <c r="C137" s="127"/>
      <c r="D137" s="127"/>
      <c r="G137" s="127"/>
    </row>
    <row r="138" spans="3:7" ht="13">
      <c r="C138" s="127"/>
      <c r="D138" s="127"/>
      <c r="G138" s="127"/>
    </row>
    <row r="139" spans="3:7" ht="13">
      <c r="C139" s="127"/>
      <c r="D139" s="127"/>
      <c r="G139" s="127"/>
    </row>
    <row r="140" spans="3:7" ht="13">
      <c r="C140" s="127"/>
      <c r="D140" s="127"/>
      <c r="G140" s="127"/>
    </row>
    <row r="141" spans="3:7" ht="13">
      <c r="C141" s="127"/>
      <c r="D141" s="127"/>
      <c r="G141" s="127"/>
    </row>
    <row r="142" spans="3:7" ht="13">
      <c r="C142" s="127"/>
      <c r="D142" s="127"/>
      <c r="G142" s="127"/>
    </row>
    <row r="143" spans="3:7" ht="13">
      <c r="C143" s="127"/>
      <c r="D143" s="127"/>
      <c r="G143" s="127"/>
    </row>
    <row r="144" spans="3:7" ht="13">
      <c r="C144" s="127"/>
      <c r="D144" s="127"/>
      <c r="G144" s="127"/>
    </row>
    <row r="145" spans="3:7" ht="13">
      <c r="C145" s="127"/>
      <c r="D145" s="127"/>
      <c r="G145" s="127"/>
    </row>
    <row r="146" spans="3:7" ht="13">
      <c r="C146" s="127"/>
      <c r="D146" s="127"/>
      <c r="G146" s="127"/>
    </row>
    <row r="147" spans="3:7" ht="13">
      <c r="C147" s="127"/>
      <c r="D147" s="127"/>
      <c r="G147" s="127"/>
    </row>
    <row r="148" spans="3:7" ht="13">
      <c r="C148" s="127"/>
      <c r="D148" s="127"/>
      <c r="G148" s="127"/>
    </row>
    <row r="149" spans="3:7" ht="13">
      <c r="C149" s="127"/>
      <c r="D149" s="127"/>
      <c r="G149" s="127"/>
    </row>
    <row r="150" spans="3:7" ht="13">
      <c r="C150" s="127"/>
      <c r="D150" s="127"/>
      <c r="G150" s="127"/>
    </row>
    <row r="151" spans="3:7" ht="13">
      <c r="C151" s="127"/>
      <c r="D151" s="127"/>
      <c r="G151" s="127"/>
    </row>
    <row r="152" spans="3:7" ht="13">
      <c r="C152" s="127"/>
      <c r="D152" s="127"/>
      <c r="G152" s="127"/>
    </row>
    <row r="153" spans="3:7" ht="13">
      <c r="C153" s="127"/>
      <c r="D153" s="127"/>
      <c r="G153" s="127"/>
    </row>
    <row r="154" spans="3:7" ht="13">
      <c r="C154" s="127"/>
      <c r="D154" s="127"/>
      <c r="G154" s="127"/>
    </row>
    <row r="155" spans="3:7" ht="13">
      <c r="C155" s="127"/>
      <c r="D155" s="127"/>
      <c r="G155" s="127"/>
    </row>
    <row r="156" spans="3:7" ht="13">
      <c r="C156" s="127"/>
      <c r="D156" s="127"/>
      <c r="G156" s="127"/>
    </row>
    <row r="157" spans="3:7" ht="13">
      <c r="C157" s="127"/>
      <c r="D157" s="127"/>
      <c r="G157" s="127"/>
    </row>
    <row r="158" spans="3:7" ht="13">
      <c r="C158" s="127"/>
      <c r="D158" s="127"/>
      <c r="G158" s="127"/>
    </row>
    <row r="159" spans="3:7" ht="13">
      <c r="C159" s="127"/>
      <c r="D159" s="127"/>
      <c r="G159" s="127"/>
    </row>
    <row r="160" spans="3:7" ht="13">
      <c r="C160" s="127"/>
      <c r="D160" s="127"/>
      <c r="G160" s="127"/>
    </row>
    <row r="161" spans="3:7" ht="13">
      <c r="C161" s="127"/>
      <c r="D161" s="127"/>
      <c r="G161" s="127"/>
    </row>
    <row r="162" spans="3:7" ht="13">
      <c r="C162" s="127"/>
      <c r="D162" s="127"/>
      <c r="G162" s="127"/>
    </row>
    <row r="163" spans="3:7" ht="13">
      <c r="C163" s="127"/>
      <c r="D163" s="127"/>
      <c r="G163" s="127"/>
    </row>
    <row r="164" spans="3:7" ht="13">
      <c r="C164" s="127"/>
      <c r="D164" s="127"/>
      <c r="G164" s="127"/>
    </row>
    <row r="165" spans="3:7" ht="13">
      <c r="C165" s="127"/>
      <c r="D165" s="127"/>
      <c r="G165" s="127"/>
    </row>
    <row r="166" spans="3:7" ht="13">
      <c r="C166" s="127"/>
      <c r="D166" s="127"/>
      <c r="G166" s="127"/>
    </row>
    <row r="167" spans="3:7" ht="13">
      <c r="C167" s="127"/>
      <c r="D167" s="127"/>
      <c r="G167" s="127"/>
    </row>
    <row r="168" spans="3:7" ht="13">
      <c r="C168" s="127"/>
      <c r="D168" s="127"/>
      <c r="G168" s="127"/>
    </row>
    <row r="169" spans="3:7" ht="13">
      <c r="C169" s="127"/>
      <c r="D169" s="127"/>
      <c r="G169" s="127"/>
    </row>
    <row r="170" spans="3:7" ht="13">
      <c r="C170" s="127"/>
      <c r="D170" s="127"/>
      <c r="G170" s="127"/>
    </row>
    <row r="171" spans="3:7" ht="13">
      <c r="C171" s="127"/>
      <c r="D171" s="127"/>
      <c r="G171" s="127"/>
    </row>
    <row r="172" spans="3:7" ht="13">
      <c r="C172" s="127"/>
      <c r="D172" s="127"/>
      <c r="G172" s="127"/>
    </row>
    <row r="173" spans="3:7" ht="13">
      <c r="C173" s="127"/>
      <c r="D173" s="127"/>
      <c r="G173" s="127"/>
    </row>
    <row r="174" spans="3:7" ht="13">
      <c r="C174" s="127"/>
      <c r="D174" s="127"/>
      <c r="G174" s="127"/>
    </row>
    <row r="175" spans="3:7" ht="13">
      <c r="C175" s="127"/>
      <c r="D175" s="127"/>
      <c r="G175" s="127"/>
    </row>
    <row r="176" spans="3:7" ht="13">
      <c r="C176" s="127"/>
      <c r="D176" s="127"/>
      <c r="G176" s="127"/>
    </row>
    <row r="177" spans="3:7" ht="13">
      <c r="C177" s="127"/>
      <c r="D177" s="127"/>
      <c r="G177" s="127"/>
    </row>
    <row r="178" spans="3:7" ht="13">
      <c r="C178" s="127"/>
      <c r="D178" s="127"/>
      <c r="G178" s="127"/>
    </row>
    <row r="179" spans="3:7" ht="13">
      <c r="C179" s="127"/>
      <c r="D179" s="127"/>
      <c r="G179" s="127"/>
    </row>
    <row r="180" spans="3:7" ht="13">
      <c r="C180" s="127"/>
      <c r="D180" s="127"/>
      <c r="G180" s="127"/>
    </row>
    <row r="181" spans="3:7" ht="13">
      <c r="C181" s="127"/>
      <c r="D181" s="127"/>
      <c r="G181" s="127"/>
    </row>
    <row r="182" spans="3:7" ht="13">
      <c r="C182" s="127"/>
      <c r="D182" s="127"/>
      <c r="G182" s="127"/>
    </row>
    <row r="183" spans="3:7" ht="13">
      <c r="C183" s="127"/>
      <c r="D183" s="127"/>
      <c r="G183" s="127"/>
    </row>
    <row r="184" spans="3:7" ht="13">
      <c r="C184" s="127"/>
      <c r="D184" s="127"/>
      <c r="G184" s="127"/>
    </row>
    <row r="185" spans="3:7" ht="13">
      <c r="C185" s="127"/>
      <c r="D185" s="127"/>
      <c r="G185" s="127"/>
    </row>
    <row r="186" spans="3:7" ht="13">
      <c r="C186" s="127"/>
      <c r="D186" s="127"/>
      <c r="G186" s="127"/>
    </row>
    <row r="187" spans="3:7" ht="13">
      <c r="C187" s="127"/>
      <c r="D187" s="127"/>
      <c r="G187" s="127"/>
    </row>
    <row r="188" spans="3:7" ht="13">
      <c r="C188" s="127"/>
      <c r="D188" s="127"/>
      <c r="G188" s="127"/>
    </row>
    <row r="189" spans="3:7" ht="13">
      <c r="C189" s="127"/>
      <c r="D189" s="127"/>
      <c r="G189" s="127"/>
    </row>
    <row r="190" spans="3:7" ht="13">
      <c r="C190" s="127"/>
      <c r="D190" s="127"/>
      <c r="G190" s="127"/>
    </row>
    <row r="191" spans="3:7" ht="13">
      <c r="C191" s="127"/>
      <c r="D191" s="127"/>
      <c r="G191" s="127"/>
    </row>
    <row r="192" spans="3:7" ht="13">
      <c r="C192" s="127"/>
      <c r="D192" s="127"/>
      <c r="G192" s="127"/>
    </row>
    <row r="193" spans="3:7" ht="13">
      <c r="C193" s="127"/>
      <c r="D193" s="127"/>
      <c r="G193" s="127"/>
    </row>
    <row r="194" spans="3:7" ht="13">
      <c r="C194" s="127"/>
      <c r="D194" s="127"/>
      <c r="G194" s="127"/>
    </row>
    <row r="195" spans="3:7" ht="13">
      <c r="C195" s="127"/>
      <c r="D195" s="127"/>
      <c r="G195" s="127"/>
    </row>
    <row r="196" spans="3:7" ht="13">
      <c r="C196" s="127"/>
      <c r="D196" s="127"/>
      <c r="G196" s="127"/>
    </row>
    <row r="197" spans="3:7" ht="13">
      <c r="C197" s="127"/>
      <c r="D197" s="127"/>
      <c r="G197" s="127"/>
    </row>
    <row r="198" spans="3:7" ht="13">
      <c r="C198" s="127"/>
      <c r="D198" s="127"/>
      <c r="G198" s="127"/>
    </row>
    <row r="199" spans="3:7" ht="13">
      <c r="C199" s="127"/>
      <c r="D199" s="127"/>
      <c r="G199" s="127"/>
    </row>
    <row r="200" spans="3:7" ht="13">
      <c r="C200" s="127"/>
      <c r="D200" s="127"/>
      <c r="G200" s="127"/>
    </row>
    <row r="201" spans="3:7" ht="13">
      <c r="C201" s="127"/>
      <c r="D201" s="127"/>
      <c r="G201" s="127"/>
    </row>
    <row r="202" spans="3:7" ht="13">
      <c r="C202" s="127"/>
      <c r="D202" s="127"/>
      <c r="G202" s="127"/>
    </row>
    <row r="203" spans="3:7" ht="13">
      <c r="C203" s="127"/>
      <c r="D203" s="127"/>
      <c r="G203" s="127"/>
    </row>
    <row r="204" spans="3:7" ht="13">
      <c r="C204" s="127"/>
      <c r="D204" s="127"/>
      <c r="G204" s="127"/>
    </row>
    <row r="205" spans="3:7" ht="13">
      <c r="C205" s="127"/>
      <c r="D205" s="127"/>
      <c r="G205" s="127"/>
    </row>
    <row r="206" spans="3:7" ht="13">
      <c r="C206" s="127"/>
      <c r="D206" s="127"/>
      <c r="G206" s="127"/>
    </row>
    <row r="207" spans="3:7" ht="13">
      <c r="C207" s="127"/>
      <c r="D207" s="127"/>
      <c r="G207" s="127"/>
    </row>
    <row r="208" spans="3:7" ht="13">
      <c r="C208" s="127"/>
      <c r="D208" s="127"/>
      <c r="G208" s="127"/>
    </row>
    <row r="209" spans="3:7" ht="13">
      <c r="C209" s="127"/>
      <c r="D209" s="127"/>
      <c r="G209" s="127"/>
    </row>
    <row r="210" spans="3:7" ht="13">
      <c r="C210" s="127"/>
      <c r="D210" s="127"/>
      <c r="G210" s="127"/>
    </row>
    <row r="211" spans="3:7" ht="13">
      <c r="C211" s="127"/>
      <c r="D211" s="127"/>
      <c r="G211" s="127"/>
    </row>
    <row r="212" spans="3:7" ht="13">
      <c r="C212" s="127"/>
      <c r="D212" s="127"/>
      <c r="G212" s="127"/>
    </row>
    <row r="213" spans="3:7" ht="13">
      <c r="C213" s="127"/>
      <c r="D213" s="127"/>
      <c r="G213" s="127"/>
    </row>
    <row r="214" spans="3:7" ht="13">
      <c r="C214" s="127"/>
      <c r="D214" s="127"/>
      <c r="G214" s="127"/>
    </row>
    <row r="215" spans="3:7" ht="13">
      <c r="C215" s="127"/>
      <c r="D215" s="127"/>
      <c r="G215" s="127"/>
    </row>
    <row r="216" spans="3:7" ht="13">
      <c r="C216" s="127"/>
      <c r="D216" s="127"/>
      <c r="G216" s="127"/>
    </row>
    <row r="217" spans="3:7" ht="13">
      <c r="C217" s="127"/>
      <c r="D217" s="127"/>
      <c r="G217" s="127"/>
    </row>
    <row r="218" spans="3:7" ht="13">
      <c r="C218" s="127"/>
      <c r="D218" s="127"/>
      <c r="G218" s="127"/>
    </row>
    <row r="219" spans="3:7" ht="13">
      <c r="C219" s="127"/>
      <c r="D219" s="127"/>
      <c r="G219" s="127"/>
    </row>
    <row r="220" spans="3:7" ht="13">
      <c r="C220" s="127"/>
      <c r="D220" s="127"/>
      <c r="G220" s="127"/>
    </row>
    <row r="221" spans="3:7" ht="13">
      <c r="C221" s="127"/>
      <c r="D221" s="127"/>
      <c r="G221" s="127"/>
    </row>
    <row r="222" spans="3:7" ht="13">
      <c r="C222" s="127"/>
      <c r="D222" s="127"/>
      <c r="G222" s="127"/>
    </row>
    <row r="223" spans="3:7" ht="13">
      <c r="C223" s="127"/>
      <c r="D223" s="127"/>
      <c r="G223" s="127"/>
    </row>
    <row r="224" spans="3:7" ht="13">
      <c r="C224" s="127"/>
      <c r="D224" s="127"/>
      <c r="G224" s="127"/>
    </row>
    <row r="225" spans="3:7" ht="13">
      <c r="C225" s="127"/>
      <c r="D225" s="127"/>
      <c r="G225" s="127"/>
    </row>
    <row r="226" spans="3:7" ht="13">
      <c r="C226" s="127"/>
      <c r="D226" s="127"/>
      <c r="G226" s="127"/>
    </row>
    <row r="227" spans="3:7" ht="13">
      <c r="C227" s="127"/>
      <c r="D227" s="127"/>
      <c r="G227" s="127"/>
    </row>
    <row r="228" spans="3:7" ht="13">
      <c r="C228" s="127"/>
      <c r="D228" s="127"/>
      <c r="G228" s="127"/>
    </row>
    <row r="229" spans="3:7" ht="13">
      <c r="C229" s="127"/>
      <c r="D229" s="127"/>
      <c r="G229" s="127"/>
    </row>
    <row r="230" spans="3:7" ht="13">
      <c r="C230" s="127"/>
      <c r="D230" s="127"/>
      <c r="G230" s="127"/>
    </row>
    <row r="231" spans="3:7" ht="13">
      <c r="C231" s="127"/>
      <c r="D231" s="127"/>
      <c r="G231" s="127"/>
    </row>
    <row r="232" spans="3:7" ht="13">
      <c r="C232" s="127"/>
      <c r="D232" s="127"/>
      <c r="G232" s="127"/>
    </row>
    <row r="233" spans="3:7" ht="13">
      <c r="C233" s="127"/>
      <c r="D233" s="127"/>
      <c r="G233" s="127"/>
    </row>
    <row r="234" spans="3:7" ht="13">
      <c r="C234" s="127"/>
      <c r="D234" s="127"/>
      <c r="G234" s="127"/>
    </row>
    <row r="235" spans="3:7" ht="13">
      <c r="C235" s="127"/>
      <c r="D235" s="127"/>
      <c r="G235" s="127"/>
    </row>
    <row r="236" spans="3:7" ht="13">
      <c r="C236" s="127"/>
      <c r="D236" s="127"/>
      <c r="G236" s="127"/>
    </row>
    <row r="237" spans="3:7" ht="13">
      <c r="C237" s="127"/>
      <c r="D237" s="127"/>
      <c r="G237" s="127"/>
    </row>
    <row r="238" spans="3:7" ht="13">
      <c r="C238" s="127"/>
      <c r="D238" s="127"/>
      <c r="G238" s="127"/>
    </row>
    <row r="239" spans="3:7" ht="13">
      <c r="C239" s="127"/>
      <c r="D239" s="127"/>
      <c r="G239" s="127"/>
    </row>
    <row r="240" spans="3:7" ht="13">
      <c r="C240" s="127"/>
      <c r="D240" s="127"/>
      <c r="G240" s="127"/>
    </row>
    <row r="241" spans="3:7" ht="13">
      <c r="C241" s="127"/>
      <c r="D241" s="127"/>
      <c r="G241" s="127"/>
    </row>
    <row r="242" spans="3:7" ht="13">
      <c r="C242" s="127"/>
      <c r="D242" s="127"/>
      <c r="G242" s="127"/>
    </row>
    <row r="243" spans="3:7" ht="13">
      <c r="C243" s="127"/>
      <c r="D243" s="127"/>
      <c r="G243" s="127"/>
    </row>
    <row r="244" spans="3:7" ht="13">
      <c r="C244" s="127"/>
      <c r="D244" s="127"/>
      <c r="G244" s="127"/>
    </row>
    <row r="245" spans="3:7" ht="13">
      <c r="C245" s="127"/>
      <c r="D245" s="127"/>
      <c r="G245" s="127"/>
    </row>
    <row r="246" spans="3:7" ht="13">
      <c r="C246" s="127"/>
      <c r="D246" s="127"/>
      <c r="G246" s="127"/>
    </row>
    <row r="247" spans="3:7" ht="13">
      <c r="C247" s="127"/>
      <c r="D247" s="127"/>
      <c r="G247" s="127"/>
    </row>
    <row r="248" spans="3:7" ht="13">
      <c r="C248" s="127"/>
      <c r="D248" s="127"/>
      <c r="G248" s="127"/>
    </row>
    <row r="249" spans="3:7" ht="13">
      <c r="C249" s="127"/>
      <c r="D249" s="127"/>
      <c r="G249" s="127"/>
    </row>
    <row r="250" spans="3:7" ht="13">
      <c r="C250" s="127"/>
      <c r="D250" s="127"/>
      <c r="G250" s="127"/>
    </row>
    <row r="251" spans="3:7" ht="13">
      <c r="C251" s="127"/>
      <c r="D251" s="127"/>
      <c r="G251" s="127"/>
    </row>
    <row r="252" spans="3:7" ht="13">
      <c r="C252" s="127"/>
      <c r="D252" s="127"/>
      <c r="G252" s="127"/>
    </row>
    <row r="253" spans="3:7" ht="13">
      <c r="C253" s="127"/>
      <c r="D253" s="127"/>
      <c r="G253" s="127"/>
    </row>
    <row r="254" spans="3:7" ht="13">
      <c r="C254" s="127"/>
      <c r="D254" s="127"/>
      <c r="G254" s="127"/>
    </row>
    <row r="255" spans="3:7" ht="13">
      <c r="C255" s="127"/>
      <c r="D255" s="127"/>
      <c r="G255" s="127"/>
    </row>
    <row r="256" spans="3:7" ht="13">
      <c r="C256" s="127"/>
      <c r="D256" s="127"/>
      <c r="G256" s="127"/>
    </row>
    <row r="257" spans="3:7" ht="13">
      <c r="C257" s="127"/>
      <c r="D257" s="127"/>
      <c r="G257" s="127"/>
    </row>
    <row r="258" spans="3:7" ht="13">
      <c r="C258" s="127"/>
      <c r="D258" s="127"/>
      <c r="G258" s="127"/>
    </row>
    <row r="259" spans="3:7" ht="13">
      <c r="C259" s="127"/>
      <c r="D259" s="127"/>
      <c r="G259" s="127"/>
    </row>
    <row r="260" spans="3:7" ht="13">
      <c r="C260" s="127"/>
      <c r="D260" s="127"/>
      <c r="G260" s="127"/>
    </row>
    <row r="261" spans="3:7" ht="13">
      <c r="C261" s="127"/>
      <c r="D261" s="127"/>
      <c r="G261" s="127"/>
    </row>
    <row r="262" spans="3:7" ht="13">
      <c r="C262" s="127"/>
      <c r="D262" s="127"/>
      <c r="G262" s="127"/>
    </row>
    <row r="263" spans="3:7" ht="13">
      <c r="C263" s="127"/>
      <c r="D263" s="127"/>
      <c r="G263" s="127"/>
    </row>
    <row r="264" spans="3:7" ht="13">
      <c r="C264" s="127"/>
      <c r="D264" s="127"/>
      <c r="G264" s="127"/>
    </row>
    <row r="265" spans="3:7" ht="13">
      <c r="C265" s="127"/>
      <c r="D265" s="127"/>
      <c r="G265" s="127"/>
    </row>
    <row r="266" spans="3:7" ht="13">
      <c r="C266" s="127"/>
      <c r="D266" s="127"/>
      <c r="G266" s="127"/>
    </row>
    <row r="267" spans="3:7" ht="13">
      <c r="C267" s="127"/>
      <c r="D267" s="127"/>
      <c r="G267" s="127"/>
    </row>
    <row r="268" spans="3:7" ht="13">
      <c r="C268" s="127"/>
      <c r="D268" s="127"/>
      <c r="G268" s="127"/>
    </row>
    <row r="269" spans="3:7" ht="13">
      <c r="C269" s="127"/>
      <c r="D269" s="127"/>
      <c r="G269" s="127"/>
    </row>
    <row r="270" spans="3:7" ht="13">
      <c r="C270" s="127"/>
      <c r="D270" s="127"/>
      <c r="G270" s="127"/>
    </row>
    <row r="271" spans="3:7" ht="13">
      <c r="C271" s="127"/>
      <c r="D271" s="127"/>
      <c r="G271" s="127"/>
    </row>
    <row r="272" spans="3:7" ht="13">
      <c r="C272" s="127"/>
      <c r="D272" s="127"/>
      <c r="G272" s="127"/>
    </row>
    <row r="273" spans="3:7" ht="13">
      <c r="C273" s="127"/>
      <c r="D273" s="127"/>
      <c r="G273" s="127"/>
    </row>
    <row r="274" spans="3:7" ht="13">
      <c r="C274" s="127"/>
      <c r="D274" s="127"/>
      <c r="G274" s="127"/>
    </row>
    <row r="275" spans="3:7" ht="13">
      <c r="C275" s="127"/>
      <c r="D275" s="127"/>
      <c r="G275" s="127"/>
    </row>
    <row r="276" spans="3:7" ht="13">
      <c r="C276" s="127"/>
      <c r="D276" s="127"/>
      <c r="G276" s="127"/>
    </row>
    <row r="277" spans="3:7" ht="13">
      <c r="C277" s="127"/>
      <c r="D277" s="127"/>
      <c r="G277" s="127"/>
    </row>
    <row r="278" spans="3:7" ht="13">
      <c r="C278" s="127"/>
      <c r="D278" s="127"/>
      <c r="G278" s="127"/>
    </row>
    <row r="279" spans="3:7" ht="13">
      <c r="C279" s="127"/>
      <c r="D279" s="127"/>
      <c r="G279" s="127"/>
    </row>
    <row r="280" spans="3:7" ht="13">
      <c r="C280" s="127"/>
      <c r="D280" s="127"/>
      <c r="G280" s="127"/>
    </row>
    <row r="281" spans="3:7" ht="13">
      <c r="C281" s="127"/>
      <c r="D281" s="127"/>
      <c r="G281" s="127"/>
    </row>
    <row r="282" spans="3:7" ht="13">
      <c r="C282" s="127"/>
      <c r="D282" s="127"/>
      <c r="G282" s="127"/>
    </row>
    <row r="283" spans="3:7" ht="13">
      <c r="C283" s="127"/>
      <c r="D283" s="127"/>
      <c r="G283" s="127"/>
    </row>
    <row r="284" spans="3:7" ht="13">
      <c r="C284" s="127"/>
      <c r="D284" s="127"/>
      <c r="G284" s="127"/>
    </row>
    <row r="285" spans="3:7" ht="13">
      <c r="C285" s="127"/>
      <c r="D285" s="127"/>
      <c r="G285" s="127"/>
    </row>
    <row r="286" spans="3:7" ht="13">
      <c r="C286" s="127"/>
      <c r="D286" s="127"/>
      <c r="G286" s="127"/>
    </row>
    <row r="287" spans="3:7" ht="13">
      <c r="C287" s="127"/>
      <c r="D287" s="127"/>
      <c r="G287" s="127"/>
    </row>
    <row r="288" spans="3:7" ht="13">
      <c r="C288" s="127"/>
      <c r="D288" s="127"/>
      <c r="G288" s="127"/>
    </row>
    <row r="289" spans="3:7" ht="13">
      <c r="C289" s="127"/>
      <c r="D289" s="127"/>
      <c r="G289" s="127"/>
    </row>
    <row r="290" spans="3:7" ht="13">
      <c r="C290" s="127"/>
      <c r="D290" s="127"/>
      <c r="G290" s="127"/>
    </row>
    <row r="291" spans="3:7" ht="13">
      <c r="C291" s="127"/>
      <c r="D291" s="127"/>
      <c r="G291" s="127"/>
    </row>
    <row r="292" spans="3:7" ht="13">
      <c r="C292" s="127"/>
      <c r="D292" s="127"/>
      <c r="G292" s="127"/>
    </row>
    <row r="293" spans="3:7" ht="13">
      <c r="C293" s="127"/>
      <c r="D293" s="127"/>
      <c r="G293" s="127"/>
    </row>
    <row r="294" spans="3:7" ht="13">
      <c r="C294" s="127"/>
      <c r="D294" s="127"/>
      <c r="G294" s="127"/>
    </row>
    <row r="295" spans="3:7" ht="13">
      <c r="C295" s="127"/>
      <c r="D295" s="127"/>
      <c r="G295" s="127"/>
    </row>
    <row r="296" spans="3:7" ht="13">
      <c r="C296" s="127"/>
      <c r="D296" s="127"/>
      <c r="G296" s="127"/>
    </row>
    <row r="297" spans="3:7" ht="13">
      <c r="C297" s="127"/>
      <c r="D297" s="127"/>
      <c r="G297" s="127"/>
    </row>
    <row r="298" spans="3:7" ht="13">
      <c r="C298" s="127"/>
      <c r="D298" s="127"/>
      <c r="G298" s="127"/>
    </row>
    <row r="299" spans="3:7" ht="13">
      <c r="C299" s="127"/>
      <c r="D299" s="127"/>
      <c r="G299" s="127"/>
    </row>
    <row r="300" spans="3:7" ht="13">
      <c r="C300" s="127"/>
      <c r="D300" s="127"/>
      <c r="G300" s="127"/>
    </row>
    <row r="301" spans="3:7" ht="13">
      <c r="C301" s="127"/>
      <c r="D301" s="127"/>
      <c r="G301" s="127"/>
    </row>
    <row r="302" spans="3:7" ht="13">
      <c r="C302" s="127"/>
      <c r="D302" s="127"/>
      <c r="G302" s="127"/>
    </row>
    <row r="303" spans="3:7" ht="13">
      <c r="C303" s="127"/>
      <c r="D303" s="127"/>
      <c r="G303" s="127"/>
    </row>
    <row r="304" spans="3:7" ht="13">
      <c r="C304" s="127"/>
      <c r="D304" s="127"/>
      <c r="G304" s="127"/>
    </row>
    <row r="305" spans="3:7" ht="13">
      <c r="C305" s="127"/>
      <c r="D305" s="127"/>
      <c r="G305" s="127"/>
    </row>
    <row r="306" spans="3:7" ht="13">
      <c r="C306" s="127"/>
      <c r="D306" s="127"/>
      <c r="G306" s="127"/>
    </row>
    <row r="307" spans="3:7" ht="13">
      <c r="C307" s="127"/>
      <c r="D307" s="127"/>
      <c r="G307" s="127"/>
    </row>
    <row r="308" spans="3:7" ht="13">
      <c r="C308" s="127"/>
      <c r="D308" s="127"/>
      <c r="G308" s="127"/>
    </row>
    <row r="309" spans="3:7" ht="13">
      <c r="C309" s="127"/>
      <c r="D309" s="127"/>
      <c r="G309" s="127"/>
    </row>
    <row r="310" spans="3:7" ht="13">
      <c r="C310" s="127"/>
      <c r="D310" s="127"/>
      <c r="G310" s="127"/>
    </row>
    <row r="311" spans="3:7" ht="13">
      <c r="C311" s="127"/>
      <c r="D311" s="127"/>
      <c r="G311" s="127"/>
    </row>
    <row r="312" spans="3:7" ht="13">
      <c r="C312" s="127"/>
      <c r="D312" s="127"/>
      <c r="G312" s="127"/>
    </row>
    <row r="313" spans="3:7" ht="13">
      <c r="C313" s="127"/>
      <c r="D313" s="127"/>
      <c r="G313" s="127"/>
    </row>
    <row r="314" spans="3:7" ht="13">
      <c r="C314" s="127"/>
      <c r="D314" s="127"/>
      <c r="G314" s="127"/>
    </row>
    <row r="315" spans="3:7" ht="13">
      <c r="C315" s="127"/>
      <c r="D315" s="127"/>
      <c r="G315" s="127"/>
    </row>
    <row r="316" spans="3:7" ht="13">
      <c r="C316" s="127"/>
      <c r="D316" s="127"/>
      <c r="G316" s="127"/>
    </row>
    <row r="317" spans="3:7" ht="13">
      <c r="C317" s="127"/>
      <c r="D317" s="127"/>
      <c r="G317" s="127"/>
    </row>
    <row r="318" spans="3:7" ht="13">
      <c r="C318" s="127"/>
      <c r="D318" s="127"/>
      <c r="G318" s="127"/>
    </row>
    <row r="319" spans="3:7" ht="13">
      <c r="C319" s="127"/>
      <c r="D319" s="127"/>
      <c r="G319" s="127"/>
    </row>
    <row r="320" spans="3:7" ht="13">
      <c r="C320" s="127"/>
      <c r="D320" s="127"/>
      <c r="G320" s="127"/>
    </row>
    <row r="321" spans="3:7" ht="13">
      <c r="C321" s="127"/>
      <c r="D321" s="127"/>
      <c r="G321" s="127"/>
    </row>
    <row r="322" spans="3:7" ht="13">
      <c r="C322" s="127"/>
      <c r="D322" s="127"/>
      <c r="G322" s="127"/>
    </row>
    <row r="323" spans="3:7" ht="13">
      <c r="C323" s="127"/>
      <c r="D323" s="127"/>
      <c r="G323" s="127"/>
    </row>
    <row r="324" spans="3:7" ht="13">
      <c r="C324" s="127"/>
      <c r="D324" s="127"/>
      <c r="G324" s="127"/>
    </row>
    <row r="325" spans="3:7" ht="13">
      <c r="C325" s="127"/>
      <c r="D325" s="127"/>
      <c r="G325" s="127"/>
    </row>
    <row r="326" spans="3:7" ht="13">
      <c r="C326" s="127"/>
      <c r="D326" s="127"/>
      <c r="G326" s="127"/>
    </row>
    <row r="327" spans="3:7" ht="13">
      <c r="C327" s="127"/>
      <c r="D327" s="127"/>
      <c r="G327" s="127"/>
    </row>
    <row r="328" spans="3:7" ht="13">
      <c r="C328" s="127"/>
      <c r="D328" s="127"/>
      <c r="G328" s="127"/>
    </row>
    <row r="329" spans="3:7" ht="13">
      <c r="C329" s="127"/>
      <c r="D329" s="127"/>
      <c r="G329" s="127"/>
    </row>
    <row r="330" spans="3:7" ht="13">
      <c r="C330" s="127"/>
      <c r="D330" s="127"/>
      <c r="G330" s="127"/>
    </row>
    <row r="331" spans="3:7" ht="13">
      <c r="C331" s="127"/>
      <c r="D331" s="127"/>
      <c r="G331" s="127"/>
    </row>
    <row r="332" spans="3:7" ht="13">
      <c r="C332" s="127"/>
      <c r="D332" s="127"/>
      <c r="G332" s="127"/>
    </row>
    <row r="333" spans="3:7" ht="13">
      <c r="C333" s="127"/>
      <c r="D333" s="127"/>
      <c r="G333" s="127"/>
    </row>
    <row r="334" spans="3:7" ht="13">
      <c r="C334" s="127"/>
      <c r="D334" s="127"/>
      <c r="G334" s="127"/>
    </row>
    <row r="335" spans="3:7" ht="13">
      <c r="C335" s="127"/>
      <c r="D335" s="127"/>
      <c r="G335" s="127"/>
    </row>
    <row r="336" spans="3:7" ht="13">
      <c r="C336" s="127"/>
      <c r="D336" s="127"/>
      <c r="G336" s="127"/>
    </row>
    <row r="337" spans="3:7" ht="13">
      <c r="C337" s="127"/>
      <c r="D337" s="127"/>
      <c r="G337" s="127"/>
    </row>
    <row r="338" spans="3:7" ht="13">
      <c r="C338" s="127"/>
      <c r="D338" s="127"/>
      <c r="G338" s="127"/>
    </row>
    <row r="339" spans="3:7" ht="13">
      <c r="C339" s="127"/>
      <c r="D339" s="127"/>
      <c r="G339" s="127"/>
    </row>
    <row r="340" spans="3:7" ht="13">
      <c r="C340" s="127"/>
      <c r="D340" s="127"/>
      <c r="G340" s="127"/>
    </row>
    <row r="341" spans="3:7" ht="13">
      <c r="C341" s="127"/>
      <c r="D341" s="127"/>
      <c r="G341" s="127"/>
    </row>
    <row r="342" spans="3:7" ht="13">
      <c r="C342" s="127"/>
      <c r="D342" s="127"/>
      <c r="G342" s="127"/>
    </row>
    <row r="343" spans="3:7" ht="13">
      <c r="C343" s="127"/>
      <c r="D343" s="127"/>
      <c r="G343" s="127"/>
    </row>
    <row r="344" spans="3:7" ht="13">
      <c r="C344" s="127"/>
      <c r="D344" s="127"/>
      <c r="G344" s="127"/>
    </row>
    <row r="345" spans="3:7" ht="13">
      <c r="C345" s="127"/>
      <c r="D345" s="127"/>
      <c r="G345" s="127"/>
    </row>
    <row r="346" spans="3:7" ht="13">
      <c r="C346" s="127"/>
      <c r="D346" s="127"/>
      <c r="G346" s="127"/>
    </row>
    <row r="347" spans="3:7" ht="13">
      <c r="C347" s="127"/>
      <c r="D347" s="127"/>
      <c r="G347" s="127"/>
    </row>
    <row r="348" spans="3:7" ht="13">
      <c r="C348" s="127"/>
      <c r="D348" s="127"/>
      <c r="G348" s="127"/>
    </row>
    <row r="349" spans="3:7" ht="13">
      <c r="C349" s="127"/>
      <c r="D349" s="127"/>
      <c r="G349" s="127"/>
    </row>
    <row r="350" spans="3:7" ht="13">
      <c r="C350" s="127"/>
      <c r="D350" s="127"/>
      <c r="G350" s="127"/>
    </row>
    <row r="351" spans="3:7" ht="13">
      <c r="C351" s="127"/>
      <c r="D351" s="127"/>
      <c r="G351" s="127"/>
    </row>
    <row r="352" spans="3:7" ht="13">
      <c r="C352" s="127"/>
      <c r="D352" s="127"/>
      <c r="G352" s="127"/>
    </row>
    <row r="353" spans="3:7" ht="13">
      <c r="C353" s="127"/>
      <c r="D353" s="127"/>
      <c r="G353" s="127"/>
    </row>
    <row r="354" spans="3:7" ht="13">
      <c r="C354" s="127"/>
      <c r="D354" s="127"/>
      <c r="G354" s="127"/>
    </row>
    <row r="355" spans="3:7" ht="13">
      <c r="C355" s="127"/>
      <c r="D355" s="127"/>
      <c r="G355" s="127"/>
    </row>
    <row r="356" spans="3:7" ht="13">
      <c r="C356" s="127"/>
      <c r="D356" s="127"/>
      <c r="G356" s="127"/>
    </row>
    <row r="357" spans="3:7" ht="13">
      <c r="C357" s="127"/>
      <c r="D357" s="127"/>
      <c r="G357" s="127"/>
    </row>
    <row r="358" spans="3:7" ht="13">
      <c r="C358" s="127"/>
      <c r="D358" s="127"/>
      <c r="G358" s="127"/>
    </row>
    <row r="359" spans="3:7" ht="13">
      <c r="C359" s="127"/>
      <c r="D359" s="127"/>
      <c r="G359" s="127"/>
    </row>
    <row r="360" spans="3:7" ht="13">
      <c r="C360" s="127"/>
      <c r="D360" s="127"/>
      <c r="G360" s="127"/>
    </row>
    <row r="361" spans="3:7" ht="13">
      <c r="C361" s="127"/>
      <c r="D361" s="127"/>
      <c r="G361" s="127"/>
    </row>
    <row r="362" spans="3:7" ht="13">
      <c r="C362" s="127"/>
      <c r="D362" s="127"/>
      <c r="G362" s="127"/>
    </row>
    <row r="363" spans="3:7" ht="13">
      <c r="C363" s="127"/>
      <c r="D363" s="127"/>
      <c r="G363" s="127"/>
    </row>
    <row r="364" spans="3:7" ht="13">
      <c r="C364" s="127"/>
      <c r="D364" s="127"/>
      <c r="G364" s="127"/>
    </row>
    <row r="365" spans="3:7" ht="13">
      <c r="C365" s="127"/>
      <c r="D365" s="127"/>
      <c r="G365" s="127"/>
    </row>
    <row r="366" spans="3:7" ht="13">
      <c r="C366" s="127"/>
      <c r="D366" s="127"/>
      <c r="G366" s="127"/>
    </row>
    <row r="367" spans="3:7" ht="13">
      <c r="C367" s="127"/>
      <c r="D367" s="127"/>
      <c r="G367" s="127"/>
    </row>
    <row r="368" spans="3:7" ht="13">
      <c r="C368" s="127"/>
      <c r="D368" s="127"/>
      <c r="G368" s="127"/>
    </row>
    <row r="369" spans="3:7" ht="13">
      <c r="C369" s="127"/>
      <c r="D369" s="127"/>
      <c r="G369" s="127"/>
    </row>
    <row r="370" spans="3:7" ht="13">
      <c r="C370" s="127"/>
      <c r="D370" s="127"/>
      <c r="G370" s="127"/>
    </row>
    <row r="371" spans="3:7" ht="13">
      <c r="C371" s="127"/>
      <c r="D371" s="127"/>
      <c r="G371" s="127"/>
    </row>
    <row r="372" spans="3:7" ht="13">
      <c r="C372" s="127"/>
      <c r="D372" s="127"/>
      <c r="G372" s="127"/>
    </row>
    <row r="373" spans="3:7" ht="13">
      <c r="C373" s="127"/>
      <c r="D373" s="127"/>
      <c r="G373" s="127"/>
    </row>
    <row r="374" spans="3:7" ht="13">
      <c r="C374" s="127"/>
      <c r="D374" s="127"/>
      <c r="G374" s="127"/>
    </row>
    <row r="375" spans="3:7" ht="13">
      <c r="C375" s="127"/>
      <c r="D375" s="127"/>
      <c r="G375" s="127"/>
    </row>
    <row r="376" spans="3:7" ht="13">
      <c r="C376" s="127"/>
      <c r="D376" s="127"/>
      <c r="G376" s="127"/>
    </row>
    <row r="377" spans="3:7" ht="13">
      <c r="C377" s="127"/>
      <c r="D377" s="127"/>
      <c r="G377" s="127"/>
    </row>
    <row r="378" spans="3:7" ht="13">
      <c r="C378" s="127"/>
      <c r="D378" s="127"/>
      <c r="G378" s="127"/>
    </row>
    <row r="379" spans="3:7" ht="13">
      <c r="C379" s="127"/>
      <c r="D379" s="127"/>
      <c r="G379" s="127"/>
    </row>
    <row r="380" spans="3:7" ht="13">
      <c r="C380" s="127"/>
      <c r="D380" s="127"/>
      <c r="G380" s="127"/>
    </row>
    <row r="381" spans="3:7" ht="13">
      <c r="C381" s="127"/>
      <c r="D381" s="127"/>
      <c r="G381" s="127"/>
    </row>
    <row r="382" spans="3:7" ht="13">
      <c r="C382" s="127"/>
      <c r="D382" s="127"/>
      <c r="G382" s="127"/>
    </row>
    <row r="383" spans="3:7" ht="13">
      <c r="C383" s="127"/>
      <c r="D383" s="127"/>
      <c r="G383" s="127"/>
    </row>
    <row r="384" spans="3:7" ht="13">
      <c r="C384" s="127"/>
      <c r="D384" s="127"/>
      <c r="G384" s="127"/>
    </row>
    <row r="385" spans="3:7" ht="13">
      <c r="C385" s="127"/>
      <c r="D385" s="127"/>
      <c r="G385" s="127"/>
    </row>
    <row r="386" spans="3:7" ht="13">
      <c r="C386" s="127"/>
      <c r="D386" s="127"/>
      <c r="G386" s="127"/>
    </row>
    <row r="387" spans="3:7" ht="13">
      <c r="C387" s="127"/>
      <c r="D387" s="127"/>
      <c r="G387" s="127"/>
    </row>
    <row r="388" spans="3:7" ht="13">
      <c r="C388" s="127"/>
      <c r="D388" s="127"/>
      <c r="G388" s="127"/>
    </row>
    <row r="389" spans="3:7" ht="13">
      <c r="C389" s="127"/>
      <c r="D389" s="127"/>
      <c r="G389" s="127"/>
    </row>
    <row r="390" spans="3:7" ht="13">
      <c r="C390" s="127"/>
      <c r="D390" s="127"/>
      <c r="G390" s="127"/>
    </row>
    <row r="391" spans="3:7" ht="13">
      <c r="C391" s="127"/>
      <c r="D391" s="127"/>
      <c r="G391" s="127"/>
    </row>
    <row r="392" spans="3:7" ht="13">
      <c r="C392" s="127"/>
      <c r="D392" s="127"/>
      <c r="G392" s="127"/>
    </row>
    <row r="393" spans="3:7" ht="13">
      <c r="C393" s="127"/>
      <c r="D393" s="127"/>
      <c r="G393" s="127"/>
    </row>
    <row r="394" spans="3:7" ht="13">
      <c r="C394" s="127"/>
      <c r="D394" s="127"/>
      <c r="G394" s="127"/>
    </row>
    <row r="395" spans="3:7" ht="13">
      <c r="C395" s="127"/>
      <c r="D395" s="127"/>
      <c r="G395" s="127"/>
    </row>
    <row r="396" spans="3:7" ht="13">
      <c r="C396" s="127"/>
      <c r="D396" s="127"/>
      <c r="G396" s="127"/>
    </row>
    <row r="397" spans="3:7" ht="13">
      <c r="C397" s="127"/>
      <c r="D397" s="127"/>
      <c r="G397" s="127"/>
    </row>
    <row r="398" spans="3:7" ht="13">
      <c r="C398" s="127"/>
      <c r="D398" s="127"/>
      <c r="G398" s="127"/>
    </row>
    <row r="399" spans="3:7" ht="13">
      <c r="C399" s="127"/>
      <c r="D399" s="127"/>
      <c r="G399" s="127"/>
    </row>
    <row r="400" spans="3:7" ht="13">
      <c r="C400" s="127"/>
      <c r="D400" s="127"/>
      <c r="G400" s="127"/>
    </row>
    <row r="401" spans="3:7" ht="13">
      <c r="C401" s="127"/>
      <c r="D401" s="127"/>
      <c r="G401" s="127"/>
    </row>
    <row r="402" spans="3:7" ht="13">
      <c r="C402" s="127"/>
      <c r="D402" s="127"/>
      <c r="G402" s="127"/>
    </row>
    <row r="403" spans="3:7" ht="13">
      <c r="C403" s="127"/>
      <c r="D403" s="127"/>
      <c r="G403" s="127"/>
    </row>
    <row r="404" spans="3:7" ht="13">
      <c r="C404" s="127"/>
      <c r="D404" s="127"/>
      <c r="G404" s="127"/>
    </row>
    <row r="405" spans="3:7" ht="13">
      <c r="C405" s="127"/>
      <c r="D405" s="127"/>
      <c r="G405" s="127"/>
    </row>
    <row r="406" spans="3:7" ht="13">
      <c r="C406" s="127"/>
      <c r="D406" s="127"/>
      <c r="G406" s="127"/>
    </row>
    <row r="407" spans="3:7" ht="13">
      <c r="C407" s="127"/>
      <c r="D407" s="127"/>
      <c r="G407" s="127"/>
    </row>
    <row r="408" spans="3:7" ht="13">
      <c r="C408" s="127"/>
      <c r="D408" s="127"/>
      <c r="G408" s="127"/>
    </row>
    <row r="409" spans="3:7" ht="13">
      <c r="C409" s="127"/>
      <c r="D409" s="127"/>
      <c r="G409" s="127"/>
    </row>
    <row r="410" spans="3:7" ht="13">
      <c r="C410" s="127"/>
      <c r="D410" s="127"/>
      <c r="G410" s="127"/>
    </row>
    <row r="411" spans="3:7" ht="13">
      <c r="C411" s="127"/>
      <c r="D411" s="127"/>
      <c r="G411" s="127"/>
    </row>
    <row r="412" spans="3:7" ht="13">
      <c r="C412" s="127"/>
      <c r="D412" s="127"/>
      <c r="G412" s="127"/>
    </row>
    <row r="413" spans="3:7" ht="13">
      <c r="C413" s="127"/>
      <c r="D413" s="127"/>
      <c r="G413" s="127"/>
    </row>
    <row r="414" spans="3:7" ht="13">
      <c r="C414" s="127"/>
      <c r="D414" s="127"/>
      <c r="G414" s="127"/>
    </row>
    <row r="415" spans="3:7" ht="13">
      <c r="C415" s="127"/>
      <c r="D415" s="127"/>
      <c r="G415" s="127"/>
    </row>
    <row r="416" spans="3:7" ht="13">
      <c r="C416" s="127"/>
      <c r="D416" s="127"/>
      <c r="G416" s="127"/>
    </row>
    <row r="417" spans="3:7" ht="13">
      <c r="C417" s="127"/>
      <c r="D417" s="127"/>
      <c r="G417" s="127"/>
    </row>
    <row r="418" spans="3:7" ht="13">
      <c r="C418" s="127"/>
      <c r="D418" s="127"/>
      <c r="G418" s="127"/>
    </row>
    <row r="419" spans="3:7" ht="13">
      <c r="C419" s="127"/>
      <c r="D419" s="127"/>
      <c r="G419" s="127"/>
    </row>
    <row r="420" spans="3:7" ht="13">
      <c r="C420" s="127"/>
      <c r="D420" s="127"/>
      <c r="G420" s="127"/>
    </row>
    <row r="421" spans="3:7" ht="13">
      <c r="C421" s="127"/>
      <c r="D421" s="127"/>
      <c r="G421" s="127"/>
    </row>
    <row r="422" spans="3:7" ht="13">
      <c r="C422" s="127"/>
      <c r="D422" s="127"/>
      <c r="G422" s="127"/>
    </row>
    <row r="423" spans="3:7" ht="13">
      <c r="C423" s="127"/>
      <c r="D423" s="127"/>
      <c r="G423" s="127"/>
    </row>
    <row r="424" spans="3:7" ht="13">
      <c r="C424" s="127"/>
      <c r="D424" s="127"/>
      <c r="G424" s="127"/>
    </row>
    <row r="425" spans="3:7" ht="13">
      <c r="C425" s="127"/>
      <c r="D425" s="127"/>
      <c r="G425" s="127"/>
    </row>
    <row r="426" spans="3:7" ht="13">
      <c r="C426" s="127"/>
      <c r="D426" s="127"/>
      <c r="G426" s="127"/>
    </row>
    <row r="427" spans="3:7" ht="13">
      <c r="C427" s="127"/>
      <c r="D427" s="127"/>
      <c r="G427" s="127"/>
    </row>
    <row r="428" spans="3:7" ht="13">
      <c r="C428" s="127"/>
      <c r="D428" s="127"/>
      <c r="G428" s="127"/>
    </row>
    <row r="429" spans="3:7" ht="13">
      <c r="C429" s="127"/>
      <c r="D429" s="127"/>
      <c r="G429" s="127"/>
    </row>
    <row r="430" spans="3:7" ht="13">
      <c r="C430" s="127"/>
      <c r="D430" s="127"/>
      <c r="G430" s="127"/>
    </row>
    <row r="431" spans="3:7" ht="13">
      <c r="C431" s="127"/>
      <c r="D431" s="127"/>
      <c r="G431" s="127"/>
    </row>
    <row r="432" spans="3:7" ht="13">
      <c r="C432" s="127"/>
      <c r="D432" s="127"/>
      <c r="G432" s="127"/>
    </row>
    <row r="433" spans="3:7" ht="13">
      <c r="C433" s="127"/>
      <c r="D433" s="127"/>
      <c r="G433" s="127"/>
    </row>
    <row r="434" spans="3:7" ht="13">
      <c r="C434" s="127"/>
      <c r="D434" s="127"/>
      <c r="G434" s="127"/>
    </row>
    <row r="435" spans="3:7" ht="13">
      <c r="C435" s="127"/>
      <c r="D435" s="127"/>
      <c r="G435" s="127"/>
    </row>
    <row r="436" spans="3:7" ht="13">
      <c r="C436" s="127"/>
      <c r="D436" s="127"/>
      <c r="G436" s="127"/>
    </row>
    <row r="437" spans="3:7" ht="13">
      <c r="C437" s="127"/>
      <c r="D437" s="127"/>
      <c r="G437" s="127"/>
    </row>
    <row r="438" spans="3:7" ht="13">
      <c r="C438" s="127"/>
      <c r="D438" s="127"/>
      <c r="G438" s="127"/>
    </row>
    <row r="439" spans="3:7" ht="13">
      <c r="C439" s="127"/>
      <c r="D439" s="127"/>
      <c r="G439" s="127"/>
    </row>
    <row r="440" spans="3:7" ht="13">
      <c r="C440" s="127"/>
      <c r="D440" s="127"/>
      <c r="G440" s="127"/>
    </row>
    <row r="441" spans="3:7" ht="13">
      <c r="C441" s="127"/>
      <c r="D441" s="127"/>
      <c r="G441" s="127"/>
    </row>
    <row r="442" spans="3:7" ht="13">
      <c r="C442" s="127"/>
      <c r="D442" s="127"/>
      <c r="G442" s="127"/>
    </row>
    <row r="443" spans="3:7" ht="13">
      <c r="C443" s="127"/>
      <c r="D443" s="127"/>
      <c r="G443" s="127"/>
    </row>
    <row r="444" spans="3:7" ht="13">
      <c r="C444" s="127"/>
      <c r="D444" s="127"/>
      <c r="G444" s="127"/>
    </row>
    <row r="445" spans="3:7" ht="13">
      <c r="C445" s="127"/>
      <c r="D445" s="127"/>
      <c r="G445" s="127"/>
    </row>
    <row r="446" spans="3:7" ht="13">
      <c r="C446" s="127"/>
      <c r="D446" s="127"/>
      <c r="G446" s="127"/>
    </row>
    <row r="447" spans="3:7" ht="13">
      <c r="C447" s="127"/>
      <c r="D447" s="127"/>
      <c r="G447" s="127"/>
    </row>
    <row r="448" spans="3:7" ht="13">
      <c r="C448" s="127"/>
      <c r="D448" s="127"/>
      <c r="G448" s="127"/>
    </row>
    <row r="449" spans="3:7" ht="13">
      <c r="C449" s="127"/>
      <c r="D449" s="127"/>
      <c r="G449" s="127"/>
    </row>
    <row r="450" spans="3:7" ht="13">
      <c r="C450" s="127"/>
      <c r="D450" s="127"/>
      <c r="G450" s="127"/>
    </row>
    <row r="451" spans="3:7" ht="13">
      <c r="C451" s="127"/>
      <c r="D451" s="127"/>
      <c r="G451" s="127"/>
    </row>
    <row r="452" spans="3:7" ht="13">
      <c r="C452" s="127"/>
      <c r="D452" s="127"/>
      <c r="G452" s="127"/>
    </row>
    <row r="453" spans="3:7" ht="13">
      <c r="C453" s="127"/>
      <c r="D453" s="127"/>
      <c r="G453" s="127"/>
    </row>
    <row r="454" spans="3:7" ht="13">
      <c r="C454" s="127"/>
      <c r="D454" s="127"/>
      <c r="G454" s="127"/>
    </row>
    <row r="455" spans="3:7" ht="13">
      <c r="C455" s="127"/>
      <c r="D455" s="127"/>
      <c r="G455" s="127"/>
    </row>
    <row r="456" spans="3:7" ht="13">
      <c r="C456" s="127"/>
      <c r="D456" s="127"/>
      <c r="G456" s="127"/>
    </row>
    <row r="457" spans="3:7" ht="13">
      <c r="C457" s="127"/>
      <c r="D457" s="127"/>
      <c r="G457" s="127"/>
    </row>
    <row r="458" spans="3:7" ht="13">
      <c r="C458" s="127"/>
      <c r="D458" s="127"/>
      <c r="G458" s="127"/>
    </row>
    <row r="459" spans="3:7" ht="13">
      <c r="C459" s="127"/>
      <c r="D459" s="127"/>
      <c r="G459" s="127"/>
    </row>
    <row r="460" spans="3:7" ht="13">
      <c r="C460" s="127"/>
      <c r="D460" s="127"/>
      <c r="G460" s="127"/>
    </row>
    <row r="461" spans="3:7" ht="13">
      <c r="C461" s="127"/>
      <c r="D461" s="127"/>
      <c r="G461" s="127"/>
    </row>
    <row r="462" spans="3:7" ht="13">
      <c r="C462" s="127"/>
      <c r="D462" s="127"/>
      <c r="G462" s="127"/>
    </row>
    <row r="463" spans="3:7" ht="13">
      <c r="C463" s="127"/>
      <c r="D463" s="127"/>
      <c r="G463" s="127"/>
    </row>
    <row r="464" spans="3:7" ht="13">
      <c r="C464" s="127"/>
      <c r="D464" s="127"/>
      <c r="G464" s="127"/>
    </row>
    <row r="465" spans="3:7" ht="13">
      <c r="C465" s="127"/>
      <c r="D465" s="127"/>
      <c r="G465" s="127"/>
    </row>
    <row r="466" spans="3:7" ht="13">
      <c r="C466" s="127"/>
      <c r="D466" s="127"/>
      <c r="G466" s="127"/>
    </row>
    <row r="467" spans="3:7" ht="13">
      <c r="C467" s="127"/>
      <c r="D467" s="127"/>
      <c r="G467" s="127"/>
    </row>
    <row r="468" spans="3:7" ht="13">
      <c r="C468" s="127"/>
      <c r="D468" s="127"/>
      <c r="G468" s="127"/>
    </row>
    <row r="469" spans="3:7" ht="13">
      <c r="C469" s="127"/>
      <c r="D469" s="127"/>
      <c r="G469" s="127"/>
    </row>
    <row r="470" spans="3:7" ht="13">
      <c r="C470" s="127"/>
      <c r="D470" s="127"/>
      <c r="G470" s="127"/>
    </row>
    <row r="471" spans="3:7" ht="13">
      <c r="C471" s="127"/>
      <c r="D471" s="127"/>
      <c r="G471" s="127"/>
    </row>
    <row r="472" spans="3:7" ht="13">
      <c r="C472" s="127"/>
      <c r="D472" s="127"/>
      <c r="G472" s="127"/>
    </row>
    <row r="473" spans="3:7" ht="13">
      <c r="C473" s="127"/>
      <c r="D473" s="127"/>
      <c r="G473" s="127"/>
    </row>
    <row r="474" spans="3:7" ht="13">
      <c r="C474" s="127"/>
      <c r="D474" s="127"/>
      <c r="G474" s="127"/>
    </row>
    <row r="475" spans="3:7" ht="13">
      <c r="C475" s="127"/>
      <c r="D475" s="127"/>
      <c r="G475" s="127"/>
    </row>
    <row r="476" spans="3:7" ht="13">
      <c r="C476" s="127"/>
      <c r="D476" s="127"/>
      <c r="G476" s="127"/>
    </row>
    <row r="477" spans="3:7" ht="13">
      <c r="C477" s="127"/>
      <c r="D477" s="127"/>
      <c r="G477" s="127"/>
    </row>
    <row r="478" spans="3:7" ht="13">
      <c r="C478" s="127"/>
      <c r="D478" s="127"/>
      <c r="G478" s="127"/>
    </row>
    <row r="479" spans="3:7" ht="13">
      <c r="C479" s="127"/>
      <c r="D479" s="127"/>
      <c r="G479" s="127"/>
    </row>
    <row r="480" spans="3:7" ht="13">
      <c r="C480" s="127"/>
      <c r="D480" s="127"/>
      <c r="G480" s="127"/>
    </row>
    <row r="481" spans="3:7" ht="13">
      <c r="C481" s="127"/>
      <c r="D481" s="127"/>
      <c r="G481" s="127"/>
    </row>
    <row r="482" spans="3:7" ht="13">
      <c r="C482" s="127"/>
      <c r="D482" s="127"/>
      <c r="G482" s="127"/>
    </row>
    <row r="483" spans="3:7" ht="13">
      <c r="C483" s="127"/>
      <c r="D483" s="127"/>
      <c r="G483" s="127"/>
    </row>
    <row r="484" spans="3:7" ht="13">
      <c r="C484" s="127"/>
      <c r="D484" s="127"/>
      <c r="G484" s="127"/>
    </row>
    <row r="485" spans="3:7" ht="13">
      <c r="C485" s="127"/>
      <c r="D485" s="127"/>
      <c r="G485" s="127"/>
    </row>
    <row r="486" spans="3:7" ht="13">
      <c r="C486" s="127"/>
      <c r="D486" s="127"/>
      <c r="G486" s="127"/>
    </row>
    <row r="487" spans="3:7" ht="13">
      <c r="C487" s="127"/>
      <c r="D487" s="127"/>
      <c r="G487" s="127"/>
    </row>
    <row r="488" spans="3:7" ht="13">
      <c r="C488" s="127"/>
      <c r="D488" s="127"/>
      <c r="G488" s="127"/>
    </row>
    <row r="489" spans="3:7" ht="13">
      <c r="C489" s="127"/>
      <c r="D489" s="127"/>
      <c r="G489" s="127"/>
    </row>
    <row r="490" spans="3:7" ht="13">
      <c r="C490" s="127"/>
      <c r="D490" s="127"/>
      <c r="G490" s="127"/>
    </row>
    <row r="491" spans="3:7" ht="13">
      <c r="C491" s="127"/>
      <c r="D491" s="127"/>
      <c r="G491" s="127"/>
    </row>
    <row r="492" spans="3:7" ht="13">
      <c r="C492" s="127"/>
      <c r="D492" s="127"/>
      <c r="G492" s="127"/>
    </row>
    <row r="493" spans="3:7" ht="13">
      <c r="C493" s="127"/>
      <c r="D493" s="127"/>
      <c r="G493" s="127"/>
    </row>
    <row r="494" spans="3:7" ht="13">
      <c r="C494" s="127"/>
      <c r="D494" s="127"/>
      <c r="G494" s="127"/>
    </row>
    <row r="495" spans="3:7" ht="13">
      <c r="C495" s="127"/>
      <c r="D495" s="127"/>
      <c r="G495" s="127"/>
    </row>
    <row r="496" spans="3:7" ht="13">
      <c r="C496" s="127"/>
      <c r="D496" s="127"/>
      <c r="G496" s="127"/>
    </row>
    <row r="497" spans="3:7" ht="13">
      <c r="C497" s="127"/>
      <c r="D497" s="127"/>
      <c r="G497" s="127"/>
    </row>
    <row r="498" spans="3:7" ht="13">
      <c r="C498" s="127"/>
      <c r="D498" s="127"/>
      <c r="G498" s="127"/>
    </row>
    <row r="499" spans="3:7" ht="13">
      <c r="C499" s="127"/>
      <c r="D499" s="127"/>
      <c r="G499" s="127"/>
    </row>
    <row r="500" spans="3:7" ht="13">
      <c r="C500" s="127"/>
      <c r="D500" s="127"/>
      <c r="G500" s="127"/>
    </row>
    <row r="501" spans="3:7" ht="13">
      <c r="C501" s="127"/>
      <c r="D501" s="127"/>
      <c r="G501" s="127"/>
    </row>
    <row r="502" spans="3:7" ht="13">
      <c r="C502" s="127"/>
      <c r="D502" s="127"/>
      <c r="G502" s="127"/>
    </row>
    <row r="503" spans="3:7" ht="13">
      <c r="C503" s="127"/>
      <c r="D503" s="127"/>
      <c r="G503" s="127"/>
    </row>
    <row r="504" spans="3:7" ht="13">
      <c r="C504" s="127"/>
      <c r="D504" s="127"/>
      <c r="G504" s="127"/>
    </row>
    <row r="505" spans="3:7" ht="13">
      <c r="C505" s="127"/>
      <c r="D505" s="127"/>
      <c r="G505" s="127"/>
    </row>
    <row r="506" spans="3:7" ht="13">
      <c r="C506" s="127"/>
      <c r="D506" s="127"/>
      <c r="G506" s="127"/>
    </row>
    <row r="507" spans="3:7" ht="13">
      <c r="C507" s="127"/>
      <c r="D507" s="127"/>
      <c r="G507" s="127"/>
    </row>
    <row r="508" spans="3:7" ht="13">
      <c r="C508" s="127"/>
      <c r="D508" s="127"/>
      <c r="G508" s="127"/>
    </row>
    <row r="509" spans="3:7" ht="13">
      <c r="C509" s="127"/>
      <c r="D509" s="127"/>
      <c r="G509" s="127"/>
    </row>
    <row r="510" spans="3:7" ht="13">
      <c r="C510" s="127"/>
      <c r="D510" s="127"/>
      <c r="G510" s="127"/>
    </row>
    <row r="511" spans="3:7" ht="13">
      <c r="C511" s="127"/>
      <c r="D511" s="127"/>
      <c r="G511" s="127"/>
    </row>
    <row r="512" spans="3:7" ht="13">
      <c r="C512" s="127"/>
      <c r="D512" s="127"/>
      <c r="G512" s="127"/>
    </row>
    <row r="513" spans="3:7" ht="13">
      <c r="C513" s="127"/>
      <c r="D513" s="127"/>
      <c r="G513" s="127"/>
    </row>
    <row r="514" spans="3:7" ht="13">
      <c r="C514" s="127"/>
      <c r="D514" s="127"/>
      <c r="G514" s="127"/>
    </row>
    <row r="515" spans="3:7" ht="13">
      <c r="C515" s="127"/>
      <c r="D515" s="127"/>
      <c r="G515" s="127"/>
    </row>
    <row r="516" spans="3:7" ht="13">
      <c r="C516" s="127"/>
      <c r="D516" s="127"/>
      <c r="G516" s="127"/>
    </row>
    <row r="517" spans="3:7" ht="13">
      <c r="C517" s="127"/>
      <c r="D517" s="127"/>
      <c r="G517" s="127"/>
    </row>
    <row r="518" spans="3:7" ht="13">
      <c r="C518" s="127"/>
      <c r="D518" s="127"/>
      <c r="G518" s="127"/>
    </row>
    <row r="519" spans="3:7" ht="13">
      <c r="C519" s="127"/>
      <c r="D519" s="127"/>
      <c r="G519" s="127"/>
    </row>
    <row r="520" spans="3:7" ht="13">
      <c r="C520" s="127"/>
      <c r="D520" s="127"/>
      <c r="G520" s="127"/>
    </row>
    <row r="521" spans="3:7" ht="13">
      <c r="C521" s="127"/>
      <c r="D521" s="127"/>
      <c r="G521" s="127"/>
    </row>
    <row r="522" spans="3:7" ht="13">
      <c r="C522" s="127"/>
      <c r="D522" s="127"/>
      <c r="G522" s="127"/>
    </row>
    <row r="523" spans="3:7" ht="13">
      <c r="C523" s="127"/>
      <c r="D523" s="127"/>
      <c r="G523" s="127"/>
    </row>
    <row r="524" spans="3:7" ht="13">
      <c r="C524" s="127"/>
      <c r="D524" s="127"/>
      <c r="G524" s="127"/>
    </row>
    <row r="525" spans="3:7" ht="13">
      <c r="C525" s="127"/>
      <c r="D525" s="127"/>
      <c r="G525" s="127"/>
    </row>
    <row r="526" spans="3:7" ht="13">
      <c r="C526" s="127"/>
      <c r="D526" s="127"/>
      <c r="G526" s="127"/>
    </row>
    <row r="527" spans="3:7" ht="13">
      <c r="C527" s="127"/>
      <c r="D527" s="127"/>
      <c r="G527" s="127"/>
    </row>
    <row r="528" spans="3:7" ht="13">
      <c r="C528" s="127"/>
      <c r="D528" s="127"/>
      <c r="G528" s="127"/>
    </row>
    <row r="529" spans="3:7" ht="13">
      <c r="C529" s="127"/>
      <c r="D529" s="127"/>
      <c r="G529" s="127"/>
    </row>
    <row r="530" spans="3:7" ht="13">
      <c r="C530" s="127"/>
      <c r="D530" s="127"/>
      <c r="G530" s="127"/>
    </row>
    <row r="531" spans="3:7" ht="13">
      <c r="C531" s="127"/>
      <c r="D531" s="127"/>
      <c r="G531" s="127"/>
    </row>
    <row r="532" spans="3:7" ht="13">
      <c r="C532" s="127"/>
      <c r="D532" s="127"/>
      <c r="G532" s="127"/>
    </row>
    <row r="533" spans="3:7" ht="13">
      <c r="C533" s="127"/>
      <c r="D533" s="127"/>
      <c r="G533" s="127"/>
    </row>
    <row r="534" spans="3:7" ht="13">
      <c r="C534" s="127"/>
      <c r="D534" s="127"/>
      <c r="G534" s="127"/>
    </row>
    <row r="535" spans="3:7" ht="13">
      <c r="C535" s="127"/>
      <c r="D535" s="127"/>
      <c r="G535" s="127"/>
    </row>
    <row r="536" spans="3:7" ht="13">
      <c r="C536" s="127"/>
      <c r="D536" s="127"/>
      <c r="G536" s="127"/>
    </row>
    <row r="537" spans="3:7" ht="13">
      <c r="C537" s="127"/>
      <c r="D537" s="127"/>
      <c r="G537" s="127"/>
    </row>
    <row r="538" spans="3:7" ht="13">
      <c r="C538" s="127"/>
      <c r="D538" s="127"/>
      <c r="G538" s="127"/>
    </row>
    <row r="539" spans="3:7" ht="13">
      <c r="C539" s="127"/>
      <c r="D539" s="127"/>
      <c r="G539" s="127"/>
    </row>
    <row r="540" spans="3:7" ht="13">
      <c r="C540" s="127"/>
      <c r="D540" s="127"/>
      <c r="G540" s="127"/>
    </row>
    <row r="541" spans="3:7" ht="13">
      <c r="C541" s="127"/>
      <c r="D541" s="127"/>
      <c r="G541" s="127"/>
    </row>
    <row r="542" spans="3:7" ht="13">
      <c r="C542" s="127"/>
      <c r="D542" s="127"/>
      <c r="G542" s="127"/>
    </row>
    <row r="543" spans="3:7" ht="13">
      <c r="C543" s="127"/>
      <c r="D543" s="127"/>
      <c r="G543" s="127"/>
    </row>
    <row r="544" spans="3:7" ht="13">
      <c r="C544" s="127"/>
      <c r="D544" s="127"/>
      <c r="G544" s="127"/>
    </row>
    <row r="545" spans="3:7" ht="13">
      <c r="C545" s="127"/>
      <c r="D545" s="127"/>
      <c r="G545" s="127"/>
    </row>
    <row r="546" spans="3:7" ht="13">
      <c r="C546" s="127"/>
      <c r="D546" s="127"/>
      <c r="G546" s="127"/>
    </row>
    <row r="547" spans="3:7" ht="13">
      <c r="C547" s="127"/>
      <c r="D547" s="127"/>
      <c r="G547" s="127"/>
    </row>
    <row r="548" spans="3:7" ht="13">
      <c r="C548" s="127"/>
      <c r="D548" s="127"/>
      <c r="G548" s="127"/>
    </row>
    <row r="549" spans="3:7" ht="13">
      <c r="C549" s="127"/>
      <c r="D549" s="127"/>
      <c r="G549" s="127"/>
    </row>
    <row r="550" spans="3:7" ht="13">
      <c r="C550" s="127"/>
      <c r="D550" s="127"/>
      <c r="G550" s="127"/>
    </row>
    <row r="551" spans="3:7" ht="13">
      <c r="C551" s="127"/>
      <c r="D551" s="127"/>
      <c r="G551" s="127"/>
    </row>
    <row r="552" spans="3:7" ht="13">
      <c r="C552" s="127"/>
      <c r="D552" s="127"/>
      <c r="G552" s="127"/>
    </row>
    <row r="553" spans="3:7" ht="13">
      <c r="C553" s="127"/>
      <c r="D553" s="127"/>
      <c r="G553" s="127"/>
    </row>
    <row r="554" spans="3:7" ht="13">
      <c r="C554" s="127"/>
      <c r="D554" s="127"/>
      <c r="G554" s="127"/>
    </row>
    <row r="555" spans="3:7" ht="13">
      <c r="C555" s="127"/>
      <c r="D555" s="127"/>
      <c r="G555" s="127"/>
    </row>
    <row r="556" spans="3:7" ht="13">
      <c r="C556" s="127"/>
      <c r="D556" s="127"/>
      <c r="G556" s="127"/>
    </row>
    <row r="557" spans="3:7" ht="13">
      <c r="C557" s="127"/>
      <c r="D557" s="127"/>
      <c r="G557" s="127"/>
    </row>
    <row r="558" spans="3:7" ht="13">
      <c r="C558" s="127"/>
      <c r="D558" s="127"/>
      <c r="G558" s="127"/>
    </row>
    <row r="559" spans="3:7" ht="13">
      <c r="C559" s="127"/>
      <c r="D559" s="127"/>
      <c r="G559" s="127"/>
    </row>
    <row r="560" spans="3:7" ht="13">
      <c r="C560" s="127"/>
      <c r="D560" s="127"/>
      <c r="G560" s="127"/>
    </row>
    <row r="561" spans="3:7" ht="13">
      <c r="C561" s="127"/>
      <c r="D561" s="127"/>
      <c r="G561" s="127"/>
    </row>
    <row r="562" spans="3:7" ht="13">
      <c r="C562" s="127"/>
      <c r="D562" s="127"/>
      <c r="G562" s="127"/>
    </row>
    <row r="563" spans="3:7" ht="13">
      <c r="C563" s="127"/>
      <c r="D563" s="127"/>
      <c r="G563" s="127"/>
    </row>
    <row r="564" spans="3:7" ht="13">
      <c r="C564" s="127"/>
      <c r="D564" s="127"/>
      <c r="G564" s="127"/>
    </row>
    <row r="565" spans="3:7" ht="13">
      <c r="C565" s="127"/>
      <c r="D565" s="127"/>
      <c r="G565" s="127"/>
    </row>
    <row r="566" spans="3:7" ht="13">
      <c r="C566" s="127"/>
      <c r="D566" s="127"/>
      <c r="G566" s="127"/>
    </row>
    <row r="567" spans="3:7" ht="13">
      <c r="C567" s="127"/>
      <c r="D567" s="127"/>
      <c r="G567" s="127"/>
    </row>
    <row r="568" spans="3:7" ht="13">
      <c r="C568" s="127"/>
      <c r="D568" s="127"/>
      <c r="G568" s="127"/>
    </row>
    <row r="569" spans="3:7" ht="13">
      <c r="C569" s="127"/>
      <c r="D569" s="127"/>
      <c r="G569" s="127"/>
    </row>
    <row r="570" spans="3:7" ht="13">
      <c r="C570" s="127"/>
      <c r="D570" s="127"/>
      <c r="G570" s="127"/>
    </row>
    <row r="571" spans="3:7" ht="13">
      <c r="C571" s="127"/>
      <c r="D571" s="127"/>
      <c r="G571" s="127"/>
    </row>
    <row r="572" spans="3:7" ht="13">
      <c r="C572" s="127"/>
      <c r="D572" s="127"/>
      <c r="G572" s="127"/>
    </row>
    <row r="573" spans="3:7" ht="13">
      <c r="C573" s="127"/>
      <c r="D573" s="127"/>
      <c r="G573" s="127"/>
    </row>
    <row r="574" spans="3:7" ht="13">
      <c r="C574" s="127"/>
      <c r="D574" s="127"/>
      <c r="G574" s="127"/>
    </row>
    <row r="575" spans="3:7" ht="13">
      <c r="C575" s="127"/>
      <c r="D575" s="127"/>
      <c r="G575" s="127"/>
    </row>
    <row r="576" spans="3:7" ht="13">
      <c r="C576" s="127"/>
      <c r="D576" s="127"/>
      <c r="G576" s="127"/>
    </row>
    <row r="577" spans="3:7" ht="13">
      <c r="C577" s="127"/>
      <c r="D577" s="127"/>
      <c r="G577" s="127"/>
    </row>
    <row r="578" spans="3:7" ht="13">
      <c r="C578" s="127"/>
      <c r="D578" s="127"/>
      <c r="G578" s="127"/>
    </row>
    <row r="579" spans="3:7" ht="13">
      <c r="C579" s="127"/>
      <c r="D579" s="127"/>
      <c r="G579" s="127"/>
    </row>
    <row r="580" spans="3:7" ht="13">
      <c r="C580" s="127"/>
      <c r="D580" s="127"/>
      <c r="G580" s="127"/>
    </row>
    <row r="581" spans="3:7" ht="13">
      <c r="C581" s="127"/>
      <c r="D581" s="127"/>
      <c r="G581" s="127"/>
    </row>
    <row r="582" spans="3:7" ht="13">
      <c r="C582" s="127"/>
      <c r="D582" s="127"/>
      <c r="G582" s="127"/>
    </row>
    <row r="583" spans="3:7" ht="13">
      <c r="C583" s="127"/>
      <c r="D583" s="127"/>
      <c r="G583" s="127"/>
    </row>
    <row r="584" spans="3:7" ht="13">
      <c r="C584" s="127"/>
      <c r="D584" s="127"/>
      <c r="G584" s="127"/>
    </row>
    <row r="585" spans="3:7" ht="13">
      <c r="C585" s="127"/>
      <c r="D585" s="127"/>
      <c r="G585" s="127"/>
    </row>
    <row r="586" spans="3:7" ht="13">
      <c r="C586" s="127"/>
      <c r="D586" s="127"/>
      <c r="G586" s="127"/>
    </row>
    <row r="587" spans="3:7" ht="13">
      <c r="C587" s="127"/>
      <c r="D587" s="127"/>
      <c r="G587" s="127"/>
    </row>
    <row r="588" spans="3:7" ht="13">
      <c r="C588" s="127"/>
      <c r="D588" s="127"/>
      <c r="G588" s="127"/>
    </row>
    <row r="589" spans="3:7" ht="13">
      <c r="C589" s="127"/>
      <c r="D589" s="127"/>
      <c r="G589" s="127"/>
    </row>
    <row r="590" spans="3:7" ht="13">
      <c r="C590" s="127"/>
      <c r="D590" s="127"/>
      <c r="G590" s="127"/>
    </row>
    <row r="591" spans="3:7" ht="13">
      <c r="C591" s="127"/>
      <c r="D591" s="127"/>
      <c r="G591" s="127"/>
    </row>
    <row r="592" spans="3:7" ht="13">
      <c r="C592" s="127"/>
      <c r="D592" s="127"/>
      <c r="G592" s="127"/>
    </row>
    <row r="593" spans="3:7" ht="13">
      <c r="C593" s="127"/>
      <c r="D593" s="127"/>
      <c r="G593" s="127"/>
    </row>
    <row r="594" spans="3:7" ht="13">
      <c r="C594" s="127"/>
      <c r="D594" s="127"/>
      <c r="G594" s="127"/>
    </row>
    <row r="595" spans="3:7" ht="13">
      <c r="C595" s="127"/>
      <c r="D595" s="127"/>
      <c r="G595" s="127"/>
    </row>
    <row r="596" spans="3:7" ht="13">
      <c r="C596" s="127"/>
      <c r="D596" s="127"/>
      <c r="G596" s="127"/>
    </row>
    <row r="597" spans="3:7" ht="13">
      <c r="C597" s="127"/>
      <c r="D597" s="127"/>
      <c r="G597" s="127"/>
    </row>
    <row r="598" spans="3:7" ht="13">
      <c r="C598" s="127"/>
      <c r="D598" s="127"/>
      <c r="G598" s="127"/>
    </row>
    <row r="599" spans="3:7" ht="13">
      <c r="C599" s="127"/>
      <c r="D599" s="127"/>
      <c r="G599" s="127"/>
    </row>
    <row r="600" spans="3:7" ht="13">
      <c r="C600" s="127"/>
      <c r="D600" s="127"/>
      <c r="G600" s="127"/>
    </row>
    <row r="601" spans="3:7" ht="13">
      <c r="C601" s="127"/>
      <c r="D601" s="127"/>
      <c r="G601" s="127"/>
    </row>
    <row r="602" spans="3:7" ht="13">
      <c r="C602" s="127"/>
      <c r="D602" s="127"/>
      <c r="G602" s="127"/>
    </row>
    <row r="603" spans="3:7" ht="13">
      <c r="C603" s="127"/>
      <c r="D603" s="127"/>
      <c r="G603" s="127"/>
    </row>
    <row r="604" spans="3:7" ht="13">
      <c r="C604" s="127"/>
      <c r="D604" s="127"/>
      <c r="G604" s="127"/>
    </row>
    <row r="605" spans="3:7" ht="13">
      <c r="C605" s="127"/>
      <c r="D605" s="127"/>
      <c r="G605" s="127"/>
    </row>
    <row r="606" spans="3:7" ht="13">
      <c r="C606" s="127"/>
      <c r="D606" s="127"/>
      <c r="G606" s="127"/>
    </row>
    <row r="607" spans="3:7" ht="13">
      <c r="C607" s="127"/>
      <c r="D607" s="127"/>
      <c r="G607" s="127"/>
    </row>
    <row r="608" spans="3:7" ht="13">
      <c r="C608" s="127"/>
      <c r="D608" s="127"/>
      <c r="G608" s="127"/>
    </row>
    <row r="609" spans="3:7" ht="13">
      <c r="C609" s="127"/>
      <c r="D609" s="127"/>
      <c r="G609" s="127"/>
    </row>
    <row r="610" spans="3:7" ht="13">
      <c r="C610" s="127"/>
      <c r="D610" s="127"/>
      <c r="G610" s="127"/>
    </row>
    <row r="611" spans="3:7" ht="13">
      <c r="C611" s="127"/>
      <c r="D611" s="127"/>
      <c r="G611" s="127"/>
    </row>
    <row r="612" spans="3:7" ht="13">
      <c r="C612" s="127"/>
      <c r="D612" s="127"/>
      <c r="G612" s="127"/>
    </row>
    <row r="613" spans="3:7" ht="13">
      <c r="C613" s="127"/>
      <c r="D613" s="127"/>
      <c r="G613" s="127"/>
    </row>
    <row r="614" spans="3:7" ht="13">
      <c r="C614" s="127"/>
      <c r="D614" s="127"/>
      <c r="G614" s="127"/>
    </row>
    <row r="615" spans="3:7" ht="13">
      <c r="C615" s="127"/>
      <c r="D615" s="127"/>
      <c r="G615" s="127"/>
    </row>
    <row r="616" spans="3:7" ht="13">
      <c r="C616" s="127"/>
      <c r="D616" s="127"/>
      <c r="G616" s="127"/>
    </row>
    <row r="617" spans="3:7" ht="13">
      <c r="C617" s="127"/>
      <c r="D617" s="127"/>
      <c r="G617" s="127"/>
    </row>
    <row r="618" spans="3:7" ht="13">
      <c r="C618" s="127"/>
      <c r="D618" s="127"/>
      <c r="G618" s="127"/>
    </row>
    <row r="619" spans="3:7" ht="13">
      <c r="C619" s="127"/>
      <c r="D619" s="127"/>
      <c r="G619" s="127"/>
    </row>
    <row r="620" spans="3:7" ht="13">
      <c r="C620" s="127"/>
      <c r="D620" s="127"/>
      <c r="G620" s="127"/>
    </row>
    <row r="621" spans="3:7" ht="13">
      <c r="C621" s="127"/>
      <c r="D621" s="127"/>
      <c r="G621" s="127"/>
    </row>
    <row r="622" spans="3:7" ht="13">
      <c r="C622" s="127"/>
      <c r="D622" s="127"/>
      <c r="G622" s="127"/>
    </row>
    <row r="623" spans="3:7" ht="13">
      <c r="C623" s="127"/>
      <c r="D623" s="127"/>
      <c r="G623" s="127"/>
    </row>
    <row r="624" spans="3:7" ht="13">
      <c r="C624" s="127"/>
      <c r="D624" s="127"/>
      <c r="G624" s="127"/>
    </row>
    <row r="625" spans="3:7" ht="13">
      <c r="C625" s="127"/>
      <c r="D625" s="127"/>
      <c r="G625" s="127"/>
    </row>
    <row r="626" spans="3:7" ht="13">
      <c r="C626" s="127"/>
      <c r="D626" s="127"/>
      <c r="G626" s="127"/>
    </row>
    <row r="627" spans="3:7" ht="13">
      <c r="C627" s="127"/>
      <c r="D627" s="127"/>
      <c r="G627" s="127"/>
    </row>
    <row r="628" spans="3:7" ht="13">
      <c r="C628" s="127"/>
      <c r="D628" s="127"/>
      <c r="G628" s="127"/>
    </row>
    <row r="629" spans="3:7" ht="13">
      <c r="C629" s="127"/>
      <c r="D629" s="127"/>
      <c r="G629" s="127"/>
    </row>
    <row r="630" spans="3:7" ht="13">
      <c r="C630" s="127"/>
      <c r="D630" s="127"/>
      <c r="G630" s="127"/>
    </row>
    <row r="631" spans="3:7" ht="13">
      <c r="C631" s="127"/>
      <c r="D631" s="127"/>
      <c r="G631" s="127"/>
    </row>
    <row r="632" spans="3:7" ht="13">
      <c r="C632" s="127"/>
      <c r="D632" s="127"/>
      <c r="G632" s="127"/>
    </row>
    <row r="633" spans="3:7" ht="13">
      <c r="C633" s="127"/>
      <c r="D633" s="127"/>
      <c r="G633" s="127"/>
    </row>
    <row r="634" spans="3:7" ht="13">
      <c r="C634" s="127"/>
      <c r="D634" s="127"/>
      <c r="G634" s="127"/>
    </row>
    <row r="635" spans="3:7" ht="13">
      <c r="C635" s="127"/>
      <c r="D635" s="127"/>
      <c r="G635" s="127"/>
    </row>
    <row r="636" spans="3:7" ht="13">
      <c r="C636" s="127"/>
      <c r="D636" s="127"/>
      <c r="G636" s="127"/>
    </row>
    <row r="637" spans="3:7" ht="13">
      <c r="C637" s="127"/>
      <c r="D637" s="127"/>
      <c r="G637" s="127"/>
    </row>
    <row r="638" spans="3:7" ht="13">
      <c r="C638" s="127"/>
      <c r="D638" s="127"/>
      <c r="G638" s="127"/>
    </row>
    <row r="639" spans="3:7" ht="13">
      <c r="C639" s="127"/>
      <c r="D639" s="127"/>
      <c r="G639" s="127"/>
    </row>
    <row r="640" spans="3:7" ht="13">
      <c r="C640" s="127"/>
      <c r="D640" s="127"/>
      <c r="G640" s="127"/>
    </row>
    <row r="641" spans="3:7" ht="13">
      <c r="C641" s="127"/>
      <c r="D641" s="127"/>
      <c r="G641" s="127"/>
    </row>
    <row r="642" spans="3:7" ht="13">
      <c r="C642" s="127"/>
      <c r="D642" s="127"/>
      <c r="G642" s="127"/>
    </row>
    <row r="643" spans="3:7" ht="13">
      <c r="C643" s="127"/>
      <c r="D643" s="127"/>
      <c r="G643" s="127"/>
    </row>
    <row r="644" spans="3:7" ht="13">
      <c r="C644" s="127"/>
      <c r="D644" s="127"/>
      <c r="G644" s="127"/>
    </row>
    <row r="645" spans="3:7" ht="13">
      <c r="C645" s="127"/>
      <c r="D645" s="127"/>
      <c r="G645" s="127"/>
    </row>
    <row r="646" spans="3:7" ht="13">
      <c r="C646" s="127"/>
      <c r="D646" s="127"/>
      <c r="G646" s="127"/>
    </row>
    <row r="647" spans="3:7" ht="13">
      <c r="C647" s="127"/>
      <c r="D647" s="127"/>
      <c r="G647" s="127"/>
    </row>
    <row r="648" spans="3:7" ht="13">
      <c r="C648" s="127"/>
      <c r="D648" s="127"/>
      <c r="G648" s="127"/>
    </row>
    <row r="649" spans="3:7" ht="13">
      <c r="C649" s="127"/>
      <c r="D649" s="127"/>
      <c r="G649" s="127"/>
    </row>
    <row r="650" spans="3:7" ht="13">
      <c r="C650" s="127"/>
      <c r="D650" s="127"/>
      <c r="G650" s="127"/>
    </row>
    <row r="651" spans="3:7" ht="13">
      <c r="C651" s="127"/>
      <c r="D651" s="127"/>
      <c r="G651" s="127"/>
    </row>
    <row r="652" spans="3:7" ht="13">
      <c r="C652" s="127"/>
      <c r="D652" s="127"/>
      <c r="G652" s="127"/>
    </row>
    <row r="653" spans="3:7" ht="13">
      <c r="C653" s="127"/>
      <c r="D653" s="127"/>
      <c r="G653" s="127"/>
    </row>
    <row r="654" spans="3:7" ht="13">
      <c r="C654" s="127"/>
      <c r="D654" s="127"/>
      <c r="G654" s="127"/>
    </row>
    <row r="655" spans="3:7" ht="13">
      <c r="C655" s="127"/>
      <c r="D655" s="127"/>
      <c r="G655" s="127"/>
    </row>
    <row r="656" spans="3:7" ht="13">
      <c r="C656" s="127"/>
      <c r="D656" s="127"/>
      <c r="G656" s="127"/>
    </row>
    <row r="657" spans="3:7" ht="13">
      <c r="C657" s="127"/>
      <c r="D657" s="127"/>
      <c r="G657" s="127"/>
    </row>
    <row r="658" spans="3:7" ht="13">
      <c r="C658" s="127"/>
      <c r="D658" s="127"/>
      <c r="G658" s="127"/>
    </row>
    <row r="659" spans="3:7" ht="13">
      <c r="C659" s="127"/>
      <c r="D659" s="127"/>
      <c r="G659" s="127"/>
    </row>
    <row r="660" spans="3:7" ht="13">
      <c r="C660" s="127"/>
      <c r="D660" s="127"/>
      <c r="G660" s="127"/>
    </row>
    <row r="661" spans="3:7" ht="13">
      <c r="C661" s="127"/>
      <c r="D661" s="127"/>
      <c r="G661" s="127"/>
    </row>
    <row r="662" spans="3:7" ht="13">
      <c r="C662" s="127"/>
      <c r="D662" s="127"/>
      <c r="G662" s="127"/>
    </row>
    <row r="663" spans="3:7" ht="13">
      <c r="C663" s="127"/>
      <c r="D663" s="127"/>
      <c r="G663" s="127"/>
    </row>
    <row r="664" spans="3:7" ht="13">
      <c r="C664" s="127"/>
      <c r="D664" s="127"/>
      <c r="G664" s="127"/>
    </row>
    <row r="665" spans="3:7" ht="13">
      <c r="C665" s="127"/>
      <c r="D665" s="127"/>
      <c r="G665" s="127"/>
    </row>
    <row r="666" spans="3:7" ht="13">
      <c r="C666" s="127"/>
      <c r="D666" s="127"/>
      <c r="G666" s="127"/>
    </row>
    <row r="667" spans="3:7" ht="13">
      <c r="C667" s="127"/>
      <c r="D667" s="127"/>
      <c r="G667" s="127"/>
    </row>
    <row r="668" spans="3:7" ht="13">
      <c r="C668" s="127"/>
      <c r="D668" s="127"/>
      <c r="G668" s="127"/>
    </row>
    <row r="669" spans="3:7" ht="13">
      <c r="C669" s="127"/>
      <c r="D669" s="127"/>
      <c r="G669" s="127"/>
    </row>
    <row r="670" spans="3:7" ht="13">
      <c r="C670" s="127"/>
      <c r="D670" s="127"/>
      <c r="G670" s="127"/>
    </row>
    <row r="671" spans="3:7" ht="13">
      <c r="C671" s="127"/>
      <c r="D671" s="127"/>
      <c r="G671" s="127"/>
    </row>
    <row r="672" spans="3:7" ht="13">
      <c r="C672" s="127"/>
      <c r="D672" s="127"/>
      <c r="G672" s="127"/>
    </row>
    <row r="673" spans="3:7" ht="13">
      <c r="C673" s="127"/>
      <c r="D673" s="127"/>
      <c r="G673" s="127"/>
    </row>
    <row r="674" spans="3:7" ht="13">
      <c r="C674" s="127"/>
      <c r="D674" s="127"/>
      <c r="G674" s="127"/>
    </row>
    <row r="675" spans="3:7" ht="13">
      <c r="C675" s="127"/>
      <c r="D675" s="127"/>
      <c r="G675" s="127"/>
    </row>
    <row r="676" spans="3:7" ht="13">
      <c r="C676" s="127"/>
      <c r="D676" s="127"/>
      <c r="G676" s="127"/>
    </row>
    <row r="677" spans="3:7" ht="13">
      <c r="C677" s="127"/>
      <c r="D677" s="127"/>
      <c r="G677" s="127"/>
    </row>
    <row r="678" spans="3:7" ht="13">
      <c r="C678" s="127"/>
      <c r="D678" s="127"/>
      <c r="G678" s="127"/>
    </row>
    <row r="679" spans="3:7" ht="13">
      <c r="C679" s="127"/>
      <c r="D679" s="127"/>
      <c r="G679" s="127"/>
    </row>
    <row r="680" spans="3:7" ht="13">
      <c r="C680" s="127"/>
      <c r="D680" s="127"/>
      <c r="G680" s="127"/>
    </row>
    <row r="681" spans="3:7" ht="13">
      <c r="C681" s="127"/>
      <c r="D681" s="127"/>
      <c r="G681" s="127"/>
    </row>
    <row r="682" spans="3:7" ht="13">
      <c r="C682" s="127"/>
      <c r="D682" s="127"/>
      <c r="G682" s="127"/>
    </row>
    <row r="683" spans="3:7" ht="13">
      <c r="C683" s="127"/>
      <c r="D683" s="127"/>
      <c r="G683" s="127"/>
    </row>
    <row r="684" spans="3:7" ht="13">
      <c r="C684" s="127"/>
      <c r="D684" s="127"/>
      <c r="G684" s="127"/>
    </row>
    <row r="685" spans="3:7" ht="13">
      <c r="C685" s="127"/>
      <c r="D685" s="127"/>
      <c r="G685" s="127"/>
    </row>
    <row r="686" spans="3:7" ht="13">
      <c r="C686" s="127"/>
      <c r="D686" s="127"/>
      <c r="G686" s="127"/>
    </row>
    <row r="687" spans="3:7" ht="13">
      <c r="C687" s="127"/>
      <c r="D687" s="127"/>
      <c r="G687" s="127"/>
    </row>
    <row r="688" spans="3:7" ht="13">
      <c r="C688" s="127"/>
      <c r="D688" s="127"/>
      <c r="G688" s="127"/>
    </row>
    <row r="689" spans="3:7" ht="13">
      <c r="C689" s="127"/>
      <c r="D689" s="127"/>
      <c r="G689" s="127"/>
    </row>
    <row r="690" spans="3:7" ht="13">
      <c r="C690" s="127"/>
      <c r="D690" s="127"/>
      <c r="G690" s="127"/>
    </row>
    <row r="691" spans="3:7" ht="13">
      <c r="C691" s="127"/>
      <c r="D691" s="127"/>
      <c r="G691" s="127"/>
    </row>
    <row r="692" spans="3:7" ht="13">
      <c r="C692" s="127"/>
      <c r="D692" s="127"/>
      <c r="G692" s="127"/>
    </row>
    <row r="693" spans="3:7" ht="13">
      <c r="C693" s="127"/>
      <c r="D693" s="127"/>
      <c r="G693" s="127"/>
    </row>
    <row r="694" spans="3:7" ht="13">
      <c r="C694" s="127"/>
      <c r="D694" s="127"/>
      <c r="G694" s="127"/>
    </row>
    <row r="695" spans="3:7" ht="13">
      <c r="C695" s="127"/>
      <c r="D695" s="127"/>
      <c r="G695" s="127"/>
    </row>
    <row r="696" spans="3:7" ht="13">
      <c r="C696" s="127"/>
      <c r="D696" s="127"/>
      <c r="G696" s="127"/>
    </row>
    <row r="697" spans="3:7" ht="13">
      <c r="C697" s="127"/>
      <c r="D697" s="127"/>
      <c r="G697" s="127"/>
    </row>
    <row r="698" spans="3:7" ht="13">
      <c r="C698" s="127"/>
      <c r="D698" s="127"/>
      <c r="G698" s="127"/>
    </row>
    <row r="699" spans="3:7" ht="13">
      <c r="C699" s="127"/>
      <c r="D699" s="127"/>
      <c r="G699" s="127"/>
    </row>
    <row r="700" spans="3:7" ht="13">
      <c r="C700" s="127"/>
      <c r="D700" s="127"/>
      <c r="G700" s="127"/>
    </row>
    <row r="701" spans="3:7" ht="13">
      <c r="C701" s="127"/>
      <c r="D701" s="127"/>
      <c r="G701" s="127"/>
    </row>
    <row r="702" spans="3:7" ht="13">
      <c r="C702" s="127"/>
      <c r="D702" s="127"/>
      <c r="G702" s="127"/>
    </row>
    <row r="703" spans="3:7" ht="13">
      <c r="C703" s="127"/>
      <c r="D703" s="127"/>
      <c r="G703" s="127"/>
    </row>
    <row r="704" spans="3:7" ht="13">
      <c r="C704" s="127"/>
      <c r="D704" s="127"/>
      <c r="G704" s="127"/>
    </row>
    <row r="705" spans="3:7" ht="13">
      <c r="C705" s="127"/>
      <c r="D705" s="127"/>
      <c r="G705" s="127"/>
    </row>
    <row r="706" spans="3:7" ht="13">
      <c r="C706" s="127"/>
      <c r="D706" s="127"/>
      <c r="G706" s="127"/>
    </row>
    <row r="707" spans="3:7" ht="13">
      <c r="C707" s="127"/>
      <c r="D707" s="127"/>
      <c r="G707" s="127"/>
    </row>
    <row r="708" spans="3:7" ht="13">
      <c r="C708" s="127"/>
      <c r="D708" s="127"/>
      <c r="G708" s="127"/>
    </row>
    <row r="709" spans="3:7" ht="13">
      <c r="C709" s="127"/>
      <c r="D709" s="127"/>
      <c r="G709" s="127"/>
    </row>
    <row r="710" spans="3:7" ht="13">
      <c r="C710" s="127"/>
      <c r="D710" s="127"/>
      <c r="G710" s="127"/>
    </row>
    <row r="711" spans="3:7" ht="13">
      <c r="C711" s="127"/>
      <c r="D711" s="127"/>
      <c r="G711" s="127"/>
    </row>
    <row r="712" spans="3:7" ht="13">
      <c r="C712" s="127"/>
      <c r="D712" s="127"/>
      <c r="G712" s="127"/>
    </row>
    <row r="713" spans="3:7" ht="13">
      <c r="C713" s="127"/>
      <c r="D713" s="127"/>
      <c r="G713" s="127"/>
    </row>
    <row r="714" spans="3:7" ht="13">
      <c r="C714" s="127"/>
      <c r="D714" s="127"/>
      <c r="G714" s="127"/>
    </row>
    <row r="715" spans="3:7" ht="13">
      <c r="C715" s="127"/>
      <c r="D715" s="127"/>
      <c r="G715" s="127"/>
    </row>
    <row r="716" spans="3:7" ht="13">
      <c r="C716" s="127"/>
      <c r="D716" s="127"/>
      <c r="G716" s="127"/>
    </row>
    <row r="717" spans="3:7" ht="13">
      <c r="C717" s="127"/>
      <c r="D717" s="127"/>
      <c r="G717" s="127"/>
    </row>
    <row r="718" spans="3:7" ht="13">
      <c r="C718" s="127"/>
      <c r="D718" s="127"/>
      <c r="G718" s="127"/>
    </row>
    <row r="719" spans="3:7" ht="13">
      <c r="C719" s="127"/>
      <c r="D719" s="127"/>
      <c r="G719" s="127"/>
    </row>
    <row r="720" spans="3:7" ht="13">
      <c r="C720" s="127"/>
      <c r="D720" s="127"/>
      <c r="G720" s="127"/>
    </row>
    <row r="721" spans="3:7" ht="13">
      <c r="C721" s="127"/>
      <c r="D721" s="127"/>
      <c r="G721" s="127"/>
    </row>
    <row r="722" spans="3:7" ht="13">
      <c r="C722" s="127"/>
      <c r="D722" s="127"/>
      <c r="G722" s="127"/>
    </row>
    <row r="723" spans="3:7" ht="13">
      <c r="C723" s="127"/>
      <c r="D723" s="127"/>
      <c r="G723" s="127"/>
    </row>
    <row r="724" spans="3:7" ht="13">
      <c r="C724" s="127"/>
      <c r="D724" s="127"/>
      <c r="G724" s="127"/>
    </row>
    <row r="725" spans="3:7" ht="13">
      <c r="C725" s="127"/>
      <c r="D725" s="127"/>
      <c r="G725" s="127"/>
    </row>
    <row r="726" spans="3:7" ht="13">
      <c r="C726" s="127"/>
      <c r="D726" s="127"/>
      <c r="G726" s="127"/>
    </row>
    <row r="727" spans="3:7" ht="13">
      <c r="C727" s="127"/>
      <c r="D727" s="127"/>
      <c r="G727" s="127"/>
    </row>
    <row r="728" spans="3:7" ht="13">
      <c r="C728" s="127"/>
      <c r="D728" s="127"/>
      <c r="G728" s="127"/>
    </row>
    <row r="729" spans="3:7" ht="13">
      <c r="C729" s="127"/>
      <c r="D729" s="127"/>
      <c r="G729" s="127"/>
    </row>
    <row r="730" spans="3:7" ht="13">
      <c r="C730" s="127"/>
      <c r="D730" s="127"/>
      <c r="G730" s="127"/>
    </row>
    <row r="731" spans="3:7" ht="13">
      <c r="C731" s="127"/>
      <c r="D731" s="127"/>
      <c r="G731" s="127"/>
    </row>
    <row r="732" spans="3:7" ht="13">
      <c r="C732" s="127"/>
      <c r="D732" s="127"/>
      <c r="G732" s="127"/>
    </row>
    <row r="733" spans="3:7" ht="13">
      <c r="C733" s="127"/>
      <c r="D733" s="127"/>
      <c r="G733" s="127"/>
    </row>
    <row r="734" spans="3:7" ht="13">
      <c r="C734" s="127"/>
      <c r="D734" s="127"/>
      <c r="G734" s="127"/>
    </row>
    <row r="735" spans="3:7" ht="13">
      <c r="C735" s="127"/>
      <c r="D735" s="127"/>
      <c r="G735" s="127"/>
    </row>
    <row r="736" spans="3:7" ht="13">
      <c r="C736" s="127"/>
      <c r="D736" s="127"/>
      <c r="G736" s="127"/>
    </row>
    <row r="737" spans="3:7" ht="13">
      <c r="C737" s="127"/>
      <c r="D737" s="127"/>
      <c r="G737" s="127"/>
    </row>
    <row r="738" spans="3:7" ht="13">
      <c r="C738" s="127"/>
      <c r="D738" s="127"/>
      <c r="G738" s="127"/>
    </row>
    <row r="739" spans="3:7" ht="13">
      <c r="C739" s="127"/>
      <c r="D739" s="127"/>
      <c r="G739" s="127"/>
    </row>
    <row r="740" spans="3:7" ht="13">
      <c r="C740" s="127"/>
      <c r="D740" s="127"/>
      <c r="G740" s="127"/>
    </row>
    <row r="741" spans="3:7" ht="13">
      <c r="C741" s="127"/>
      <c r="D741" s="127"/>
      <c r="G741" s="127"/>
    </row>
    <row r="742" spans="3:7" ht="13">
      <c r="C742" s="127"/>
      <c r="D742" s="127"/>
      <c r="G742" s="127"/>
    </row>
    <row r="743" spans="3:7" ht="13">
      <c r="C743" s="127"/>
      <c r="D743" s="127"/>
      <c r="G743" s="127"/>
    </row>
    <row r="744" spans="3:7" ht="13">
      <c r="C744" s="127"/>
      <c r="D744" s="127"/>
      <c r="G744" s="127"/>
    </row>
    <row r="745" spans="3:7" ht="13">
      <c r="C745" s="127"/>
      <c r="D745" s="127"/>
      <c r="G745" s="127"/>
    </row>
    <row r="746" spans="3:7" ht="13">
      <c r="C746" s="127"/>
      <c r="D746" s="127"/>
      <c r="G746" s="127"/>
    </row>
    <row r="747" spans="3:7" ht="13">
      <c r="C747" s="127"/>
      <c r="D747" s="127"/>
      <c r="G747" s="127"/>
    </row>
    <row r="748" spans="3:7" ht="13">
      <c r="C748" s="127"/>
      <c r="D748" s="127"/>
      <c r="G748" s="127"/>
    </row>
    <row r="749" spans="3:7" ht="13">
      <c r="C749" s="127"/>
      <c r="D749" s="127"/>
      <c r="G749" s="127"/>
    </row>
    <row r="750" spans="3:7" ht="13">
      <c r="C750" s="127"/>
      <c r="D750" s="127"/>
      <c r="G750" s="127"/>
    </row>
    <row r="751" spans="3:7" ht="13">
      <c r="C751" s="127"/>
      <c r="D751" s="127"/>
      <c r="G751" s="127"/>
    </row>
    <row r="752" spans="3:7" ht="13">
      <c r="C752" s="127"/>
      <c r="D752" s="127"/>
      <c r="G752" s="127"/>
    </row>
    <row r="753" spans="3:7" ht="13">
      <c r="C753" s="127"/>
      <c r="D753" s="127"/>
      <c r="G753" s="127"/>
    </row>
    <row r="754" spans="3:7" ht="13">
      <c r="C754" s="127"/>
      <c r="D754" s="127"/>
      <c r="G754" s="127"/>
    </row>
    <row r="755" spans="3:7" ht="13">
      <c r="C755" s="127"/>
      <c r="D755" s="127"/>
      <c r="G755" s="127"/>
    </row>
    <row r="756" spans="3:7" ht="13">
      <c r="C756" s="127"/>
      <c r="D756" s="127"/>
      <c r="G756" s="127"/>
    </row>
    <row r="757" spans="3:7" ht="13">
      <c r="C757" s="127"/>
      <c r="D757" s="127"/>
      <c r="G757" s="127"/>
    </row>
    <row r="758" spans="3:7" ht="13">
      <c r="C758" s="127"/>
      <c r="D758" s="127"/>
      <c r="G758" s="127"/>
    </row>
    <row r="759" spans="3:7" ht="13">
      <c r="C759" s="127"/>
      <c r="D759" s="127"/>
      <c r="G759" s="127"/>
    </row>
    <row r="760" spans="3:7" ht="13">
      <c r="C760" s="127"/>
      <c r="D760" s="127"/>
      <c r="G760" s="127"/>
    </row>
    <row r="761" spans="3:7" ht="13">
      <c r="C761" s="127"/>
      <c r="D761" s="127"/>
      <c r="G761" s="127"/>
    </row>
    <row r="762" spans="3:7" ht="13">
      <c r="C762" s="127"/>
      <c r="D762" s="127"/>
      <c r="G762" s="127"/>
    </row>
    <row r="763" spans="3:7" ht="13">
      <c r="C763" s="127"/>
      <c r="D763" s="127"/>
      <c r="G763" s="127"/>
    </row>
    <row r="764" spans="3:7" ht="13">
      <c r="C764" s="127"/>
      <c r="D764" s="127"/>
      <c r="G764" s="127"/>
    </row>
    <row r="765" spans="3:7" ht="13">
      <c r="C765" s="127"/>
      <c r="D765" s="127"/>
      <c r="G765" s="127"/>
    </row>
    <row r="766" spans="3:7" ht="13">
      <c r="C766" s="127"/>
      <c r="D766" s="127"/>
      <c r="G766" s="127"/>
    </row>
    <row r="767" spans="3:7" ht="13">
      <c r="C767" s="127"/>
      <c r="D767" s="127"/>
      <c r="G767" s="127"/>
    </row>
    <row r="768" spans="3:7" ht="13">
      <c r="C768" s="127"/>
      <c r="D768" s="127"/>
      <c r="G768" s="127"/>
    </row>
    <row r="769" spans="3:7" ht="13">
      <c r="C769" s="127"/>
      <c r="D769" s="127"/>
      <c r="G769" s="127"/>
    </row>
    <row r="770" spans="3:7" ht="13">
      <c r="C770" s="127"/>
      <c r="D770" s="127"/>
      <c r="G770" s="127"/>
    </row>
    <row r="771" spans="3:7" ht="13">
      <c r="C771" s="127"/>
      <c r="D771" s="127"/>
      <c r="G771" s="127"/>
    </row>
    <row r="772" spans="3:7" ht="13">
      <c r="C772" s="127"/>
      <c r="D772" s="127"/>
      <c r="G772" s="127"/>
    </row>
    <row r="773" spans="3:7" ht="13">
      <c r="C773" s="127"/>
      <c r="D773" s="127"/>
      <c r="G773" s="127"/>
    </row>
    <row r="774" spans="3:7" ht="13">
      <c r="C774" s="127"/>
      <c r="D774" s="127"/>
      <c r="G774" s="127"/>
    </row>
    <row r="775" spans="3:7" ht="13">
      <c r="C775" s="127"/>
      <c r="D775" s="127"/>
      <c r="G775" s="127"/>
    </row>
    <row r="776" spans="3:7" ht="13">
      <c r="C776" s="127"/>
      <c r="D776" s="127"/>
      <c r="G776" s="127"/>
    </row>
    <row r="777" spans="3:7" ht="13">
      <c r="C777" s="127"/>
      <c r="D777" s="127"/>
      <c r="G777" s="127"/>
    </row>
    <row r="778" spans="3:7" ht="13">
      <c r="C778" s="127"/>
      <c r="D778" s="127"/>
      <c r="G778" s="127"/>
    </row>
    <row r="779" spans="3:7" ht="13">
      <c r="C779" s="127"/>
      <c r="D779" s="127"/>
      <c r="G779" s="127"/>
    </row>
    <row r="780" spans="3:7" ht="13">
      <c r="C780" s="127"/>
      <c r="D780" s="127"/>
      <c r="G780" s="127"/>
    </row>
    <row r="781" spans="3:7" ht="13">
      <c r="C781" s="127"/>
      <c r="D781" s="127"/>
      <c r="G781" s="127"/>
    </row>
    <row r="782" spans="3:7" ht="13">
      <c r="C782" s="127"/>
      <c r="D782" s="127"/>
      <c r="G782" s="127"/>
    </row>
    <row r="783" spans="3:7" ht="13">
      <c r="C783" s="127"/>
      <c r="D783" s="127"/>
      <c r="G783" s="127"/>
    </row>
    <row r="784" spans="3:7" ht="13">
      <c r="C784" s="127"/>
      <c r="D784" s="127"/>
      <c r="G784" s="127"/>
    </row>
    <row r="785" spans="3:7" ht="13">
      <c r="C785" s="127"/>
      <c r="D785" s="127"/>
      <c r="G785" s="127"/>
    </row>
    <row r="786" spans="3:7" ht="13">
      <c r="C786" s="127"/>
      <c r="D786" s="127"/>
      <c r="G786" s="127"/>
    </row>
    <row r="787" spans="3:7" ht="13">
      <c r="C787" s="127"/>
      <c r="D787" s="127"/>
      <c r="G787" s="127"/>
    </row>
    <row r="788" spans="3:7" ht="13">
      <c r="C788" s="127"/>
      <c r="D788" s="127"/>
      <c r="G788" s="127"/>
    </row>
    <row r="789" spans="3:7" ht="13">
      <c r="C789" s="127"/>
      <c r="D789" s="127"/>
      <c r="G789" s="127"/>
    </row>
    <row r="790" spans="3:7" ht="13">
      <c r="C790" s="127"/>
      <c r="D790" s="127"/>
      <c r="G790" s="127"/>
    </row>
    <row r="791" spans="3:7" ht="13">
      <c r="C791" s="127"/>
      <c r="D791" s="127"/>
      <c r="G791" s="127"/>
    </row>
    <row r="792" spans="3:7" ht="13">
      <c r="C792" s="127"/>
      <c r="D792" s="127"/>
      <c r="G792" s="127"/>
    </row>
    <row r="793" spans="3:7" ht="13">
      <c r="C793" s="127"/>
      <c r="D793" s="127"/>
      <c r="G793" s="127"/>
    </row>
    <row r="794" spans="3:7" ht="13">
      <c r="C794" s="127"/>
      <c r="D794" s="127"/>
      <c r="G794" s="127"/>
    </row>
    <row r="795" spans="3:7" ht="13">
      <c r="C795" s="127"/>
      <c r="D795" s="127"/>
      <c r="G795" s="127"/>
    </row>
    <row r="796" spans="3:7" ht="13">
      <c r="C796" s="127"/>
      <c r="D796" s="127"/>
      <c r="G796" s="127"/>
    </row>
    <row r="797" spans="3:7" ht="13">
      <c r="C797" s="127"/>
      <c r="D797" s="127"/>
      <c r="G797" s="127"/>
    </row>
    <row r="798" spans="3:7" ht="13">
      <c r="C798" s="127"/>
      <c r="D798" s="127"/>
      <c r="G798" s="127"/>
    </row>
    <row r="799" spans="3:7" ht="13">
      <c r="C799" s="127"/>
      <c r="D799" s="127"/>
      <c r="G799" s="127"/>
    </row>
    <row r="800" spans="3:7" ht="13">
      <c r="C800" s="127"/>
      <c r="D800" s="127"/>
      <c r="G800" s="127"/>
    </row>
    <row r="801" spans="3:7" ht="13">
      <c r="C801" s="127"/>
      <c r="D801" s="127"/>
      <c r="G801" s="127"/>
    </row>
    <row r="802" spans="3:7" ht="13">
      <c r="C802" s="127"/>
      <c r="D802" s="127"/>
      <c r="G802" s="127"/>
    </row>
    <row r="803" spans="3:7" ht="13">
      <c r="C803" s="127"/>
      <c r="D803" s="127"/>
      <c r="G803" s="127"/>
    </row>
    <row r="804" spans="3:7" ht="13">
      <c r="C804" s="127"/>
      <c r="D804" s="127"/>
      <c r="G804" s="127"/>
    </row>
    <row r="805" spans="3:7" ht="13">
      <c r="C805" s="127"/>
      <c r="D805" s="127"/>
      <c r="G805" s="127"/>
    </row>
    <row r="806" spans="3:7" ht="13">
      <c r="C806" s="127"/>
      <c r="D806" s="127"/>
      <c r="G806" s="127"/>
    </row>
    <row r="807" spans="3:7" ht="13">
      <c r="C807" s="127"/>
      <c r="D807" s="127"/>
      <c r="G807" s="127"/>
    </row>
    <row r="808" spans="3:7" ht="13">
      <c r="C808" s="127"/>
      <c r="D808" s="127"/>
      <c r="G808" s="127"/>
    </row>
    <row r="809" spans="3:7" ht="13">
      <c r="C809" s="127"/>
      <c r="D809" s="127"/>
      <c r="G809" s="127"/>
    </row>
    <row r="810" spans="3:7" ht="13">
      <c r="C810" s="127"/>
      <c r="D810" s="127"/>
      <c r="G810" s="127"/>
    </row>
    <row r="811" spans="3:7" ht="13">
      <c r="C811" s="127"/>
      <c r="D811" s="127"/>
      <c r="G811" s="127"/>
    </row>
    <row r="812" spans="3:7" ht="13">
      <c r="C812" s="127"/>
      <c r="D812" s="127"/>
      <c r="G812" s="127"/>
    </row>
    <row r="813" spans="3:7" ht="13">
      <c r="C813" s="127"/>
      <c r="D813" s="127"/>
      <c r="G813" s="127"/>
    </row>
    <row r="814" spans="3:7" ht="13">
      <c r="C814" s="127"/>
      <c r="D814" s="127"/>
      <c r="G814" s="127"/>
    </row>
    <row r="815" spans="3:7" ht="13">
      <c r="C815" s="127"/>
      <c r="D815" s="127"/>
      <c r="G815" s="127"/>
    </row>
    <row r="816" spans="3:7" ht="13">
      <c r="C816" s="127"/>
      <c r="D816" s="127"/>
      <c r="G816" s="127"/>
    </row>
    <row r="817" spans="3:7" ht="13">
      <c r="C817" s="127"/>
      <c r="D817" s="127"/>
      <c r="G817" s="127"/>
    </row>
    <row r="818" spans="3:7" ht="13">
      <c r="C818" s="127"/>
      <c r="D818" s="127"/>
      <c r="G818" s="127"/>
    </row>
    <row r="819" spans="3:7" ht="13">
      <c r="C819" s="127"/>
      <c r="D819" s="127"/>
      <c r="G819" s="127"/>
    </row>
    <row r="820" spans="3:7" ht="13">
      <c r="C820" s="127"/>
      <c r="D820" s="127"/>
      <c r="G820" s="127"/>
    </row>
    <row r="821" spans="3:7" ht="13">
      <c r="C821" s="127"/>
      <c r="D821" s="127"/>
      <c r="G821" s="127"/>
    </row>
    <row r="822" spans="3:7" ht="13">
      <c r="C822" s="127"/>
      <c r="D822" s="127"/>
      <c r="G822" s="127"/>
    </row>
    <row r="823" spans="3:7" ht="13">
      <c r="C823" s="127"/>
      <c r="D823" s="127"/>
      <c r="G823" s="127"/>
    </row>
    <row r="824" spans="3:7" ht="13">
      <c r="C824" s="127"/>
      <c r="D824" s="127"/>
      <c r="G824" s="127"/>
    </row>
    <row r="825" spans="3:7" ht="13">
      <c r="C825" s="127"/>
      <c r="D825" s="127"/>
      <c r="G825" s="127"/>
    </row>
    <row r="826" spans="3:7" ht="13">
      <c r="C826" s="127"/>
      <c r="D826" s="127"/>
      <c r="G826" s="127"/>
    </row>
    <row r="827" spans="3:7" ht="13">
      <c r="C827" s="127"/>
      <c r="D827" s="127"/>
      <c r="G827" s="127"/>
    </row>
    <row r="828" spans="3:7" ht="13">
      <c r="C828" s="127"/>
      <c r="D828" s="127"/>
      <c r="G828" s="127"/>
    </row>
    <row r="829" spans="3:7" ht="13">
      <c r="C829" s="127"/>
      <c r="D829" s="127"/>
      <c r="G829" s="127"/>
    </row>
    <row r="830" spans="3:7" ht="13">
      <c r="C830" s="127"/>
      <c r="D830" s="127"/>
      <c r="G830" s="127"/>
    </row>
    <row r="831" spans="3:7" ht="13">
      <c r="C831" s="127"/>
      <c r="D831" s="127"/>
      <c r="G831" s="127"/>
    </row>
    <row r="832" spans="3:7" ht="13">
      <c r="C832" s="127"/>
      <c r="D832" s="127"/>
      <c r="G832" s="127"/>
    </row>
    <row r="833" spans="3:7" ht="13">
      <c r="C833" s="127"/>
      <c r="D833" s="127"/>
      <c r="G833" s="127"/>
    </row>
    <row r="834" spans="3:7" ht="13">
      <c r="C834" s="127"/>
      <c r="D834" s="127"/>
      <c r="G834" s="127"/>
    </row>
    <row r="835" spans="3:7" ht="13">
      <c r="C835" s="127"/>
      <c r="D835" s="127"/>
      <c r="G835" s="127"/>
    </row>
    <row r="836" spans="3:7" ht="13">
      <c r="C836" s="127"/>
      <c r="D836" s="127"/>
      <c r="G836" s="127"/>
    </row>
    <row r="837" spans="3:7" ht="13">
      <c r="C837" s="127"/>
      <c r="D837" s="127"/>
      <c r="G837" s="127"/>
    </row>
    <row r="838" spans="3:7" ht="13">
      <c r="C838" s="127"/>
      <c r="D838" s="127"/>
      <c r="G838" s="127"/>
    </row>
    <row r="839" spans="3:7" ht="13">
      <c r="C839" s="127"/>
      <c r="D839" s="127"/>
      <c r="G839" s="127"/>
    </row>
    <row r="840" spans="3:7" ht="13">
      <c r="C840" s="127"/>
      <c r="D840" s="127"/>
      <c r="G840" s="127"/>
    </row>
    <row r="841" spans="3:7" ht="13">
      <c r="C841" s="127"/>
      <c r="D841" s="127"/>
      <c r="G841" s="127"/>
    </row>
    <row r="842" spans="3:7" ht="13">
      <c r="C842" s="127"/>
      <c r="D842" s="127"/>
      <c r="G842" s="127"/>
    </row>
    <row r="843" spans="3:7" ht="13">
      <c r="C843" s="127"/>
      <c r="D843" s="127"/>
      <c r="G843" s="127"/>
    </row>
    <row r="844" spans="3:7" ht="13">
      <c r="C844" s="127"/>
      <c r="D844" s="127"/>
      <c r="G844" s="127"/>
    </row>
    <row r="845" spans="3:7" ht="13">
      <c r="C845" s="127"/>
      <c r="D845" s="127"/>
      <c r="G845" s="127"/>
    </row>
    <row r="846" spans="3:7" ht="13">
      <c r="C846" s="127"/>
      <c r="D846" s="127"/>
      <c r="G846" s="127"/>
    </row>
    <row r="847" spans="3:7" ht="13">
      <c r="C847" s="127"/>
      <c r="D847" s="127"/>
      <c r="G847" s="127"/>
    </row>
    <row r="848" spans="3:7" ht="13">
      <c r="C848" s="127"/>
      <c r="D848" s="127"/>
      <c r="G848" s="127"/>
    </row>
    <row r="849" spans="3:7" ht="13">
      <c r="C849" s="127"/>
      <c r="D849" s="127"/>
      <c r="G849" s="127"/>
    </row>
    <row r="850" spans="3:7" ht="13">
      <c r="C850" s="127"/>
      <c r="D850" s="127"/>
      <c r="G850" s="127"/>
    </row>
    <row r="851" spans="3:7" ht="13">
      <c r="C851" s="127"/>
      <c r="D851" s="127"/>
      <c r="G851" s="127"/>
    </row>
    <row r="852" spans="3:7" ht="13">
      <c r="C852" s="127"/>
      <c r="D852" s="127"/>
      <c r="G852" s="127"/>
    </row>
    <row r="853" spans="3:7" ht="13">
      <c r="C853" s="127"/>
      <c r="D853" s="127"/>
      <c r="G853" s="127"/>
    </row>
    <row r="854" spans="3:7" ht="13">
      <c r="C854" s="127"/>
      <c r="D854" s="127"/>
      <c r="G854" s="127"/>
    </row>
    <row r="855" spans="3:7" ht="13">
      <c r="C855" s="127"/>
      <c r="D855" s="127"/>
      <c r="G855" s="127"/>
    </row>
    <row r="856" spans="3:7" ht="13">
      <c r="C856" s="127"/>
      <c r="D856" s="127"/>
      <c r="G856" s="127"/>
    </row>
    <row r="857" spans="3:7" ht="13">
      <c r="C857" s="127"/>
      <c r="D857" s="127"/>
      <c r="G857" s="127"/>
    </row>
    <row r="858" spans="3:7" ht="13">
      <c r="C858" s="127"/>
      <c r="D858" s="127"/>
      <c r="G858" s="127"/>
    </row>
    <row r="859" spans="3:7" ht="13">
      <c r="C859" s="127"/>
      <c r="D859" s="127"/>
      <c r="G859" s="127"/>
    </row>
    <row r="860" spans="3:7" ht="13">
      <c r="C860" s="127"/>
      <c r="D860" s="127"/>
      <c r="G860" s="127"/>
    </row>
    <row r="861" spans="3:7" ht="13">
      <c r="C861" s="127"/>
      <c r="D861" s="127"/>
      <c r="G861" s="127"/>
    </row>
    <row r="862" spans="3:7" ht="13">
      <c r="C862" s="127"/>
      <c r="D862" s="127"/>
      <c r="G862" s="127"/>
    </row>
    <row r="863" spans="3:7" ht="13">
      <c r="C863" s="127"/>
      <c r="D863" s="127"/>
      <c r="G863" s="127"/>
    </row>
    <row r="864" spans="3:7" ht="13">
      <c r="C864" s="127"/>
      <c r="D864" s="127"/>
      <c r="G864" s="127"/>
    </row>
    <row r="865" spans="3:7" ht="13">
      <c r="C865" s="127"/>
      <c r="D865" s="127"/>
      <c r="G865" s="127"/>
    </row>
    <row r="866" spans="3:7" ht="13">
      <c r="C866" s="127"/>
      <c r="D866" s="127"/>
      <c r="G866" s="127"/>
    </row>
    <row r="867" spans="3:7" ht="13">
      <c r="C867" s="127"/>
      <c r="D867" s="127"/>
      <c r="G867" s="127"/>
    </row>
    <row r="868" spans="3:7" ht="13">
      <c r="C868" s="127"/>
      <c r="D868" s="127"/>
      <c r="G868" s="127"/>
    </row>
    <row r="869" spans="3:7" ht="13">
      <c r="C869" s="127"/>
      <c r="D869" s="127"/>
      <c r="G869" s="127"/>
    </row>
    <row r="870" spans="3:7" ht="13">
      <c r="C870" s="127"/>
      <c r="D870" s="127"/>
      <c r="G870" s="127"/>
    </row>
    <row r="871" spans="3:7" ht="13">
      <c r="C871" s="127"/>
      <c r="D871" s="127"/>
      <c r="G871" s="127"/>
    </row>
    <row r="872" spans="3:7" ht="13">
      <c r="C872" s="127"/>
      <c r="D872" s="127"/>
      <c r="G872" s="127"/>
    </row>
    <row r="873" spans="3:7" ht="13">
      <c r="C873" s="127"/>
      <c r="D873" s="127"/>
      <c r="G873" s="127"/>
    </row>
    <row r="874" spans="3:7" ht="13">
      <c r="C874" s="127"/>
      <c r="D874" s="127"/>
      <c r="G874" s="127"/>
    </row>
    <row r="875" spans="3:7" ht="13">
      <c r="C875" s="127"/>
      <c r="D875" s="127"/>
      <c r="G875" s="127"/>
    </row>
    <row r="876" spans="3:7" ht="13">
      <c r="C876" s="127"/>
      <c r="D876" s="127"/>
      <c r="G876" s="127"/>
    </row>
    <row r="877" spans="3:7" ht="13">
      <c r="C877" s="127"/>
      <c r="D877" s="127"/>
      <c r="G877" s="127"/>
    </row>
    <row r="878" spans="3:7" ht="13">
      <c r="C878" s="127"/>
      <c r="D878" s="127"/>
      <c r="G878" s="127"/>
    </row>
    <row r="879" spans="3:7" ht="13">
      <c r="C879" s="127"/>
      <c r="D879" s="127"/>
      <c r="G879" s="127"/>
    </row>
    <row r="880" spans="3:7" ht="13">
      <c r="C880" s="127"/>
      <c r="D880" s="127"/>
      <c r="G880" s="127"/>
    </row>
    <row r="881" spans="3:7" ht="13">
      <c r="C881" s="127"/>
      <c r="D881" s="127"/>
      <c r="G881" s="127"/>
    </row>
    <row r="882" spans="3:7" ht="13">
      <c r="C882" s="127"/>
      <c r="D882" s="127"/>
      <c r="G882" s="127"/>
    </row>
    <row r="883" spans="3:7" ht="13">
      <c r="C883" s="127"/>
      <c r="D883" s="127"/>
      <c r="G883" s="127"/>
    </row>
    <row r="884" spans="3:7" ht="13">
      <c r="C884" s="127"/>
      <c r="D884" s="127"/>
      <c r="G884" s="127"/>
    </row>
    <row r="885" spans="3:7" ht="13">
      <c r="C885" s="127"/>
      <c r="D885" s="127"/>
      <c r="G885" s="127"/>
    </row>
    <row r="886" spans="3:7" ht="13">
      <c r="C886" s="127"/>
      <c r="D886" s="127"/>
      <c r="G886" s="127"/>
    </row>
    <row r="887" spans="3:7" ht="13">
      <c r="C887" s="127"/>
      <c r="D887" s="127"/>
      <c r="G887" s="127"/>
    </row>
    <row r="888" spans="3:7" ht="13">
      <c r="C888" s="127"/>
      <c r="D888" s="127"/>
      <c r="G888" s="127"/>
    </row>
    <row r="889" spans="3:7" ht="13">
      <c r="C889" s="127"/>
      <c r="D889" s="127"/>
      <c r="G889" s="127"/>
    </row>
    <row r="890" spans="3:7" ht="13">
      <c r="C890" s="127"/>
      <c r="D890" s="127"/>
      <c r="G890" s="127"/>
    </row>
    <row r="891" spans="3:7" ht="13">
      <c r="C891" s="127"/>
      <c r="D891" s="127"/>
      <c r="G891" s="127"/>
    </row>
    <row r="892" spans="3:7" ht="13">
      <c r="C892" s="127"/>
      <c r="D892" s="127"/>
      <c r="G892" s="127"/>
    </row>
    <row r="893" spans="3:7" ht="13">
      <c r="C893" s="127"/>
      <c r="D893" s="127"/>
      <c r="G893" s="127"/>
    </row>
    <row r="894" spans="3:7" ht="13">
      <c r="C894" s="127"/>
      <c r="D894" s="127"/>
      <c r="G894" s="127"/>
    </row>
    <row r="895" spans="3:7" ht="13">
      <c r="C895" s="127"/>
      <c r="D895" s="127"/>
      <c r="G895" s="127"/>
    </row>
    <row r="896" spans="3:7" ht="13">
      <c r="C896" s="127"/>
      <c r="D896" s="127"/>
      <c r="G896" s="127"/>
    </row>
    <row r="897" spans="3:7" ht="13">
      <c r="C897" s="127"/>
      <c r="D897" s="127"/>
      <c r="G897" s="127"/>
    </row>
    <row r="898" spans="3:7" ht="13">
      <c r="C898" s="127"/>
      <c r="D898" s="127"/>
      <c r="G898" s="127"/>
    </row>
    <row r="899" spans="3:7" ht="13">
      <c r="C899" s="127"/>
      <c r="D899" s="127"/>
      <c r="G899" s="127"/>
    </row>
    <row r="900" spans="3:7" ht="13">
      <c r="C900" s="127"/>
      <c r="D900" s="127"/>
      <c r="G900" s="127"/>
    </row>
    <row r="901" spans="3:7" ht="13">
      <c r="C901" s="127"/>
      <c r="D901" s="127"/>
      <c r="G901" s="127"/>
    </row>
    <row r="902" spans="3:7" ht="13">
      <c r="C902" s="127"/>
      <c r="D902" s="127"/>
      <c r="G902" s="127"/>
    </row>
    <row r="903" spans="3:7" ht="13">
      <c r="C903" s="127"/>
      <c r="D903" s="127"/>
      <c r="G903" s="127"/>
    </row>
    <row r="904" spans="3:7" ht="13">
      <c r="C904" s="127"/>
      <c r="D904" s="127"/>
      <c r="G904" s="127"/>
    </row>
    <row r="905" spans="3:7" ht="13">
      <c r="C905" s="127"/>
      <c r="D905" s="127"/>
      <c r="G905" s="127"/>
    </row>
    <row r="906" spans="3:7" ht="13">
      <c r="C906" s="127"/>
      <c r="D906" s="127"/>
      <c r="G906" s="127"/>
    </row>
    <row r="907" spans="3:7" ht="13">
      <c r="C907" s="127"/>
      <c r="D907" s="127"/>
      <c r="G907" s="127"/>
    </row>
    <row r="908" spans="3:7" ht="13">
      <c r="C908" s="127"/>
      <c r="D908" s="127"/>
      <c r="G908" s="127"/>
    </row>
    <row r="909" spans="3:7" ht="13">
      <c r="C909" s="127"/>
      <c r="D909" s="127"/>
      <c r="G909" s="127"/>
    </row>
    <row r="910" spans="3:7" ht="13">
      <c r="C910" s="127"/>
      <c r="D910" s="127"/>
      <c r="G910" s="127"/>
    </row>
    <row r="911" spans="3:7" ht="13">
      <c r="C911" s="127"/>
      <c r="D911" s="127"/>
      <c r="G911" s="127"/>
    </row>
    <row r="912" spans="3:7" ht="13">
      <c r="C912" s="127"/>
      <c r="D912" s="127"/>
      <c r="G912" s="127"/>
    </row>
    <row r="913" spans="3:7" ht="13">
      <c r="C913" s="127"/>
      <c r="D913" s="127"/>
      <c r="G913" s="127"/>
    </row>
    <row r="914" spans="3:7" ht="13">
      <c r="C914" s="127"/>
      <c r="D914" s="127"/>
      <c r="G914" s="127"/>
    </row>
    <row r="915" spans="3:7" ht="13">
      <c r="C915" s="127"/>
      <c r="D915" s="127"/>
      <c r="G915" s="127"/>
    </row>
    <row r="916" spans="3:7" ht="13">
      <c r="C916" s="127"/>
      <c r="D916" s="127"/>
      <c r="G916" s="127"/>
    </row>
    <row r="917" spans="3:7" ht="13">
      <c r="C917" s="127"/>
      <c r="D917" s="127"/>
      <c r="G917" s="127"/>
    </row>
    <row r="918" spans="3:7" ht="13">
      <c r="C918" s="127"/>
      <c r="D918" s="127"/>
      <c r="G918" s="127"/>
    </row>
    <row r="919" spans="3:7" ht="13">
      <c r="C919" s="127"/>
      <c r="D919" s="127"/>
      <c r="G919" s="127"/>
    </row>
    <row r="920" spans="3:7" ht="13">
      <c r="C920" s="127"/>
      <c r="D920" s="127"/>
      <c r="G920" s="127"/>
    </row>
    <row r="921" spans="3:7" ht="13">
      <c r="C921" s="127"/>
      <c r="D921" s="127"/>
      <c r="G921" s="127"/>
    </row>
    <row r="922" spans="3:7" ht="13">
      <c r="C922" s="127"/>
      <c r="D922" s="127"/>
      <c r="G922" s="127"/>
    </row>
    <row r="923" spans="3:7" ht="13">
      <c r="C923" s="127"/>
      <c r="D923" s="127"/>
      <c r="G923" s="127"/>
    </row>
    <row r="924" spans="3:7" ht="13">
      <c r="C924" s="127"/>
      <c r="D924" s="127"/>
      <c r="G924" s="127"/>
    </row>
    <row r="925" spans="3:7" ht="13">
      <c r="C925" s="127"/>
      <c r="D925" s="127"/>
      <c r="G925" s="127"/>
    </row>
    <row r="926" spans="3:7" ht="13">
      <c r="C926" s="127"/>
      <c r="D926" s="127"/>
      <c r="G926" s="127"/>
    </row>
    <row r="927" spans="3:7" ht="13">
      <c r="C927" s="127"/>
      <c r="D927" s="127"/>
      <c r="G927" s="127"/>
    </row>
    <row r="928" spans="3:7" ht="13">
      <c r="C928" s="127"/>
      <c r="D928" s="127"/>
      <c r="G928" s="127"/>
    </row>
    <row r="929" spans="3:7" ht="13">
      <c r="C929" s="127"/>
      <c r="D929" s="127"/>
      <c r="G929" s="127"/>
    </row>
    <row r="930" spans="3:7" ht="13">
      <c r="C930" s="127"/>
      <c r="D930" s="127"/>
      <c r="G930" s="127"/>
    </row>
    <row r="931" spans="3:7" ht="13">
      <c r="C931" s="127"/>
      <c r="D931" s="127"/>
      <c r="G931" s="127"/>
    </row>
    <row r="932" spans="3:7" ht="13">
      <c r="C932" s="127"/>
      <c r="D932" s="127"/>
      <c r="G932" s="127"/>
    </row>
    <row r="933" spans="3:7" ht="13">
      <c r="C933" s="127"/>
      <c r="D933" s="127"/>
      <c r="G933" s="127"/>
    </row>
    <row r="934" spans="3:7" ht="13">
      <c r="C934" s="127"/>
      <c r="D934" s="127"/>
      <c r="G934" s="127"/>
    </row>
    <row r="935" spans="3:7" ht="13">
      <c r="C935" s="127"/>
      <c r="D935" s="127"/>
      <c r="G935" s="127"/>
    </row>
    <row r="936" spans="3:7" ht="13">
      <c r="C936" s="127"/>
      <c r="D936" s="127"/>
      <c r="G936" s="127"/>
    </row>
    <row r="937" spans="3:7" ht="13">
      <c r="C937" s="127"/>
      <c r="D937" s="127"/>
      <c r="G937" s="127"/>
    </row>
    <row r="938" spans="3:7" ht="13">
      <c r="C938" s="127"/>
      <c r="D938" s="127"/>
      <c r="G938" s="127"/>
    </row>
    <row r="939" spans="3:7" ht="13">
      <c r="C939" s="127"/>
      <c r="D939" s="127"/>
      <c r="G939" s="127"/>
    </row>
    <row r="940" spans="3:7" ht="13">
      <c r="C940" s="127"/>
      <c r="D940" s="127"/>
      <c r="G940" s="127"/>
    </row>
    <row r="941" spans="3:7" ht="13">
      <c r="C941" s="127"/>
      <c r="D941" s="127"/>
      <c r="G941" s="127"/>
    </row>
    <row r="942" spans="3:7" ht="13">
      <c r="C942" s="127"/>
      <c r="D942" s="127"/>
      <c r="G942" s="127"/>
    </row>
    <row r="943" spans="3:7" ht="13">
      <c r="C943" s="127"/>
      <c r="D943" s="127"/>
      <c r="G943" s="127"/>
    </row>
    <row r="944" spans="3:7" ht="13">
      <c r="C944" s="127"/>
      <c r="D944" s="127"/>
      <c r="G944" s="127"/>
    </row>
    <row r="945" spans="3:7" ht="13">
      <c r="C945" s="127"/>
      <c r="D945" s="127"/>
      <c r="G945" s="127"/>
    </row>
    <row r="946" spans="3:7" ht="13">
      <c r="C946" s="127"/>
      <c r="D946" s="127"/>
      <c r="G946" s="127"/>
    </row>
    <row r="947" spans="3:7" ht="13">
      <c r="C947" s="127"/>
      <c r="D947" s="127"/>
      <c r="G947" s="127"/>
    </row>
    <row r="948" spans="3:7" ht="13">
      <c r="C948" s="127"/>
      <c r="D948" s="127"/>
      <c r="G948" s="127"/>
    </row>
    <row r="949" spans="3:7" ht="13">
      <c r="C949" s="127"/>
      <c r="D949" s="127"/>
      <c r="G949" s="127"/>
    </row>
    <row r="950" spans="3:7" ht="13">
      <c r="C950" s="127"/>
      <c r="D950" s="127"/>
      <c r="G950" s="127"/>
    </row>
    <row r="951" spans="3:7" ht="13">
      <c r="C951" s="127"/>
      <c r="D951" s="127"/>
      <c r="G951" s="127"/>
    </row>
    <row r="952" spans="3:7" ht="13">
      <c r="C952" s="127"/>
      <c r="D952" s="127"/>
      <c r="G952" s="127"/>
    </row>
    <row r="953" spans="3:7" ht="13">
      <c r="C953" s="127"/>
      <c r="D953" s="127"/>
      <c r="G953" s="127"/>
    </row>
    <row r="954" spans="3:7" ht="13">
      <c r="C954" s="127"/>
      <c r="D954" s="127"/>
      <c r="G954" s="127"/>
    </row>
    <row r="955" spans="3:7" ht="13">
      <c r="C955" s="127"/>
      <c r="D955" s="127"/>
      <c r="G955" s="127"/>
    </row>
    <row r="956" spans="3:7" ht="13">
      <c r="C956" s="127"/>
      <c r="D956" s="127"/>
      <c r="G956" s="127"/>
    </row>
    <row r="957" spans="3:7" ht="13">
      <c r="C957" s="127"/>
      <c r="D957" s="127"/>
      <c r="G957" s="127"/>
    </row>
    <row r="958" spans="3:7" ht="13">
      <c r="C958" s="127"/>
      <c r="D958" s="127"/>
      <c r="G958" s="127"/>
    </row>
    <row r="959" spans="3:7" ht="13">
      <c r="C959" s="127"/>
      <c r="D959" s="127"/>
      <c r="G959" s="127"/>
    </row>
    <row r="960" spans="3:7" ht="13">
      <c r="C960" s="127"/>
      <c r="D960" s="127"/>
      <c r="G960" s="127"/>
    </row>
    <row r="961" spans="3:7" ht="13">
      <c r="C961" s="127"/>
      <c r="D961" s="127"/>
      <c r="G961" s="127"/>
    </row>
    <row r="962" spans="3:7" ht="13">
      <c r="C962" s="127"/>
      <c r="D962" s="127"/>
      <c r="G962" s="127"/>
    </row>
    <row r="963" spans="3:7" ht="13">
      <c r="C963" s="127"/>
      <c r="D963" s="127"/>
      <c r="G963" s="127"/>
    </row>
    <row r="964" spans="3:7" ht="13">
      <c r="C964" s="127"/>
      <c r="D964" s="127"/>
      <c r="G964" s="127"/>
    </row>
    <row r="965" spans="3:7" ht="13">
      <c r="C965" s="127"/>
      <c r="D965" s="127"/>
      <c r="G965" s="127"/>
    </row>
    <row r="966" spans="3:7" ht="13">
      <c r="C966" s="127"/>
      <c r="D966" s="127"/>
      <c r="G966" s="127"/>
    </row>
    <row r="967" spans="3:7" ht="13">
      <c r="C967" s="127"/>
      <c r="D967" s="127"/>
      <c r="G967" s="127"/>
    </row>
    <row r="968" spans="3:7" ht="13">
      <c r="C968" s="127"/>
      <c r="D968" s="127"/>
      <c r="G968" s="127"/>
    </row>
    <row r="969" spans="3:7" ht="13">
      <c r="C969" s="127"/>
      <c r="D969" s="127"/>
      <c r="G969" s="127"/>
    </row>
    <row r="970" spans="3:7" ht="13">
      <c r="C970" s="127"/>
      <c r="D970" s="127"/>
      <c r="G970" s="127"/>
    </row>
    <row r="971" spans="3:7" ht="13">
      <c r="C971" s="127"/>
      <c r="D971" s="127"/>
      <c r="G971" s="127"/>
    </row>
    <row r="972" spans="3:7" ht="13">
      <c r="C972" s="127"/>
      <c r="D972" s="127"/>
      <c r="G972" s="127"/>
    </row>
    <row r="973" spans="3:7" ht="13">
      <c r="C973" s="127"/>
      <c r="D973" s="127"/>
      <c r="G973" s="127"/>
    </row>
    <row r="974" spans="3:7" ht="13">
      <c r="C974" s="127"/>
      <c r="D974" s="127"/>
      <c r="G974" s="127"/>
    </row>
    <row r="975" spans="3:7" ht="13">
      <c r="C975" s="127"/>
      <c r="D975" s="127"/>
      <c r="G975" s="127"/>
    </row>
    <row r="976" spans="3:7" ht="13">
      <c r="C976" s="127"/>
      <c r="D976" s="127"/>
      <c r="G976" s="127"/>
    </row>
    <row r="977" spans="3:7" ht="13">
      <c r="C977" s="127"/>
      <c r="D977" s="127"/>
      <c r="G977" s="127"/>
    </row>
    <row r="978" spans="3:7" ht="13">
      <c r="C978" s="127"/>
      <c r="D978" s="127"/>
      <c r="G978" s="127"/>
    </row>
    <row r="979" spans="3:7" ht="13">
      <c r="C979" s="127"/>
      <c r="D979" s="127"/>
      <c r="G979" s="127"/>
    </row>
    <row r="980" spans="3:7" ht="13">
      <c r="C980" s="127"/>
      <c r="D980" s="127"/>
      <c r="G980" s="127"/>
    </row>
    <row r="981" spans="3:7" ht="13">
      <c r="C981" s="127"/>
      <c r="D981" s="127"/>
      <c r="G981" s="127"/>
    </row>
    <row r="982" spans="3:7" ht="13">
      <c r="C982" s="127"/>
      <c r="D982" s="127"/>
      <c r="G982" s="127"/>
    </row>
    <row r="983" spans="3:7" ht="13">
      <c r="C983" s="127"/>
      <c r="D983" s="127"/>
      <c r="G983" s="127"/>
    </row>
    <row r="984" spans="3:7" ht="13">
      <c r="C984" s="127"/>
      <c r="D984" s="127"/>
      <c r="G984" s="127"/>
    </row>
    <row r="985" spans="3:7" ht="13">
      <c r="C985" s="127"/>
      <c r="D985" s="127"/>
      <c r="G985" s="127"/>
    </row>
    <row r="986" spans="3:7" ht="13">
      <c r="C986" s="127"/>
      <c r="D986" s="127"/>
      <c r="G986" s="127"/>
    </row>
    <row r="987" spans="3:7" ht="13">
      <c r="C987" s="127"/>
      <c r="D987" s="127"/>
      <c r="G987" s="127"/>
    </row>
    <row r="988" spans="3:7" ht="13">
      <c r="C988" s="127"/>
      <c r="D988" s="127"/>
      <c r="G988" s="127"/>
    </row>
    <row r="989" spans="3:7" ht="13">
      <c r="C989" s="127"/>
      <c r="D989" s="127"/>
      <c r="G989" s="127"/>
    </row>
    <row r="990" spans="3:7" ht="13">
      <c r="C990" s="127"/>
      <c r="D990" s="127"/>
      <c r="G990" s="127"/>
    </row>
    <row r="991" spans="3:7" ht="13">
      <c r="C991" s="127"/>
      <c r="D991" s="127"/>
      <c r="G991" s="127"/>
    </row>
    <row r="992" spans="3:7" ht="13">
      <c r="C992" s="127"/>
      <c r="D992" s="127"/>
      <c r="G992" s="127"/>
    </row>
    <row r="993" spans="3:7" ht="13">
      <c r="C993" s="127"/>
      <c r="D993" s="127"/>
      <c r="G993" s="127"/>
    </row>
    <row r="994" spans="3:7" ht="13">
      <c r="C994" s="127"/>
      <c r="D994" s="127"/>
      <c r="G994" s="127"/>
    </row>
    <row r="995" spans="3:7" ht="13">
      <c r="C995" s="127"/>
      <c r="D995" s="127"/>
      <c r="G995" s="127"/>
    </row>
    <row r="996" spans="3:7" ht="13">
      <c r="C996" s="127"/>
      <c r="D996" s="127"/>
      <c r="G996" s="127"/>
    </row>
    <row r="997" spans="3:7" ht="13">
      <c r="C997" s="127"/>
      <c r="D997" s="127"/>
      <c r="G997" s="127"/>
    </row>
    <row r="998" spans="3:7" ht="13">
      <c r="C998" s="127"/>
      <c r="D998" s="127"/>
      <c r="G998" s="127"/>
    </row>
    <row r="999" spans="3:7" ht="13">
      <c r="C999" s="127"/>
      <c r="D999" s="127"/>
      <c r="G999" s="127"/>
    </row>
    <row r="1000" spans="3:7" ht="13">
      <c r="C1000" s="127"/>
      <c r="D1000" s="127"/>
      <c r="G1000" s="127"/>
    </row>
    <row r="1001" spans="3:7" ht="13">
      <c r="C1001" s="127"/>
      <c r="D1001" s="127"/>
      <c r="G1001" s="127"/>
    </row>
    <row r="1002" spans="3:7" ht="13">
      <c r="C1002" s="127"/>
      <c r="D1002" s="127"/>
      <c r="G1002" s="127"/>
    </row>
    <row r="1003" spans="3:7" ht="13">
      <c r="C1003" s="127"/>
      <c r="D1003" s="127"/>
      <c r="G1003" s="127"/>
    </row>
    <row r="1004" spans="3:7" ht="13">
      <c r="C1004" s="127"/>
      <c r="D1004" s="127"/>
      <c r="G1004" s="127"/>
    </row>
    <row r="1005" spans="3:7" ht="13">
      <c r="C1005" s="127"/>
      <c r="D1005" s="127"/>
      <c r="G1005" s="127"/>
    </row>
    <row r="1006" spans="3:7" ht="13">
      <c r="C1006" s="127"/>
      <c r="D1006" s="127"/>
      <c r="G1006" s="127"/>
    </row>
    <row r="1007" spans="3:7" ht="13">
      <c r="C1007" s="127"/>
      <c r="D1007" s="127"/>
      <c r="G1007" s="127"/>
    </row>
    <row r="1008" spans="3:7" ht="13">
      <c r="C1008" s="127"/>
      <c r="D1008" s="127"/>
      <c r="G1008" s="127"/>
    </row>
    <row r="1009" spans="3:7" ht="13">
      <c r="C1009" s="127"/>
      <c r="D1009" s="127"/>
      <c r="G1009" s="127"/>
    </row>
    <row r="1010" spans="3:7" ht="13">
      <c r="C1010" s="127"/>
      <c r="D1010" s="127"/>
      <c r="G1010" s="127"/>
    </row>
    <row r="1011" spans="3:7" ht="13">
      <c r="C1011" s="127"/>
      <c r="D1011" s="127"/>
      <c r="G1011" s="127"/>
    </row>
    <row r="1012" spans="3:7" ht="13">
      <c r="C1012" s="127"/>
      <c r="D1012" s="127"/>
      <c r="G1012" s="127"/>
    </row>
    <row r="1013" spans="3:7" ht="13">
      <c r="C1013" s="127"/>
      <c r="D1013" s="127"/>
      <c r="G1013" s="127"/>
    </row>
    <row r="1014" spans="3:7" ht="13">
      <c r="C1014" s="127"/>
      <c r="D1014" s="127"/>
      <c r="G1014" s="127"/>
    </row>
    <row r="1015" spans="3:7" ht="13">
      <c r="C1015" s="127"/>
      <c r="D1015" s="127"/>
      <c r="G1015" s="127"/>
    </row>
    <row r="1016" spans="3:7" ht="13">
      <c r="C1016" s="127"/>
      <c r="D1016" s="127"/>
      <c r="G1016" s="127"/>
    </row>
    <row r="1017" spans="3:7" ht="13">
      <c r="C1017" s="127"/>
      <c r="D1017" s="127"/>
      <c r="G1017" s="127"/>
    </row>
    <row r="1018" spans="3:7" ht="13">
      <c r="C1018" s="127"/>
      <c r="D1018" s="127"/>
      <c r="G1018" s="127"/>
    </row>
    <row r="1019" spans="3:7" ht="13">
      <c r="C1019" s="127"/>
      <c r="D1019" s="127"/>
      <c r="G1019" s="127"/>
    </row>
    <row r="1020" spans="3:7" ht="13">
      <c r="C1020" s="127"/>
      <c r="D1020" s="127"/>
      <c r="G1020" s="127"/>
    </row>
    <row r="1021" spans="3:7" ht="13">
      <c r="C1021" s="127"/>
      <c r="D1021" s="127"/>
      <c r="G1021" s="127"/>
    </row>
    <row r="1022" spans="3:7" ht="13">
      <c r="C1022" s="127"/>
      <c r="D1022" s="127"/>
      <c r="G1022" s="127"/>
    </row>
    <row r="1023" spans="3:7" ht="13">
      <c r="C1023" s="127"/>
      <c r="D1023" s="127"/>
      <c r="G1023" s="127"/>
    </row>
    <row r="1024" spans="3:7" ht="13">
      <c r="C1024" s="127"/>
      <c r="D1024" s="127"/>
      <c r="G1024" s="127"/>
    </row>
    <row r="1025" spans="3:7" ht="13">
      <c r="C1025" s="127"/>
      <c r="D1025" s="127"/>
      <c r="G1025" s="127"/>
    </row>
    <row r="1026" spans="3:7" ht="13">
      <c r="C1026" s="127"/>
      <c r="D1026" s="127"/>
      <c r="G1026" s="127"/>
    </row>
    <row r="1027" spans="3:7" ht="13">
      <c r="C1027" s="127"/>
      <c r="D1027" s="127"/>
      <c r="G1027" s="127"/>
    </row>
    <row r="1028" spans="3:7" ht="13">
      <c r="C1028" s="127"/>
      <c r="D1028" s="127"/>
      <c r="G1028" s="127"/>
    </row>
    <row r="1029" spans="3:7" ht="13">
      <c r="C1029" s="127"/>
      <c r="D1029" s="127"/>
      <c r="G1029" s="127"/>
    </row>
    <row r="1030" spans="3:7" ht="13">
      <c r="C1030" s="127"/>
      <c r="D1030" s="127"/>
      <c r="G1030" s="127"/>
    </row>
    <row r="1031" spans="3:7" ht="13">
      <c r="C1031" s="127"/>
      <c r="D1031" s="127"/>
      <c r="G1031" s="127"/>
    </row>
    <row r="1032" spans="3:7" ht="13">
      <c r="C1032" s="127"/>
      <c r="D1032" s="127"/>
      <c r="G1032" s="127"/>
    </row>
    <row r="1033" spans="3:7" ht="13">
      <c r="C1033" s="127"/>
      <c r="D1033" s="127"/>
      <c r="G1033" s="127"/>
    </row>
    <row r="1034" spans="3:7" ht="13">
      <c r="C1034" s="127"/>
      <c r="D1034" s="127"/>
      <c r="G1034" s="127"/>
    </row>
    <row r="1035" spans="3:7" ht="13">
      <c r="C1035" s="127"/>
      <c r="D1035" s="127"/>
      <c r="G1035" s="127"/>
    </row>
  </sheetData>
  <mergeCells count="1">
    <mergeCell ref="E47:G47"/>
  </mergeCells>
  <hyperlinks>
    <hyperlink ref="A2" r:id="rId1" xr:uid="{00000000-0004-0000-0700-000000000000}"/>
    <hyperlink ref="C2" r:id="rId2" xr:uid="{00000000-0004-0000-0700-000001000000}"/>
    <hyperlink ref="D2" r:id="rId3" xr:uid="{00000000-0004-0000-0700-000002000000}"/>
    <hyperlink ref="A3" r:id="rId4" xr:uid="{00000000-0004-0000-0700-000003000000}"/>
    <hyperlink ref="C3" r:id="rId5" xr:uid="{00000000-0004-0000-0700-000004000000}"/>
    <hyperlink ref="D3" r:id="rId6" xr:uid="{00000000-0004-0000-0700-000005000000}"/>
    <hyperlink ref="A4" r:id="rId7" xr:uid="{00000000-0004-0000-0700-000006000000}"/>
    <hyperlink ref="C4" r:id="rId8" xr:uid="{00000000-0004-0000-0700-000007000000}"/>
    <hyperlink ref="D4" r:id="rId9" xr:uid="{00000000-0004-0000-0700-000008000000}"/>
    <hyperlink ref="A5" r:id="rId10" xr:uid="{00000000-0004-0000-0700-000009000000}"/>
    <hyperlink ref="C5" r:id="rId11" xr:uid="{00000000-0004-0000-0700-00000A000000}"/>
    <hyperlink ref="D5" r:id="rId12" xr:uid="{00000000-0004-0000-0700-00000B000000}"/>
    <hyperlink ref="C6" r:id="rId13" xr:uid="{00000000-0004-0000-0700-00000C000000}"/>
    <hyperlink ref="D6" r:id="rId14" xr:uid="{00000000-0004-0000-0700-00000D000000}"/>
    <hyperlink ref="A7" r:id="rId15" xr:uid="{00000000-0004-0000-0700-00000E000000}"/>
    <hyperlink ref="C7" r:id="rId16" xr:uid="{00000000-0004-0000-0700-00000F000000}"/>
    <hyperlink ref="D7" r:id="rId17" xr:uid="{00000000-0004-0000-0700-000010000000}"/>
    <hyperlink ref="C8" r:id="rId18" xr:uid="{00000000-0004-0000-0700-000011000000}"/>
    <hyperlink ref="D8" r:id="rId19" xr:uid="{00000000-0004-0000-0700-000012000000}"/>
    <hyperlink ref="C9" r:id="rId20" xr:uid="{00000000-0004-0000-0700-000013000000}"/>
    <hyperlink ref="D9" r:id="rId21" xr:uid="{00000000-0004-0000-0700-000014000000}"/>
    <hyperlink ref="C10" r:id="rId22" xr:uid="{00000000-0004-0000-0700-000015000000}"/>
    <hyperlink ref="D10" r:id="rId23" xr:uid="{00000000-0004-0000-0700-000016000000}"/>
    <hyperlink ref="C11" r:id="rId24" xr:uid="{00000000-0004-0000-0700-000017000000}"/>
    <hyperlink ref="D11" r:id="rId25" xr:uid="{00000000-0004-0000-0700-000018000000}"/>
    <hyperlink ref="C12" r:id="rId26" xr:uid="{00000000-0004-0000-0700-000019000000}"/>
    <hyperlink ref="D12" r:id="rId27" xr:uid="{00000000-0004-0000-0700-00001A000000}"/>
    <hyperlink ref="N12" r:id="rId28" xr:uid="{00000000-0004-0000-0700-00001B000000}"/>
    <hyperlink ref="C13" r:id="rId29" xr:uid="{00000000-0004-0000-0700-00001C000000}"/>
    <hyperlink ref="D13" r:id="rId30" xr:uid="{00000000-0004-0000-0700-00001D000000}"/>
    <hyperlink ref="C14" r:id="rId31" xr:uid="{00000000-0004-0000-0700-00001E000000}"/>
    <hyperlink ref="D14" r:id="rId32" xr:uid="{00000000-0004-0000-0700-00001F000000}"/>
    <hyperlink ref="N14" r:id="rId33" xr:uid="{00000000-0004-0000-0700-000020000000}"/>
    <hyperlink ref="C15" r:id="rId34" xr:uid="{00000000-0004-0000-0700-000021000000}"/>
    <hyperlink ref="D15" r:id="rId35" xr:uid="{00000000-0004-0000-0700-000022000000}"/>
    <hyperlink ref="C16" r:id="rId36" xr:uid="{00000000-0004-0000-0700-000023000000}"/>
    <hyperlink ref="D16" r:id="rId37" xr:uid="{00000000-0004-0000-0700-000024000000}"/>
    <hyperlink ref="C17" r:id="rId38" xr:uid="{00000000-0004-0000-0700-000025000000}"/>
    <hyperlink ref="D17" r:id="rId39" xr:uid="{00000000-0004-0000-0700-000026000000}"/>
    <hyperlink ref="N17" r:id="rId40" xr:uid="{00000000-0004-0000-0700-000027000000}"/>
    <hyperlink ref="C18" r:id="rId41" xr:uid="{00000000-0004-0000-0700-000028000000}"/>
    <hyperlink ref="D18" r:id="rId42" xr:uid="{00000000-0004-0000-0700-000029000000}"/>
    <hyperlink ref="N18" r:id="rId43" xr:uid="{00000000-0004-0000-0700-00002A000000}"/>
    <hyperlink ref="C19" r:id="rId44" xr:uid="{00000000-0004-0000-0700-00002B000000}"/>
    <hyperlink ref="D19" r:id="rId45" xr:uid="{00000000-0004-0000-0700-00002C000000}"/>
    <hyperlink ref="N19" r:id="rId46" xr:uid="{00000000-0004-0000-0700-00002D000000}"/>
    <hyperlink ref="A20" r:id="rId47" xr:uid="{00000000-0004-0000-0700-00002E000000}"/>
    <hyperlink ref="C20" r:id="rId48" xr:uid="{00000000-0004-0000-0700-00002F000000}"/>
    <hyperlink ref="D20" r:id="rId49" xr:uid="{00000000-0004-0000-0700-000030000000}"/>
    <hyperlink ref="A21" r:id="rId50" xr:uid="{00000000-0004-0000-0700-000031000000}"/>
    <hyperlink ref="C21" r:id="rId51" xr:uid="{00000000-0004-0000-0700-000032000000}"/>
    <hyperlink ref="D21" r:id="rId52" xr:uid="{00000000-0004-0000-0700-000033000000}"/>
    <hyperlink ref="C22" r:id="rId53" xr:uid="{00000000-0004-0000-0700-000034000000}"/>
    <hyperlink ref="D22" r:id="rId54" xr:uid="{00000000-0004-0000-0700-000035000000}"/>
    <hyperlink ref="A23" r:id="rId55" xr:uid="{00000000-0004-0000-0700-000036000000}"/>
    <hyperlink ref="C23" r:id="rId56" xr:uid="{00000000-0004-0000-0700-000037000000}"/>
    <hyperlink ref="D23" r:id="rId57" xr:uid="{00000000-0004-0000-0700-000038000000}"/>
    <hyperlink ref="N23" r:id="rId58" location="entry73214" xr:uid="{00000000-0004-0000-0700-000039000000}"/>
    <hyperlink ref="A24" r:id="rId59" xr:uid="{00000000-0004-0000-0700-00003A000000}"/>
    <hyperlink ref="C24" r:id="rId60" xr:uid="{00000000-0004-0000-0700-00003B000000}"/>
    <hyperlink ref="D24" r:id="rId61" xr:uid="{00000000-0004-0000-0700-00003C000000}"/>
    <hyperlink ref="A25" r:id="rId62" xr:uid="{00000000-0004-0000-0700-00003D000000}"/>
    <hyperlink ref="C25" r:id="rId63" xr:uid="{00000000-0004-0000-0700-00003E000000}"/>
    <hyperlink ref="D25" r:id="rId64" xr:uid="{00000000-0004-0000-0700-00003F000000}"/>
    <hyperlink ref="C26" r:id="rId65" xr:uid="{00000000-0004-0000-0700-000040000000}"/>
    <hyperlink ref="D26" r:id="rId66" xr:uid="{00000000-0004-0000-0700-000041000000}"/>
    <hyperlink ref="C27" r:id="rId67" xr:uid="{00000000-0004-0000-0700-000042000000}"/>
    <hyperlink ref="D27" r:id="rId68" xr:uid="{00000000-0004-0000-0700-000043000000}"/>
    <hyperlink ref="C28" r:id="rId69" xr:uid="{00000000-0004-0000-0700-000044000000}"/>
    <hyperlink ref="D28" r:id="rId70" xr:uid="{00000000-0004-0000-0700-000045000000}"/>
    <hyperlink ref="N28" r:id="rId71" xr:uid="{00000000-0004-0000-0700-000046000000}"/>
    <hyperlink ref="C29" r:id="rId72" xr:uid="{00000000-0004-0000-0700-000047000000}"/>
    <hyperlink ref="D29" r:id="rId73" xr:uid="{00000000-0004-0000-0700-000048000000}"/>
    <hyperlink ref="N29" r:id="rId74" xr:uid="{00000000-0004-0000-0700-000049000000}"/>
    <hyperlink ref="C30" r:id="rId75" xr:uid="{00000000-0004-0000-0700-00004A000000}"/>
    <hyperlink ref="D30" r:id="rId76" xr:uid="{00000000-0004-0000-0700-00004B000000}"/>
    <hyperlink ref="N30" r:id="rId77" xr:uid="{00000000-0004-0000-0700-00004C000000}"/>
    <hyperlink ref="C31" r:id="rId78" xr:uid="{00000000-0004-0000-0700-00004D000000}"/>
    <hyperlink ref="D31" r:id="rId79" xr:uid="{00000000-0004-0000-0700-00004E000000}"/>
    <hyperlink ref="N31" r:id="rId80" xr:uid="{00000000-0004-0000-0700-00004F000000}"/>
    <hyperlink ref="C32" r:id="rId81" xr:uid="{00000000-0004-0000-0700-000050000000}"/>
    <hyperlink ref="D32" r:id="rId82" xr:uid="{00000000-0004-0000-0700-000051000000}"/>
    <hyperlink ref="C33" r:id="rId83" xr:uid="{00000000-0004-0000-0700-000052000000}"/>
    <hyperlink ref="D33" r:id="rId84" xr:uid="{00000000-0004-0000-0700-000053000000}"/>
    <hyperlink ref="C34" r:id="rId85" xr:uid="{00000000-0004-0000-0700-000054000000}"/>
    <hyperlink ref="D34" r:id="rId86" xr:uid="{00000000-0004-0000-0700-000055000000}"/>
    <hyperlink ref="C35" r:id="rId87" xr:uid="{00000000-0004-0000-0700-000056000000}"/>
    <hyperlink ref="D35" r:id="rId88" xr:uid="{00000000-0004-0000-0700-000057000000}"/>
    <hyperlink ref="C36" r:id="rId89" xr:uid="{00000000-0004-0000-0700-000058000000}"/>
    <hyperlink ref="D36" r:id="rId90" xr:uid="{00000000-0004-0000-0700-000059000000}"/>
    <hyperlink ref="N36" r:id="rId91" xr:uid="{00000000-0004-0000-0700-00005A000000}"/>
  </hyperlinks>
  <pageMargins left="0.7" right="0.7" top="0.75" bottom="0.75" header="0.3" footer="0.3"/>
  <legacyDrawing r:id="rId92"/>
  <tableParts count="1">
    <tablePart r:id="rId9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H99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2" width="5.6640625" customWidth="1"/>
    <col min="3" max="4" width="11.5" customWidth="1"/>
    <col min="5" max="5" width="17.5" customWidth="1"/>
    <col min="6" max="6" width="7.6640625" customWidth="1"/>
    <col min="7" max="7" width="16.6640625" customWidth="1"/>
    <col min="8" max="8" width="6.5" customWidth="1"/>
    <col min="9" max="13" width="8.5" customWidth="1"/>
    <col min="14" max="14" width="15.5" customWidth="1"/>
    <col min="15" max="15" width="8.83203125" customWidth="1"/>
    <col min="16" max="16" width="13.5" customWidth="1"/>
    <col min="17" max="17" width="8.83203125" customWidth="1"/>
    <col min="21" max="22" width="7.5" customWidth="1"/>
    <col min="23" max="23" width="6.6640625" customWidth="1"/>
    <col min="24" max="24" width="7.83203125" customWidth="1"/>
    <col min="25" max="25" width="5.83203125" customWidth="1"/>
    <col min="26" max="26" width="8.5" customWidth="1"/>
    <col min="27" max="27" width="6.83203125" customWidth="1"/>
    <col min="28" max="28" width="6.6640625" customWidth="1"/>
    <col min="29" max="29" width="9.5" customWidth="1"/>
    <col min="30" max="30" width="8.5" customWidth="1"/>
    <col min="31" max="31" width="6.5" customWidth="1"/>
    <col min="32" max="33" width="15.1640625" customWidth="1"/>
  </cols>
  <sheetData>
    <row r="1" spans="1:60" ht="13">
      <c r="A1" s="11"/>
      <c r="B1" s="171" t="s">
        <v>6</v>
      </c>
      <c r="C1" s="81" t="s">
        <v>7</v>
      </c>
      <c r="D1" s="81" t="s">
        <v>14</v>
      </c>
      <c r="E1" s="11" t="s">
        <v>15</v>
      </c>
      <c r="F1" s="11" t="s">
        <v>16</v>
      </c>
      <c r="G1" s="81" t="s">
        <v>17</v>
      </c>
      <c r="H1" s="11" t="s">
        <v>18</v>
      </c>
      <c r="I1" s="11" t="s">
        <v>19</v>
      </c>
      <c r="J1" s="11" t="s">
        <v>20</v>
      </c>
      <c r="K1" s="11" t="s">
        <v>21</v>
      </c>
      <c r="L1" s="11" t="s">
        <v>22</v>
      </c>
      <c r="M1" s="82" t="s">
        <v>142</v>
      </c>
      <c r="N1" s="11" t="s">
        <v>23</v>
      </c>
      <c r="O1" s="11" t="s">
        <v>24</v>
      </c>
      <c r="P1" s="11" t="s">
        <v>25</v>
      </c>
      <c r="Q1" s="11" t="s">
        <v>26</v>
      </c>
      <c r="R1" s="11" t="s">
        <v>27</v>
      </c>
      <c r="S1" s="11" t="s">
        <v>28</v>
      </c>
      <c r="T1" s="11" t="s">
        <v>29</v>
      </c>
      <c r="U1" s="11" t="s">
        <v>440</v>
      </c>
      <c r="V1" s="11" t="s">
        <v>30</v>
      </c>
      <c r="W1" s="11" t="s">
        <v>31</v>
      </c>
      <c r="X1" s="11" t="s">
        <v>32</v>
      </c>
      <c r="Y1" s="11" t="s">
        <v>33</v>
      </c>
      <c r="Z1" s="11" t="s">
        <v>34</v>
      </c>
      <c r="AA1" s="11" t="s">
        <v>35</v>
      </c>
      <c r="AB1" s="11" t="s">
        <v>36</v>
      </c>
      <c r="AC1" s="11" t="s">
        <v>37</v>
      </c>
      <c r="AD1" s="11" t="s">
        <v>38</v>
      </c>
      <c r="AE1" s="82" t="s">
        <v>39</v>
      </c>
      <c r="AF1" s="11" t="s">
        <v>40</v>
      </c>
      <c r="AG1" s="11" t="s">
        <v>41</v>
      </c>
      <c r="AH1" s="11" t="s">
        <v>42</v>
      </c>
      <c r="AI1" s="11" t="s">
        <v>43</v>
      </c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ht="13">
      <c r="A2" s="143" t="s">
        <v>116</v>
      </c>
      <c r="B2" s="142" t="s">
        <v>5</v>
      </c>
      <c r="C2" s="96" t="s">
        <v>117</v>
      </c>
      <c r="D2" s="96" t="s">
        <v>118</v>
      </c>
      <c r="E2" t="str">
        <f t="shared" ref="E2:E11" si="0">TRIM(LEFT(D2,LEN(D2)-4))</f>
        <v>Phillip Thompson</v>
      </c>
      <c r="F2" s="8" t="s">
        <v>90</v>
      </c>
      <c r="G2" s="97" t="s">
        <v>120</v>
      </c>
      <c r="H2" s="4">
        <v>1438</v>
      </c>
      <c r="I2" s="86">
        <v>9.5</v>
      </c>
      <c r="J2" s="102">
        <v>9.75</v>
      </c>
      <c r="K2" s="85">
        <v>10</v>
      </c>
      <c r="L2" s="125">
        <v>10</v>
      </c>
      <c r="M2" s="125"/>
      <c r="N2" s="11" t="s">
        <v>121</v>
      </c>
      <c r="O2" s="11" t="s">
        <v>78</v>
      </c>
      <c r="P2" s="11">
        <v>16</v>
      </c>
      <c r="Q2" s="11" t="s">
        <v>78</v>
      </c>
      <c r="R2" s="11"/>
      <c r="S2" s="11"/>
      <c r="T2" s="11"/>
      <c r="U2" s="12"/>
      <c r="V2" s="11">
        <v>2</v>
      </c>
      <c r="W2" s="11">
        <v>2</v>
      </c>
      <c r="X2" s="11">
        <v>6.5</v>
      </c>
      <c r="Y2" s="11">
        <v>7.25</v>
      </c>
      <c r="Z2" s="11">
        <v>408</v>
      </c>
      <c r="AA2" s="11">
        <v>5</v>
      </c>
      <c r="AB2" s="11">
        <v>8.5</v>
      </c>
      <c r="AC2" s="86">
        <v>9</v>
      </c>
      <c r="AD2" s="86">
        <v>9.25</v>
      </c>
      <c r="AE2" s="172">
        <v>1445</v>
      </c>
      <c r="AF2" s="11">
        <v>389</v>
      </c>
      <c r="AG2" s="11">
        <v>351</v>
      </c>
      <c r="AH2" s="11">
        <v>351</v>
      </c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</row>
    <row r="3" spans="1:60" ht="13">
      <c r="A3" s="143" t="s">
        <v>154</v>
      </c>
      <c r="B3" s="142" t="s">
        <v>5</v>
      </c>
      <c r="C3" s="96" t="s">
        <v>156</v>
      </c>
      <c r="D3" s="96" t="s">
        <v>157</v>
      </c>
      <c r="E3" s="8" t="str">
        <f t="shared" si="0"/>
        <v>Jake Stennett</v>
      </c>
      <c r="F3" s="8" t="str">
        <f t="shared" ref="F3:F10" si="1">TRIM(RIGHT(D3,2))</f>
        <v>RF</v>
      </c>
      <c r="G3" s="97" t="s">
        <v>159</v>
      </c>
      <c r="H3" s="4">
        <v>1504</v>
      </c>
      <c r="I3" s="85">
        <v>9.5</v>
      </c>
      <c r="J3" s="86"/>
      <c r="K3" s="86"/>
      <c r="L3" s="86"/>
      <c r="M3" s="86"/>
      <c r="N3" s="12"/>
      <c r="O3" s="11" t="s">
        <v>78</v>
      </c>
      <c r="P3" s="11">
        <v>17</v>
      </c>
      <c r="Q3" s="11" t="s">
        <v>78</v>
      </c>
      <c r="R3" s="11"/>
      <c r="S3" s="11"/>
      <c r="T3" s="11"/>
      <c r="U3" s="12"/>
      <c r="V3" s="12"/>
      <c r="W3" s="11">
        <v>3</v>
      </c>
      <c r="X3" s="11">
        <v>3</v>
      </c>
      <c r="Y3" s="11">
        <v>7</v>
      </c>
      <c r="Z3" s="11">
        <v>5.5</v>
      </c>
      <c r="AA3" s="11">
        <v>3</v>
      </c>
      <c r="AB3" s="11">
        <v>8</v>
      </c>
      <c r="AC3" s="86">
        <v>8.5</v>
      </c>
      <c r="AD3" s="86">
        <v>9.25</v>
      </c>
      <c r="AE3" s="82">
        <v>1351</v>
      </c>
      <c r="AF3" s="11">
        <v>303</v>
      </c>
      <c r="AG3" s="11">
        <v>289</v>
      </c>
      <c r="AH3" s="11">
        <v>276</v>
      </c>
      <c r="AI3" s="11">
        <v>248</v>
      </c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</row>
    <row r="4" spans="1:60" ht="13">
      <c r="A4" s="94" t="s">
        <v>205</v>
      </c>
      <c r="B4" s="142" t="s">
        <v>5</v>
      </c>
      <c r="C4" s="140" t="s">
        <v>206</v>
      </c>
      <c r="D4" s="140" t="s">
        <v>207</v>
      </c>
      <c r="E4" t="str">
        <f t="shared" si="0"/>
        <v>Kenny McCormick</v>
      </c>
      <c r="F4" t="str">
        <f t="shared" si="1"/>
        <v>2B</v>
      </c>
      <c r="G4" s="127" t="s">
        <v>151</v>
      </c>
      <c r="H4" s="4">
        <v>1239</v>
      </c>
      <c r="I4" s="98">
        <v>9</v>
      </c>
      <c r="J4" s="99"/>
      <c r="K4" s="99"/>
      <c r="L4" s="99"/>
      <c r="M4" s="99"/>
      <c r="O4" t="s">
        <v>70</v>
      </c>
      <c r="Q4" t="s">
        <v>70</v>
      </c>
      <c r="W4">
        <v>2</v>
      </c>
      <c r="X4">
        <v>4</v>
      </c>
      <c r="Y4" s="8">
        <v>8.25</v>
      </c>
      <c r="Z4">
        <v>5.5</v>
      </c>
      <c r="AA4" s="8">
        <v>5</v>
      </c>
      <c r="AB4" s="99">
        <v>8</v>
      </c>
      <c r="AC4" s="99">
        <v>9</v>
      </c>
      <c r="AD4" s="98">
        <v>9.25</v>
      </c>
      <c r="AE4" s="8">
        <v>1368</v>
      </c>
      <c r="AF4">
        <v>427</v>
      </c>
      <c r="AG4">
        <v>419</v>
      </c>
      <c r="AH4">
        <v>402</v>
      </c>
      <c r="AI4">
        <v>372</v>
      </c>
      <c r="AJ4" s="8" t="str">
        <f>VLOOKUP(B4,Analysis!$A$24:$B$32,2,FALSE)</f>
        <v>:aviators:</v>
      </c>
      <c r="AK4" s="8" t="str">
        <f>AJ4&amp;" [b][url="&amp;A4&amp;"]"&amp;D4&amp;"[/url][/b] TPE: "&amp;AE4&amp;", Regression Class: "&amp;Q4</f>
        <v>:aviators: [b][url=http://probaseballexperience.jcink.net/index.php?showtopic=66]Kenny McCormick - 2B[/url][/b] TPE: 1368, Regression Class: S1</v>
      </c>
    </row>
    <row r="5" spans="1:60" ht="13">
      <c r="A5" s="143" t="s">
        <v>413</v>
      </c>
      <c r="B5" s="142" t="s">
        <v>5</v>
      </c>
      <c r="C5" s="96" t="s">
        <v>414</v>
      </c>
      <c r="D5" s="96" t="s">
        <v>415</v>
      </c>
      <c r="E5" t="str">
        <f t="shared" si="0"/>
        <v>Johnathon Livingston</v>
      </c>
      <c r="F5" s="8" t="str">
        <f t="shared" si="1"/>
        <v>CL</v>
      </c>
      <c r="G5" s="97" t="s">
        <v>55</v>
      </c>
      <c r="H5" s="4">
        <v>858</v>
      </c>
      <c r="I5" s="85">
        <v>8</v>
      </c>
      <c r="J5" s="85">
        <v>8</v>
      </c>
      <c r="K5" s="90">
        <v>8</v>
      </c>
      <c r="L5" s="86"/>
      <c r="M5" s="86"/>
      <c r="N5" s="11" t="s">
        <v>417</v>
      </c>
      <c r="O5" s="11" t="s">
        <v>35</v>
      </c>
      <c r="P5" s="11">
        <v>9</v>
      </c>
      <c r="Q5" s="11" t="s">
        <v>35</v>
      </c>
      <c r="R5" s="11"/>
      <c r="S5" s="11"/>
      <c r="T5" s="11"/>
      <c r="U5" s="11"/>
      <c r="V5" s="12"/>
      <c r="W5" s="11"/>
      <c r="X5" s="11"/>
      <c r="Y5" s="11"/>
      <c r="Z5" s="11"/>
      <c r="AA5" s="11" t="s">
        <v>257</v>
      </c>
      <c r="AB5" s="11">
        <v>3</v>
      </c>
      <c r="AC5" s="86">
        <v>3</v>
      </c>
      <c r="AD5" s="102">
        <v>3</v>
      </c>
      <c r="AE5" s="82">
        <v>542</v>
      </c>
      <c r="AF5" s="11"/>
      <c r="AG5" s="11"/>
      <c r="AH5" s="11"/>
      <c r="AI5" s="11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</row>
    <row r="6" spans="1:60" ht="13">
      <c r="A6" s="143" t="s">
        <v>228</v>
      </c>
      <c r="B6" s="142" t="s">
        <v>5</v>
      </c>
      <c r="C6" s="96" t="s">
        <v>230</v>
      </c>
      <c r="D6" s="96" t="s">
        <v>232</v>
      </c>
      <c r="E6" s="8" t="str">
        <f t="shared" si="0"/>
        <v>Mookie Banks</v>
      </c>
      <c r="F6" s="8" t="str">
        <f t="shared" si="1"/>
        <v>SP</v>
      </c>
      <c r="G6" s="97" t="s">
        <v>55</v>
      </c>
      <c r="H6" s="4">
        <v>1389</v>
      </c>
      <c r="I6" s="86">
        <v>5</v>
      </c>
      <c r="J6" s="86">
        <v>5</v>
      </c>
      <c r="K6" s="86"/>
      <c r="L6" s="86"/>
      <c r="M6" s="86"/>
      <c r="N6" s="11"/>
      <c r="O6" s="11" t="s">
        <v>33</v>
      </c>
      <c r="P6" s="11">
        <v>3</v>
      </c>
      <c r="Q6" s="11" t="s">
        <v>32</v>
      </c>
      <c r="R6" s="11"/>
      <c r="S6" s="11"/>
      <c r="T6" s="11"/>
      <c r="U6" s="12"/>
      <c r="V6" s="12"/>
      <c r="W6" s="11"/>
      <c r="X6" s="11">
        <v>3</v>
      </c>
      <c r="Y6" s="11">
        <v>6</v>
      </c>
      <c r="Z6" s="11">
        <v>3</v>
      </c>
      <c r="AA6" s="11">
        <v>19.25</v>
      </c>
      <c r="AB6" s="11">
        <v>5</v>
      </c>
      <c r="AC6" s="86">
        <v>5</v>
      </c>
      <c r="AD6" s="86">
        <v>5</v>
      </c>
      <c r="AE6" s="82">
        <v>1086</v>
      </c>
      <c r="AF6" s="11"/>
      <c r="AG6" s="11"/>
      <c r="AH6" s="11"/>
      <c r="AI6" s="11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</row>
    <row r="7" spans="1:60" ht="13">
      <c r="A7" s="143" t="s">
        <v>287</v>
      </c>
      <c r="B7" s="142" t="s">
        <v>5</v>
      </c>
      <c r="C7" s="96" t="s">
        <v>289</v>
      </c>
      <c r="D7" s="96" t="s">
        <v>291</v>
      </c>
      <c r="E7" s="8" t="str">
        <f t="shared" si="0"/>
        <v>Billy Benson</v>
      </c>
      <c r="F7" s="8" t="str">
        <f t="shared" si="1"/>
        <v>C</v>
      </c>
      <c r="G7" s="97" t="s">
        <v>294</v>
      </c>
      <c r="H7" s="4">
        <v>1121</v>
      </c>
      <c r="I7" s="85">
        <v>9</v>
      </c>
      <c r="J7" s="86"/>
      <c r="K7" s="86"/>
      <c r="L7" s="86"/>
      <c r="M7" s="86"/>
      <c r="N7" s="11"/>
      <c r="O7" s="11" t="s">
        <v>33</v>
      </c>
      <c r="P7" s="11">
        <v>8</v>
      </c>
      <c r="Q7" s="11" t="s">
        <v>33</v>
      </c>
      <c r="R7" s="11"/>
      <c r="S7" s="11"/>
      <c r="T7" s="11"/>
      <c r="U7" s="12"/>
      <c r="V7" s="12"/>
      <c r="W7" s="11"/>
      <c r="X7" s="11"/>
      <c r="Y7" s="11">
        <v>6</v>
      </c>
      <c r="Z7" s="11">
        <v>3</v>
      </c>
      <c r="AA7" s="11">
        <v>10</v>
      </c>
      <c r="AB7" s="11">
        <v>4.25</v>
      </c>
      <c r="AC7" s="86">
        <v>4.25</v>
      </c>
      <c r="AD7" s="86">
        <v>4.25</v>
      </c>
      <c r="AE7" s="82">
        <v>926</v>
      </c>
      <c r="AF7" s="11"/>
      <c r="AG7" s="11"/>
      <c r="AH7" s="11"/>
      <c r="AI7" s="11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</row>
    <row r="8" spans="1:60" ht="13">
      <c r="A8" s="94" t="s">
        <v>316</v>
      </c>
      <c r="B8" s="142" t="s">
        <v>5</v>
      </c>
      <c r="C8" s="140" t="s">
        <v>318</v>
      </c>
      <c r="D8" s="140" t="s">
        <v>320</v>
      </c>
      <c r="E8" t="str">
        <f t="shared" si="0"/>
        <v>Connor Tanner</v>
      </c>
      <c r="F8" t="str">
        <f t="shared" si="1"/>
        <v>3B</v>
      </c>
      <c r="G8" s="127" t="s">
        <v>192</v>
      </c>
      <c r="H8" s="4">
        <v>977</v>
      </c>
      <c r="I8" s="98">
        <v>4</v>
      </c>
      <c r="J8" s="98">
        <v>4</v>
      </c>
      <c r="K8" s="99"/>
      <c r="L8" s="99"/>
      <c r="M8" s="99"/>
      <c r="O8" t="s">
        <v>32</v>
      </c>
      <c r="P8">
        <v>2</v>
      </c>
      <c r="Q8" t="s">
        <v>32</v>
      </c>
      <c r="X8">
        <v>10</v>
      </c>
      <c r="Y8" s="8">
        <v>1</v>
      </c>
      <c r="Z8">
        <v>10</v>
      </c>
      <c r="AA8" s="8">
        <v>4</v>
      </c>
      <c r="AB8" s="99">
        <v>4.25</v>
      </c>
      <c r="AC8" s="99">
        <v>4.5</v>
      </c>
      <c r="AD8" s="98">
        <v>18.25</v>
      </c>
      <c r="AE8" s="8">
        <v>977</v>
      </c>
      <c r="AF8">
        <v>100</v>
      </c>
      <c r="AG8">
        <v>100</v>
      </c>
      <c r="AJ8" s="8" t="str">
        <f>VLOOKUP(B8,Analysis!$A$24:$B$32,2,FALSE)</f>
        <v>:aviators:</v>
      </c>
      <c r="AK8" s="8" t="str">
        <f>AJ8&amp;" [b][url="&amp;A8&amp;"]"&amp;D8&amp;"[/url][/b] TPE: "&amp;AE8&amp;", Regression Class: "&amp;Q8</f>
        <v>:aviators: [b][url=http://probaseballexperience.jcink.net/index.php?showtopic=2142]Connor Tanner - 3B[/url][/b] TPE: 977, Regression Class: S4</v>
      </c>
    </row>
    <row r="9" spans="1:60" ht="13">
      <c r="A9" s="143" t="s">
        <v>418</v>
      </c>
      <c r="B9" s="142" t="s">
        <v>5</v>
      </c>
      <c r="C9" s="96" t="s">
        <v>419</v>
      </c>
      <c r="D9" s="96" t="s">
        <v>420</v>
      </c>
      <c r="E9" t="str">
        <f t="shared" si="0"/>
        <v>Jordan von Matt</v>
      </c>
      <c r="F9" s="8" t="str">
        <f t="shared" si="1"/>
        <v>LF</v>
      </c>
      <c r="G9" s="97" t="s">
        <v>192</v>
      </c>
      <c r="H9" s="4">
        <v>902</v>
      </c>
      <c r="I9" s="86">
        <v>7</v>
      </c>
      <c r="J9" s="86"/>
      <c r="K9" s="86"/>
      <c r="L9" s="86"/>
      <c r="M9" s="86"/>
      <c r="N9" s="11"/>
      <c r="O9" s="11" t="s">
        <v>34</v>
      </c>
      <c r="P9" s="11">
        <v>19</v>
      </c>
      <c r="Q9" s="11" t="s">
        <v>34</v>
      </c>
      <c r="R9" s="11"/>
      <c r="S9" s="11"/>
      <c r="T9" s="11"/>
      <c r="U9" s="12"/>
      <c r="V9" s="12"/>
      <c r="W9" s="11"/>
      <c r="X9" s="11"/>
      <c r="Y9" s="11"/>
      <c r="Z9" s="11">
        <v>2</v>
      </c>
      <c r="AA9" s="11">
        <v>2</v>
      </c>
      <c r="AB9" s="11">
        <v>2</v>
      </c>
      <c r="AC9" s="86">
        <v>5</v>
      </c>
      <c r="AD9" s="86">
        <v>6</v>
      </c>
      <c r="AE9" s="82">
        <v>625</v>
      </c>
      <c r="AF9" s="11"/>
      <c r="AG9" s="11"/>
      <c r="AH9" s="11"/>
      <c r="AI9" s="11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</row>
    <row r="10" spans="1:60" ht="13">
      <c r="A10" s="143" t="s">
        <v>422</v>
      </c>
      <c r="B10" s="142" t="s">
        <v>5</v>
      </c>
      <c r="C10" s="96" t="s">
        <v>423</v>
      </c>
      <c r="D10" s="96" t="s">
        <v>424</v>
      </c>
      <c r="E10" t="str">
        <f t="shared" si="0"/>
        <v>JJ Windsor</v>
      </c>
      <c r="F10" s="8" t="str">
        <f t="shared" si="1"/>
        <v>CL</v>
      </c>
      <c r="G10" s="97" t="s">
        <v>109</v>
      </c>
      <c r="H10" s="4">
        <v>805</v>
      </c>
      <c r="I10" s="85">
        <v>8</v>
      </c>
      <c r="J10" s="85">
        <v>8</v>
      </c>
      <c r="K10" s="86"/>
      <c r="L10" s="86"/>
      <c r="M10" s="86"/>
      <c r="N10" s="11" t="s">
        <v>417</v>
      </c>
      <c r="O10" s="11" t="s">
        <v>35</v>
      </c>
      <c r="P10" s="11">
        <v>7</v>
      </c>
      <c r="Q10" s="11" t="s">
        <v>35</v>
      </c>
      <c r="R10" s="11"/>
      <c r="S10" s="11"/>
      <c r="T10" s="11"/>
      <c r="U10" s="11"/>
      <c r="V10" s="12"/>
      <c r="W10" s="11"/>
      <c r="X10" s="11"/>
      <c r="Y10" s="11"/>
      <c r="Z10" s="11"/>
      <c r="AA10" s="11" t="s">
        <v>257</v>
      </c>
      <c r="AB10" s="11">
        <v>3.5</v>
      </c>
      <c r="AC10" s="86">
        <v>4</v>
      </c>
      <c r="AD10" s="102">
        <v>4.5</v>
      </c>
      <c r="AE10" s="82">
        <v>544</v>
      </c>
      <c r="AF10" s="11"/>
      <c r="AG10" s="11"/>
      <c r="AH10" s="11"/>
      <c r="AI10" s="11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</row>
    <row r="11" spans="1:60" ht="13">
      <c r="A11" s="93" t="s">
        <v>464</v>
      </c>
      <c r="B11" s="142" t="s">
        <v>5</v>
      </c>
      <c r="C11" s="140" t="s">
        <v>465</v>
      </c>
      <c r="D11" s="140" t="s">
        <v>466</v>
      </c>
      <c r="E11" t="str">
        <f t="shared" si="0"/>
        <v>Kimetrius Webster</v>
      </c>
      <c r="F11" t="s">
        <v>187</v>
      </c>
      <c r="G11" s="127" t="s">
        <v>132</v>
      </c>
      <c r="H11" s="4">
        <v>741</v>
      </c>
      <c r="I11" s="108">
        <v>6.5</v>
      </c>
      <c r="J11" s="43"/>
      <c r="K11" s="43"/>
      <c r="L11" s="43"/>
      <c r="M11" s="43"/>
      <c r="N11" s="40"/>
      <c r="O11" s="40" t="s">
        <v>33</v>
      </c>
      <c r="P11" s="42">
        <v>20</v>
      </c>
      <c r="Q11" s="40" t="s">
        <v>33</v>
      </c>
      <c r="R11" s="40"/>
      <c r="S11" s="40"/>
      <c r="T11" s="40"/>
      <c r="U11" s="40"/>
      <c r="V11" s="40"/>
      <c r="W11" s="40"/>
      <c r="X11" s="40"/>
      <c r="Y11" s="109">
        <v>6</v>
      </c>
      <c r="Z11" s="42">
        <v>3</v>
      </c>
      <c r="AA11" s="109">
        <v>3</v>
      </c>
      <c r="AB11" s="44">
        <v>5</v>
      </c>
      <c r="AC11" s="44">
        <v>5.75</v>
      </c>
      <c r="AD11" s="108">
        <v>5.75</v>
      </c>
      <c r="AE11" s="109">
        <v>647</v>
      </c>
      <c r="AF11" s="40"/>
      <c r="AG11" s="40"/>
      <c r="AH11" s="40"/>
      <c r="AI11" s="40"/>
      <c r="AJ11" s="40"/>
      <c r="AK11" s="40"/>
      <c r="AL11" s="40"/>
      <c r="AM11" s="40"/>
      <c r="AN11" s="40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</row>
    <row r="12" spans="1:60" ht="13">
      <c r="A12" s="94" t="s">
        <v>357</v>
      </c>
      <c r="B12" s="142" t="s">
        <v>5</v>
      </c>
      <c r="C12" s="96" t="s">
        <v>358</v>
      </c>
      <c r="D12" s="96" t="s">
        <v>359</v>
      </c>
      <c r="E12" t="str">
        <f>TRIM(LEFT(D12,LEN(D12)-5))</f>
        <v>Pete Rose</v>
      </c>
      <c r="F12" s="8" t="str">
        <f t="shared" ref="F12:F20" si="2">TRIM(RIGHT(D12,2))</f>
        <v>CL</v>
      </c>
      <c r="G12" s="97" t="s">
        <v>109</v>
      </c>
      <c r="H12" s="4">
        <v>920</v>
      </c>
      <c r="I12" s="98">
        <v>8</v>
      </c>
      <c r="J12" s="99"/>
      <c r="K12" s="99"/>
      <c r="L12" s="99"/>
      <c r="M12" s="99"/>
      <c r="N12" s="8"/>
      <c r="O12" s="8" t="s">
        <v>126</v>
      </c>
      <c r="P12" s="8">
        <v>10</v>
      </c>
      <c r="Q12" s="8" t="s">
        <v>126</v>
      </c>
      <c r="V12">
        <v>7</v>
      </c>
      <c r="W12" s="8">
        <v>1</v>
      </c>
      <c r="X12" s="8">
        <v>1</v>
      </c>
      <c r="Y12" s="8">
        <v>4</v>
      </c>
      <c r="Z12" s="8">
        <v>5</v>
      </c>
      <c r="AA12">
        <v>6.5</v>
      </c>
      <c r="AB12" s="99">
        <v>6.5</v>
      </c>
      <c r="AC12" s="8">
        <v>819</v>
      </c>
      <c r="AD12" s="98">
        <f>7.25/2</f>
        <v>3.625</v>
      </c>
      <c r="AE12">
        <v>175</v>
      </c>
      <c r="AF12" s="8">
        <v>165</v>
      </c>
      <c r="AG12" s="8">
        <v>154</v>
      </c>
      <c r="AH12" s="8">
        <v>130</v>
      </c>
      <c r="AI12" s="8"/>
    </row>
    <row r="13" spans="1:60" ht="13">
      <c r="A13" s="82"/>
      <c r="B13" s="142" t="s">
        <v>5</v>
      </c>
      <c r="C13" s="96" t="s">
        <v>813</v>
      </c>
      <c r="D13" s="96" t="s">
        <v>814</v>
      </c>
      <c r="E13" s="8" t="str">
        <f t="shared" ref="E13:E21" si="3">TRIM(LEFT(D13,LEN(D13)-4))</f>
        <v>Mitch McIntyre</v>
      </c>
      <c r="F13" s="8" t="str">
        <f t="shared" si="2"/>
        <v>SP</v>
      </c>
      <c r="G13" s="97" t="s">
        <v>109</v>
      </c>
      <c r="H13" s="4">
        <v>345</v>
      </c>
      <c r="I13" s="85">
        <v>3</v>
      </c>
      <c r="J13" s="85">
        <v>3</v>
      </c>
      <c r="K13" s="90">
        <v>3</v>
      </c>
      <c r="L13" s="103"/>
      <c r="M13" s="103"/>
      <c r="N13" s="12"/>
      <c r="O13" s="4" t="s">
        <v>38</v>
      </c>
      <c r="P13" s="4">
        <v>5</v>
      </c>
      <c r="Q13" s="8" t="s">
        <v>37</v>
      </c>
      <c r="AB13" s="12"/>
      <c r="AD13" s="82" t="s">
        <v>274</v>
      </c>
      <c r="AE13" s="82">
        <v>176</v>
      </c>
    </row>
    <row r="14" spans="1:60" ht="13">
      <c r="A14" s="143" t="s">
        <v>816</v>
      </c>
      <c r="B14" s="142" t="s">
        <v>5</v>
      </c>
      <c r="C14" s="96" t="s">
        <v>817</v>
      </c>
      <c r="D14" s="96" t="s">
        <v>818</v>
      </c>
      <c r="E14" t="str">
        <f t="shared" si="3"/>
        <v>Alyssa Elliot</v>
      </c>
      <c r="F14" s="8" t="str">
        <f t="shared" si="2"/>
        <v>SP</v>
      </c>
      <c r="G14" s="97" t="s">
        <v>820</v>
      </c>
      <c r="H14" s="4">
        <v>259</v>
      </c>
      <c r="I14" s="102">
        <v>3</v>
      </c>
      <c r="J14" s="86"/>
      <c r="K14" s="86"/>
      <c r="L14" s="86"/>
      <c r="M14" s="86"/>
      <c r="N14" s="11" t="s">
        <v>273</v>
      </c>
      <c r="O14" s="11" t="s">
        <v>36</v>
      </c>
      <c r="P14" s="11">
        <v>2</v>
      </c>
      <c r="Q14" s="11" t="s">
        <v>36</v>
      </c>
      <c r="R14" s="11"/>
      <c r="S14" s="11"/>
      <c r="T14" s="11"/>
      <c r="U14" s="11"/>
      <c r="V14" s="12"/>
      <c r="W14" s="11"/>
      <c r="X14" s="11"/>
      <c r="Y14" s="11"/>
      <c r="Z14" s="11"/>
      <c r="AA14" s="11"/>
      <c r="AB14" s="11">
        <v>0</v>
      </c>
      <c r="AC14" s="86">
        <v>3</v>
      </c>
      <c r="AD14" s="86">
        <v>3</v>
      </c>
      <c r="AE14" s="11">
        <v>259</v>
      </c>
      <c r="AF14" s="11"/>
      <c r="AG14" s="11"/>
      <c r="AH14" s="11"/>
      <c r="AI14" s="11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</row>
    <row r="15" spans="1:60" ht="13">
      <c r="A15" s="143" t="s">
        <v>821</v>
      </c>
      <c r="B15" s="142" t="s">
        <v>5</v>
      </c>
      <c r="C15" s="96" t="s">
        <v>822</v>
      </c>
      <c r="D15" s="96" t="s">
        <v>823</v>
      </c>
      <c r="E15" t="str">
        <f t="shared" si="3"/>
        <v>Catchy Boija</v>
      </c>
      <c r="F15" s="8" t="str">
        <f t="shared" si="2"/>
        <v>2B</v>
      </c>
      <c r="G15" s="97" t="s">
        <v>166</v>
      </c>
      <c r="H15" s="4">
        <v>232</v>
      </c>
      <c r="I15" s="102">
        <v>1.5</v>
      </c>
      <c r="J15" s="86"/>
      <c r="K15" s="86"/>
      <c r="L15" s="86"/>
      <c r="M15" s="86"/>
      <c r="N15" s="11" t="s">
        <v>273</v>
      </c>
      <c r="O15" s="11" t="s">
        <v>36</v>
      </c>
      <c r="P15" s="11">
        <v>14</v>
      </c>
      <c r="Q15" s="11" t="s">
        <v>35</v>
      </c>
      <c r="R15" s="11"/>
      <c r="S15" s="11"/>
      <c r="T15" s="11"/>
      <c r="U15" s="11"/>
      <c r="V15" s="12"/>
      <c r="W15" s="11"/>
      <c r="X15" s="11"/>
      <c r="Y15" s="11"/>
      <c r="Z15" s="11"/>
      <c r="AA15" s="11"/>
      <c r="AB15" s="11">
        <v>0</v>
      </c>
      <c r="AC15" s="86">
        <v>1.5</v>
      </c>
      <c r="AD15" s="86">
        <v>1.5</v>
      </c>
      <c r="AE15" s="11">
        <v>188</v>
      </c>
      <c r="AF15" s="11"/>
      <c r="AG15" s="11"/>
      <c r="AH15" s="11"/>
      <c r="AI15" s="11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</row>
    <row r="16" spans="1:60" ht="12.75" customHeight="1">
      <c r="B16" s="142" t="s">
        <v>5</v>
      </c>
      <c r="C16" s="96" t="s">
        <v>825</v>
      </c>
      <c r="D16" s="96" t="s">
        <v>827</v>
      </c>
      <c r="E16" s="8" t="str">
        <f t="shared" si="3"/>
        <v>Chris Gentry</v>
      </c>
      <c r="F16" s="8" t="str">
        <f t="shared" si="2"/>
        <v>SP</v>
      </c>
      <c r="G16" s="97" t="s">
        <v>109</v>
      </c>
      <c r="H16" s="4">
        <v>150</v>
      </c>
      <c r="I16" s="85">
        <v>1.5</v>
      </c>
      <c r="J16" s="85">
        <v>1.5</v>
      </c>
      <c r="K16" s="125">
        <v>1.5</v>
      </c>
      <c r="L16" s="103"/>
      <c r="M16" s="103"/>
      <c r="N16" s="12"/>
      <c r="O16" s="4" t="s">
        <v>38</v>
      </c>
      <c r="P16" s="4">
        <v>21</v>
      </c>
      <c r="Q16" s="4" t="s">
        <v>38</v>
      </c>
      <c r="AB16" s="12"/>
      <c r="AD16" s="82" t="s">
        <v>274</v>
      </c>
      <c r="AE16" s="82">
        <v>100</v>
      </c>
    </row>
    <row r="17" spans="1:60" ht="13">
      <c r="A17" s="94" t="s">
        <v>454</v>
      </c>
      <c r="B17" s="142" t="s">
        <v>5</v>
      </c>
      <c r="C17" s="96" t="s">
        <v>455</v>
      </c>
      <c r="D17" s="96" t="s">
        <v>456</v>
      </c>
      <c r="E17" t="str">
        <f t="shared" si="3"/>
        <v>Barry Keller</v>
      </c>
      <c r="F17" s="8" t="str">
        <f t="shared" si="2"/>
        <v>SP</v>
      </c>
      <c r="G17" s="97" t="s">
        <v>458</v>
      </c>
      <c r="H17" s="4">
        <v>824</v>
      </c>
      <c r="I17" s="85">
        <v>10.5</v>
      </c>
      <c r="J17" s="99"/>
      <c r="K17" s="99"/>
      <c r="L17" s="99"/>
      <c r="M17" s="99"/>
      <c r="N17" s="8" t="s">
        <v>459</v>
      </c>
      <c r="O17" t="s">
        <v>36</v>
      </c>
      <c r="P17" s="8">
        <v>1</v>
      </c>
      <c r="Q17" s="4" t="s">
        <v>35</v>
      </c>
      <c r="Y17" s="8"/>
      <c r="AA17" s="8">
        <v>0</v>
      </c>
      <c r="AB17" s="99">
        <v>5</v>
      </c>
      <c r="AC17" s="4">
        <v>498</v>
      </c>
      <c r="AD17" s="99">
        <v>6</v>
      </c>
    </row>
    <row r="18" spans="1:60" ht="13">
      <c r="B18" s="142" t="s">
        <v>5</v>
      </c>
      <c r="C18" s="96" t="s">
        <v>830</v>
      </c>
      <c r="D18" s="96" t="s">
        <v>831</v>
      </c>
      <c r="E18" s="8" t="str">
        <f t="shared" si="3"/>
        <v>Paul DiMirio III</v>
      </c>
      <c r="F18" s="8" t="str">
        <f t="shared" si="2"/>
        <v>2B</v>
      </c>
      <c r="G18" s="97" t="s">
        <v>181</v>
      </c>
      <c r="H18" s="4">
        <v>103</v>
      </c>
      <c r="I18" s="85">
        <v>1</v>
      </c>
      <c r="J18" s="125">
        <v>1</v>
      </c>
      <c r="L18" s="103"/>
      <c r="M18" s="103"/>
      <c r="N18" s="12"/>
      <c r="O18" s="4" t="s">
        <v>38</v>
      </c>
      <c r="P18" s="4">
        <v>37</v>
      </c>
      <c r="Q18" s="4" t="s">
        <v>38</v>
      </c>
      <c r="AB18" s="12"/>
      <c r="AD18" s="82" t="s">
        <v>274</v>
      </c>
      <c r="AE18" s="82">
        <v>100</v>
      </c>
    </row>
    <row r="19" spans="1:60" ht="18" customHeight="1">
      <c r="A19" s="94" t="s">
        <v>430</v>
      </c>
      <c r="B19" s="142" t="s">
        <v>5</v>
      </c>
      <c r="C19" s="140" t="s">
        <v>431</v>
      </c>
      <c r="D19" s="140" t="s">
        <v>432</v>
      </c>
      <c r="E19" t="str">
        <f t="shared" si="3"/>
        <v>Kellan Buchanan</v>
      </c>
      <c r="F19" t="str">
        <f t="shared" si="2"/>
        <v>CF</v>
      </c>
      <c r="G19" s="127" t="s">
        <v>97</v>
      </c>
      <c r="H19" s="4">
        <v>712</v>
      </c>
      <c r="I19" s="98">
        <v>6.5</v>
      </c>
      <c r="J19" s="99"/>
      <c r="K19" s="99"/>
      <c r="L19" s="99"/>
      <c r="M19" s="99"/>
      <c r="N19" s="9" t="s">
        <v>833</v>
      </c>
      <c r="O19" t="s">
        <v>34</v>
      </c>
      <c r="P19">
        <v>13</v>
      </c>
      <c r="Q19" t="s">
        <v>34</v>
      </c>
      <c r="Y19" s="8"/>
      <c r="Z19">
        <v>1.5</v>
      </c>
      <c r="AA19" s="8">
        <v>1.5</v>
      </c>
      <c r="AB19" s="99">
        <v>1.5</v>
      </c>
      <c r="AC19" s="99">
        <v>5</v>
      </c>
      <c r="AD19" s="99">
        <v>5.75</v>
      </c>
      <c r="AE19" s="8">
        <v>626</v>
      </c>
      <c r="AJ19" s="8" t="str">
        <f>VLOOKUP(B19,Analysis!$A$24:$B$32,2,FALSE)</f>
        <v>:aviators:</v>
      </c>
      <c r="AK19" s="8" t="str">
        <f>AJ19&amp;" [b][url="&amp;A19&amp;"]"&amp;D19&amp;"[/url][/b] TPE: "&amp;AE19&amp;", Regression Class: "&amp;Q19</f>
        <v>:aviators: [b][url=http://probaseballexperience.jcink.net/index.php?showtopic=3019]Kellan Buchanan - CF[/url][/b] TPE: 626, Regression Class: S6</v>
      </c>
    </row>
    <row r="20" spans="1:60" ht="12.75" customHeight="1">
      <c r="A20" s="94" t="s">
        <v>720</v>
      </c>
      <c r="B20" s="142" t="s">
        <v>5</v>
      </c>
      <c r="C20" s="96" t="s">
        <v>722</v>
      </c>
      <c r="D20" s="96" t="s">
        <v>723</v>
      </c>
      <c r="E20" t="str">
        <f t="shared" si="3"/>
        <v>Jeffery Murphy</v>
      </c>
      <c r="F20" s="8" t="str">
        <f t="shared" si="2"/>
        <v>3B</v>
      </c>
      <c r="G20" s="97" t="s">
        <v>132</v>
      </c>
      <c r="H20" s="4">
        <v>388</v>
      </c>
      <c r="I20" s="98">
        <v>3</v>
      </c>
      <c r="J20" s="99"/>
      <c r="K20" s="99"/>
      <c r="L20" s="99"/>
      <c r="M20" s="99"/>
      <c r="N20" s="8" t="s">
        <v>417</v>
      </c>
      <c r="O20" s="8" t="s">
        <v>35</v>
      </c>
      <c r="P20" s="8">
        <v>18</v>
      </c>
      <c r="Q20" s="8" t="s">
        <v>35</v>
      </c>
      <c r="W20" s="8"/>
      <c r="X20" s="8"/>
      <c r="Y20" s="8"/>
      <c r="Z20" s="8" t="s">
        <v>257</v>
      </c>
      <c r="AA20" s="8">
        <v>1.5</v>
      </c>
      <c r="AB20" s="99">
        <v>1.5</v>
      </c>
      <c r="AC20" s="102">
        <v>1.5</v>
      </c>
      <c r="AD20" s="8">
        <v>178</v>
      </c>
      <c r="AE20" s="8"/>
      <c r="AF20" s="8"/>
      <c r="AG20" s="8"/>
      <c r="AH20" s="8"/>
      <c r="AI20" s="8"/>
    </row>
    <row r="21" spans="1:60" ht="13">
      <c r="A21" s="94" t="s">
        <v>555</v>
      </c>
      <c r="B21" s="142" t="s">
        <v>5</v>
      </c>
      <c r="C21" s="96" t="s">
        <v>556</v>
      </c>
      <c r="D21" s="96" t="s">
        <v>557</v>
      </c>
      <c r="E21" s="8" t="str">
        <f t="shared" si="3"/>
        <v>Steven O'Sullivan</v>
      </c>
      <c r="F21" s="8" t="s">
        <v>103</v>
      </c>
      <c r="G21" s="97" t="s">
        <v>68</v>
      </c>
      <c r="H21" s="4">
        <v>459</v>
      </c>
      <c r="I21" s="98">
        <v>5</v>
      </c>
      <c r="J21" s="99"/>
      <c r="K21" s="99"/>
      <c r="L21" s="99"/>
      <c r="M21" s="99"/>
      <c r="O21" s="8" t="s">
        <v>70</v>
      </c>
      <c r="P21" s="8">
        <v>35</v>
      </c>
      <c r="Q21" s="8" t="s">
        <v>70</v>
      </c>
      <c r="R21" s="8"/>
      <c r="S21" s="8"/>
      <c r="T21" s="8"/>
      <c r="U21" s="8"/>
      <c r="W21" s="8">
        <v>3</v>
      </c>
      <c r="X21" s="8">
        <v>3</v>
      </c>
      <c r="Y21" s="8">
        <v>4</v>
      </c>
      <c r="Z21" s="8">
        <v>5.75</v>
      </c>
      <c r="AA21" s="8">
        <v>5</v>
      </c>
      <c r="AB21" s="99">
        <v>5</v>
      </c>
      <c r="AC21" s="8">
        <v>598</v>
      </c>
      <c r="AD21" s="98">
        <v>6.5</v>
      </c>
      <c r="AE21" s="8">
        <v>5</v>
      </c>
      <c r="AF21" s="8">
        <v>342</v>
      </c>
      <c r="AG21" s="8">
        <v>292</v>
      </c>
      <c r="AH21" s="8">
        <v>292</v>
      </c>
      <c r="AI21" s="8">
        <v>292</v>
      </c>
    </row>
    <row r="22" spans="1:60" ht="13">
      <c r="A22" s="12"/>
      <c r="B22" s="7" t="s">
        <v>44</v>
      </c>
      <c r="C22" s="118" t="s">
        <v>837</v>
      </c>
      <c r="D22" s="25" t="s">
        <v>839</v>
      </c>
      <c r="E22" s="11" t="str">
        <f>IFERROR(TRIM(LEFT(D22,LEN(D22)-4)),"")</f>
        <v>Jad McFearson</v>
      </c>
      <c r="F22" s="11" t="str">
        <f t="shared" ref="F22:F24" si="4">TRIM(RIGHT(D22,2))</f>
        <v>CF</v>
      </c>
      <c r="G22" s="7" t="s">
        <v>565</v>
      </c>
      <c r="H22" s="7">
        <v>150</v>
      </c>
      <c r="I22" s="145" t="s">
        <v>274</v>
      </c>
      <c r="J22" s="114">
        <v>3</v>
      </c>
      <c r="K22" s="114">
        <v>3</v>
      </c>
      <c r="L22" s="114">
        <v>3</v>
      </c>
      <c r="M22" s="2"/>
      <c r="N22" s="7" t="s">
        <v>842</v>
      </c>
      <c r="O22" s="7" t="s">
        <v>19</v>
      </c>
      <c r="P22" s="19">
        <v>7</v>
      </c>
      <c r="Q22" s="7" t="s">
        <v>19</v>
      </c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2"/>
      <c r="AD22" s="4" t="s">
        <v>47</v>
      </c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</row>
    <row r="23" spans="1:60" ht="13">
      <c r="A23" s="49"/>
      <c r="B23" s="49" t="s">
        <v>5</v>
      </c>
      <c r="C23" s="176" t="s">
        <v>556</v>
      </c>
      <c r="D23" s="177" t="s">
        <v>844</v>
      </c>
      <c r="E23" s="49" t="str">
        <f t="shared" ref="E23:E24" si="5">IFERROR(TRIM(LEFT(D23,LEN(D23)-4)),"")</f>
        <v>Falco Von Adler</v>
      </c>
      <c r="F23" s="49" t="str">
        <f t="shared" si="4"/>
        <v>CL</v>
      </c>
      <c r="G23" s="49" t="s">
        <v>290</v>
      </c>
      <c r="H23" s="113">
        <v>192</v>
      </c>
      <c r="I23" s="145" t="s">
        <v>274</v>
      </c>
      <c r="J23" s="114">
        <v>3</v>
      </c>
      <c r="K23" s="114">
        <v>3</v>
      </c>
      <c r="L23" s="114">
        <v>3</v>
      </c>
      <c r="M23" s="115"/>
      <c r="N23" s="116" t="s">
        <v>848</v>
      </c>
      <c r="O23" s="49" t="s">
        <v>19</v>
      </c>
      <c r="P23" s="178">
        <v>18</v>
      </c>
      <c r="Q23" s="49" t="s">
        <v>19</v>
      </c>
      <c r="R23" s="49"/>
      <c r="S23" s="49"/>
      <c r="T23" s="49"/>
      <c r="U23" s="47"/>
      <c r="V23" s="47"/>
      <c r="W23" s="49"/>
      <c r="X23" s="49"/>
      <c r="Y23" s="49"/>
      <c r="Z23" s="49"/>
      <c r="AA23" s="49"/>
      <c r="AB23" s="47"/>
      <c r="AC23" s="115"/>
      <c r="AD23" s="115" t="s">
        <v>47</v>
      </c>
      <c r="AE23" s="49"/>
      <c r="AF23" s="49"/>
      <c r="AG23" s="49"/>
      <c r="AH23" s="49"/>
      <c r="AI23" s="49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12"/>
      <c r="BH23" s="12"/>
    </row>
    <row r="24" spans="1:60" ht="13">
      <c r="A24" s="148"/>
      <c r="B24" s="148" t="s">
        <v>5</v>
      </c>
      <c r="C24" s="179" t="s">
        <v>849</v>
      </c>
      <c r="D24" s="177" t="s">
        <v>850</v>
      </c>
      <c r="E24" s="148" t="str">
        <f t="shared" si="5"/>
        <v>Tony Stark</v>
      </c>
      <c r="F24" s="148" t="str">
        <f t="shared" si="4"/>
        <v>3B</v>
      </c>
      <c r="G24" s="148" t="s">
        <v>62</v>
      </c>
      <c r="H24" s="180">
        <v>100</v>
      </c>
      <c r="I24" s="145" t="s">
        <v>274</v>
      </c>
      <c r="J24" s="145">
        <v>2</v>
      </c>
      <c r="K24" s="145">
        <v>2</v>
      </c>
      <c r="L24" s="145">
        <v>2</v>
      </c>
      <c r="M24" s="146"/>
      <c r="N24" s="124" t="s">
        <v>848</v>
      </c>
      <c r="O24" s="148" t="s">
        <v>19</v>
      </c>
      <c r="P24" s="180">
        <v>31</v>
      </c>
      <c r="Q24" s="148" t="s">
        <v>19</v>
      </c>
      <c r="R24" s="148"/>
      <c r="S24" s="148"/>
      <c r="T24" s="148"/>
      <c r="U24" s="50"/>
      <c r="V24" s="50"/>
      <c r="W24" s="148"/>
      <c r="X24" s="148"/>
      <c r="Y24" s="148"/>
      <c r="Z24" s="148"/>
      <c r="AA24" s="148"/>
      <c r="AB24" s="50"/>
      <c r="AC24" s="146"/>
      <c r="AD24" s="146" t="s">
        <v>47</v>
      </c>
      <c r="AE24" s="148"/>
      <c r="AF24" s="148"/>
      <c r="AG24" s="148"/>
      <c r="AH24" s="148"/>
      <c r="AI24" s="148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12"/>
      <c r="BH24" s="12"/>
    </row>
    <row r="25" spans="1:60" ht="12.75" customHeight="1">
      <c r="A25" s="94" t="s">
        <v>585</v>
      </c>
      <c r="B25" s="8" t="s">
        <v>304</v>
      </c>
      <c r="C25" s="96" t="s">
        <v>586</v>
      </c>
      <c r="D25" s="96" t="s">
        <v>587</v>
      </c>
      <c r="E25" s="8" t="str">
        <f>TRIM(LEFT(D25,LEN(D25)-4))</f>
        <v>Zack Malatesta</v>
      </c>
      <c r="F25" s="8" t="s">
        <v>67</v>
      </c>
      <c r="G25" s="97" t="s">
        <v>589</v>
      </c>
      <c r="H25" s="4">
        <v>431</v>
      </c>
      <c r="I25" s="98">
        <v>4</v>
      </c>
      <c r="J25" s="99"/>
      <c r="K25" s="99"/>
      <c r="L25" s="99"/>
      <c r="M25" s="99"/>
      <c r="N25" s="9" t="s">
        <v>407</v>
      </c>
      <c r="O25" s="8" t="s">
        <v>33</v>
      </c>
      <c r="P25" s="8">
        <v>19</v>
      </c>
      <c r="Q25" s="8" t="s">
        <v>33</v>
      </c>
      <c r="R25" s="8" t="s">
        <v>266</v>
      </c>
      <c r="S25" s="8">
        <v>6</v>
      </c>
      <c r="T25" s="8">
        <v>1</v>
      </c>
      <c r="U25" s="8"/>
      <c r="W25" s="8"/>
      <c r="X25" s="8"/>
      <c r="Y25" s="8">
        <v>1.25</v>
      </c>
      <c r="Z25" s="8">
        <v>1.25</v>
      </c>
      <c r="AA25" s="8">
        <v>1.25</v>
      </c>
      <c r="AB25" s="99">
        <v>4</v>
      </c>
      <c r="AC25" s="98">
        <v>4</v>
      </c>
      <c r="AD25" s="8">
        <v>431</v>
      </c>
      <c r="AE25" s="8">
        <v>3</v>
      </c>
      <c r="AF25" s="8"/>
      <c r="AG25" s="8"/>
      <c r="AH25" s="8"/>
      <c r="AI25" s="8"/>
    </row>
    <row r="26" spans="1:60" ht="13">
      <c r="A26" s="11"/>
      <c r="B26" s="171"/>
      <c r="C26" s="81"/>
      <c r="D26" s="81"/>
      <c r="E26" s="11"/>
      <c r="F26" s="11"/>
      <c r="G26" s="81"/>
      <c r="H26" s="11"/>
      <c r="I26" s="86"/>
      <c r="J26" s="86"/>
      <c r="K26" s="86"/>
      <c r="L26" s="86"/>
      <c r="M26" s="86"/>
      <c r="N26" s="82" t="s">
        <v>801</v>
      </c>
      <c r="O26" s="11"/>
      <c r="P26" s="11"/>
      <c r="Q26" s="11"/>
      <c r="R26" s="11"/>
      <c r="S26" s="11"/>
      <c r="T26" s="11"/>
      <c r="U26" s="12"/>
      <c r="V26" s="12"/>
      <c r="W26" s="11"/>
      <c r="X26" s="11"/>
      <c r="Y26" s="11"/>
      <c r="Z26" s="11"/>
      <c r="AA26" s="11"/>
      <c r="AB26" s="12"/>
      <c r="AC26" s="86"/>
      <c r="AD26" s="85">
        <v>5</v>
      </c>
      <c r="AE26" s="11"/>
      <c r="AF26" s="11"/>
      <c r="AG26" s="11"/>
      <c r="AH26" s="11"/>
      <c r="AI26" s="11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</row>
    <row r="27" spans="1:60" ht="13">
      <c r="A27" s="11"/>
      <c r="B27" s="171"/>
      <c r="C27" s="81"/>
      <c r="D27" s="81"/>
      <c r="E27" s="11"/>
      <c r="F27" s="11"/>
      <c r="G27" s="81"/>
      <c r="H27" s="11"/>
      <c r="I27" s="86"/>
      <c r="J27" s="86"/>
      <c r="K27" s="86"/>
      <c r="L27" s="86"/>
      <c r="M27" s="86"/>
      <c r="N27" s="11" t="s">
        <v>338</v>
      </c>
      <c r="O27" s="11"/>
      <c r="P27" s="11"/>
      <c r="Q27" s="11"/>
      <c r="R27" s="11"/>
      <c r="S27" s="11"/>
      <c r="T27" s="11"/>
      <c r="U27" s="12"/>
      <c r="V27" s="12"/>
      <c r="W27" s="11"/>
      <c r="X27" s="11"/>
      <c r="Y27" s="11"/>
      <c r="Z27" s="11">
        <v>3.5</v>
      </c>
      <c r="AA27" s="11">
        <v>1.5</v>
      </c>
      <c r="AB27" s="12"/>
      <c r="AC27" s="86"/>
      <c r="AD27" s="86"/>
      <c r="AE27" s="11"/>
      <c r="AF27" s="11"/>
      <c r="AG27" s="11"/>
      <c r="AH27" s="11"/>
      <c r="AI27" s="11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</row>
    <row r="28" spans="1:60" ht="13">
      <c r="A28" s="11"/>
      <c r="B28" s="171"/>
      <c r="C28" s="81"/>
      <c r="D28" s="81"/>
      <c r="E28" s="11"/>
      <c r="F28" s="11"/>
      <c r="G28" s="81"/>
      <c r="H28" s="11"/>
      <c r="I28" s="86"/>
      <c r="J28" s="86"/>
      <c r="K28" s="86"/>
      <c r="L28" s="86"/>
      <c r="M28" s="86"/>
      <c r="N28" s="11" t="s">
        <v>340</v>
      </c>
      <c r="O28" s="11"/>
      <c r="P28" s="11"/>
      <c r="Q28" s="11"/>
      <c r="R28" s="11"/>
      <c r="S28" s="11"/>
      <c r="T28" s="11"/>
      <c r="U28" s="12"/>
      <c r="V28" s="12"/>
      <c r="W28" s="11"/>
      <c r="X28" s="11"/>
      <c r="Y28" s="11"/>
      <c r="Z28" s="11">
        <f>4+14</f>
        <v>18</v>
      </c>
      <c r="AA28" s="11">
        <v>1</v>
      </c>
      <c r="AB28" s="11">
        <v>1.74</v>
      </c>
      <c r="AC28" s="86">
        <v>1.5</v>
      </c>
      <c r="AD28" s="86">
        <f>1.53+1.02+1.05</f>
        <v>3.5999999999999996</v>
      </c>
      <c r="AE28" s="11"/>
      <c r="AF28" s="11"/>
      <c r="AG28" s="11"/>
      <c r="AH28" s="11"/>
      <c r="AI28" s="11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</row>
    <row r="29" spans="1:60" ht="13">
      <c r="A29" s="12"/>
      <c r="B29" s="181"/>
      <c r="C29" s="89"/>
      <c r="D29" s="89"/>
      <c r="E29" s="12"/>
      <c r="F29" s="11"/>
      <c r="G29" s="81"/>
      <c r="H29" s="12"/>
      <c r="I29" s="86">
        <f t="shared" ref="I29:L29" si="6">SUM(I2:I28)</f>
        <v>122.5</v>
      </c>
      <c r="J29" s="86">
        <f t="shared" si="6"/>
        <v>48.25</v>
      </c>
      <c r="K29" s="86">
        <f t="shared" si="6"/>
        <v>30.5</v>
      </c>
      <c r="L29" s="86">
        <f t="shared" si="6"/>
        <v>18</v>
      </c>
      <c r="M29" s="86"/>
      <c r="N29" s="12"/>
      <c r="O29" s="12"/>
      <c r="P29" s="12"/>
      <c r="Q29" s="12"/>
      <c r="R29" s="12"/>
      <c r="S29" s="12"/>
      <c r="T29" s="12"/>
      <c r="U29" s="12"/>
      <c r="V29" s="12"/>
      <c r="W29" s="12">
        <f t="shared" ref="W29:Y29" si="7">SUM(W2:W6)</f>
        <v>7</v>
      </c>
      <c r="X29" s="12">
        <f t="shared" si="7"/>
        <v>16.5</v>
      </c>
      <c r="Y29" s="12">
        <f t="shared" si="7"/>
        <v>28.5</v>
      </c>
      <c r="Z29" s="12">
        <f t="shared" ref="Z29:AD29" si="8">SUM(Z2:Z28)</f>
        <v>475</v>
      </c>
      <c r="AA29" s="12">
        <f t="shared" si="8"/>
        <v>69.5</v>
      </c>
      <c r="AB29" s="12">
        <f t="shared" si="8"/>
        <v>76.739999999999995</v>
      </c>
      <c r="AC29" s="86">
        <f t="shared" si="8"/>
        <v>1989.5</v>
      </c>
      <c r="AD29" s="86">
        <f t="shared" si="8"/>
        <v>718.47500000000002</v>
      </c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</row>
    <row r="30" spans="1:60" ht="13">
      <c r="B30" s="182"/>
      <c r="C30" s="127"/>
      <c r="D30" s="127"/>
      <c r="F30" s="8"/>
      <c r="G30" s="97"/>
    </row>
    <row r="31" spans="1:60" ht="13">
      <c r="B31" s="182"/>
      <c r="C31" s="127"/>
      <c r="D31" s="127"/>
      <c r="E31" s="128" t="s">
        <v>343</v>
      </c>
      <c r="F31" s="99"/>
      <c r="G31" s="129"/>
      <c r="AF31" s="8"/>
      <c r="AG31" s="8"/>
      <c r="AH31" s="8"/>
    </row>
    <row r="32" spans="1:60" ht="13">
      <c r="B32" s="182"/>
      <c r="C32" s="127"/>
      <c r="D32" s="127"/>
      <c r="E32" s="98" t="s">
        <v>344</v>
      </c>
      <c r="F32" s="99"/>
      <c r="G32" s="129"/>
    </row>
    <row r="33" spans="2:7" ht="13">
      <c r="B33" s="182"/>
      <c r="C33" s="127"/>
      <c r="D33" s="127"/>
      <c r="E33" s="149" t="s">
        <v>345</v>
      </c>
      <c r="F33" s="150"/>
      <c r="G33" s="151"/>
    </row>
    <row r="34" spans="2:7" ht="13">
      <c r="B34" s="182"/>
      <c r="C34" s="127"/>
      <c r="D34" s="127"/>
      <c r="E34" s="125" t="s">
        <v>347</v>
      </c>
      <c r="F34" s="102"/>
      <c r="G34" s="133"/>
    </row>
    <row r="35" spans="2:7" ht="13">
      <c r="B35" s="182"/>
      <c r="C35" s="127"/>
      <c r="D35" s="127"/>
      <c r="E35" s="90" t="s">
        <v>348</v>
      </c>
      <c r="F35" s="87"/>
      <c r="G35" s="134"/>
    </row>
    <row r="36" spans="2:7" ht="13">
      <c r="B36" s="182"/>
      <c r="C36" s="127"/>
      <c r="D36" s="127"/>
      <c r="E36" s="416" t="s">
        <v>350</v>
      </c>
      <c r="F36" s="417"/>
      <c r="G36" s="418"/>
    </row>
    <row r="37" spans="2:7" ht="13">
      <c r="B37" s="182"/>
      <c r="C37" s="127"/>
      <c r="D37" s="127"/>
      <c r="F37" s="8"/>
      <c r="G37" s="97"/>
    </row>
    <row r="38" spans="2:7" ht="13">
      <c r="B38" s="182"/>
      <c r="C38" s="127"/>
      <c r="D38" s="127"/>
      <c r="F38" s="8"/>
      <c r="G38" s="97"/>
    </row>
    <row r="39" spans="2:7" ht="13">
      <c r="B39" s="182"/>
      <c r="C39" s="127"/>
      <c r="D39" s="127"/>
      <c r="G39" s="127"/>
    </row>
    <row r="40" spans="2:7" ht="13">
      <c r="B40" s="182"/>
      <c r="C40" s="127"/>
      <c r="D40" s="127"/>
      <c r="G40" s="127"/>
    </row>
    <row r="41" spans="2:7" ht="13">
      <c r="B41" s="182"/>
      <c r="C41" s="127"/>
      <c r="D41" s="127"/>
      <c r="G41" s="127"/>
    </row>
    <row r="42" spans="2:7" ht="13">
      <c r="B42" s="182"/>
      <c r="C42" s="127"/>
      <c r="D42" s="127"/>
      <c r="G42" s="127"/>
    </row>
    <row r="43" spans="2:7" ht="13">
      <c r="B43" s="182"/>
      <c r="C43" s="127"/>
      <c r="D43" s="127"/>
      <c r="G43" s="127"/>
    </row>
    <row r="44" spans="2:7" ht="13">
      <c r="B44" s="182"/>
      <c r="C44" s="127"/>
      <c r="D44" s="127"/>
      <c r="G44" s="127"/>
    </row>
    <row r="45" spans="2:7" ht="13">
      <c r="B45" s="182"/>
      <c r="C45" s="127"/>
      <c r="D45" s="127"/>
      <c r="G45" s="127"/>
    </row>
    <row r="46" spans="2:7" ht="13">
      <c r="B46" s="182"/>
      <c r="C46" s="127"/>
      <c r="D46" s="127"/>
      <c r="G46" s="127"/>
    </row>
    <row r="47" spans="2:7" ht="13">
      <c r="B47" s="182"/>
      <c r="C47" s="127"/>
      <c r="D47" s="127"/>
      <c r="G47" s="127"/>
    </row>
    <row r="48" spans="2:7" ht="13">
      <c r="B48" s="182"/>
      <c r="C48" s="127"/>
      <c r="D48" s="127"/>
      <c r="G48" s="127"/>
    </row>
    <row r="49" spans="2:7" ht="13">
      <c r="B49" s="182"/>
      <c r="C49" s="127"/>
      <c r="D49" s="127"/>
      <c r="G49" s="127"/>
    </row>
    <row r="50" spans="2:7" ht="13">
      <c r="B50" s="182"/>
      <c r="C50" s="127"/>
      <c r="D50" s="127"/>
      <c r="G50" s="127"/>
    </row>
    <row r="51" spans="2:7" ht="13">
      <c r="B51" s="182"/>
      <c r="C51" s="127"/>
      <c r="D51" s="127"/>
      <c r="G51" s="127"/>
    </row>
    <row r="52" spans="2:7" ht="13">
      <c r="B52" s="182"/>
      <c r="C52" s="127"/>
      <c r="D52" s="127"/>
      <c r="G52" s="127"/>
    </row>
    <row r="53" spans="2:7" ht="13">
      <c r="B53" s="182"/>
      <c r="C53" s="127"/>
      <c r="D53" s="127"/>
      <c r="G53" s="127"/>
    </row>
    <row r="54" spans="2:7" ht="13">
      <c r="B54" s="182"/>
      <c r="C54" s="127"/>
      <c r="D54" s="127"/>
      <c r="G54" s="127"/>
    </row>
    <row r="55" spans="2:7" ht="13">
      <c r="B55" s="182"/>
      <c r="C55" s="127"/>
      <c r="D55" s="127"/>
      <c r="G55" s="127"/>
    </row>
    <row r="56" spans="2:7" ht="13">
      <c r="B56" s="182"/>
      <c r="C56" s="127"/>
      <c r="D56" s="127"/>
      <c r="G56" s="127"/>
    </row>
    <row r="57" spans="2:7" ht="13">
      <c r="B57" s="182"/>
      <c r="C57" s="127"/>
      <c r="D57" s="127"/>
      <c r="G57" s="127"/>
    </row>
    <row r="58" spans="2:7" ht="13">
      <c r="B58" s="182"/>
      <c r="C58" s="127"/>
      <c r="D58" s="127"/>
      <c r="G58" s="127"/>
    </row>
    <row r="59" spans="2:7" ht="13">
      <c r="B59" s="182"/>
      <c r="C59" s="127"/>
      <c r="D59" s="127"/>
      <c r="G59" s="127"/>
    </row>
    <row r="60" spans="2:7" ht="13">
      <c r="B60" s="182"/>
      <c r="C60" s="127"/>
      <c r="D60" s="127"/>
      <c r="G60" s="127"/>
    </row>
    <row r="61" spans="2:7" ht="13">
      <c r="B61" s="182"/>
      <c r="C61" s="127"/>
      <c r="D61" s="127"/>
      <c r="G61" s="127"/>
    </row>
    <row r="62" spans="2:7" ht="13">
      <c r="B62" s="182"/>
      <c r="C62" s="127"/>
      <c r="D62" s="127"/>
      <c r="G62" s="127"/>
    </row>
    <row r="63" spans="2:7" ht="13">
      <c r="B63" s="182"/>
      <c r="C63" s="127"/>
      <c r="D63" s="127"/>
      <c r="G63" s="127"/>
    </row>
    <row r="64" spans="2:7" ht="13">
      <c r="B64" s="182"/>
      <c r="C64" s="127"/>
      <c r="D64" s="127"/>
      <c r="G64" s="127"/>
    </row>
    <row r="65" spans="2:7" ht="13">
      <c r="B65" s="182"/>
      <c r="C65" s="127"/>
      <c r="D65" s="127"/>
      <c r="G65" s="127"/>
    </row>
    <row r="66" spans="2:7" ht="13">
      <c r="B66" s="182"/>
      <c r="C66" s="127"/>
      <c r="D66" s="127"/>
      <c r="G66" s="127"/>
    </row>
    <row r="67" spans="2:7" ht="13">
      <c r="B67" s="182"/>
      <c r="C67" s="127"/>
      <c r="D67" s="127"/>
      <c r="G67" s="127"/>
    </row>
    <row r="68" spans="2:7" ht="13">
      <c r="B68" s="182"/>
      <c r="C68" s="127"/>
      <c r="D68" s="127"/>
      <c r="G68" s="127"/>
    </row>
    <row r="69" spans="2:7" ht="13">
      <c r="B69" s="182"/>
      <c r="C69" s="127"/>
      <c r="D69" s="127"/>
      <c r="G69" s="127"/>
    </row>
    <row r="70" spans="2:7" ht="13">
      <c r="B70" s="182"/>
      <c r="C70" s="127"/>
      <c r="D70" s="127"/>
      <c r="G70" s="127"/>
    </row>
    <row r="71" spans="2:7" ht="13">
      <c r="B71" s="182"/>
      <c r="C71" s="127"/>
      <c r="D71" s="127"/>
      <c r="G71" s="127"/>
    </row>
    <row r="72" spans="2:7" ht="13">
      <c r="B72" s="182"/>
      <c r="C72" s="127"/>
      <c r="D72" s="127"/>
      <c r="G72" s="127"/>
    </row>
    <row r="73" spans="2:7" ht="13">
      <c r="B73" s="182"/>
      <c r="C73" s="127"/>
      <c r="D73" s="127"/>
      <c r="G73" s="127"/>
    </row>
    <row r="74" spans="2:7" ht="13">
      <c r="B74" s="182"/>
      <c r="C74" s="127"/>
      <c r="D74" s="127"/>
      <c r="G74" s="127"/>
    </row>
    <row r="75" spans="2:7" ht="13">
      <c r="B75" s="182"/>
      <c r="C75" s="127"/>
      <c r="D75" s="127"/>
      <c r="G75" s="127"/>
    </row>
    <row r="76" spans="2:7" ht="13">
      <c r="B76" s="182"/>
      <c r="C76" s="127"/>
      <c r="D76" s="127"/>
      <c r="G76" s="127"/>
    </row>
    <row r="77" spans="2:7" ht="13">
      <c r="B77" s="182"/>
      <c r="C77" s="127"/>
      <c r="D77" s="127"/>
      <c r="G77" s="127"/>
    </row>
    <row r="78" spans="2:7" ht="13">
      <c r="B78" s="182"/>
      <c r="C78" s="127"/>
      <c r="D78" s="127"/>
      <c r="G78" s="127"/>
    </row>
    <row r="79" spans="2:7" ht="13">
      <c r="B79" s="182"/>
      <c r="C79" s="127"/>
      <c r="D79" s="127"/>
      <c r="G79" s="127"/>
    </row>
    <row r="80" spans="2:7" ht="13">
      <c r="B80" s="182"/>
      <c r="C80" s="127"/>
      <c r="D80" s="127"/>
      <c r="G80" s="127"/>
    </row>
    <row r="81" spans="2:7" ht="13">
      <c r="B81" s="182"/>
      <c r="C81" s="127"/>
      <c r="D81" s="127"/>
      <c r="G81" s="127"/>
    </row>
    <row r="82" spans="2:7" ht="13">
      <c r="B82" s="182"/>
      <c r="C82" s="127"/>
      <c r="D82" s="127"/>
      <c r="G82" s="127"/>
    </row>
    <row r="83" spans="2:7" ht="13">
      <c r="B83" s="182"/>
      <c r="C83" s="127"/>
      <c r="D83" s="127"/>
      <c r="G83" s="127"/>
    </row>
    <row r="84" spans="2:7" ht="13">
      <c r="B84" s="182"/>
      <c r="C84" s="127"/>
      <c r="D84" s="127"/>
      <c r="G84" s="127"/>
    </row>
    <row r="85" spans="2:7" ht="13">
      <c r="B85" s="182"/>
      <c r="C85" s="127"/>
      <c r="D85" s="127"/>
      <c r="G85" s="127"/>
    </row>
    <row r="86" spans="2:7" ht="13">
      <c r="B86" s="182"/>
      <c r="C86" s="127"/>
      <c r="D86" s="127"/>
      <c r="G86" s="127"/>
    </row>
    <row r="87" spans="2:7" ht="13">
      <c r="B87" s="182"/>
      <c r="C87" s="127"/>
      <c r="D87" s="127"/>
      <c r="G87" s="127"/>
    </row>
    <row r="88" spans="2:7" ht="13">
      <c r="B88" s="182"/>
      <c r="C88" s="127"/>
      <c r="D88" s="127"/>
      <c r="G88" s="127"/>
    </row>
    <row r="89" spans="2:7" ht="13">
      <c r="B89" s="182"/>
      <c r="C89" s="127"/>
      <c r="D89" s="127"/>
      <c r="G89" s="127"/>
    </row>
    <row r="90" spans="2:7" ht="13">
      <c r="B90" s="182"/>
      <c r="C90" s="127"/>
      <c r="D90" s="127"/>
      <c r="G90" s="127"/>
    </row>
    <row r="91" spans="2:7" ht="13">
      <c r="B91" s="182"/>
      <c r="C91" s="127"/>
      <c r="D91" s="127"/>
      <c r="G91" s="127"/>
    </row>
    <row r="92" spans="2:7" ht="13">
      <c r="B92" s="182"/>
      <c r="C92" s="127"/>
      <c r="D92" s="127"/>
      <c r="G92" s="127"/>
    </row>
    <row r="93" spans="2:7" ht="13">
      <c r="B93" s="182"/>
      <c r="C93" s="127"/>
      <c r="D93" s="127"/>
      <c r="G93" s="127"/>
    </row>
    <row r="94" spans="2:7" ht="13">
      <c r="B94" s="182"/>
      <c r="C94" s="127"/>
      <c r="D94" s="127"/>
      <c r="G94" s="127"/>
    </row>
    <row r="95" spans="2:7" ht="13">
      <c r="B95" s="182"/>
      <c r="C95" s="127"/>
      <c r="D95" s="127"/>
      <c r="G95" s="127"/>
    </row>
    <row r="96" spans="2:7" ht="13">
      <c r="B96" s="182"/>
      <c r="C96" s="127"/>
      <c r="D96" s="127"/>
      <c r="G96" s="127"/>
    </row>
    <row r="97" spans="2:7" ht="13">
      <c r="B97" s="182"/>
      <c r="C97" s="127"/>
      <c r="D97" s="127"/>
      <c r="G97" s="127"/>
    </row>
    <row r="98" spans="2:7" ht="13">
      <c r="B98" s="182"/>
      <c r="C98" s="127"/>
      <c r="D98" s="127"/>
      <c r="G98" s="127"/>
    </row>
    <row r="99" spans="2:7" ht="13">
      <c r="B99" s="182"/>
      <c r="C99" s="127"/>
      <c r="D99" s="127"/>
      <c r="G99" s="127"/>
    </row>
    <row r="100" spans="2:7" ht="13">
      <c r="B100" s="182"/>
      <c r="C100" s="127"/>
      <c r="D100" s="127"/>
      <c r="G100" s="127"/>
    </row>
    <row r="101" spans="2:7" ht="13">
      <c r="B101" s="182"/>
      <c r="C101" s="127"/>
      <c r="D101" s="127"/>
      <c r="G101" s="127"/>
    </row>
    <row r="102" spans="2:7" ht="13">
      <c r="B102" s="182"/>
      <c r="C102" s="127"/>
      <c r="D102" s="127"/>
      <c r="G102" s="127"/>
    </row>
    <row r="103" spans="2:7" ht="13">
      <c r="B103" s="182"/>
      <c r="C103" s="127"/>
      <c r="D103" s="127"/>
      <c r="G103" s="127"/>
    </row>
    <row r="104" spans="2:7" ht="13">
      <c r="B104" s="182"/>
      <c r="C104" s="127"/>
      <c r="D104" s="127"/>
      <c r="G104" s="127"/>
    </row>
    <row r="105" spans="2:7" ht="13">
      <c r="B105" s="182"/>
      <c r="C105" s="127"/>
      <c r="D105" s="127"/>
      <c r="G105" s="127"/>
    </row>
    <row r="106" spans="2:7" ht="13">
      <c r="B106" s="182"/>
      <c r="C106" s="127"/>
      <c r="D106" s="127"/>
      <c r="G106" s="127"/>
    </row>
    <row r="107" spans="2:7" ht="13">
      <c r="B107" s="182"/>
      <c r="C107" s="127"/>
      <c r="D107" s="127"/>
      <c r="G107" s="127"/>
    </row>
    <row r="108" spans="2:7" ht="13">
      <c r="B108" s="182"/>
      <c r="C108" s="127"/>
      <c r="D108" s="127"/>
      <c r="G108" s="127"/>
    </row>
    <row r="109" spans="2:7" ht="13">
      <c r="B109" s="182"/>
      <c r="C109" s="127"/>
      <c r="D109" s="127"/>
      <c r="G109" s="127"/>
    </row>
    <row r="110" spans="2:7" ht="13">
      <c r="B110" s="182"/>
      <c r="C110" s="127"/>
      <c r="D110" s="127"/>
      <c r="G110" s="127"/>
    </row>
    <row r="111" spans="2:7" ht="13">
      <c r="B111" s="182"/>
      <c r="C111" s="127"/>
      <c r="D111" s="127"/>
      <c r="G111" s="127"/>
    </row>
    <row r="112" spans="2:7" ht="13">
      <c r="B112" s="182"/>
      <c r="C112" s="127"/>
      <c r="D112" s="127"/>
      <c r="G112" s="127"/>
    </row>
    <row r="113" spans="2:7" ht="13">
      <c r="B113" s="182"/>
      <c r="C113" s="127"/>
      <c r="D113" s="127"/>
      <c r="G113" s="127"/>
    </row>
    <row r="114" spans="2:7" ht="13">
      <c r="B114" s="182"/>
      <c r="C114" s="127"/>
      <c r="D114" s="127"/>
      <c r="G114" s="127"/>
    </row>
    <row r="115" spans="2:7" ht="13">
      <c r="B115" s="182"/>
      <c r="C115" s="127"/>
      <c r="D115" s="127"/>
      <c r="G115" s="127"/>
    </row>
    <row r="116" spans="2:7" ht="13">
      <c r="B116" s="182"/>
      <c r="C116" s="127"/>
      <c r="D116" s="127"/>
      <c r="G116" s="127"/>
    </row>
    <row r="117" spans="2:7" ht="13">
      <c r="B117" s="182"/>
      <c r="C117" s="127"/>
      <c r="D117" s="127"/>
      <c r="G117" s="127"/>
    </row>
    <row r="118" spans="2:7" ht="13">
      <c r="B118" s="182"/>
      <c r="C118" s="127"/>
      <c r="D118" s="127"/>
      <c r="G118" s="127"/>
    </row>
    <row r="119" spans="2:7" ht="13">
      <c r="B119" s="182"/>
      <c r="C119" s="127"/>
      <c r="D119" s="127"/>
      <c r="G119" s="127"/>
    </row>
    <row r="120" spans="2:7" ht="13">
      <c r="B120" s="182"/>
      <c r="C120" s="127"/>
      <c r="D120" s="127"/>
      <c r="G120" s="127"/>
    </row>
    <row r="121" spans="2:7" ht="13">
      <c r="B121" s="182"/>
      <c r="C121" s="127"/>
      <c r="D121" s="127"/>
      <c r="G121" s="127"/>
    </row>
    <row r="122" spans="2:7" ht="13">
      <c r="B122" s="182"/>
      <c r="C122" s="127"/>
      <c r="D122" s="127"/>
      <c r="G122" s="127"/>
    </row>
    <row r="123" spans="2:7" ht="13">
      <c r="B123" s="182"/>
      <c r="C123" s="127"/>
      <c r="D123" s="127"/>
      <c r="G123" s="127"/>
    </row>
    <row r="124" spans="2:7" ht="13">
      <c r="B124" s="182"/>
      <c r="C124" s="127"/>
      <c r="D124" s="127"/>
      <c r="G124" s="127"/>
    </row>
    <row r="125" spans="2:7" ht="13">
      <c r="B125" s="182"/>
      <c r="C125" s="127"/>
      <c r="D125" s="127"/>
      <c r="G125" s="127"/>
    </row>
    <row r="126" spans="2:7" ht="13">
      <c r="B126" s="182"/>
      <c r="C126" s="127"/>
      <c r="D126" s="127"/>
      <c r="G126" s="127"/>
    </row>
    <row r="127" spans="2:7" ht="13">
      <c r="B127" s="182"/>
      <c r="C127" s="127"/>
      <c r="D127" s="127"/>
      <c r="G127" s="127"/>
    </row>
    <row r="128" spans="2:7" ht="13">
      <c r="B128" s="182"/>
      <c r="C128" s="127"/>
      <c r="D128" s="127"/>
      <c r="G128" s="127"/>
    </row>
    <row r="129" spans="2:7" ht="13">
      <c r="B129" s="182"/>
      <c r="C129" s="127"/>
      <c r="D129" s="127"/>
      <c r="G129" s="127"/>
    </row>
    <row r="130" spans="2:7" ht="13">
      <c r="B130" s="182"/>
      <c r="C130" s="127"/>
      <c r="D130" s="127"/>
      <c r="G130" s="127"/>
    </row>
    <row r="131" spans="2:7" ht="13">
      <c r="B131" s="182"/>
      <c r="C131" s="127"/>
      <c r="D131" s="127"/>
      <c r="G131" s="127"/>
    </row>
    <row r="132" spans="2:7" ht="13">
      <c r="B132" s="182"/>
      <c r="C132" s="127"/>
      <c r="D132" s="127"/>
      <c r="G132" s="127"/>
    </row>
    <row r="133" spans="2:7" ht="13">
      <c r="B133" s="182"/>
      <c r="C133" s="127"/>
      <c r="D133" s="127"/>
      <c r="G133" s="127"/>
    </row>
    <row r="134" spans="2:7" ht="13">
      <c r="B134" s="182"/>
      <c r="C134" s="127"/>
      <c r="D134" s="127"/>
      <c r="G134" s="127"/>
    </row>
    <row r="135" spans="2:7" ht="13">
      <c r="B135" s="182"/>
      <c r="C135" s="127"/>
      <c r="D135" s="127"/>
      <c r="G135" s="127"/>
    </row>
    <row r="136" spans="2:7" ht="13">
      <c r="B136" s="182"/>
      <c r="C136" s="127"/>
      <c r="D136" s="127"/>
      <c r="G136" s="127"/>
    </row>
    <row r="137" spans="2:7" ht="13">
      <c r="B137" s="182"/>
      <c r="C137" s="127"/>
      <c r="D137" s="127"/>
      <c r="G137" s="127"/>
    </row>
    <row r="138" spans="2:7" ht="13">
      <c r="B138" s="182"/>
      <c r="C138" s="127"/>
      <c r="D138" s="127"/>
      <c r="G138" s="127"/>
    </row>
    <row r="139" spans="2:7" ht="13">
      <c r="B139" s="182"/>
      <c r="C139" s="127"/>
      <c r="D139" s="127"/>
      <c r="G139" s="127"/>
    </row>
    <row r="140" spans="2:7" ht="13">
      <c r="B140" s="182"/>
      <c r="C140" s="127"/>
      <c r="D140" s="127"/>
      <c r="G140" s="127"/>
    </row>
    <row r="141" spans="2:7" ht="13">
      <c r="B141" s="182"/>
      <c r="C141" s="127"/>
      <c r="D141" s="127"/>
      <c r="G141" s="127"/>
    </row>
    <row r="142" spans="2:7" ht="13">
      <c r="B142" s="182"/>
      <c r="C142" s="127"/>
      <c r="D142" s="127"/>
      <c r="G142" s="127"/>
    </row>
    <row r="143" spans="2:7" ht="13">
      <c r="B143" s="182"/>
      <c r="C143" s="127"/>
      <c r="D143" s="127"/>
      <c r="G143" s="127"/>
    </row>
    <row r="144" spans="2:7" ht="13">
      <c r="B144" s="182"/>
      <c r="C144" s="127"/>
      <c r="D144" s="127"/>
      <c r="G144" s="127"/>
    </row>
    <row r="145" spans="2:7" ht="13">
      <c r="B145" s="182"/>
      <c r="C145" s="127"/>
      <c r="D145" s="127"/>
      <c r="G145" s="127"/>
    </row>
    <row r="146" spans="2:7" ht="13">
      <c r="B146" s="182"/>
      <c r="C146" s="127"/>
      <c r="D146" s="127"/>
      <c r="G146" s="127"/>
    </row>
    <row r="147" spans="2:7" ht="13">
      <c r="B147" s="182"/>
      <c r="C147" s="127"/>
      <c r="D147" s="127"/>
      <c r="G147" s="127"/>
    </row>
    <row r="148" spans="2:7" ht="13">
      <c r="B148" s="182"/>
      <c r="C148" s="127"/>
      <c r="D148" s="127"/>
      <c r="G148" s="127"/>
    </row>
    <row r="149" spans="2:7" ht="13">
      <c r="B149" s="182"/>
      <c r="C149" s="127"/>
      <c r="D149" s="127"/>
      <c r="G149" s="127"/>
    </row>
    <row r="150" spans="2:7" ht="13">
      <c r="B150" s="182"/>
      <c r="C150" s="127"/>
      <c r="D150" s="127"/>
      <c r="G150" s="127"/>
    </row>
    <row r="151" spans="2:7" ht="13">
      <c r="B151" s="182"/>
      <c r="C151" s="127"/>
      <c r="D151" s="127"/>
      <c r="G151" s="127"/>
    </row>
    <row r="152" spans="2:7" ht="13">
      <c r="B152" s="182"/>
      <c r="C152" s="127"/>
      <c r="D152" s="127"/>
      <c r="G152" s="127"/>
    </row>
    <row r="153" spans="2:7" ht="13">
      <c r="B153" s="182"/>
      <c r="C153" s="127"/>
      <c r="D153" s="127"/>
      <c r="G153" s="127"/>
    </row>
    <row r="154" spans="2:7" ht="13">
      <c r="B154" s="182"/>
      <c r="C154" s="127"/>
      <c r="D154" s="127"/>
      <c r="G154" s="127"/>
    </row>
    <row r="155" spans="2:7" ht="13">
      <c r="B155" s="182"/>
      <c r="C155" s="127"/>
      <c r="D155" s="127"/>
      <c r="G155" s="127"/>
    </row>
    <row r="156" spans="2:7" ht="13">
      <c r="B156" s="182"/>
      <c r="C156" s="127"/>
      <c r="D156" s="127"/>
      <c r="G156" s="127"/>
    </row>
    <row r="157" spans="2:7" ht="13">
      <c r="B157" s="182"/>
      <c r="C157" s="127"/>
      <c r="D157" s="127"/>
      <c r="G157" s="127"/>
    </row>
    <row r="158" spans="2:7" ht="13">
      <c r="B158" s="182"/>
      <c r="C158" s="127"/>
      <c r="D158" s="127"/>
      <c r="G158" s="127"/>
    </row>
    <row r="159" spans="2:7" ht="13">
      <c r="B159" s="182"/>
      <c r="C159" s="127"/>
      <c r="D159" s="127"/>
      <c r="G159" s="127"/>
    </row>
    <row r="160" spans="2:7" ht="13">
      <c r="B160" s="182"/>
      <c r="C160" s="127"/>
      <c r="D160" s="127"/>
      <c r="G160" s="127"/>
    </row>
    <row r="161" spans="2:7" ht="13">
      <c r="B161" s="182"/>
      <c r="C161" s="127"/>
      <c r="D161" s="127"/>
      <c r="G161" s="127"/>
    </row>
    <row r="162" spans="2:7" ht="13">
      <c r="B162" s="182"/>
      <c r="C162" s="127"/>
      <c r="D162" s="127"/>
      <c r="G162" s="127"/>
    </row>
    <row r="163" spans="2:7" ht="13">
      <c r="B163" s="182"/>
      <c r="C163" s="127"/>
      <c r="D163" s="127"/>
      <c r="G163" s="127"/>
    </row>
    <row r="164" spans="2:7" ht="13">
      <c r="B164" s="182"/>
      <c r="C164" s="127"/>
      <c r="D164" s="127"/>
      <c r="G164" s="127"/>
    </row>
    <row r="165" spans="2:7" ht="13">
      <c r="B165" s="182"/>
      <c r="C165" s="127"/>
      <c r="D165" s="127"/>
      <c r="G165" s="127"/>
    </row>
    <row r="166" spans="2:7" ht="13">
      <c r="B166" s="182"/>
      <c r="C166" s="127"/>
      <c r="D166" s="127"/>
      <c r="G166" s="127"/>
    </row>
    <row r="167" spans="2:7" ht="13">
      <c r="B167" s="182"/>
      <c r="C167" s="127"/>
      <c r="D167" s="127"/>
      <c r="G167" s="127"/>
    </row>
    <row r="168" spans="2:7" ht="13">
      <c r="B168" s="182"/>
      <c r="C168" s="127"/>
      <c r="D168" s="127"/>
      <c r="G168" s="127"/>
    </row>
    <row r="169" spans="2:7" ht="13">
      <c r="B169" s="182"/>
      <c r="C169" s="127"/>
      <c r="D169" s="127"/>
      <c r="G169" s="127"/>
    </row>
    <row r="170" spans="2:7" ht="13">
      <c r="B170" s="182"/>
      <c r="C170" s="127"/>
      <c r="D170" s="127"/>
      <c r="G170" s="127"/>
    </row>
    <row r="171" spans="2:7" ht="13">
      <c r="B171" s="182"/>
      <c r="C171" s="127"/>
      <c r="D171" s="127"/>
      <c r="G171" s="127"/>
    </row>
    <row r="172" spans="2:7" ht="13">
      <c r="B172" s="182"/>
      <c r="C172" s="127"/>
      <c r="D172" s="127"/>
      <c r="G172" s="127"/>
    </row>
    <row r="173" spans="2:7" ht="13">
      <c r="B173" s="182"/>
      <c r="C173" s="127"/>
      <c r="D173" s="127"/>
      <c r="G173" s="127"/>
    </row>
    <row r="174" spans="2:7" ht="13">
      <c r="B174" s="182"/>
      <c r="C174" s="127"/>
      <c r="D174" s="127"/>
      <c r="G174" s="127"/>
    </row>
    <row r="175" spans="2:7" ht="13">
      <c r="B175" s="182"/>
      <c r="C175" s="127"/>
      <c r="D175" s="127"/>
      <c r="G175" s="127"/>
    </row>
    <row r="176" spans="2:7" ht="13">
      <c r="B176" s="182"/>
      <c r="C176" s="127"/>
      <c r="D176" s="127"/>
      <c r="G176" s="127"/>
    </row>
    <row r="177" spans="2:7" ht="13">
      <c r="B177" s="182"/>
      <c r="C177" s="127"/>
      <c r="D177" s="127"/>
      <c r="G177" s="127"/>
    </row>
    <row r="178" spans="2:7" ht="13">
      <c r="B178" s="182"/>
      <c r="C178" s="127"/>
      <c r="D178" s="127"/>
      <c r="G178" s="127"/>
    </row>
    <row r="179" spans="2:7" ht="13">
      <c r="B179" s="182"/>
      <c r="C179" s="127"/>
      <c r="D179" s="127"/>
      <c r="G179" s="127"/>
    </row>
    <row r="180" spans="2:7" ht="13">
      <c r="B180" s="182"/>
      <c r="C180" s="127"/>
      <c r="D180" s="127"/>
      <c r="G180" s="127"/>
    </row>
    <row r="181" spans="2:7" ht="13">
      <c r="B181" s="182"/>
      <c r="C181" s="127"/>
      <c r="D181" s="127"/>
      <c r="G181" s="127"/>
    </row>
    <row r="182" spans="2:7" ht="13">
      <c r="B182" s="182"/>
      <c r="C182" s="127"/>
      <c r="D182" s="127"/>
      <c r="G182" s="127"/>
    </row>
    <row r="183" spans="2:7" ht="13">
      <c r="B183" s="182"/>
      <c r="C183" s="127"/>
      <c r="D183" s="127"/>
      <c r="G183" s="127"/>
    </row>
    <row r="184" spans="2:7" ht="13">
      <c r="B184" s="182"/>
      <c r="C184" s="127"/>
      <c r="D184" s="127"/>
      <c r="G184" s="127"/>
    </row>
    <row r="185" spans="2:7" ht="13">
      <c r="B185" s="182"/>
      <c r="C185" s="127"/>
      <c r="D185" s="127"/>
      <c r="G185" s="127"/>
    </row>
    <row r="186" spans="2:7" ht="13">
      <c r="B186" s="182"/>
      <c r="C186" s="127"/>
      <c r="D186" s="127"/>
      <c r="G186" s="127"/>
    </row>
    <row r="187" spans="2:7" ht="13">
      <c r="B187" s="182"/>
      <c r="C187" s="127"/>
      <c r="D187" s="127"/>
      <c r="G187" s="127"/>
    </row>
    <row r="188" spans="2:7" ht="13">
      <c r="B188" s="182"/>
      <c r="C188" s="127"/>
      <c r="D188" s="127"/>
      <c r="G188" s="127"/>
    </row>
    <row r="189" spans="2:7" ht="13">
      <c r="B189" s="182"/>
      <c r="C189" s="127"/>
      <c r="D189" s="127"/>
      <c r="G189" s="127"/>
    </row>
    <row r="190" spans="2:7" ht="13">
      <c r="B190" s="182"/>
      <c r="C190" s="127"/>
      <c r="D190" s="127"/>
      <c r="G190" s="127"/>
    </row>
    <row r="191" spans="2:7" ht="13">
      <c r="B191" s="182"/>
      <c r="C191" s="127"/>
      <c r="D191" s="127"/>
      <c r="G191" s="127"/>
    </row>
    <row r="192" spans="2:7" ht="13">
      <c r="B192" s="182"/>
      <c r="C192" s="127"/>
      <c r="D192" s="127"/>
      <c r="G192" s="127"/>
    </row>
    <row r="193" spans="2:7" ht="13">
      <c r="B193" s="182"/>
      <c r="C193" s="127"/>
      <c r="D193" s="127"/>
      <c r="G193" s="127"/>
    </row>
    <row r="194" spans="2:7" ht="13">
      <c r="B194" s="182"/>
      <c r="C194" s="127"/>
      <c r="D194" s="127"/>
      <c r="G194" s="127"/>
    </row>
    <row r="195" spans="2:7" ht="13">
      <c r="B195" s="182"/>
      <c r="C195" s="127"/>
      <c r="D195" s="127"/>
      <c r="G195" s="127"/>
    </row>
    <row r="196" spans="2:7" ht="13">
      <c r="B196" s="182"/>
      <c r="C196" s="127"/>
      <c r="D196" s="127"/>
      <c r="G196" s="127"/>
    </row>
    <row r="197" spans="2:7" ht="13">
      <c r="B197" s="182"/>
      <c r="C197" s="127"/>
      <c r="D197" s="127"/>
      <c r="G197" s="127"/>
    </row>
    <row r="198" spans="2:7" ht="13">
      <c r="B198" s="182"/>
      <c r="C198" s="127"/>
      <c r="D198" s="127"/>
      <c r="G198" s="127"/>
    </row>
    <row r="199" spans="2:7" ht="13">
      <c r="B199" s="182"/>
      <c r="C199" s="127"/>
      <c r="D199" s="127"/>
      <c r="G199" s="127"/>
    </row>
    <row r="200" spans="2:7" ht="13">
      <c r="B200" s="182"/>
      <c r="C200" s="127"/>
      <c r="D200" s="127"/>
      <c r="G200" s="127"/>
    </row>
    <row r="201" spans="2:7" ht="13">
      <c r="B201" s="182"/>
      <c r="C201" s="127"/>
      <c r="D201" s="127"/>
      <c r="G201" s="127"/>
    </row>
    <row r="202" spans="2:7" ht="13">
      <c r="B202" s="182"/>
      <c r="C202" s="127"/>
      <c r="D202" s="127"/>
      <c r="G202" s="127"/>
    </row>
    <row r="203" spans="2:7" ht="13">
      <c r="B203" s="182"/>
      <c r="C203" s="127"/>
      <c r="D203" s="127"/>
      <c r="G203" s="127"/>
    </row>
    <row r="204" spans="2:7" ht="13">
      <c r="B204" s="182"/>
      <c r="C204" s="127"/>
      <c r="D204" s="127"/>
      <c r="G204" s="127"/>
    </row>
    <row r="205" spans="2:7" ht="13">
      <c r="B205" s="182"/>
      <c r="C205" s="127"/>
      <c r="D205" s="127"/>
      <c r="G205" s="127"/>
    </row>
    <row r="206" spans="2:7" ht="13">
      <c r="B206" s="182"/>
      <c r="C206" s="127"/>
      <c r="D206" s="127"/>
      <c r="G206" s="127"/>
    </row>
    <row r="207" spans="2:7" ht="13">
      <c r="B207" s="182"/>
      <c r="C207" s="127"/>
      <c r="D207" s="127"/>
      <c r="G207" s="127"/>
    </row>
    <row r="208" spans="2:7" ht="13">
      <c r="B208" s="182"/>
      <c r="C208" s="127"/>
      <c r="D208" s="127"/>
      <c r="G208" s="127"/>
    </row>
    <row r="209" spans="2:7" ht="13">
      <c r="B209" s="182"/>
      <c r="C209" s="127"/>
      <c r="D209" s="127"/>
      <c r="G209" s="127"/>
    </row>
    <row r="210" spans="2:7" ht="13">
      <c r="B210" s="182"/>
      <c r="C210" s="127"/>
      <c r="D210" s="127"/>
      <c r="G210" s="127"/>
    </row>
    <row r="211" spans="2:7" ht="13">
      <c r="B211" s="182"/>
      <c r="C211" s="127"/>
      <c r="D211" s="127"/>
      <c r="G211" s="127"/>
    </row>
    <row r="212" spans="2:7" ht="13">
      <c r="B212" s="182"/>
      <c r="C212" s="127"/>
      <c r="D212" s="127"/>
      <c r="G212" s="127"/>
    </row>
    <row r="213" spans="2:7" ht="13">
      <c r="B213" s="182"/>
      <c r="C213" s="127"/>
      <c r="D213" s="127"/>
      <c r="G213" s="127"/>
    </row>
    <row r="214" spans="2:7" ht="13">
      <c r="B214" s="182"/>
      <c r="C214" s="127"/>
      <c r="D214" s="127"/>
      <c r="G214" s="127"/>
    </row>
    <row r="215" spans="2:7" ht="13">
      <c r="B215" s="182"/>
      <c r="C215" s="127"/>
      <c r="D215" s="127"/>
      <c r="G215" s="127"/>
    </row>
    <row r="216" spans="2:7" ht="13">
      <c r="B216" s="182"/>
      <c r="C216" s="127"/>
      <c r="D216" s="127"/>
      <c r="G216" s="127"/>
    </row>
    <row r="217" spans="2:7" ht="13">
      <c r="B217" s="182"/>
      <c r="C217" s="127"/>
      <c r="D217" s="127"/>
      <c r="G217" s="127"/>
    </row>
    <row r="218" spans="2:7" ht="13">
      <c r="B218" s="182"/>
      <c r="C218" s="127"/>
      <c r="D218" s="127"/>
      <c r="G218" s="127"/>
    </row>
    <row r="219" spans="2:7" ht="13">
      <c r="B219" s="182"/>
      <c r="C219" s="127"/>
      <c r="D219" s="127"/>
      <c r="G219" s="127"/>
    </row>
    <row r="220" spans="2:7" ht="13">
      <c r="B220" s="182"/>
      <c r="C220" s="127"/>
      <c r="D220" s="127"/>
      <c r="G220" s="127"/>
    </row>
    <row r="221" spans="2:7" ht="13">
      <c r="B221" s="182"/>
      <c r="C221" s="127"/>
      <c r="D221" s="127"/>
      <c r="G221" s="127"/>
    </row>
    <row r="222" spans="2:7" ht="13">
      <c r="B222" s="182"/>
      <c r="C222" s="127"/>
      <c r="D222" s="127"/>
      <c r="G222" s="127"/>
    </row>
    <row r="223" spans="2:7" ht="13">
      <c r="B223" s="182"/>
      <c r="C223" s="127"/>
      <c r="D223" s="127"/>
      <c r="G223" s="127"/>
    </row>
    <row r="224" spans="2:7" ht="13">
      <c r="B224" s="182"/>
      <c r="C224" s="127"/>
      <c r="D224" s="127"/>
      <c r="G224" s="127"/>
    </row>
    <row r="225" spans="2:7" ht="13">
      <c r="B225" s="182"/>
      <c r="C225" s="127"/>
      <c r="D225" s="127"/>
      <c r="G225" s="127"/>
    </row>
    <row r="226" spans="2:7" ht="13">
      <c r="B226" s="182"/>
      <c r="C226" s="127"/>
      <c r="D226" s="127"/>
      <c r="G226" s="127"/>
    </row>
    <row r="227" spans="2:7" ht="13">
      <c r="B227" s="182"/>
      <c r="C227" s="127"/>
      <c r="D227" s="127"/>
      <c r="G227" s="127"/>
    </row>
    <row r="228" spans="2:7" ht="13">
      <c r="B228" s="182"/>
      <c r="C228" s="127"/>
      <c r="D228" s="127"/>
      <c r="G228" s="127"/>
    </row>
    <row r="229" spans="2:7" ht="13">
      <c r="B229" s="182"/>
      <c r="C229" s="127"/>
      <c r="D229" s="127"/>
      <c r="G229" s="127"/>
    </row>
    <row r="230" spans="2:7" ht="13">
      <c r="B230" s="182"/>
      <c r="C230" s="127"/>
      <c r="D230" s="127"/>
      <c r="G230" s="127"/>
    </row>
    <row r="231" spans="2:7" ht="13">
      <c r="B231" s="182"/>
      <c r="C231" s="127"/>
      <c r="D231" s="127"/>
      <c r="G231" s="127"/>
    </row>
    <row r="232" spans="2:7" ht="13">
      <c r="B232" s="182"/>
      <c r="C232" s="127"/>
      <c r="D232" s="127"/>
      <c r="G232" s="127"/>
    </row>
    <row r="233" spans="2:7" ht="13">
      <c r="B233" s="182"/>
      <c r="C233" s="127"/>
      <c r="D233" s="127"/>
      <c r="G233" s="127"/>
    </row>
    <row r="234" spans="2:7" ht="13">
      <c r="B234" s="182"/>
      <c r="C234" s="127"/>
      <c r="D234" s="127"/>
      <c r="G234" s="127"/>
    </row>
    <row r="235" spans="2:7" ht="13">
      <c r="B235" s="182"/>
      <c r="C235" s="127"/>
      <c r="D235" s="127"/>
      <c r="G235" s="127"/>
    </row>
    <row r="236" spans="2:7" ht="13">
      <c r="B236" s="182"/>
      <c r="C236" s="127"/>
      <c r="D236" s="127"/>
      <c r="G236" s="127"/>
    </row>
    <row r="237" spans="2:7" ht="13">
      <c r="B237" s="182"/>
      <c r="C237" s="127"/>
      <c r="D237" s="127"/>
      <c r="G237" s="127"/>
    </row>
    <row r="238" spans="2:7" ht="13">
      <c r="B238" s="182"/>
      <c r="C238" s="127"/>
      <c r="D238" s="127"/>
      <c r="G238" s="127"/>
    </row>
    <row r="239" spans="2:7" ht="13">
      <c r="B239" s="182"/>
      <c r="C239" s="127"/>
      <c r="D239" s="127"/>
      <c r="G239" s="127"/>
    </row>
    <row r="240" spans="2:7" ht="13">
      <c r="B240" s="182"/>
      <c r="C240" s="127"/>
      <c r="D240" s="127"/>
      <c r="G240" s="127"/>
    </row>
    <row r="241" spans="2:7" ht="13">
      <c r="B241" s="182"/>
      <c r="C241" s="127"/>
      <c r="D241" s="127"/>
      <c r="G241" s="127"/>
    </row>
    <row r="242" spans="2:7" ht="13">
      <c r="B242" s="182"/>
      <c r="C242" s="127"/>
      <c r="D242" s="127"/>
      <c r="G242" s="127"/>
    </row>
    <row r="243" spans="2:7" ht="13">
      <c r="B243" s="182"/>
      <c r="C243" s="127"/>
      <c r="D243" s="127"/>
      <c r="G243" s="127"/>
    </row>
    <row r="244" spans="2:7" ht="13">
      <c r="B244" s="182"/>
      <c r="C244" s="127"/>
      <c r="D244" s="127"/>
      <c r="G244" s="127"/>
    </row>
    <row r="245" spans="2:7" ht="13">
      <c r="B245" s="182"/>
      <c r="C245" s="127"/>
      <c r="D245" s="127"/>
      <c r="G245" s="127"/>
    </row>
    <row r="246" spans="2:7" ht="13">
      <c r="B246" s="182"/>
      <c r="C246" s="127"/>
      <c r="D246" s="127"/>
      <c r="G246" s="127"/>
    </row>
    <row r="247" spans="2:7" ht="13">
      <c r="B247" s="182"/>
      <c r="C247" s="127"/>
      <c r="D247" s="127"/>
      <c r="G247" s="127"/>
    </row>
    <row r="248" spans="2:7" ht="13">
      <c r="B248" s="182"/>
      <c r="C248" s="127"/>
      <c r="D248" s="127"/>
      <c r="G248" s="127"/>
    </row>
    <row r="249" spans="2:7" ht="13">
      <c r="B249" s="182"/>
      <c r="C249" s="127"/>
      <c r="D249" s="127"/>
      <c r="G249" s="127"/>
    </row>
    <row r="250" spans="2:7" ht="13">
      <c r="B250" s="182"/>
      <c r="C250" s="127"/>
      <c r="D250" s="127"/>
      <c r="G250" s="127"/>
    </row>
    <row r="251" spans="2:7" ht="13">
      <c r="B251" s="182"/>
      <c r="C251" s="127"/>
      <c r="D251" s="127"/>
      <c r="G251" s="127"/>
    </row>
    <row r="252" spans="2:7" ht="13">
      <c r="B252" s="182"/>
      <c r="C252" s="127"/>
      <c r="D252" s="127"/>
      <c r="G252" s="127"/>
    </row>
    <row r="253" spans="2:7" ht="13">
      <c r="B253" s="182"/>
      <c r="C253" s="127"/>
      <c r="D253" s="127"/>
      <c r="G253" s="127"/>
    </row>
    <row r="254" spans="2:7" ht="13">
      <c r="B254" s="182"/>
      <c r="C254" s="127"/>
      <c r="D254" s="127"/>
      <c r="G254" s="127"/>
    </row>
    <row r="255" spans="2:7" ht="13">
      <c r="B255" s="182"/>
      <c r="C255" s="127"/>
      <c r="D255" s="127"/>
      <c r="G255" s="127"/>
    </row>
    <row r="256" spans="2:7" ht="13">
      <c r="B256" s="182"/>
      <c r="C256" s="127"/>
      <c r="D256" s="127"/>
      <c r="G256" s="127"/>
    </row>
    <row r="257" spans="2:7" ht="13">
      <c r="B257" s="182"/>
      <c r="C257" s="127"/>
      <c r="D257" s="127"/>
      <c r="G257" s="127"/>
    </row>
    <row r="258" spans="2:7" ht="13">
      <c r="B258" s="182"/>
      <c r="C258" s="127"/>
      <c r="D258" s="127"/>
      <c r="G258" s="127"/>
    </row>
    <row r="259" spans="2:7" ht="13">
      <c r="B259" s="182"/>
      <c r="C259" s="127"/>
      <c r="D259" s="127"/>
      <c r="G259" s="127"/>
    </row>
    <row r="260" spans="2:7" ht="13">
      <c r="B260" s="182"/>
      <c r="C260" s="127"/>
      <c r="D260" s="127"/>
      <c r="G260" s="127"/>
    </row>
    <row r="261" spans="2:7" ht="13">
      <c r="B261" s="182"/>
      <c r="C261" s="127"/>
      <c r="D261" s="127"/>
      <c r="G261" s="127"/>
    </row>
    <row r="262" spans="2:7" ht="13">
      <c r="B262" s="182"/>
      <c r="C262" s="127"/>
      <c r="D262" s="127"/>
      <c r="G262" s="127"/>
    </row>
    <row r="263" spans="2:7" ht="13">
      <c r="B263" s="182"/>
      <c r="C263" s="127"/>
      <c r="D263" s="127"/>
      <c r="G263" s="127"/>
    </row>
    <row r="264" spans="2:7" ht="13">
      <c r="B264" s="182"/>
      <c r="C264" s="127"/>
      <c r="D264" s="127"/>
      <c r="G264" s="127"/>
    </row>
    <row r="265" spans="2:7" ht="13">
      <c r="B265" s="182"/>
      <c r="C265" s="127"/>
      <c r="D265" s="127"/>
      <c r="G265" s="127"/>
    </row>
    <row r="266" spans="2:7" ht="13">
      <c r="B266" s="182"/>
      <c r="C266" s="127"/>
      <c r="D266" s="127"/>
      <c r="G266" s="127"/>
    </row>
    <row r="267" spans="2:7" ht="13">
      <c r="B267" s="182"/>
      <c r="C267" s="127"/>
      <c r="D267" s="127"/>
      <c r="G267" s="127"/>
    </row>
    <row r="268" spans="2:7" ht="13">
      <c r="B268" s="182"/>
      <c r="C268" s="127"/>
      <c r="D268" s="127"/>
      <c r="G268" s="127"/>
    </row>
    <row r="269" spans="2:7" ht="13">
      <c r="B269" s="182"/>
      <c r="C269" s="127"/>
      <c r="D269" s="127"/>
      <c r="G269" s="127"/>
    </row>
    <row r="270" spans="2:7" ht="13">
      <c r="B270" s="182"/>
      <c r="C270" s="127"/>
      <c r="D270" s="127"/>
      <c r="G270" s="127"/>
    </row>
    <row r="271" spans="2:7" ht="13">
      <c r="B271" s="182"/>
      <c r="C271" s="127"/>
      <c r="D271" s="127"/>
      <c r="G271" s="127"/>
    </row>
    <row r="272" spans="2:7" ht="13">
      <c r="B272" s="182"/>
      <c r="C272" s="127"/>
      <c r="D272" s="127"/>
      <c r="G272" s="127"/>
    </row>
    <row r="273" spans="2:7" ht="13">
      <c r="B273" s="182"/>
      <c r="C273" s="127"/>
      <c r="D273" s="127"/>
      <c r="G273" s="127"/>
    </row>
    <row r="274" spans="2:7" ht="13">
      <c r="B274" s="182"/>
      <c r="C274" s="127"/>
      <c r="D274" s="127"/>
      <c r="G274" s="127"/>
    </row>
    <row r="275" spans="2:7" ht="13">
      <c r="B275" s="182"/>
      <c r="C275" s="127"/>
      <c r="D275" s="127"/>
      <c r="G275" s="127"/>
    </row>
    <row r="276" spans="2:7" ht="13">
      <c r="B276" s="182"/>
      <c r="C276" s="127"/>
      <c r="D276" s="127"/>
      <c r="G276" s="127"/>
    </row>
    <row r="277" spans="2:7" ht="13">
      <c r="B277" s="182"/>
      <c r="C277" s="127"/>
      <c r="D277" s="127"/>
      <c r="G277" s="127"/>
    </row>
    <row r="278" spans="2:7" ht="13">
      <c r="B278" s="182"/>
      <c r="C278" s="127"/>
      <c r="D278" s="127"/>
      <c r="G278" s="127"/>
    </row>
    <row r="279" spans="2:7" ht="13">
      <c r="B279" s="182"/>
      <c r="C279" s="127"/>
      <c r="D279" s="127"/>
      <c r="G279" s="127"/>
    </row>
    <row r="280" spans="2:7" ht="13">
      <c r="B280" s="182"/>
      <c r="C280" s="127"/>
      <c r="D280" s="127"/>
      <c r="G280" s="127"/>
    </row>
    <row r="281" spans="2:7" ht="13">
      <c r="B281" s="182"/>
      <c r="C281" s="127"/>
      <c r="D281" s="127"/>
      <c r="G281" s="127"/>
    </row>
    <row r="282" spans="2:7" ht="13">
      <c r="B282" s="182"/>
      <c r="C282" s="127"/>
      <c r="D282" s="127"/>
      <c r="G282" s="127"/>
    </row>
    <row r="283" spans="2:7" ht="13">
      <c r="B283" s="182"/>
      <c r="C283" s="127"/>
      <c r="D283" s="127"/>
      <c r="G283" s="127"/>
    </row>
    <row r="284" spans="2:7" ht="13">
      <c r="B284" s="182"/>
      <c r="C284" s="127"/>
      <c r="D284" s="127"/>
      <c r="G284" s="127"/>
    </row>
    <row r="285" spans="2:7" ht="13">
      <c r="B285" s="182"/>
      <c r="C285" s="127"/>
      <c r="D285" s="127"/>
      <c r="G285" s="127"/>
    </row>
    <row r="286" spans="2:7" ht="13">
      <c r="B286" s="182"/>
      <c r="C286" s="127"/>
      <c r="D286" s="127"/>
      <c r="G286" s="127"/>
    </row>
    <row r="287" spans="2:7" ht="13">
      <c r="B287" s="182"/>
      <c r="C287" s="127"/>
      <c r="D287" s="127"/>
      <c r="G287" s="127"/>
    </row>
    <row r="288" spans="2:7" ht="13">
      <c r="B288" s="182"/>
      <c r="C288" s="127"/>
      <c r="D288" s="127"/>
      <c r="G288" s="127"/>
    </row>
    <row r="289" spans="2:7" ht="13">
      <c r="B289" s="182"/>
      <c r="C289" s="127"/>
      <c r="D289" s="127"/>
      <c r="G289" s="127"/>
    </row>
    <row r="290" spans="2:7" ht="13">
      <c r="B290" s="182"/>
      <c r="C290" s="127"/>
      <c r="D290" s="127"/>
      <c r="G290" s="127"/>
    </row>
    <row r="291" spans="2:7" ht="13">
      <c r="B291" s="182"/>
      <c r="C291" s="127"/>
      <c r="D291" s="127"/>
      <c r="G291" s="127"/>
    </row>
    <row r="292" spans="2:7" ht="13">
      <c r="B292" s="182"/>
      <c r="C292" s="127"/>
      <c r="D292" s="127"/>
      <c r="G292" s="127"/>
    </row>
    <row r="293" spans="2:7" ht="13">
      <c r="B293" s="182"/>
      <c r="C293" s="127"/>
      <c r="D293" s="127"/>
      <c r="G293" s="127"/>
    </row>
    <row r="294" spans="2:7" ht="13">
      <c r="B294" s="182"/>
      <c r="C294" s="127"/>
      <c r="D294" s="127"/>
      <c r="G294" s="127"/>
    </row>
    <row r="295" spans="2:7" ht="13">
      <c r="B295" s="182"/>
      <c r="C295" s="127"/>
      <c r="D295" s="127"/>
      <c r="G295" s="127"/>
    </row>
    <row r="296" spans="2:7" ht="13">
      <c r="B296" s="182"/>
      <c r="C296" s="127"/>
      <c r="D296" s="127"/>
      <c r="G296" s="127"/>
    </row>
    <row r="297" spans="2:7" ht="13">
      <c r="B297" s="182"/>
      <c r="C297" s="127"/>
      <c r="D297" s="127"/>
      <c r="G297" s="127"/>
    </row>
    <row r="298" spans="2:7" ht="13">
      <c r="B298" s="182"/>
      <c r="C298" s="127"/>
      <c r="D298" s="127"/>
      <c r="G298" s="127"/>
    </row>
    <row r="299" spans="2:7" ht="13">
      <c r="B299" s="182"/>
      <c r="C299" s="127"/>
      <c r="D299" s="127"/>
      <c r="G299" s="127"/>
    </row>
    <row r="300" spans="2:7" ht="13">
      <c r="B300" s="182"/>
      <c r="C300" s="127"/>
      <c r="D300" s="127"/>
      <c r="G300" s="127"/>
    </row>
    <row r="301" spans="2:7" ht="13">
      <c r="B301" s="182"/>
      <c r="C301" s="127"/>
      <c r="D301" s="127"/>
      <c r="G301" s="127"/>
    </row>
    <row r="302" spans="2:7" ht="13">
      <c r="B302" s="182"/>
      <c r="C302" s="127"/>
      <c r="D302" s="127"/>
      <c r="G302" s="127"/>
    </row>
    <row r="303" spans="2:7" ht="13">
      <c r="B303" s="182"/>
      <c r="C303" s="127"/>
      <c r="D303" s="127"/>
      <c r="G303" s="127"/>
    </row>
    <row r="304" spans="2:7" ht="13">
      <c r="B304" s="182"/>
      <c r="C304" s="127"/>
      <c r="D304" s="127"/>
      <c r="G304" s="127"/>
    </row>
    <row r="305" spans="2:7" ht="13">
      <c r="B305" s="182"/>
      <c r="C305" s="127"/>
      <c r="D305" s="127"/>
      <c r="G305" s="127"/>
    </row>
    <row r="306" spans="2:7" ht="13">
      <c r="B306" s="182"/>
      <c r="C306" s="127"/>
      <c r="D306" s="127"/>
      <c r="G306" s="127"/>
    </row>
    <row r="307" spans="2:7" ht="13">
      <c r="B307" s="182"/>
      <c r="C307" s="127"/>
      <c r="D307" s="127"/>
      <c r="G307" s="127"/>
    </row>
    <row r="308" spans="2:7" ht="13">
      <c r="B308" s="182"/>
      <c r="C308" s="127"/>
      <c r="D308" s="127"/>
      <c r="G308" s="127"/>
    </row>
    <row r="309" spans="2:7" ht="13">
      <c r="B309" s="182"/>
      <c r="C309" s="127"/>
      <c r="D309" s="127"/>
      <c r="G309" s="127"/>
    </row>
    <row r="310" spans="2:7" ht="13">
      <c r="B310" s="182"/>
      <c r="C310" s="127"/>
      <c r="D310" s="127"/>
      <c r="G310" s="127"/>
    </row>
    <row r="311" spans="2:7" ht="13">
      <c r="B311" s="182"/>
      <c r="C311" s="127"/>
      <c r="D311" s="127"/>
      <c r="G311" s="127"/>
    </row>
    <row r="312" spans="2:7" ht="13">
      <c r="B312" s="182"/>
      <c r="C312" s="127"/>
      <c r="D312" s="127"/>
      <c r="G312" s="127"/>
    </row>
    <row r="313" spans="2:7" ht="13">
      <c r="B313" s="182"/>
      <c r="C313" s="127"/>
      <c r="D313" s="127"/>
      <c r="G313" s="127"/>
    </row>
    <row r="314" spans="2:7" ht="13">
      <c r="B314" s="182"/>
      <c r="C314" s="127"/>
      <c r="D314" s="127"/>
      <c r="G314" s="127"/>
    </row>
    <row r="315" spans="2:7" ht="13">
      <c r="B315" s="182"/>
      <c r="C315" s="127"/>
      <c r="D315" s="127"/>
      <c r="G315" s="127"/>
    </row>
    <row r="316" spans="2:7" ht="13">
      <c r="B316" s="182"/>
      <c r="C316" s="127"/>
      <c r="D316" s="127"/>
      <c r="G316" s="127"/>
    </row>
    <row r="317" spans="2:7" ht="13">
      <c r="B317" s="182"/>
      <c r="C317" s="127"/>
      <c r="D317" s="127"/>
      <c r="G317" s="127"/>
    </row>
    <row r="318" spans="2:7" ht="13">
      <c r="B318" s="182"/>
      <c r="C318" s="127"/>
      <c r="D318" s="127"/>
      <c r="G318" s="127"/>
    </row>
    <row r="319" spans="2:7" ht="13">
      <c r="B319" s="182"/>
      <c r="C319" s="127"/>
      <c r="D319" s="127"/>
      <c r="G319" s="127"/>
    </row>
    <row r="320" spans="2:7" ht="13">
      <c r="B320" s="182"/>
      <c r="C320" s="127"/>
      <c r="D320" s="127"/>
      <c r="G320" s="127"/>
    </row>
    <row r="321" spans="2:7" ht="13">
      <c r="B321" s="182"/>
      <c r="C321" s="127"/>
      <c r="D321" s="127"/>
      <c r="G321" s="127"/>
    </row>
    <row r="322" spans="2:7" ht="13">
      <c r="B322" s="182"/>
      <c r="C322" s="127"/>
      <c r="D322" s="127"/>
      <c r="G322" s="127"/>
    </row>
    <row r="323" spans="2:7" ht="13">
      <c r="B323" s="182"/>
      <c r="C323" s="127"/>
      <c r="D323" s="127"/>
      <c r="G323" s="127"/>
    </row>
    <row r="324" spans="2:7" ht="13">
      <c r="B324" s="182"/>
      <c r="C324" s="127"/>
      <c r="D324" s="127"/>
      <c r="G324" s="127"/>
    </row>
    <row r="325" spans="2:7" ht="13">
      <c r="B325" s="182"/>
      <c r="C325" s="127"/>
      <c r="D325" s="127"/>
      <c r="G325" s="127"/>
    </row>
    <row r="326" spans="2:7" ht="13">
      <c r="B326" s="182"/>
      <c r="C326" s="127"/>
      <c r="D326" s="127"/>
      <c r="G326" s="127"/>
    </row>
    <row r="327" spans="2:7" ht="13">
      <c r="B327" s="182"/>
      <c r="C327" s="127"/>
      <c r="D327" s="127"/>
      <c r="G327" s="127"/>
    </row>
    <row r="328" spans="2:7" ht="13">
      <c r="B328" s="182"/>
      <c r="C328" s="127"/>
      <c r="D328" s="127"/>
      <c r="G328" s="127"/>
    </row>
    <row r="329" spans="2:7" ht="13">
      <c r="B329" s="182"/>
      <c r="C329" s="127"/>
      <c r="D329" s="127"/>
      <c r="G329" s="127"/>
    </row>
    <row r="330" spans="2:7" ht="13">
      <c r="B330" s="182"/>
      <c r="C330" s="127"/>
      <c r="D330" s="127"/>
      <c r="G330" s="127"/>
    </row>
    <row r="331" spans="2:7" ht="13">
      <c r="B331" s="182"/>
      <c r="C331" s="127"/>
      <c r="D331" s="127"/>
      <c r="G331" s="127"/>
    </row>
    <row r="332" spans="2:7" ht="13">
      <c r="B332" s="182"/>
      <c r="C332" s="127"/>
      <c r="D332" s="127"/>
      <c r="G332" s="127"/>
    </row>
    <row r="333" spans="2:7" ht="13">
      <c r="B333" s="182"/>
      <c r="C333" s="127"/>
      <c r="D333" s="127"/>
      <c r="G333" s="127"/>
    </row>
    <row r="334" spans="2:7" ht="13">
      <c r="B334" s="182"/>
      <c r="C334" s="127"/>
      <c r="D334" s="127"/>
      <c r="G334" s="127"/>
    </row>
    <row r="335" spans="2:7" ht="13">
      <c r="B335" s="182"/>
      <c r="C335" s="127"/>
      <c r="D335" s="127"/>
      <c r="G335" s="127"/>
    </row>
    <row r="336" spans="2:7" ht="13">
      <c r="B336" s="182"/>
      <c r="C336" s="127"/>
      <c r="D336" s="127"/>
      <c r="G336" s="127"/>
    </row>
    <row r="337" spans="2:7" ht="13">
      <c r="B337" s="182"/>
      <c r="C337" s="127"/>
      <c r="D337" s="127"/>
      <c r="G337" s="127"/>
    </row>
    <row r="338" spans="2:7" ht="13">
      <c r="B338" s="182"/>
      <c r="C338" s="127"/>
      <c r="D338" s="127"/>
      <c r="G338" s="127"/>
    </row>
    <row r="339" spans="2:7" ht="13">
      <c r="B339" s="182"/>
      <c r="C339" s="127"/>
      <c r="D339" s="127"/>
      <c r="G339" s="127"/>
    </row>
    <row r="340" spans="2:7" ht="13">
      <c r="B340" s="182"/>
      <c r="C340" s="127"/>
      <c r="D340" s="127"/>
      <c r="G340" s="127"/>
    </row>
    <row r="341" spans="2:7" ht="13">
      <c r="B341" s="182"/>
      <c r="C341" s="127"/>
      <c r="D341" s="127"/>
      <c r="G341" s="127"/>
    </row>
    <row r="342" spans="2:7" ht="13">
      <c r="B342" s="182"/>
      <c r="C342" s="127"/>
      <c r="D342" s="127"/>
      <c r="G342" s="127"/>
    </row>
    <row r="343" spans="2:7" ht="13">
      <c r="B343" s="182"/>
      <c r="C343" s="127"/>
      <c r="D343" s="127"/>
      <c r="G343" s="127"/>
    </row>
    <row r="344" spans="2:7" ht="13">
      <c r="B344" s="182"/>
      <c r="C344" s="127"/>
      <c r="D344" s="127"/>
      <c r="G344" s="127"/>
    </row>
    <row r="345" spans="2:7" ht="13">
      <c r="B345" s="182"/>
      <c r="C345" s="127"/>
      <c r="D345" s="127"/>
      <c r="G345" s="127"/>
    </row>
    <row r="346" spans="2:7" ht="13">
      <c r="B346" s="182"/>
      <c r="C346" s="127"/>
      <c r="D346" s="127"/>
      <c r="G346" s="127"/>
    </row>
    <row r="347" spans="2:7" ht="13">
      <c r="B347" s="182"/>
      <c r="C347" s="127"/>
      <c r="D347" s="127"/>
      <c r="G347" s="127"/>
    </row>
    <row r="348" spans="2:7" ht="13">
      <c r="B348" s="182"/>
      <c r="C348" s="127"/>
      <c r="D348" s="127"/>
      <c r="G348" s="127"/>
    </row>
    <row r="349" spans="2:7" ht="13">
      <c r="B349" s="182"/>
      <c r="C349" s="127"/>
      <c r="D349" s="127"/>
      <c r="G349" s="127"/>
    </row>
    <row r="350" spans="2:7" ht="13">
      <c r="B350" s="182"/>
      <c r="C350" s="127"/>
      <c r="D350" s="127"/>
      <c r="G350" s="127"/>
    </row>
    <row r="351" spans="2:7" ht="13">
      <c r="B351" s="182"/>
      <c r="C351" s="127"/>
      <c r="D351" s="127"/>
      <c r="G351" s="127"/>
    </row>
    <row r="352" spans="2:7" ht="13">
      <c r="B352" s="182"/>
      <c r="C352" s="127"/>
      <c r="D352" s="127"/>
      <c r="G352" s="127"/>
    </row>
    <row r="353" spans="2:7" ht="13">
      <c r="B353" s="182"/>
      <c r="C353" s="127"/>
      <c r="D353" s="127"/>
      <c r="G353" s="127"/>
    </row>
    <row r="354" spans="2:7" ht="13">
      <c r="B354" s="182"/>
      <c r="C354" s="127"/>
      <c r="D354" s="127"/>
      <c r="G354" s="127"/>
    </row>
    <row r="355" spans="2:7" ht="13">
      <c r="B355" s="182"/>
      <c r="C355" s="127"/>
      <c r="D355" s="127"/>
      <c r="G355" s="127"/>
    </row>
    <row r="356" spans="2:7" ht="13">
      <c r="B356" s="182"/>
      <c r="C356" s="127"/>
      <c r="D356" s="127"/>
      <c r="G356" s="127"/>
    </row>
    <row r="357" spans="2:7" ht="13">
      <c r="B357" s="182"/>
      <c r="C357" s="127"/>
      <c r="D357" s="127"/>
      <c r="G357" s="127"/>
    </row>
    <row r="358" spans="2:7" ht="13">
      <c r="B358" s="182"/>
      <c r="C358" s="127"/>
      <c r="D358" s="127"/>
      <c r="G358" s="127"/>
    </row>
    <row r="359" spans="2:7" ht="13">
      <c r="B359" s="182"/>
      <c r="C359" s="127"/>
      <c r="D359" s="127"/>
      <c r="G359" s="127"/>
    </row>
    <row r="360" spans="2:7" ht="13">
      <c r="B360" s="182"/>
      <c r="C360" s="127"/>
      <c r="D360" s="127"/>
      <c r="G360" s="127"/>
    </row>
    <row r="361" spans="2:7" ht="13">
      <c r="B361" s="182"/>
      <c r="C361" s="127"/>
      <c r="D361" s="127"/>
      <c r="G361" s="127"/>
    </row>
    <row r="362" spans="2:7" ht="13">
      <c r="B362" s="182"/>
      <c r="C362" s="127"/>
      <c r="D362" s="127"/>
      <c r="G362" s="127"/>
    </row>
    <row r="363" spans="2:7" ht="13">
      <c r="B363" s="182"/>
      <c r="C363" s="127"/>
      <c r="D363" s="127"/>
      <c r="G363" s="127"/>
    </row>
    <row r="364" spans="2:7" ht="13">
      <c r="B364" s="182"/>
      <c r="C364" s="127"/>
      <c r="D364" s="127"/>
      <c r="G364" s="127"/>
    </row>
    <row r="365" spans="2:7" ht="13">
      <c r="B365" s="182"/>
      <c r="C365" s="127"/>
      <c r="D365" s="127"/>
      <c r="G365" s="127"/>
    </row>
    <row r="366" spans="2:7" ht="13">
      <c r="B366" s="182"/>
      <c r="C366" s="127"/>
      <c r="D366" s="127"/>
      <c r="G366" s="127"/>
    </row>
    <row r="367" spans="2:7" ht="13">
      <c r="B367" s="182"/>
      <c r="C367" s="127"/>
      <c r="D367" s="127"/>
      <c r="G367" s="127"/>
    </row>
    <row r="368" spans="2:7" ht="13">
      <c r="B368" s="182"/>
      <c r="C368" s="127"/>
      <c r="D368" s="127"/>
      <c r="G368" s="127"/>
    </row>
    <row r="369" spans="2:7" ht="13">
      <c r="B369" s="182"/>
      <c r="C369" s="127"/>
      <c r="D369" s="127"/>
      <c r="G369" s="127"/>
    </row>
    <row r="370" spans="2:7" ht="13">
      <c r="B370" s="182"/>
      <c r="C370" s="127"/>
      <c r="D370" s="127"/>
      <c r="G370" s="127"/>
    </row>
    <row r="371" spans="2:7" ht="13">
      <c r="B371" s="182"/>
      <c r="C371" s="127"/>
      <c r="D371" s="127"/>
      <c r="G371" s="127"/>
    </row>
    <row r="372" spans="2:7" ht="13">
      <c r="B372" s="182"/>
      <c r="C372" s="127"/>
      <c r="D372" s="127"/>
      <c r="G372" s="127"/>
    </row>
    <row r="373" spans="2:7" ht="13">
      <c r="B373" s="182"/>
      <c r="C373" s="127"/>
      <c r="D373" s="127"/>
      <c r="G373" s="127"/>
    </row>
    <row r="374" spans="2:7" ht="13">
      <c r="B374" s="182"/>
      <c r="C374" s="127"/>
      <c r="D374" s="127"/>
      <c r="G374" s="127"/>
    </row>
    <row r="375" spans="2:7" ht="13">
      <c r="B375" s="182"/>
      <c r="C375" s="127"/>
      <c r="D375" s="127"/>
      <c r="G375" s="127"/>
    </row>
    <row r="376" spans="2:7" ht="13">
      <c r="B376" s="182"/>
      <c r="C376" s="127"/>
      <c r="D376" s="127"/>
      <c r="G376" s="127"/>
    </row>
    <row r="377" spans="2:7" ht="13">
      <c r="B377" s="182"/>
      <c r="C377" s="127"/>
      <c r="D377" s="127"/>
      <c r="G377" s="127"/>
    </row>
    <row r="378" spans="2:7" ht="13">
      <c r="B378" s="182"/>
      <c r="C378" s="127"/>
      <c r="D378" s="127"/>
      <c r="G378" s="127"/>
    </row>
    <row r="379" spans="2:7" ht="13">
      <c r="B379" s="182"/>
      <c r="C379" s="127"/>
      <c r="D379" s="127"/>
      <c r="G379" s="127"/>
    </row>
    <row r="380" spans="2:7" ht="13">
      <c r="B380" s="182"/>
      <c r="C380" s="127"/>
      <c r="D380" s="127"/>
      <c r="G380" s="127"/>
    </row>
    <row r="381" spans="2:7" ht="13">
      <c r="B381" s="182"/>
      <c r="C381" s="127"/>
      <c r="D381" s="127"/>
      <c r="G381" s="127"/>
    </row>
    <row r="382" spans="2:7" ht="13">
      <c r="B382" s="182"/>
      <c r="C382" s="127"/>
      <c r="D382" s="127"/>
      <c r="G382" s="127"/>
    </row>
    <row r="383" spans="2:7" ht="13">
      <c r="B383" s="182"/>
      <c r="C383" s="127"/>
      <c r="D383" s="127"/>
      <c r="G383" s="127"/>
    </row>
    <row r="384" spans="2:7" ht="13">
      <c r="B384" s="182"/>
      <c r="C384" s="127"/>
      <c r="D384" s="127"/>
      <c r="G384" s="127"/>
    </row>
    <row r="385" spans="2:7" ht="13">
      <c r="B385" s="182"/>
      <c r="C385" s="127"/>
      <c r="D385" s="127"/>
      <c r="G385" s="127"/>
    </row>
    <row r="386" spans="2:7" ht="13">
      <c r="B386" s="182"/>
      <c r="C386" s="127"/>
      <c r="D386" s="127"/>
      <c r="G386" s="127"/>
    </row>
    <row r="387" spans="2:7" ht="13">
      <c r="B387" s="182"/>
      <c r="C387" s="127"/>
      <c r="D387" s="127"/>
      <c r="G387" s="127"/>
    </row>
    <row r="388" spans="2:7" ht="13">
      <c r="B388" s="182"/>
      <c r="C388" s="127"/>
      <c r="D388" s="127"/>
      <c r="G388" s="127"/>
    </row>
    <row r="389" spans="2:7" ht="13">
      <c r="B389" s="182"/>
      <c r="C389" s="127"/>
      <c r="D389" s="127"/>
      <c r="G389" s="127"/>
    </row>
    <row r="390" spans="2:7" ht="13">
      <c r="B390" s="182"/>
      <c r="C390" s="127"/>
      <c r="D390" s="127"/>
      <c r="G390" s="127"/>
    </row>
    <row r="391" spans="2:7" ht="13">
      <c r="B391" s="182"/>
      <c r="C391" s="127"/>
      <c r="D391" s="127"/>
      <c r="G391" s="127"/>
    </row>
    <row r="392" spans="2:7" ht="13">
      <c r="B392" s="182"/>
      <c r="C392" s="127"/>
      <c r="D392" s="127"/>
      <c r="G392" s="127"/>
    </row>
    <row r="393" spans="2:7" ht="13">
      <c r="B393" s="182"/>
      <c r="C393" s="127"/>
      <c r="D393" s="127"/>
      <c r="G393" s="127"/>
    </row>
    <row r="394" spans="2:7" ht="13">
      <c r="B394" s="182"/>
      <c r="C394" s="127"/>
      <c r="D394" s="127"/>
      <c r="G394" s="127"/>
    </row>
    <row r="395" spans="2:7" ht="13">
      <c r="B395" s="182"/>
      <c r="C395" s="127"/>
      <c r="D395" s="127"/>
      <c r="G395" s="127"/>
    </row>
    <row r="396" spans="2:7" ht="13">
      <c r="B396" s="182"/>
      <c r="C396" s="127"/>
      <c r="D396" s="127"/>
      <c r="G396" s="127"/>
    </row>
    <row r="397" spans="2:7" ht="13">
      <c r="B397" s="182"/>
      <c r="C397" s="127"/>
      <c r="D397" s="127"/>
      <c r="G397" s="127"/>
    </row>
    <row r="398" spans="2:7" ht="13">
      <c r="B398" s="182"/>
      <c r="C398" s="127"/>
      <c r="D398" s="127"/>
      <c r="G398" s="127"/>
    </row>
    <row r="399" spans="2:7" ht="13">
      <c r="B399" s="182"/>
      <c r="C399" s="127"/>
      <c r="D399" s="127"/>
      <c r="G399" s="127"/>
    </row>
    <row r="400" spans="2:7" ht="13">
      <c r="B400" s="182"/>
      <c r="C400" s="127"/>
      <c r="D400" s="127"/>
      <c r="G400" s="127"/>
    </row>
    <row r="401" spans="2:7" ht="13">
      <c r="B401" s="182"/>
      <c r="C401" s="127"/>
      <c r="D401" s="127"/>
      <c r="G401" s="127"/>
    </row>
    <row r="402" spans="2:7" ht="13">
      <c r="B402" s="182"/>
      <c r="C402" s="127"/>
      <c r="D402" s="127"/>
      <c r="G402" s="127"/>
    </row>
    <row r="403" spans="2:7" ht="13">
      <c r="B403" s="182"/>
      <c r="C403" s="127"/>
      <c r="D403" s="127"/>
      <c r="G403" s="127"/>
    </row>
    <row r="404" spans="2:7" ht="13">
      <c r="B404" s="182"/>
      <c r="C404" s="127"/>
      <c r="D404" s="127"/>
      <c r="G404" s="127"/>
    </row>
    <row r="405" spans="2:7" ht="13">
      <c r="B405" s="182"/>
      <c r="C405" s="127"/>
      <c r="D405" s="127"/>
      <c r="G405" s="127"/>
    </row>
    <row r="406" spans="2:7" ht="13">
      <c r="B406" s="182"/>
      <c r="C406" s="127"/>
      <c r="D406" s="127"/>
      <c r="G406" s="127"/>
    </row>
    <row r="407" spans="2:7" ht="13">
      <c r="B407" s="182"/>
      <c r="C407" s="127"/>
      <c r="D407" s="127"/>
      <c r="G407" s="127"/>
    </row>
    <row r="408" spans="2:7" ht="13">
      <c r="B408" s="182"/>
      <c r="C408" s="127"/>
      <c r="D408" s="127"/>
      <c r="G408" s="127"/>
    </row>
    <row r="409" spans="2:7" ht="13">
      <c r="B409" s="182"/>
      <c r="C409" s="127"/>
      <c r="D409" s="127"/>
      <c r="G409" s="127"/>
    </row>
    <row r="410" spans="2:7" ht="13">
      <c r="B410" s="182"/>
      <c r="C410" s="127"/>
      <c r="D410" s="127"/>
      <c r="G410" s="127"/>
    </row>
    <row r="411" spans="2:7" ht="13">
      <c r="B411" s="182"/>
      <c r="C411" s="127"/>
      <c r="D411" s="127"/>
      <c r="G411" s="127"/>
    </row>
    <row r="412" spans="2:7" ht="13">
      <c r="B412" s="182"/>
      <c r="C412" s="127"/>
      <c r="D412" s="127"/>
      <c r="G412" s="127"/>
    </row>
    <row r="413" spans="2:7" ht="13">
      <c r="B413" s="182"/>
      <c r="C413" s="127"/>
      <c r="D413" s="127"/>
      <c r="G413" s="127"/>
    </row>
    <row r="414" spans="2:7" ht="13">
      <c r="B414" s="182"/>
      <c r="C414" s="127"/>
      <c r="D414" s="127"/>
      <c r="G414" s="127"/>
    </row>
    <row r="415" spans="2:7" ht="13">
      <c r="B415" s="182"/>
      <c r="C415" s="127"/>
      <c r="D415" s="127"/>
      <c r="G415" s="127"/>
    </row>
    <row r="416" spans="2:7" ht="13">
      <c r="B416" s="182"/>
      <c r="C416" s="127"/>
      <c r="D416" s="127"/>
      <c r="G416" s="127"/>
    </row>
    <row r="417" spans="2:7" ht="13">
      <c r="B417" s="182"/>
      <c r="C417" s="127"/>
      <c r="D417" s="127"/>
      <c r="G417" s="127"/>
    </row>
    <row r="418" spans="2:7" ht="13">
      <c r="B418" s="182"/>
      <c r="C418" s="127"/>
      <c r="D418" s="127"/>
      <c r="G418" s="127"/>
    </row>
    <row r="419" spans="2:7" ht="13">
      <c r="B419" s="182"/>
      <c r="C419" s="127"/>
      <c r="D419" s="127"/>
      <c r="G419" s="127"/>
    </row>
    <row r="420" spans="2:7" ht="13">
      <c r="B420" s="182"/>
      <c r="C420" s="127"/>
      <c r="D420" s="127"/>
      <c r="G420" s="127"/>
    </row>
    <row r="421" spans="2:7" ht="13">
      <c r="B421" s="182"/>
      <c r="C421" s="127"/>
      <c r="D421" s="127"/>
      <c r="G421" s="127"/>
    </row>
    <row r="422" spans="2:7" ht="13">
      <c r="B422" s="182"/>
      <c r="C422" s="127"/>
      <c r="D422" s="127"/>
      <c r="G422" s="127"/>
    </row>
    <row r="423" spans="2:7" ht="13">
      <c r="B423" s="182"/>
      <c r="C423" s="127"/>
      <c r="D423" s="127"/>
      <c r="G423" s="127"/>
    </row>
    <row r="424" spans="2:7" ht="13">
      <c r="B424" s="182"/>
      <c r="C424" s="127"/>
      <c r="D424" s="127"/>
      <c r="G424" s="127"/>
    </row>
    <row r="425" spans="2:7" ht="13">
      <c r="B425" s="182"/>
      <c r="C425" s="127"/>
      <c r="D425" s="127"/>
      <c r="G425" s="127"/>
    </row>
    <row r="426" spans="2:7" ht="13">
      <c r="B426" s="182"/>
      <c r="C426" s="127"/>
      <c r="D426" s="127"/>
      <c r="G426" s="127"/>
    </row>
    <row r="427" spans="2:7" ht="13">
      <c r="B427" s="182"/>
      <c r="C427" s="127"/>
      <c r="D427" s="127"/>
      <c r="G427" s="127"/>
    </row>
    <row r="428" spans="2:7" ht="13">
      <c r="B428" s="182"/>
      <c r="C428" s="127"/>
      <c r="D428" s="127"/>
      <c r="G428" s="127"/>
    </row>
    <row r="429" spans="2:7" ht="13">
      <c r="B429" s="182"/>
      <c r="C429" s="127"/>
      <c r="D429" s="127"/>
      <c r="G429" s="127"/>
    </row>
    <row r="430" spans="2:7" ht="13">
      <c r="B430" s="182"/>
      <c r="C430" s="127"/>
      <c r="D430" s="127"/>
      <c r="G430" s="127"/>
    </row>
    <row r="431" spans="2:7" ht="13">
      <c r="B431" s="182"/>
      <c r="C431" s="127"/>
      <c r="D431" s="127"/>
      <c r="G431" s="127"/>
    </row>
    <row r="432" spans="2:7" ht="13">
      <c r="B432" s="182"/>
      <c r="C432" s="127"/>
      <c r="D432" s="127"/>
      <c r="G432" s="127"/>
    </row>
    <row r="433" spans="2:7" ht="13">
      <c r="B433" s="182"/>
      <c r="C433" s="127"/>
      <c r="D433" s="127"/>
      <c r="G433" s="127"/>
    </row>
    <row r="434" spans="2:7" ht="13">
      <c r="B434" s="182"/>
      <c r="C434" s="127"/>
      <c r="D434" s="127"/>
      <c r="G434" s="127"/>
    </row>
    <row r="435" spans="2:7" ht="13">
      <c r="B435" s="182"/>
      <c r="C435" s="127"/>
      <c r="D435" s="127"/>
      <c r="G435" s="127"/>
    </row>
    <row r="436" spans="2:7" ht="13">
      <c r="B436" s="182"/>
      <c r="C436" s="127"/>
      <c r="D436" s="127"/>
      <c r="G436" s="127"/>
    </row>
    <row r="437" spans="2:7" ht="13">
      <c r="B437" s="182"/>
      <c r="C437" s="127"/>
      <c r="D437" s="127"/>
      <c r="G437" s="127"/>
    </row>
    <row r="438" spans="2:7" ht="13">
      <c r="B438" s="182"/>
      <c r="C438" s="127"/>
      <c r="D438" s="127"/>
      <c r="G438" s="127"/>
    </row>
    <row r="439" spans="2:7" ht="13">
      <c r="B439" s="182"/>
      <c r="C439" s="127"/>
      <c r="D439" s="127"/>
      <c r="G439" s="127"/>
    </row>
    <row r="440" spans="2:7" ht="13">
      <c r="B440" s="182"/>
      <c r="C440" s="127"/>
      <c r="D440" s="127"/>
      <c r="G440" s="127"/>
    </row>
    <row r="441" spans="2:7" ht="13">
      <c r="B441" s="182"/>
      <c r="C441" s="127"/>
      <c r="D441" s="127"/>
      <c r="G441" s="127"/>
    </row>
    <row r="442" spans="2:7" ht="13">
      <c r="B442" s="182"/>
      <c r="C442" s="127"/>
      <c r="D442" s="127"/>
      <c r="G442" s="127"/>
    </row>
    <row r="443" spans="2:7" ht="13">
      <c r="B443" s="182"/>
      <c r="C443" s="127"/>
      <c r="D443" s="127"/>
      <c r="G443" s="127"/>
    </row>
    <row r="444" spans="2:7" ht="13">
      <c r="B444" s="182"/>
      <c r="C444" s="127"/>
      <c r="D444" s="127"/>
      <c r="G444" s="127"/>
    </row>
    <row r="445" spans="2:7" ht="13">
      <c r="B445" s="182"/>
      <c r="C445" s="127"/>
      <c r="D445" s="127"/>
      <c r="G445" s="127"/>
    </row>
    <row r="446" spans="2:7" ht="13">
      <c r="B446" s="182"/>
      <c r="C446" s="127"/>
      <c r="D446" s="127"/>
      <c r="G446" s="127"/>
    </row>
    <row r="447" spans="2:7" ht="13">
      <c r="B447" s="182"/>
      <c r="C447" s="127"/>
      <c r="D447" s="127"/>
      <c r="G447" s="127"/>
    </row>
    <row r="448" spans="2:7" ht="13">
      <c r="B448" s="182"/>
      <c r="C448" s="127"/>
      <c r="D448" s="127"/>
      <c r="G448" s="127"/>
    </row>
    <row r="449" spans="2:7" ht="13">
      <c r="B449" s="182"/>
      <c r="C449" s="127"/>
      <c r="D449" s="127"/>
      <c r="G449" s="127"/>
    </row>
    <row r="450" spans="2:7" ht="13">
      <c r="B450" s="182"/>
      <c r="C450" s="127"/>
      <c r="D450" s="127"/>
      <c r="G450" s="127"/>
    </row>
    <row r="451" spans="2:7" ht="13">
      <c r="B451" s="182"/>
      <c r="C451" s="127"/>
      <c r="D451" s="127"/>
      <c r="G451" s="127"/>
    </row>
    <row r="452" spans="2:7" ht="13">
      <c r="B452" s="182"/>
      <c r="C452" s="127"/>
      <c r="D452" s="127"/>
      <c r="G452" s="127"/>
    </row>
    <row r="453" spans="2:7" ht="13">
      <c r="B453" s="182"/>
      <c r="C453" s="127"/>
      <c r="D453" s="127"/>
      <c r="G453" s="127"/>
    </row>
    <row r="454" spans="2:7" ht="13">
      <c r="B454" s="182"/>
      <c r="C454" s="127"/>
      <c r="D454" s="127"/>
      <c r="G454" s="127"/>
    </row>
    <row r="455" spans="2:7" ht="13">
      <c r="B455" s="182"/>
      <c r="C455" s="127"/>
      <c r="D455" s="127"/>
      <c r="G455" s="127"/>
    </row>
    <row r="456" spans="2:7" ht="13">
      <c r="B456" s="182"/>
      <c r="C456" s="127"/>
      <c r="D456" s="127"/>
      <c r="G456" s="127"/>
    </row>
    <row r="457" spans="2:7" ht="13">
      <c r="B457" s="182"/>
      <c r="C457" s="127"/>
      <c r="D457" s="127"/>
      <c r="G457" s="127"/>
    </row>
    <row r="458" spans="2:7" ht="13">
      <c r="B458" s="182"/>
      <c r="C458" s="127"/>
      <c r="D458" s="127"/>
      <c r="G458" s="127"/>
    </row>
    <row r="459" spans="2:7" ht="13">
      <c r="B459" s="182"/>
      <c r="C459" s="127"/>
      <c r="D459" s="127"/>
      <c r="G459" s="127"/>
    </row>
    <row r="460" spans="2:7" ht="13">
      <c r="B460" s="182"/>
      <c r="C460" s="127"/>
      <c r="D460" s="127"/>
      <c r="G460" s="127"/>
    </row>
    <row r="461" spans="2:7" ht="13">
      <c r="B461" s="182"/>
      <c r="C461" s="127"/>
      <c r="D461" s="127"/>
      <c r="G461" s="127"/>
    </row>
    <row r="462" spans="2:7" ht="13">
      <c r="B462" s="182"/>
      <c r="C462" s="127"/>
      <c r="D462" s="127"/>
      <c r="G462" s="127"/>
    </row>
    <row r="463" spans="2:7" ht="13">
      <c r="B463" s="182"/>
      <c r="C463" s="127"/>
      <c r="D463" s="127"/>
      <c r="G463" s="127"/>
    </row>
    <row r="464" spans="2:7" ht="13">
      <c r="B464" s="182"/>
      <c r="C464" s="127"/>
      <c r="D464" s="127"/>
      <c r="G464" s="127"/>
    </row>
    <row r="465" spans="2:7" ht="13">
      <c r="B465" s="182"/>
      <c r="C465" s="127"/>
      <c r="D465" s="127"/>
      <c r="G465" s="127"/>
    </row>
    <row r="466" spans="2:7" ht="13">
      <c r="B466" s="182"/>
      <c r="C466" s="127"/>
      <c r="D466" s="127"/>
      <c r="G466" s="127"/>
    </row>
    <row r="467" spans="2:7" ht="13">
      <c r="B467" s="182"/>
      <c r="C467" s="127"/>
      <c r="D467" s="127"/>
      <c r="G467" s="127"/>
    </row>
    <row r="468" spans="2:7" ht="13">
      <c r="B468" s="182"/>
      <c r="C468" s="127"/>
      <c r="D468" s="127"/>
      <c r="G468" s="127"/>
    </row>
    <row r="469" spans="2:7" ht="13">
      <c r="B469" s="182"/>
      <c r="C469" s="127"/>
      <c r="D469" s="127"/>
      <c r="G469" s="127"/>
    </row>
    <row r="470" spans="2:7" ht="13">
      <c r="B470" s="182"/>
      <c r="C470" s="127"/>
      <c r="D470" s="127"/>
      <c r="G470" s="127"/>
    </row>
    <row r="471" spans="2:7" ht="13">
      <c r="B471" s="182"/>
      <c r="C471" s="127"/>
      <c r="D471" s="127"/>
      <c r="G471" s="127"/>
    </row>
    <row r="472" spans="2:7" ht="13">
      <c r="B472" s="182"/>
      <c r="C472" s="127"/>
      <c r="D472" s="127"/>
      <c r="G472" s="127"/>
    </row>
    <row r="473" spans="2:7" ht="13">
      <c r="B473" s="182"/>
      <c r="C473" s="127"/>
      <c r="D473" s="127"/>
      <c r="G473" s="127"/>
    </row>
    <row r="474" spans="2:7" ht="13">
      <c r="B474" s="182"/>
      <c r="C474" s="127"/>
      <c r="D474" s="127"/>
      <c r="G474" s="127"/>
    </row>
    <row r="475" spans="2:7" ht="13">
      <c r="B475" s="182"/>
      <c r="C475" s="127"/>
      <c r="D475" s="127"/>
      <c r="G475" s="127"/>
    </row>
    <row r="476" spans="2:7" ht="13">
      <c r="B476" s="182"/>
      <c r="C476" s="127"/>
      <c r="D476" s="127"/>
      <c r="G476" s="127"/>
    </row>
    <row r="477" spans="2:7" ht="13">
      <c r="B477" s="182"/>
      <c r="C477" s="127"/>
      <c r="D477" s="127"/>
      <c r="G477" s="127"/>
    </row>
    <row r="478" spans="2:7" ht="13">
      <c r="B478" s="182"/>
      <c r="C478" s="127"/>
      <c r="D478" s="127"/>
      <c r="G478" s="127"/>
    </row>
    <row r="479" spans="2:7" ht="13">
      <c r="B479" s="182"/>
      <c r="C479" s="127"/>
      <c r="D479" s="127"/>
      <c r="G479" s="127"/>
    </row>
    <row r="480" spans="2:7" ht="13">
      <c r="B480" s="182"/>
      <c r="C480" s="127"/>
      <c r="D480" s="127"/>
      <c r="G480" s="127"/>
    </row>
    <row r="481" spans="2:7" ht="13">
      <c r="B481" s="182"/>
      <c r="C481" s="127"/>
      <c r="D481" s="127"/>
      <c r="G481" s="127"/>
    </row>
    <row r="482" spans="2:7" ht="13">
      <c r="B482" s="182"/>
      <c r="C482" s="127"/>
      <c r="D482" s="127"/>
      <c r="G482" s="127"/>
    </row>
    <row r="483" spans="2:7" ht="13">
      <c r="B483" s="182"/>
      <c r="C483" s="127"/>
      <c r="D483" s="127"/>
      <c r="G483" s="127"/>
    </row>
    <row r="484" spans="2:7" ht="13">
      <c r="B484" s="182"/>
      <c r="C484" s="127"/>
      <c r="D484" s="127"/>
      <c r="G484" s="127"/>
    </row>
    <row r="485" spans="2:7" ht="13">
      <c r="B485" s="182"/>
      <c r="C485" s="127"/>
      <c r="D485" s="127"/>
      <c r="G485" s="127"/>
    </row>
    <row r="486" spans="2:7" ht="13">
      <c r="B486" s="182"/>
      <c r="C486" s="127"/>
      <c r="D486" s="127"/>
      <c r="G486" s="127"/>
    </row>
    <row r="487" spans="2:7" ht="13">
      <c r="B487" s="182"/>
      <c r="C487" s="127"/>
      <c r="D487" s="127"/>
      <c r="G487" s="127"/>
    </row>
    <row r="488" spans="2:7" ht="13">
      <c r="B488" s="182"/>
      <c r="C488" s="127"/>
      <c r="D488" s="127"/>
      <c r="G488" s="127"/>
    </row>
    <row r="489" spans="2:7" ht="13">
      <c r="B489" s="182"/>
      <c r="C489" s="127"/>
      <c r="D489" s="127"/>
      <c r="G489" s="127"/>
    </row>
    <row r="490" spans="2:7" ht="13">
      <c r="B490" s="182"/>
      <c r="C490" s="127"/>
      <c r="D490" s="127"/>
      <c r="G490" s="127"/>
    </row>
    <row r="491" spans="2:7" ht="13">
      <c r="B491" s="182"/>
      <c r="C491" s="127"/>
      <c r="D491" s="127"/>
      <c r="G491" s="127"/>
    </row>
    <row r="492" spans="2:7" ht="13">
      <c r="B492" s="182"/>
      <c r="C492" s="127"/>
      <c r="D492" s="127"/>
      <c r="G492" s="127"/>
    </row>
    <row r="493" spans="2:7" ht="13">
      <c r="B493" s="182"/>
      <c r="C493" s="127"/>
      <c r="D493" s="127"/>
      <c r="G493" s="127"/>
    </row>
    <row r="494" spans="2:7" ht="13">
      <c r="B494" s="182"/>
      <c r="C494" s="127"/>
      <c r="D494" s="127"/>
      <c r="G494" s="127"/>
    </row>
    <row r="495" spans="2:7" ht="13">
      <c r="B495" s="182"/>
      <c r="C495" s="127"/>
      <c r="D495" s="127"/>
      <c r="G495" s="127"/>
    </row>
    <row r="496" spans="2:7" ht="13">
      <c r="B496" s="182"/>
      <c r="C496" s="127"/>
      <c r="D496" s="127"/>
      <c r="G496" s="127"/>
    </row>
    <row r="497" spans="2:7" ht="13">
      <c r="B497" s="182"/>
      <c r="C497" s="127"/>
      <c r="D497" s="127"/>
      <c r="G497" s="127"/>
    </row>
    <row r="498" spans="2:7" ht="13">
      <c r="B498" s="182"/>
      <c r="C498" s="127"/>
      <c r="D498" s="127"/>
      <c r="G498" s="127"/>
    </row>
    <row r="499" spans="2:7" ht="13">
      <c r="B499" s="182"/>
      <c r="C499" s="127"/>
      <c r="D499" s="127"/>
      <c r="G499" s="127"/>
    </row>
    <row r="500" spans="2:7" ht="13">
      <c r="B500" s="182"/>
      <c r="C500" s="127"/>
      <c r="D500" s="127"/>
      <c r="G500" s="127"/>
    </row>
    <row r="501" spans="2:7" ht="13">
      <c r="B501" s="182"/>
      <c r="C501" s="127"/>
      <c r="D501" s="127"/>
      <c r="G501" s="127"/>
    </row>
    <row r="502" spans="2:7" ht="13">
      <c r="B502" s="182"/>
      <c r="C502" s="127"/>
      <c r="D502" s="127"/>
      <c r="G502" s="127"/>
    </row>
    <row r="503" spans="2:7" ht="13">
      <c r="B503" s="182"/>
      <c r="C503" s="127"/>
      <c r="D503" s="127"/>
      <c r="G503" s="127"/>
    </row>
    <row r="504" spans="2:7" ht="13">
      <c r="B504" s="182"/>
      <c r="C504" s="127"/>
      <c r="D504" s="127"/>
      <c r="G504" s="127"/>
    </row>
    <row r="505" spans="2:7" ht="13">
      <c r="B505" s="182"/>
      <c r="C505" s="127"/>
      <c r="D505" s="127"/>
      <c r="G505" s="127"/>
    </row>
    <row r="506" spans="2:7" ht="13">
      <c r="B506" s="182"/>
      <c r="C506" s="127"/>
      <c r="D506" s="127"/>
      <c r="G506" s="127"/>
    </row>
    <row r="507" spans="2:7" ht="13">
      <c r="B507" s="182"/>
      <c r="C507" s="127"/>
      <c r="D507" s="127"/>
      <c r="G507" s="127"/>
    </row>
    <row r="508" spans="2:7" ht="13">
      <c r="B508" s="182"/>
      <c r="C508" s="127"/>
      <c r="D508" s="127"/>
      <c r="G508" s="127"/>
    </row>
    <row r="509" spans="2:7" ht="13">
      <c r="B509" s="182"/>
      <c r="C509" s="127"/>
      <c r="D509" s="127"/>
      <c r="G509" s="127"/>
    </row>
    <row r="510" spans="2:7" ht="13">
      <c r="B510" s="182"/>
      <c r="C510" s="127"/>
      <c r="D510" s="127"/>
      <c r="G510" s="127"/>
    </row>
    <row r="511" spans="2:7" ht="13">
      <c r="B511" s="182"/>
      <c r="C511" s="127"/>
      <c r="D511" s="127"/>
      <c r="G511" s="127"/>
    </row>
    <row r="512" spans="2:7" ht="13">
      <c r="B512" s="182"/>
      <c r="C512" s="127"/>
      <c r="D512" s="127"/>
      <c r="G512" s="127"/>
    </row>
    <row r="513" spans="2:7" ht="13">
      <c r="B513" s="182"/>
      <c r="C513" s="127"/>
      <c r="D513" s="127"/>
      <c r="G513" s="127"/>
    </row>
    <row r="514" spans="2:7" ht="13">
      <c r="B514" s="182"/>
      <c r="C514" s="127"/>
      <c r="D514" s="127"/>
      <c r="G514" s="127"/>
    </row>
    <row r="515" spans="2:7" ht="13">
      <c r="B515" s="182"/>
      <c r="C515" s="127"/>
      <c r="D515" s="127"/>
      <c r="G515" s="127"/>
    </row>
    <row r="516" spans="2:7" ht="13">
      <c r="B516" s="182"/>
      <c r="C516" s="127"/>
      <c r="D516" s="127"/>
      <c r="G516" s="127"/>
    </row>
    <row r="517" spans="2:7" ht="13">
      <c r="B517" s="182"/>
      <c r="C517" s="127"/>
      <c r="D517" s="127"/>
      <c r="G517" s="127"/>
    </row>
    <row r="518" spans="2:7" ht="13">
      <c r="B518" s="182"/>
      <c r="C518" s="127"/>
      <c r="D518" s="127"/>
      <c r="G518" s="127"/>
    </row>
    <row r="519" spans="2:7" ht="13">
      <c r="B519" s="182"/>
      <c r="C519" s="127"/>
      <c r="D519" s="127"/>
      <c r="G519" s="127"/>
    </row>
    <row r="520" spans="2:7" ht="13">
      <c r="B520" s="182"/>
      <c r="C520" s="127"/>
      <c r="D520" s="127"/>
      <c r="G520" s="127"/>
    </row>
    <row r="521" spans="2:7" ht="13">
      <c r="B521" s="182"/>
      <c r="C521" s="127"/>
      <c r="D521" s="127"/>
      <c r="G521" s="127"/>
    </row>
    <row r="522" spans="2:7" ht="13">
      <c r="B522" s="182"/>
      <c r="C522" s="127"/>
      <c r="D522" s="127"/>
      <c r="G522" s="127"/>
    </row>
    <row r="523" spans="2:7" ht="13">
      <c r="B523" s="182"/>
      <c r="C523" s="127"/>
      <c r="D523" s="127"/>
      <c r="G523" s="127"/>
    </row>
    <row r="524" spans="2:7" ht="13">
      <c r="B524" s="182"/>
      <c r="C524" s="127"/>
      <c r="D524" s="127"/>
      <c r="G524" s="127"/>
    </row>
    <row r="525" spans="2:7" ht="13">
      <c r="B525" s="182"/>
      <c r="C525" s="127"/>
      <c r="D525" s="127"/>
      <c r="G525" s="127"/>
    </row>
    <row r="526" spans="2:7" ht="13">
      <c r="B526" s="182"/>
      <c r="C526" s="127"/>
      <c r="D526" s="127"/>
      <c r="G526" s="127"/>
    </row>
    <row r="527" spans="2:7" ht="13">
      <c r="B527" s="182"/>
      <c r="C527" s="127"/>
      <c r="D527" s="127"/>
      <c r="G527" s="127"/>
    </row>
    <row r="528" spans="2:7" ht="13">
      <c r="B528" s="182"/>
      <c r="C528" s="127"/>
      <c r="D528" s="127"/>
      <c r="G528" s="127"/>
    </row>
    <row r="529" spans="2:7" ht="13">
      <c r="B529" s="182"/>
      <c r="C529" s="127"/>
      <c r="D529" s="127"/>
      <c r="G529" s="127"/>
    </row>
    <row r="530" spans="2:7" ht="13">
      <c r="B530" s="182"/>
      <c r="C530" s="127"/>
      <c r="D530" s="127"/>
      <c r="G530" s="127"/>
    </row>
    <row r="531" spans="2:7" ht="13">
      <c r="B531" s="182"/>
      <c r="C531" s="127"/>
      <c r="D531" s="127"/>
      <c r="G531" s="127"/>
    </row>
    <row r="532" spans="2:7" ht="13">
      <c r="B532" s="182"/>
      <c r="C532" s="127"/>
      <c r="D532" s="127"/>
      <c r="G532" s="127"/>
    </row>
    <row r="533" spans="2:7" ht="13">
      <c r="B533" s="182"/>
      <c r="C533" s="127"/>
      <c r="D533" s="127"/>
      <c r="G533" s="127"/>
    </row>
    <row r="534" spans="2:7" ht="13">
      <c r="B534" s="182"/>
      <c r="C534" s="127"/>
      <c r="D534" s="127"/>
      <c r="G534" s="127"/>
    </row>
    <row r="535" spans="2:7" ht="13">
      <c r="B535" s="182"/>
      <c r="C535" s="127"/>
      <c r="D535" s="127"/>
      <c r="G535" s="127"/>
    </row>
    <row r="536" spans="2:7" ht="13">
      <c r="B536" s="182"/>
      <c r="C536" s="127"/>
      <c r="D536" s="127"/>
      <c r="G536" s="127"/>
    </row>
    <row r="537" spans="2:7" ht="13">
      <c r="B537" s="182"/>
      <c r="C537" s="127"/>
      <c r="D537" s="127"/>
      <c r="G537" s="127"/>
    </row>
    <row r="538" spans="2:7" ht="13">
      <c r="B538" s="182"/>
      <c r="C538" s="127"/>
      <c r="D538" s="127"/>
      <c r="G538" s="127"/>
    </row>
    <row r="539" spans="2:7" ht="13">
      <c r="B539" s="182"/>
      <c r="C539" s="127"/>
      <c r="D539" s="127"/>
      <c r="G539" s="127"/>
    </row>
    <row r="540" spans="2:7" ht="13">
      <c r="B540" s="182"/>
      <c r="C540" s="127"/>
      <c r="D540" s="127"/>
      <c r="G540" s="127"/>
    </row>
    <row r="541" spans="2:7" ht="13">
      <c r="B541" s="182"/>
      <c r="C541" s="127"/>
      <c r="D541" s="127"/>
      <c r="G541" s="127"/>
    </row>
    <row r="542" spans="2:7" ht="13">
      <c r="B542" s="182"/>
      <c r="C542" s="127"/>
      <c r="D542" s="127"/>
      <c r="G542" s="127"/>
    </row>
    <row r="543" spans="2:7" ht="13">
      <c r="B543" s="182"/>
      <c r="C543" s="127"/>
      <c r="D543" s="127"/>
      <c r="G543" s="127"/>
    </row>
    <row r="544" spans="2:7" ht="13">
      <c r="B544" s="182"/>
      <c r="C544" s="127"/>
      <c r="D544" s="127"/>
      <c r="G544" s="127"/>
    </row>
    <row r="545" spans="2:7" ht="13">
      <c r="B545" s="182"/>
      <c r="C545" s="127"/>
      <c r="D545" s="127"/>
      <c r="G545" s="127"/>
    </row>
    <row r="546" spans="2:7" ht="13">
      <c r="B546" s="182"/>
      <c r="C546" s="127"/>
      <c r="D546" s="127"/>
      <c r="G546" s="127"/>
    </row>
    <row r="547" spans="2:7" ht="13">
      <c r="B547" s="182"/>
      <c r="C547" s="127"/>
      <c r="D547" s="127"/>
      <c r="G547" s="127"/>
    </row>
    <row r="548" spans="2:7" ht="13">
      <c r="B548" s="182"/>
      <c r="C548" s="127"/>
      <c r="D548" s="127"/>
      <c r="G548" s="127"/>
    </row>
    <row r="549" spans="2:7" ht="13">
      <c r="B549" s="182"/>
      <c r="C549" s="127"/>
      <c r="D549" s="127"/>
      <c r="G549" s="127"/>
    </row>
    <row r="550" spans="2:7" ht="13">
      <c r="B550" s="182"/>
      <c r="C550" s="127"/>
      <c r="D550" s="127"/>
      <c r="G550" s="127"/>
    </row>
    <row r="551" spans="2:7" ht="13">
      <c r="B551" s="182"/>
      <c r="C551" s="127"/>
      <c r="D551" s="127"/>
      <c r="G551" s="127"/>
    </row>
    <row r="552" spans="2:7" ht="13">
      <c r="B552" s="182"/>
      <c r="C552" s="127"/>
      <c r="D552" s="127"/>
      <c r="G552" s="127"/>
    </row>
    <row r="553" spans="2:7" ht="13">
      <c r="B553" s="182"/>
      <c r="C553" s="127"/>
      <c r="D553" s="127"/>
      <c r="G553" s="127"/>
    </row>
    <row r="554" spans="2:7" ht="13">
      <c r="B554" s="182"/>
      <c r="C554" s="127"/>
      <c r="D554" s="127"/>
      <c r="G554" s="127"/>
    </row>
    <row r="555" spans="2:7" ht="13">
      <c r="B555" s="182"/>
      <c r="C555" s="127"/>
      <c r="D555" s="127"/>
      <c r="G555" s="127"/>
    </row>
    <row r="556" spans="2:7" ht="13">
      <c r="B556" s="182"/>
      <c r="C556" s="127"/>
      <c r="D556" s="127"/>
      <c r="G556" s="127"/>
    </row>
    <row r="557" spans="2:7" ht="13">
      <c r="B557" s="182"/>
      <c r="C557" s="127"/>
      <c r="D557" s="127"/>
      <c r="G557" s="127"/>
    </row>
    <row r="558" spans="2:7" ht="13">
      <c r="B558" s="182"/>
      <c r="C558" s="127"/>
      <c r="D558" s="127"/>
      <c r="G558" s="127"/>
    </row>
    <row r="559" spans="2:7" ht="13">
      <c r="B559" s="182"/>
      <c r="C559" s="127"/>
      <c r="D559" s="127"/>
      <c r="G559" s="127"/>
    </row>
    <row r="560" spans="2:7" ht="13">
      <c r="B560" s="182"/>
      <c r="C560" s="127"/>
      <c r="D560" s="127"/>
      <c r="G560" s="127"/>
    </row>
    <row r="561" spans="2:7" ht="13">
      <c r="B561" s="182"/>
      <c r="C561" s="127"/>
      <c r="D561" s="127"/>
      <c r="G561" s="127"/>
    </row>
    <row r="562" spans="2:7" ht="13">
      <c r="B562" s="182"/>
      <c r="C562" s="127"/>
      <c r="D562" s="127"/>
      <c r="G562" s="127"/>
    </row>
    <row r="563" spans="2:7" ht="13">
      <c r="B563" s="182"/>
      <c r="C563" s="127"/>
      <c r="D563" s="127"/>
      <c r="G563" s="127"/>
    </row>
    <row r="564" spans="2:7" ht="13">
      <c r="B564" s="182"/>
      <c r="C564" s="127"/>
      <c r="D564" s="127"/>
      <c r="G564" s="127"/>
    </row>
    <row r="565" spans="2:7" ht="13">
      <c r="B565" s="182"/>
      <c r="C565" s="127"/>
      <c r="D565" s="127"/>
      <c r="G565" s="127"/>
    </row>
    <row r="566" spans="2:7" ht="13">
      <c r="B566" s="182"/>
      <c r="C566" s="127"/>
      <c r="D566" s="127"/>
      <c r="G566" s="127"/>
    </row>
    <row r="567" spans="2:7" ht="13">
      <c r="B567" s="182"/>
      <c r="C567" s="127"/>
      <c r="D567" s="127"/>
      <c r="G567" s="127"/>
    </row>
    <row r="568" spans="2:7" ht="13">
      <c r="B568" s="182"/>
      <c r="C568" s="127"/>
      <c r="D568" s="127"/>
      <c r="G568" s="127"/>
    </row>
    <row r="569" spans="2:7" ht="13">
      <c r="B569" s="182"/>
      <c r="C569" s="127"/>
      <c r="D569" s="127"/>
      <c r="G569" s="127"/>
    </row>
    <row r="570" spans="2:7" ht="13">
      <c r="B570" s="182"/>
      <c r="C570" s="127"/>
      <c r="D570" s="127"/>
      <c r="G570" s="127"/>
    </row>
    <row r="571" spans="2:7" ht="13">
      <c r="B571" s="182"/>
      <c r="C571" s="127"/>
      <c r="D571" s="127"/>
      <c r="G571" s="127"/>
    </row>
    <row r="572" spans="2:7" ht="13">
      <c r="B572" s="182"/>
      <c r="C572" s="127"/>
      <c r="D572" s="127"/>
      <c r="G572" s="127"/>
    </row>
    <row r="573" spans="2:7" ht="13">
      <c r="B573" s="182"/>
      <c r="C573" s="127"/>
      <c r="D573" s="127"/>
      <c r="G573" s="127"/>
    </row>
    <row r="574" spans="2:7" ht="13">
      <c r="B574" s="182"/>
      <c r="C574" s="127"/>
      <c r="D574" s="127"/>
      <c r="G574" s="127"/>
    </row>
    <row r="575" spans="2:7" ht="13">
      <c r="B575" s="182"/>
      <c r="C575" s="127"/>
      <c r="D575" s="127"/>
      <c r="G575" s="127"/>
    </row>
    <row r="576" spans="2:7" ht="13">
      <c r="B576" s="182"/>
      <c r="C576" s="127"/>
      <c r="D576" s="127"/>
      <c r="G576" s="127"/>
    </row>
    <row r="577" spans="2:7" ht="13">
      <c r="B577" s="182"/>
      <c r="C577" s="127"/>
      <c r="D577" s="127"/>
      <c r="G577" s="127"/>
    </row>
    <row r="578" spans="2:7" ht="13">
      <c r="B578" s="182"/>
      <c r="C578" s="127"/>
      <c r="D578" s="127"/>
      <c r="G578" s="127"/>
    </row>
    <row r="579" spans="2:7" ht="13">
      <c r="B579" s="182"/>
      <c r="C579" s="127"/>
      <c r="D579" s="127"/>
      <c r="G579" s="127"/>
    </row>
    <row r="580" spans="2:7" ht="13">
      <c r="B580" s="182"/>
      <c r="C580" s="127"/>
      <c r="D580" s="127"/>
      <c r="G580" s="127"/>
    </row>
    <row r="581" spans="2:7" ht="13">
      <c r="B581" s="182"/>
      <c r="C581" s="127"/>
      <c r="D581" s="127"/>
      <c r="G581" s="127"/>
    </row>
    <row r="582" spans="2:7" ht="13">
      <c r="B582" s="182"/>
      <c r="C582" s="127"/>
      <c r="D582" s="127"/>
      <c r="G582" s="127"/>
    </row>
    <row r="583" spans="2:7" ht="13">
      <c r="B583" s="182"/>
      <c r="C583" s="127"/>
      <c r="D583" s="127"/>
      <c r="G583" s="127"/>
    </row>
    <row r="584" spans="2:7" ht="13">
      <c r="B584" s="182"/>
      <c r="C584" s="127"/>
      <c r="D584" s="127"/>
      <c r="G584" s="127"/>
    </row>
    <row r="585" spans="2:7" ht="13">
      <c r="B585" s="182"/>
      <c r="C585" s="127"/>
      <c r="D585" s="127"/>
      <c r="G585" s="127"/>
    </row>
    <row r="586" spans="2:7" ht="13">
      <c r="B586" s="182"/>
      <c r="C586" s="127"/>
      <c r="D586" s="127"/>
      <c r="G586" s="127"/>
    </row>
    <row r="587" spans="2:7" ht="13">
      <c r="B587" s="182"/>
      <c r="C587" s="127"/>
      <c r="D587" s="127"/>
      <c r="G587" s="127"/>
    </row>
    <row r="588" spans="2:7" ht="13">
      <c r="B588" s="182"/>
      <c r="C588" s="127"/>
      <c r="D588" s="127"/>
      <c r="G588" s="127"/>
    </row>
    <row r="589" spans="2:7" ht="13">
      <c r="B589" s="182"/>
      <c r="C589" s="127"/>
      <c r="D589" s="127"/>
      <c r="G589" s="127"/>
    </row>
    <row r="590" spans="2:7" ht="13">
      <c r="B590" s="182"/>
      <c r="C590" s="127"/>
      <c r="D590" s="127"/>
      <c r="G590" s="127"/>
    </row>
    <row r="591" spans="2:7" ht="13">
      <c r="B591" s="182"/>
      <c r="C591" s="127"/>
      <c r="D591" s="127"/>
      <c r="G591" s="127"/>
    </row>
    <row r="592" spans="2:7" ht="13">
      <c r="B592" s="182"/>
      <c r="C592" s="127"/>
      <c r="D592" s="127"/>
      <c r="G592" s="127"/>
    </row>
    <row r="593" spans="2:7" ht="13">
      <c r="B593" s="182"/>
      <c r="C593" s="127"/>
      <c r="D593" s="127"/>
      <c r="G593" s="127"/>
    </row>
    <row r="594" spans="2:7" ht="13">
      <c r="B594" s="182"/>
      <c r="C594" s="127"/>
      <c r="D594" s="127"/>
      <c r="G594" s="127"/>
    </row>
    <row r="595" spans="2:7" ht="13">
      <c r="B595" s="182"/>
      <c r="C595" s="127"/>
      <c r="D595" s="127"/>
      <c r="G595" s="127"/>
    </row>
    <row r="596" spans="2:7" ht="13">
      <c r="B596" s="182"/>
      <c r="C596" s="127"/>
      <c r="D596" s="127"/>
      <c r="G596" s="127"/>
    </row>
    <row r="597" spans="2:7" ht="13">
      <c r="B597" s="182"/>
      <c r="C597" s="127"/>
      <c r="D597" s="127"/>
      <c r="G597" s="127"/>
    </row>
    <row r="598" spans="2:7" ht="13">
      <c r="B598" s="182"/>
      <c r="C598" s="127"/>
      <c r="D598" s="127"/>
      <c r="G598" s="127"/>
    </row>
    <row r="599" spans="2:7" ht="13">
      <c r="B599" s="182"/>
      <c r="C599" s="127"/>
      <c r="D599" s="127"/>
      <c r="G599" s="127"/>
    </row>
    <row r="600" spans="2:7" ht="13">
      <c r="B600" s="182"/>
      <c r="C600" s="127"/>
      <c r="D600" s="127"/>
      <c r="G600" s="127"/>
    </row>
    <row r="601" spans="2:7" ht="13">
      <c r="B601" s="182"/>
      <c r="C601" s="127"/>
      <c r="D601" s="127"/>
      <c r="G601" s="127"/>
    </row>
    <row r="602" spans="2:7" ht="13">
      <c r="B602" s="182"/>
      <c r="C602" s="127"/>
      <c r="D602" s="127"/>
      <c r="G602" s="127"/>
    </row>
    <row r="603" spans="2:7" ht="13">
      <c r="B603" s="182"/>
      <c r="C603" s="127"/>
      <c r="D603" s="127"/>
      <c r="G603" s="127"/>
    </row>
    <row r="604" spans="2:7" ht="13">
      <c r="B604" s="182"/>
      <c r="C604" s="127"/>
      <c r="D604" s="127"/>
      <c r="G604" s="127"/>
    </row>
    <row r="605" spans="2:7" ht="13">
      <c r="B605" s="182"/>
      <c r="C605" s="127"/>
      <c r="D605" s="127"/>
      <c r="G605" s="127"/>
    </row>
    <row r="606" spans="2:7" ht="13">
      <c r="B606" s="182"/>
      <c r="C606" s="127"/>
      <c r="D606" s="127"/>
      <c r="G606" s="127"/>
    </row>
    <row r="607" spans="2:7" ht="13">
      <c r="B607" s="182"/>
      <c r="C607" s="127"/>
      <c r="D607" s="127"/>
      <c r="G607" s="127"/>
    </row>
    <row r="608" spans="2:7" ht="13">
      <c r="B608" s="182"/>
      <c r="C608" s="127"/>
      <c r="D608" s="127"/>
      <c r="G608" s="127"/>
    </row>
    <row r="609" spans="2:7" ht="13">
      <c r="B609" s="182"/>
      <c r="C609" s="127"/>
      <c r="D609" s="127"/>
      <c r="G609" s="127"/>
    </row>
    <row r="610" spans="2:7" ht="13">
      <c r="B610" s="182"/>
      <c r="C610" s="127"/>
      <c r="D610" s="127"/>
      <c r="G610" s="127"/>
    </row>
    <row r="611" spans="2:7" ht="13">
      <c r="B611" s="182"/>
      <c r="C611" s="127"/>
      <c r="D611" s="127"/>
      <c r="G611" s="127"/>
    </row>
    <row r="612" spans="2:7" ht="13">
      <c r="B612" s="182"/>
      <c r="C612" s="127"/>
      <c r="D612" s="127"/>
      <c r="G612" s="127"/>
    </row>
    <row r="613" spans="2:7" ht="13">
      <c r="B613" s="182"/>
      <c r="C613" s="127"/>
      <c r="D613" s="127"/>
      <c r="G613" s="127"/>
    </row>
    <row r="614" spans="2:7" ht="13">
      <c r="B614" s="182"/>
      <c r="C614" s="127"/>
      <c r="D614" s="127"/>
      <c r="G614" s="127"/>
    </row>
    <row r="615" spans="2:7" ht="13">
      <c r="B615" s="182"/>
      <c r="C615" s="127"/>
      <c r="D615" s="127"/>
      <c r="G615" s="127"/>
    </row>
    <row r="616" spans="2:7" ht="13">
      <c r="B616" s="182"/>
      <c r="C616" s="127"/>
      <c r="D616" s="127"/>
      <c r="G616" s="127"/>
    </row>
    <row r="617" spans="2:7" ht="13">
      <c r="B617" s="182"/>
      <c r="C617" s="127"/>
      <c r="D617" s="127"/>
      <c r="G617" s="127"/>
    </row>
    <row r="618" spans="2:7" ht="13">
      <c r="B618" s="182"/>
      <c r="C618" s="127"/>
      <c r="D618" s="127"/>
      <c r="G618" s="127"/>
    </row>
    <row r="619" spans="2:7" ht="13">
      <c r="B619" s="182"/>
      <c r="C619" s="127"/>
      <c r="D619" s="127"/>
      <c r="G619" s="127"/>
    </row>
    <row r="620" spans="2:7" ht="13">
      <c r="B620" s="182"/>
      <c r="C620" s="127"/>
      <c r="D620" s="127"/>
      <c r="G620" s="127"/>
    </row>
    <row r="621" spans="2:7" ht="13">
      <c r="B621" s="182"/>
      <c r="C621" s="127"/>
      <c r="D621" s="127"/>
      <c r="G621" s="127"/>
    </row>
    <row r="622" spans="2:7" ht="13">
      <c r="B622" s="182"/>
      <c r="C622" s="127"/>
      <c r="D622" s="127"/>
      <c r="G622" s="127"/>
    </row>
    <row r="623" spans="2:7" ht="13">
      <c r="B623" s="182"/>
      <c r="C623" s="127"/>
      <c r="D623" s="127"/>
      <c r="G623" s="127"/>
    </row>
    <row r="624" spans="2:7" ht="13">
      <c r="B624" s="182"/>
      <c r="C624" s="127"/>
      <c r="D624" s="127"/>
      <c r="G624" s="127"/>
    </row>
    <row r="625" spans="2:7" ht="13">
      <c r="B625" s="182"/>
      <c r="C625" s="127"/>
      <c r="D625" s="127"/>
      <c r="G625" s="127"/>
    </row>
    <row r="626" spans="2:7" ht="13">
      <c r="B626" s="182"/>
      <c r="C626" s="127"/>
      <c r="D626" s="127"/>
      <c r="G626" s="127"/>
    </row>
    <row r="627" spans="2:7" ht="13">
      <c r="B627" s="182"/>
      <c r="C627" s="127"/>
      <c r="D627" s="127"/>
      <c r="G627" s="127"/>
    </row>
    <row r="628" spans="2:7" ht="13">
      <c r="B628" s="182"/>
      <c r="C628" s="127"/>
      <c r="D628" s="127"/>
      <c r="G628" s="127"/>
    </row>
    <row r="629" spans="2:7" ht="13">
      <c r="B629" s="182"/>
      <c r="C629" s="127"/>
      <c r="D629" s="127"/>
      <c r="G629" s="127"/>
    </row>
    <row r="630" spans="2:7" ht="13">
      <c r="B630" s="182"/>
      <c r="C630" s="127"/>
      <c r="D630" s="127"/>
      <c r="G630" s="127"/>
    </row>
    <row r="631" spans="2:7" ht="13">
      <c r="B631" s="182"/>
      <c r="C631" s="127"/>
      <c r="D631" s="127"/>
      <c r="G631" s="127"/>
    </row>
    <row r="632" spans="2:7" ht="13">
      <c r="B632" s="182"/>
      <c r="C632" s="127"/>
      <c r="D632" s="127"/>
      <c r="G632" s="127"/>
    </row>
    <row r="633" spans="2:7" ht="13">
      <c r="B633" s="182"/>
      <c r="C633" s="127"/>
      <c r="D633" s="127"/>
      <c r="G633" s="127"/>
    </row>
    <row r="634" spans="2:7" ht="13">
      <c r="B634" s="182"/>
      <c r="C634" s="127"/>
      <c r="D634" s="127"/>
      <c r="G634" s="127"/>
    </row>
    <row r="635" spans="2:7" ht="13">
      <c r="B635" s="182"/>
      <c r="C635" s="127"/>
      <c r="D635" s="127"/>
      <c r="G635" s="127"/>
    </row>
    <row r="636" spans="2:7" ht="13">
      <c r="B636" s="182"/>
      <c r="C636" s="127"/>
      <c r="D636" s="127"/>
      <c r="G636" s="127"/>
    </row>
    <row r="637" spans="2:7" ht="13">
      <c r="B637" s="182"/>
      <c r="C637" s="127"/>
      <c r="D637" s="127"/>
      <c r="G637" s="127"/>
    </row>
    <row r="638" spans="2:7" ht="13">
      <c r="B638" s="182"/>
      <c r="C638" s="127"/>
      <c r="D638" s="127"/>
      <c r="G638" s="127"/>
    </row>
    <row r="639" spans="2:7" ht="13">
      <c r="B639" s="182"/>
      <c r="C639" s="127"/>
      <c r="D639" s="127"/>
      <c r="G639" s="127"/>
    </row>
    <row r="640" spans="2:7" ht="13">
      <c r="B640" s="182"/>
      <c r="C640" s="127"/>
      <c r="D640" s="127"/>
      <c r="G640" s="127"/>
    </row>
    <row r="641" spans="2:7" ht="13">
      <c r="B641" s="182"/>
      <c r="C641" s="127"/>
      <c r="D641" s="127"/>
      <c r="G641" s="127"/>
    </row>
    <row r="642" spans="2:7" ht="13">
      <c r="B642" s="182"/>
      <c r="C642" s="127"/>
      <c r="D642" s="127"/>
      <c r="G642" s="127"/>
    </row>
    <row r="643" spans="2:7" ht="13">
      <c r="B643" s="182"/>
      <c r="C643" s="127"/>
      <c r="D643" s="127"/>
      <c r="G643" s="127"/>
    </row>
    <row r="644" spans="2:7" ht="13">
      <c r="B644" s="182"/>
      <c r="C644" s="127"/>
      <c r="D644" s="127"/>
      <c r="G644" s="127"/>
    </row>
    <row r="645" spans="2:7" ht="13">
      <c r="B645" s="182"/>
      <c r="C645" s="127"/>
      <c r="D645" s="127"/>
      <c r="G645" s="127"/>
    </row>
    <row r="646" spans="2:7" ht="13">
      <c r="B646" s="182"/>
      <c r="C646" s="127"/>
      <c r="D646" s="127"/>
      <c r="G646" s="127"/>
    </row>
    <row r="647" spans="2:7" ht="13">
      <c r="B647" s="182"/>
      <c r="C647" s="127"/>
      <c r="D647" s="127"/>
      <c r="G647" s="127"/>
    </row>
    <row r="648" spans="2:7" ht="13">
      <c r="B648" s="182"/>
      <c r="C648" s="127"/>
      <c r="D648" s="127"/>
      <c r="G648" s="127"/>
    </row>
    <row r="649" spans="2:7" ht="13">
      <c r="B649" s="182"/>
      <c r="C649" s="127"/>
      <c r="D649" s="127"/>
      <c r="G649" s="127"/>
    </row>
    <row r="650" spans="2:7" ht="13">
      <c r="B650" s="182"/>
      <c r="C650" s="127"/>
      <c r="D650" s="127"/>
      <c r="G650" s="127"/>
    </row>
    <row r="651" spans="2:7" ht="13">
      <c r="B651" s="182"/>
      <c r="C651" s="127"/>
      <c r="D651" s="127"/>
      <c r="G651" s="127"/>
    </row>
    <row r="652" spans="2:7" ht="13">
      <c r="B652" s="182"/>
      <c r="C652" s="127"/>
      <c r="D652" s="127"/>
      <c r="G652" s="127"/>
    </row>
    <row r="653" spans="2:7" ht="13">
      <c r="B653" s="182"/>
      <c r="C653" s="127"/>
      <c r="D653" s="127"/>
      <c r="G653" s="127"/>
    </row>
    <row r="654" spans="2:7" ht="13">
      <c r="B654" s="182"/>
      <c r="C654" s="127"/>
      <c r="D654" s="127"/>
      <c r="G654" s="127"/>
    </row>
    <row r="655" spans="2:7" ht="13">
      <c r="B655" s="182"/>
      <c r="C655" s="127"/>
      <c r="D655" s="127"/>
      <c r="G655" s="127"/>
    </row>
    <row r="656" spans="2:7" ht="13">
      <c r="B656" s="182"/>
      <c r="C656" s="127"/>
      <c r="D656" s="127"/>
      <c r="G656" s="127"/>
    </row>
    <row r="657" spans="2:7" ht="13">
      <c r="B657" s="182"/>
      <c r="C657" s="127"/>
      <c r="D657" s="127"/>
      <c r="G657" s="127"/>
    </row>
    <row r="658" spans="2:7" ht="13">
      <c r="B658" s="182"/>
      <c r="C658" s="127"/>
      <c r="D658" s="127"/>
      <c r="G658" s="127"/>
    </row>
    <row r="659" spans="2:7" ht="13">
      <c r="B659" s="182"/>
      <c r="C659" s="127"/>
      <c r="D659" s="127"/>
      <c r="G659" s="127"/>
    </row>
    <row r="660" spans="2:7" ht="13">
      <c r="B660" s="182"/>
      <c r="C660" s="127"/>
      <c r="D660" s="127"/>
      <c r="G660" s="127"/>
    </row>
    <row r="661" spans="2:7" ht="13">
      <c r="B661" s="182"/>
      <c r="C661" s="127"/>
      <c r="D661" s="127"/>
      <c r="G661" s="127"/>
    </row>
    <row r="662" spans="2:7" ht="13">
      <c r="B662" s="182"/>
      <c r="C662" s="127"/>
      <c r="D662" s="127"/>
      <c r="G662" s="127"/>
    </row>
    <row r="663" spans="2:7" ht="13">
      <c r="B663" s="182"/>
      <c r="C663" s="127"/>
      <c r="D663" s="127"/>
      <c r="G663" s="127"/>
    </row>
    <row r="664" spans="2:7" ht="13">
      <c r="B664" s="182"/>
      <c r="C664" s="127"/>
      <c r="D664" s="127"/>
      <c r="G664" s="127"/>
    </row>
    <row r="665" spans="2:7" ht="13">
      <c r="B665" s="182"/>
      <c r="C665" s="127"/>
      <c r="D665" s="127"/>
      <c r="G665" s="127"/>
    </row>
    <row r="666" spans="2:7" ht="13">
      <c r="B666" s="182"/>
      <c r="C666" s="127"/>
      <c r="D666" s="127"/>
      <c r="G666" s="127"/>
    </row>
    <row r="667" spans="2:7" ht="13">
      <c r="B667" s="182"/>
      <c r="C667" s="127"/>
      <c r="D667" s="127"/>
      <c r="G667" s="127"/>
    </row>
    <row r="668" spans="2:7" ht="13">
      <c r="B668" s="182"/>
      <c r="C668" s="127"/>
      <c r="D668" s="127"/>
      <c r="G668" s="127"/>
    </row>
    <row r="669" spans="2:7" ht="13">
      <c r="B669" s="182"/>
      <c r="C669" s="127"/>
      <c r="D669" s="127"/>
      <c r="G669" s="127"/>
    </row>
    <row r="670" spans="2:7" ht="13">
      <c r="B670" s="182"/>
      <c r="C670" s="127"/>
      <c r="D670" s="127"/>
      <c r="G670" s="127"/>
    </row>
    <row r="671" spans="2:7" ht="13">
      <c r="B671" s="182"/>
      <c r="C671" s="127"/>
      <c r="D671" s="127"/>
      <c r="G671" s="127"/>
    </row>
    <row r="672" spans="2:7" ht="13">
      <c r="B672" s="182"/>
      <c r="C672" s="127"/>
      <c r="D672" s="127"/>
      <c r="G672" s="127"/>
    </row>
    <row r="673" spans="2:7" ht="13">
      <c r="B673" s="182"/>
      <c r="C673" s="127"/>
      <c r="D673" s="127"/>
      <c r="G673" s="127"/>
    </row>
    <row r="674" spans="2:7" ht="13">
      <c r="B674" s="182"/>
      <c r="C674" s="127"/>
      <c r="D674" s="127"/>
      <c r="G674" s="127"/>
    </row>
    <row r="675" spans="2:7" ht="13">
      <c r="B675" s="182"/>
      <c r="C675" s="127"/>
      <c r="D675" s="127"/>
      <c r="G675" s="127"/>
    </row>
    <row r="676" spans="2:7" ht="13">
      <c r="B676" s="182"/>
      <c r="C676" s="127"/>
      <c r="D676" s="127"/>
      <c r="G676" s="127"/>
    </row>
    <row r="677" spans="2:7" ht="13">
      <c r="B677" s="182"/>
      <c r="C677" s="127"/>
      <c r="D677" s="127"/>
      <c r="G677" s="127"/>
    </row>
    <row r="678" spans="2:7" ht="13">
      <c r="B678" s="182"/>
      <c r="C678" s="127"/>
      <c r="D678" s="127"/>
      <c r="G678" s="127"/>
    </row>
    <row r="679" spans="2:7" ht="13">
      <c r="B679" s="182"/>
      <c r="C679" s="127"/>
      <c r="D679" s="127"/>
      <c r="G679" s="127"/>
    </row>
    <row r="680" spans="2:7" ht="13">
      <c r="B680" s="182"/>
      <c r="C680" s="127"/>
      <c r="D680" s="127"/>
      <c r="G680" s="127"/>
    </row>
    <row r="681" spans="2:7" ht="13">
      <c r="B681" s="182"/>
      <c r="C681" s="127"/>
      <c r="D681" s="127"/>
      <c r="G681" s="127"/>
    </row>
    <row r="682" spans="2:7" ht="13">
      <c r="B682" s="182"/>
      <c r="C682" s="127"/>
      <c r="D682" s="127"/>
      <c r="G682" s="127"/>
    </row>
    <row r="683" spans="2:7" ht="13">
      <c r="B683" s="182"/>
      <c r="C683" s="127"/>
      <c r="D683" s="127"/>
      <c r="G683" s="127"/>
    </row>
    <row r="684" spans="2:7" ht="13">
      <c r="B684" s="182"/>
      <c r="C684" s="127"/>
      <c r="D684" s="127"/>
      <c r="G684" s="127"/>
    </row>
    <row r="685" spans="2:7" ht="13">
      <c r="B685" s="182"/>
      <c r="C685" s="127"/>
      <c r="D685" s="127"/>
      <c r="G685" s="127"/>
    </row>
    <row r="686" spans="2:7" ht="13">
      <c r="B686" s="182"/>
      <c r="C686" s="127"/>
      <c r="D686" s="127"/>
      <c r="G686" s="127"/>
    </row>
    <row r="687" spans="2:7" ht="13">
      <c r="B687" s="182"/>
      <c r="C687" s="127"/>
      <c r="D687" s="127"/>
      <c r="G687" s="127"/>
    </row>
    <row r="688" spans="2:7" ht="13">
      <c r="B688" s="182"/>
      <c r="C688" s="127"/>
      <c r="D688" s="127"/>
      <c r="G688" s="127"/>
    </row>
    <row r="689" spans="2:7" ht="13">
      <c r="B689" s="182"/>
      <c r="C689" s="127"/>
      <c r="D689" s="127"/>
      <c r="G689" s="127"/>
    </row>
    <row r="690" spans="2:7" ht="13">
      <c r="B690" s="182"/>
      <c r="C690" s="127"/>
      <c r="D690" s="127"/>
      <c r="G690" s="127"/>
    </row>
    <row r="691" spans="2:7" ht="13">
      <c r="B691" s="182"/>
      <c r="C691" s="127"/>
      <c r="D691" s="127"/>
      <c r="G691" s="127"/>
    </row>
    <row r="692" spans="2:7" ht="13">
      <c r="B692" s="182"/>
      <c r="C692" s="127"/>
      <c r="D692" s="127"/>
      <c r="G692" s="127"/>
    </row>
    <row r="693" spans="2:7" ht="13">
      <c r="B693" s="182"/>
      <c r="C693" s="127"/>
      <c r="D693" s="127"/>
      <c r="G693" s="127"/>
    </row>
    <row r="694" spans="2:7" ht="13">
      <c r="B694" s="182"/>
      <c r="C694" s="127"/>
      <c r="D694" s="127"/>
      <c r="G694" s="127"/>
    </row>
    <row r="695" spans="2:7" ht="13">
      <c r="B695" s="182"/>
      <c r="C695" s="127"/>
      <c r="D695" s="127"/>
      <c r="G695" s="127"/>
    </row>
    <row r="696" spans="2:7" ht="13">
      <c r="B696" s="182"/>
      <c r="C696" s="127"/>
      <c r="D696" s="127"/>
      <c r="G696" s="127"/>
    </row>
    <row r="697" spans="2:7" ht="13">
      <c r="B697" s="182"/>
      <c r="C697" s="127"/>
      <c r="D697" s="127"/>
      <c r="G697" s="127"/>
    </row>
    <row r="698" spans="2:7" ht="13">
      <c r="B698" s="182"/>
      <c r="C698" s="127"/>
      <c r="D698" s="127"/>
      <c r="G698" s="127"/>
    </row>
    <row r="699" spans="2:7" ht="13">
      <c r="B699" s="182"/>
      <c r="C699" s="127"/>
      <c r="D699" s="127"/>
      <c r="G699" s="127"/>
    </row>
    <row r="700" spans="2:7" ht="13">
      <c r="B700" s="182"/>
      <c r="C700" s="127"/>
      <c r="D700" s="127"/>
      <c r="G700" s="127"/>
    </row>
    <row r="701" spans="2:7" ht="13">
      <c r="B701" s="182"/>
      <c r="C701" s="127"/>
      <c r="D701" s="127"/>
      <c r="G701" s="127"/>
    </row>
    <row r="702" spans="2:7" ht="13">
      <c r="B702" s="182"/>
      <c r="C702" s="127"/>
      <c r="D702" s="127"/>
      <c r="G702" s="127"/>
    </row>
    <row r="703" spans="2:7" ht="13">
      <c r="B703" s="182"/>
      <c r="C703" s="127"/>
      <c r="D703" s="127"/>
      <c r="G703" s="127"/>
    </row>
    <row r="704" spans="2:7" ht="13">
      <c r="B704" s="182"/>
      <c r="C704" s="127"/>
      <c r="D704" s="127"/>
      <c r="G704" s="127"/>
    </row>
    <row r="705" spans="2:7" ht="13">
      <c r="B705" s="182"/>
      <c r="C705" s="127"/>
      <c r="D705" s="127"/>
      <c r="G705" s="127"/>
    </row>
    <row r="706" spans="2:7" ht="13">
      <c r="B706" s="182"/>
      <c r="C706" s="127"/>
      <c r="D706" s="127"/>
      <c r="G706" s="127"/>
    </row>
    <row r="707" spans="2:7" ht="13">
      <c r="B707" s="182"/>
      <c r="C707" s="127"/>
      <c r="D707" s="127"/>
      <c r="G707" s="127"/>
    </row>
    <row r="708" spans="2:7" ht="13">
      <c r="B708" s="182"/>
      <c r="C708" s="127"/>
      <c r="D708" s="127"/>
      <c r="G708" s="127"/>
    </row>
    <row r="709" spans="2:7" ht="13">
      <c r="B709" s="182"/>
      <c r="C709" s="127"/>
      <c r="D709" s="127"/>
      <c r="G709" s="127"/>
    </row>
    <row r="710" spans="2:7" ht="13">
      <c r="B710" s="182"/>
      <c r="C710" s="127"/>
      <c r="D710" s="127"/>
      <c r="G710" s="127"/>
    </row>
    <row r="711" spans="2:7" ht="13">
      <c r="B711" s="182"/>
      <c r="C711" s="127"/>
      <c r="D711" s="127"/>
      <c r="G711" s="127"/>
    </row>
    <row r="712" spans="2:7" ht="13">
      <c r="B712" s="182"/>
      <c r="C712" s="127"/>
      <c r="D712" s="127"/>
      <c r="G712" s="127"/>
    </row>
    <row r="713" spans="2:7" ht="13">
      <c r="B713" s="182"/>
      <c r="C713" s="127"/>
      <c r="D713" s="127"/>
      <c r="G713" s="127"/>
    </row>
    <row r="714" spans="2:7" ht="13">
      <c r="B714" s="182"/>
      <c r="C714" s="127"/>
      <c r="D714" s="127"/>
      <c r="G714" s="127"/>
    </row>
    <row r="715" spans="2:7" ht="13">
      <c r="B715" s="182"/>
      <c r="C715" s="127"/>
      <c r="D715" s="127"/>
      <c r="G715" s="127"/>
    </row>
    <row r="716" spans="2:7" ht="13">
      <c r="B716" s="182"/>
      <c r="C716" s="127"/>
      <c r="D716" s="127"/>
      <c r="G716" s="127"/>
    </row>
    <row r="717" spans="2:7" ht="13">
      <c r="B717" s="182"/>
      <c r="C717" s="127"/>
      <c r="D717" s="127"/>
      <c r="G717" s="127"/>
    </row>
    <row r="718" spans="2:7" ht="13">
      <c r="B718" s="182"/>
      <c r="C718" s="127"/>
      <c r="D718" s="127"/>
      <c r="G718" s="127"/>
    </row>
    <row r="719" spans="2:7" ht="13">
      <c r="B719" s="182"/>
      <c r="C719" s="127"/>
      <c r="D719" s="127"/>
      <c r="G719" s="127"/>
    </row>
    <row r="720" spans="2:7" ht="13">
      <c r="B720" s="182"/>
      <c r="C720" s="127"/>
      <c r="D720" s="127"/>
      <c r="G720" s="127"/>
    </row>
    <row r="721" spans="2:7" ht="13">
      <c r="B721" s="182"/>
      <c r="C721" s="127"/>
      <c r="D721" s="127"/>
      <c r="G721" s="127"/>
    </row>
    <row r="722" spans="2:7" ht="13">
      <c r="B722" s="182"/>
      <c r="C722" s="127"/>
      <c r="D722" s="127"/>
      <c r="G722" s="127"/>
    </row>
    <row r="723" spans="2:7" ht="13">
      <c r="B723" s="182"/>
      <c r="C723" s="127"/>
      <c r="D723" s="127"/>
      <c r="G723" s="127"/>
    </row>
    <row r="724" spans="2:7" ht="13">
      <c r="B724" s="182"/>
      <c r="C724" s="127"/>
      <c r="D724" s="127"/>
      <c r="G724" s="127"/>
    </row>
    <row r="725" spans="2:7" ht="13">
      <c r="B725" s="182"/>
      <c r="C725" s="127"/>
      <c r="D725" s="127"/>
      <c r="G725" s="127"/>
    </row>
    <row r="726" spans="2:7" ht="13">
      <c r="B726" s="182"/>
      <c r="C726" s="127"/>
      <c r="D726" s="127"/>
      <c r="G726" s="127"/>
    </row>
    <row r="727" spans="2:7" ht="13">
      <c r="B727" s="182"/>
      <c r="C727" s="127"/>
      <c r="D727" s="127"/>
      <c r="G727" s="127"/>
    </row>
    <row r="728" spans="2:7" ht="13">
      <c r="B728" s="182"/>
      <c r="C728" s="127"/>
      <c r="D728" s="127"/>
      <c r="G728" s="127"/>
    </row>
    <row r="729" spans="2:7" ht="13">
      <c r="B729" s="182"/>
      <c r="C729" s="127"/>
      <c r="D729" s="127"/>
      <c r="G729" s="127"/>
    </row>
    <row r="730" spans="2:7" ht="13">
      <c r="B730" s="182"/>
      <c r="C730" s="127"/>
      <c r="D730" s="127"/>
      <c r="G730" s="127"/>
    </row>
    <row r="731" spans="2:7" ht="13">
      <c r="B731" s="182"/>
      <c r="C731" s="127"/>
      <c r="D731" s="127"/>
      <c r="G731" s="127"/>
    </row>
    <row r="732" spans="2:7" ht="13">
      <c r="B732" s="182"/>
      <c r="C732" s="127"/>
      <c r="D732" s="127"/>
      <c r="G732" s="127"/>
    </row>
    <row r="733" spans="2:7" ht="13">
      <c r="B733" s="182"/>
      <c r="C733" s="127"/>
      <c r="D733" s="127"/>
      <c r="G733" s="127"/>
    </row>
    <row r="734" spans="2:7" ht="13">
      <c r="B734" s="182"/>
      <c r="C734" s="127"/>
      <c r="D734" s="127"/>
      <c r="G734" s="127"/>
    </row>
    <row r="735" spans="2:7" ht="13">
      <c r="B735" s="182"/>
      <c r="C735" s="127"/>
      <c r="D735" s="127"/>
      <c r="G735" s="127"/>
    </row>
    <row r="736" spans="2:7" ht="13">
      <c r="B736" s="182"/>
      <c r="C736" s="127"/>
      <c r="D736" s="127"/>
      <c r="G736" s="127"/>
    </row>
    <row r="737" spans="2:7" ht="13">
      <c r="B737" s="182"/>
      <c r="C737" s="127"/>
      <c r="D737" s="127"/>
      <c r="G737" s="127"/>
    </row>
    <row r="738" spans="2:7" ht="13">
      <c r="B738" s="182"/>
      <c r="C738" s="127"/>
      <c r="D738" s="127"/>
      <c r="G738" s="127"/>
    </row>
    <row r="739" spans="2:7" ht="13">
      <c r="B739" s="182"/>
      <c r="C739" s="127"/>
      <c r="D739" s="127"/>
      <c r="G739" s="127"/>
    </row>
    <row r="740" spans="2:7" ht="13">
      <c r="B740" s="182"/>
      <c r="C740" s="127"/>
      <c r="D740" s="127"/>
      <c r="G740" s="127"/>
    </row>
    <row r="741" spans="2:7" ht="13">
      <c r="B741" s="182"/>
      <c r="C741" s="127"/>
      <c r="D741" s="127"/>
      <c r="G741" s="127"/>
    </row>
    <row r="742" spans="2:7" ht="13">
      <c r="B742" s="182"/>
      <c r="C742" s="127"/>
      <c r="D742" s="127"/>
      <c r="G742" s="127"/>
    </row>
    <row r="743" spans="2:7" ht="13">
      <c r="B743" s="182"/>
      <c r="C743" s="127"/>
      <c r="D743" s="127"/>
      <c r="G743" s="127"/>
    </row>
    <row r="744" spans="2:7" ht="13">
      <c r="B744" s="182"/>
      <c r="C744" s="127"/>
      <c r="D744" s="127"/>
      <c r="G744" s="127"/>
    </row>
    <row r="745" spans="2:7" ht="13">
      <c r="B745" s="182"/>
      <c r="C745" s="127"/>
      <c r="D745" s="127"/>
      <c r="G745" s="127"/>
    </row>
    <row r="746" spans="2:7" ht="13">
      <c r="B746" s="182"/>
      <c r="C746" s="127"/>
      <c r="D746" s="127"/>
      <c r="G746" s="127"/>
    </row>
    <row r="747" spans="2:7" ht="13">
      <c r="B747" s="182"/>
      <c r="C747" s="127"/>
      <c r="D747" s="127"/>
      <c r="G747" s="127"/>
    </row>
    <row r="748" spans="2:7" ht="13">
      <c r="B748" s="182"/>
      <c r="C748" s="127"/>
      <c r="D748" s="127"/>
      <c r="G748" s="127"/>
    </row>
    <row r="749" spans="2:7" ht="13">
      <c r="B749" s="182"/>
      <c r="C749" s="127"/>
      <c r="D749" s="127"/>
      <c r="G749" s="127"/>
    </row>
    <row r="750" spans="2:7" ht="13">
      <c r="B750" s="182"/>
      <c r="C750" s="127"/>
      <c r="D750" s="127"/>
      <c r="G750" s="127"/>
    </row>
    <row r="751" spans="2:7" ht="13">
      <c r="B751" s="182"/>
      <c r="C751" s="127"/>
      <c r="D751" s="127"/>
      <c r="G751" s="127"/>
    </row>
    <row r="752" spans="2:7" ht="13">
      <c r="B752" s="182"/>
      <c r="C752" s="127"/>
      <c r="D752" s="127"/>
      <c r="G752" s="127"/>
    </row>
    <row r="753" spans="2:7" ht="13">
      <c r="B753" s="182"/>
      <c r="C753" s="127"/>
      <c r="D753" s="127"/>
      <c r="G753" s="127"/>
    </row>
    <row r="754" spans="2:7" ht="13">
      <c r="B754" s="182"/>
      <c r="C754" s="127"/>
      <c r="D754" s="127"/>
      <c r="G754" s="127"/>
    </row>
    <row r="755" spans="2:7" ht="13">
      <c r="B755" s="182"/>
      <c r="C755" s="127"/>
      <c r="D755" s="127"/>
      <c r="G755" s="127"/>
    </row>
    <row r="756" spans="2:7" ht="13">
      <c r="B756" s="182"/>
      <c r="C756" s="127"/>
      <c r="D756" s="127"/>
      <c r="G756" s="127"/>
    </row>
    <row r="757" spans="2:7" ht="13">
      <c r="B757" s="182"/>
      <c r="C757" s="127"/>
      <c r="D757" s="127"/>
      <c r="G757" s="127"/>
    </row>
    <row r="758" spans="2:7" ht="13">
      <c r="B758" s="182"/>
      <c r="C758" s="127"/>
      <c r="D758" s="127"/>
      <c r="G758" s="127"/>
    </row>
    <row r="759" spans="2:7" ht="13">
      <c r="B759" s="182"/>
      <c r="C759" s="127"/>
      <c r="D759" s="127"/>
      <c r="G759" s="127"/>
    </row>
    <row r="760" spans="2:7" ht="13">
      <c r="B760" s="182"/>
      <c r="C760" s="127"/>
      <c r="D760" s="127"/>
      <c r="G760" s="127"/>
    </row>
    <row r="761" spans="2:7" ht="13">
      <c r="B761" s="182"/>
      <c r="C761" s="127"/>
      <c r="D761" s="127"/>
      <c r="G761" s="127"/>
    </row>
    <row r="762" spans="2:7" ht="13">
      <c r="B762" s="182"/>
      <c r="C762" s="127"/>
      <c r="D762" s="127"/>
      <c r="G762" s="127"/>
    </row>
    <row r="763" spans="2:7" ht="13">
      <c r="B763" s="182"/>
      <c r="C763" s="127"/>
      <c r="D763" s="127"/>
      <c r="G763" s="127"/>
    </row>
    <row r="764" spans="2:7" ht="13">
      <c r="B764" s="182"/>
      <c r="C764" s="127"/>
      <c r="D764" s="127"/>
      <c r="G764" s="127"/>
    </row>
    <row r="765" spans="2:7" ht="13">
      <c r="B765" s="182"/>
      <c r="C765" s="127"/>
      <c r="D765" s="127"/>
      <c r="G765" s="127"/>
    </row>
    <row r="766" spans="2:7" ht="13">
      <c r="B766" s="182"/>
      <c r="C766" s="127"/>
      <c r="D766" s="127"/>
      <c r="G766" s="127"/>
    </row>
    <row r="767" spans="2:7" ht="13">
      <c r="B767" s="182"/>
      <c r="C767" s="127"/>
      <c r="D767" s="127"/>
      <c r="G767" s="127"/>
    </row>
    <row r="768" spans="2:7" ht="13">
      <c r="B768" s="182"/>
      <c r="C768" s="127"/>
      <c r="D768" s="127"/>
      <c r="G768" s="127"/>
    </row>
    <row r="769" spans="2:7" ht="13">
      <c r="B769" s="182"/>
      <c r="C769" s="127"/>
      <c r="D769" s="127"/>
      <c r="G769" s="127"/>
    </row>
    <row r="770" spans="2:7" ht="13">
      <c r="B770" s="182"/>
      <c r="C770" s="127"/>
      <c r="D770" s="127"/>
      <c r="G770" s="127"/>
    </row>
    <row r="771" spans="2:7" ht="13">
      <c r="B771" s="182"/>
      <c r="C771" s="127"/>
      <c r="D771" s="127"/>
      <c r="G771" s="127"/>
    </row>
    <row r="772" spans="2:7" ht="13">
      <c r="B772" s="182"/>
      <c r="C772" s="127"/>
      <c r="D772" s="127"/>
      <c r="G772" s="127"/>
    </row>
    <row r="773" spans="2:7" ht="13">
      <c r="B773" s="182"/>
      <c r="C773" s="127"/>
      <c r="D773" s="127"/>
      <c r="G773" s="127"/>
    </row>
    <row r="774" spans="2:7" ht="13">
      <c r="B774" s="182"/>
      <c r="C774" s="127"/>
      <c r="D774" s="127"/>
      <c r="G774" s="127"/>
    </row>
    <row r="775" spans="2:7" ht="13">
      <c r="B775" s="182"/>
      <c r="C775" s="127"/>
      <c r="D775" s="127"/>
      <c r="G775" s="127"/>
    </row>
    <row r="776" spans="2:7" ht="13">
      <c r="B776" s="182"/>
      <c r="C776" s="127"/>
      <c r="D776" s="127"/>
      <c r="G776" s="127"/>
    </row>
    <row r="777" spans="2:7" ht="13">
      <c r="B777" s="182"/>
      <c r="C777" s="127"/>
      <c r="D777" s="127"/>
      <c r="G777" s="127"/>
    </row>
    <row r="778" spans="2:7" ht="13">
      <c r="B778" s="182"/>
      <c r="C778" s="127"/>
      <c r="D778" s="127"/>
      <c r="G778" s="127"/>
    </row>
    <row r="779" spans="2:7" ht="13">
      <c r="B779" s="182"/>
      <c r="C779" s="127"/>
      <c r="D779" s="127"/>
      <c r="G779" s="127"/>
    </row>
    <row r="780" spans="2:7" ht="13">
      <c r="B780" s="182"/>
      <c r="C780" s="127"/>
      <c r="D780" s="127"/>
      <c r="G780" s="127"/>
    </row>
    <row r="781" spans="2:7" ht="13">
      <c r="B781" s="182"/>
      <c r="C781" s="127"/>
      <c r="D781" s="127"/>
      <c r="G781" s="127"/>
    </row>
    <row r="782" spans="2:7" ht="13">
      <c r="B782" s="182"/>
      <c r="C782" s="127"/>
      <c r="D782" s="127"/>
      <c r="G782" s="127"/>
    </row>
    <row r="783" spans="2:7" ht="13">
      <c r="B783" s="182"/>
      <c r="C783" s="127"/>
      <c r="D783" s="127"/>
      <c r="G783" s="127"/>
    </row>
    <row r="784" spans="2:7" ht="13">
      <c r="B784" s="182"/>
      <c r="C784" s="127"/>
      <c r="D784" s="127"/>
      <c r="G784" s="127"/>
    </row>
    <row r="785" spans="2:7" ht="13">
      <c r="B785" s="182"/>
      <c r="C785" s="127"/>
      <c r="D785" s="127"/>
      <c r="G785" s="127"/>
    </row>
    <row r="786" spans="2:7" ht="13">
      <c r="B786" s="182"/>
      <c r="C786" s="127"/>
      <c r="D786" s="127"/>
      <c r="G786" s="127"/>
    </row>
    <row r="787" spans="2:7" ht="13">
      <c r="B787" s="182"/>
      <c r="C787" s="127"/>
      <c r="D787" s="127"/>
      <c r="G787" s="127"/>
    </row>
    <row r="788" spans="2:7" ht="13">
      <c r="B788" s="182"/>
      <c r="C788" s="127"/>
      <c r="D788" s="127"/>
      <c r="G788" s="127"/>
    </row>
    <row r="789" spans="2:7" ht="13">
      <c r="B789" s="182"/>
      <c r="C789" s="127"/>
      <c r="D789" s="127"/>
      <c r="G789" s="127"/>
    </row>
    <row r="790" spans="2:7" ht="13">
      <c r="B790" s="182"/>
      <c r="C790" s="127"/>
      <c r="D790" s="127"/>
      <c r="G790" s="127"/>
    </row>
    <row r="791" spans="2:7" ht="13">
      <c r="B791" s="182"/>
      <c r="C791" s="127"/>
      <c r="D791" s="127"/>
      <c r="G791" s="127"/>
    </row>
    <row r="792" spans="2:7" ht="13">
      <c r="B792" s="182"/>
      <c r="C792" s="127"/>
      <c r="D792" s="127"/>
      <c r="G792" s="127"/>
    </row>
    <row r="793" spans="2:7" ht="13">
      <c r="B793" s="182"/>
      <c r="C793" s="127"/>
      <c r="D793" s="127"/>
      <c r="G793" s="127"/>
    </row>
    <row r="794" spans="2:7" ht="13">
      <c r="B794" s="182"/>
      <c r="C794" s="127"/>
      <c r="D794" s="127"/>
      <c r="G794" s="127"/>
    </row>
    <row r="795" spans="2:7" ht="13">
      <c r="B795" s="182"/>
      <c r="C795" s="127"/>
      <c r="D795" s="127"/>
      <c r="G795" s="127"/>
    </row>
    <row r="796" spans="2:7" ht="13">
      <c r="B796" s="182"/>
      <c r="C796" s="127"/>
      <c r="D796" s="127"/>
      <c r="G796" s="127"/>
    </row>
    <row r="797" spans="2:7" ht="13">
      <c r="B797" s="182"/>
      <c r="C797" s="127"/>
      <c r="D797" s="127"/>
      <c r="G797" s="127"/>
    </row>
    <row r="798" spans="2:7" ht="13">
      <c r="B798" s="182"/>
      <c r="C798" s="127"/>
      <c r="D798" s="127"/>
      <c r="G798" s="127"/>
    </row>
    <row r="799" spans="2:7" ht="13">
      <c r="B799" s="182"/>
      <c r="C799" s="127"/>
      <c r="D799" s="127"/>
      <c r="G799" s="127"/>
    </row>
    <row r="800" spans="2:7" ht="13">
      <c r="B800" s="182"/>
      <c r="C800" s="127"/>
      <c r="D800" s="127"/>
      <c r="G800" s="127"/>
    </row>
    <row r="801" spans="2:7" ht="13">
      <c r="B801" s="182"/>
      <c r="C801" s="127"/>
      <c r="D801" s="127"/>
      <c r="G801" s="127"/>
    </row>
    <row r="802" spans="2:7" ht="13">
      <c r="B802" s="182"/>
      <c r="C802" s="127"/>
      <c r="D802" s="127"/>
      <c r="G802" s="127"/>
    </row>
    <row r="803" spans="2:7" ht="13">
      <c r="B803" s="182"/>
      <c r="C803" s="127"/>
      <c r="D803" s="127"/>
      <c r="G803" s="127"/>
    </row>
    <row r="804" spans="2:7" ht="13">
      <c r="B804" s="182"/>
      <c r="C804" s="127"/>
      <c r="D804" s="127"/>
      <c r="G804" s="127"/>
    </row>
    <row r="805" spans="2:7" ht="13">
      <c r="B805" s="182"/>
      <c r="C805" s="127"/>
      <c r="D805" s="127"/>
      <c r="G805" s="127"/>
    </row>
    <row r="806" spans="2:7" ht="13">
      <c r="B806" s="182"/>
      <c r="C806" s="127"/>
      <c r="D806" s="127"/>
      <c r="G806" s="127"/>
    </row>
    <row r="807" spans="2:7" ht="13">
      <c r="B807" s="182"/>
      <c r="C807" s="127"/>
      <c r="D807" s="127"/>
      <c r="G807" s="127"/>
    </row>
    <row r="808" spans="2:7" ht="13">
      <c r="B808" s="182"/>
      <c r="C808" s="127"/>
      <c r="D808" s="127"/>
      <c r="G808" s="127"/>
    </row>
    <row r="809" spans="2:7" ht="13">
      <c r="B809" s="182"/>
      <c r="C809" s="127"/>
      <c r="D809" s="127"/>
      <c r="G809" s="127"/>
    </row>
    <row r="810" spans="2:7" ht="13">
      <c r="B810" s="182"/>
      <c r="C810" s="127"/>
      <c r="D810" s="127"/>
      <c r="G810" s="127"/>
    </row>
    <row r="811" spans="2:7" ht="13">
      <c r="B811" s="182"/>
      <c r="C811" s="127"/>
      <c r="D811" s="127"/>
      <c r="G811" s="127"/>
    </row>
    <row r="812" spans="2:7" ht="13">
      <c r="B812" s="182"/>
      <c r="C812" s="127"/>
      <c r="D812" s="127"/>
      <c r="G812" s="127"/>
    </row>
    <row r="813" spans="2:7" ht="13">
      <c r="B813" s="182"/>
      <c r="C813" s="127"/>
      <c r="D813" s="127"/>
      <c r="G813" s="127"/>
    </row>
    <row r="814" spans="2:7" ht="13">
      <c r="B814" s="182"/>
      <c r="C814" s="127"/>
      <c r="D814" s="127"/>
      <c r="G814" s="127"/>
    </row>
    <row r="815" spans="2:7" ht="13">
      <c r="B815" s="182"/>
      <c r="C815" s="127"/>
      <c r="D815" s="127"/>
      <c r="G815" s="127"/>
    </row>
    <row r="816" spans="2:7" ht="13">
      <c r="B816" s="182"/>
      <c r="C816" s="127"/>
      <c r="D816" s="127"/>
      <c r="G816" s="127"/>
    </row>
    <row r="817" spans="2:7" ht="13">
      <c r="B817" s="182"/>
      <c r="C817" s="127"/>
      <c r="D817" s="127"/>
      <c r="G817" s="127"/>
    </row>
    <row r="818" spans="2:7" ht="13">
      <c r="B818" s="182"/>
      <c r="C818" s="127"/>
      <c r="D818" s="127"/>
      <c r="G818" s="127"/>
    </row>
    <row r="819" spans="2:7" ht="13">
      <c r="B819" s="182"/>
      <c r="C819" s="127"/>
      <c r="D819" s="127"/>
      <c r="G819" s="127"/>
    </row>
    <row r="820" spans="2:7" ht="13">
      <c r="B820" s="182"/>
      <c r="C820" s="127"/>
      <c r="D820" s="127"/>
      <c r="G820" s="127"/>
    </row>
    <row r="821" spans="2:7" ht="13">
      <c r="B821" s="182"/>
      <c r="C821" s="127"/>
      <c r="D821" s="127"/>
      <c r="G821" s="127"/>
    </row>
    <row r="822" spans="2:7" ht="13">
      <c r="B822" s="182"/>
      <c r="C822" s="127"/>
      <c r="D822" s="127"/>
      <c r="G822" s="127"/>
    </row>
    <row r="823" spans="2:7" ht="13">
      <c r="B823" s="182"/>
      <c r="C823" s="127"/>
      <c r="D823" s="127"/>
      <c r="G823" s="127"/>
    </row>
    <row r="824" spans="2:7" ht="13">
      <c r="B824" s="182"/>
      <c r="C824" s="127"/>
      <c r="D824" s="127"/>
      <c r="G824" s="127"/>
    </row>
    <row r="825" spans="2:7" ht="13">
      <c r="B825" s="182"/>
      <c r="C825" s="127"/>
      <c r="D825" s="127"/>
      <c r="G825" s="127"/>
    </row>
    <row r="826" spans="2:7" ht="13">
      <c r="B826" s="182"/>
      <c r="C826" s="127"/>
      <c r="D826" s="127"/>
      <c r="G826" s="127"/>
    </row>
    <row r="827" spans="2:7" ht="13">
      <c r="B827" s="182"/>
      <c r="C827" s="127"/>
      <c r="D827" s="127"/>
      <c r="G827" s="127"/>
    </row>
    <row r="828" spans="2:7" ht="13">
      <c r="B828" s="182"/>
      <c r="C828" s="127"/>
      <c r="D828" s="127"/>
      <c r="G828" s="127"/>
    </row>
    <row r="829" spans="2:7" ht="13">
      <c r="B829" s="182"/>
      <c r="C829" s="127"/>
      <c r="D829" s="127"/>
      <c r="G829" s="127"/>
    </row>
    <row r="830" spans="2:7" ht="13">
      <c r="B830" s="182"/>
      <c r="C830" s="127"/>
      <c r="D830" s="127"/>
      <c r="G830" s="127"/>
    </row>
    <row r="831" spans="2:7" ht="13">
      <c r="B831" s="182"/>
      <c r="C831" s="127"/>
      <c r="D831" s="127"/>
      <c r="G831" s="127"/>
    </row>
    <row r="832" spans="2:7" ht="13">
      <c r="B832" s="182"/>
      <c r="C832" s="127"/>
      <c r="D832" s="127"/>
      <c r="G832" s="127"/>
    </row>
    <row r="833" spans="2:7" ht="13">
      <c r="B833" s="182"/>
      <c r="C833" s="127"/>
      <c r="D833" s="127"/>
      <c r="G833" s="127"/>
    </row>
    <row r="834" spans="2:7" ht="13">
      <c r="B834" s="182"/>
      <c r="C834" s="127"/>
      <c r="D834" s="127"/>
      <c r="G834" s="127"/>
    </row>
    <row r="835" spans="2:7" ht="13">
      <c r="B835" s="182"/>
      <c r="C835" s="127"/>
      <c r="D835" s="127"/>
      <c r="G835" s="127"/>
    </row>
    <row r="836" spans="2:7" ht="13">
      <c r="B836" s="182"/>
      <c r="C836" s="127"/>
      <c r="D836" s="127"/>
      <c r="G836" s="127"/>
    </row>
    <row r="837" spans="2:7" ht="13">
      <c r="B837" s="182"/>
      <c r="C837" s="127"/>
      <c r="D837" s="127"/>
      <c r="G837" s="127"/>
    </row>
    <row r="838" spans="2:7" ht="13">
      <c r="B838" s="182"/>
      <c r="C838" s="127"/>
      <c r="D838" s="127"/>
      <c r="G838" s="127"/>
    </row>
    <row r="839" spans="2:7" ht="13">
      <c r="B839" s="182"/>
      <c r="C839" s="127"/>
      <c r="D839" s="127"/>
      <c r="G839" s="127"/>
    </row>
    <row r="840" spans="2:7" ht="13">
      <c r="B840" s="182"/>
      <c r="C840" s="127"/>
      <c r="D840" s="127"/>
      <c r="G840" s="127"/>
    </row>
    <row r="841" spans="2:7" ht="13">
      <c r="B841" s="182"/>
      <c r="C841" s="127"/>
      <c r="D841" s="127"/>
      <c r="G841" s="127"/>
    </row>
    <row r="842" spans="2:7" ht="13">
      <c r="B842" s="182"/>
      <c r="C842" s="127"/>
      <c r="D842" s="127"/>
      <c r="G842" s="127"/>
    </row>
    <row r="843" spans="2:7" ht="13">
      <c r="B843" s="182"/>
      <c r="C843" s="127"/>
      <c r="D843" s="127"/>
      <c r="G843" s="127"/>
    </row>
    <row r="844" spans="2:7" ht="13">
      <c r="B844" s="182"/>
      <c r="C844" s="127"/>
      <c r="D844" s="127"/>
      <c r="G844" s="127"/>
    </row>
    <row r="845" spans="2:7" ht="13">
      <c r="B845" s="182"/>
      <c r="C845" s="127"/>
      <c r="D845" s="127"/>
      <c r="G845" s="127"/>
    </row>
    <row r="846" spans="2:7" ht="13">
      <c r="B846" s="182"/>
      <c r="C846" s="127"/>
      <c r="D846" s="127"/>
      <c r="G846" s="127"/>
    </row>
    <row r="847" spans="2:7" ht="13">
      <c r="B847" s="182"/>
      <c r="C847" s="127"/>
      <c r="D847" s="127"/>
      <c r="G847" s="127"/>
    </row>
    <row r="848" spans="2:7" ht="13">
      <c r="B848" s="182"/>
      <c r="C848" s="127"/>
      <c r="D848" s="127"/>
      <c r="G848" s="127"/>
    </row>
    <row r="849" spans="2:7" ht="13">
      <c r="B849" s="182"/>
      <c r="C849" s="127"/>
      <c r="D849" s="127"/>
      <c r="G849" s="127"/>
    </row>
    <row r="850" spans="2:7" ht="13">
      <c r="B850" s="182"/>
      <c r="C850" s="127"/>
      <c r="D850" s="127"/>
      <c r="G850" s="127"/>
    </row>
    <row r="851" spans="2:7" ht="13">
      <c r="B851" s="182"/>
      <c r="C851" s="127"/>
      <c r="D851" s="127"/>
      <c r="G851" s="127"/>
    </row>
    <row r="852" spans="2:7" ht="13">
      <c r="B852" s="182"/>
      <c r="C852" s="127"/>
      <c r="D852" s="127"/>
      <c r="G852" s="127"/>
    </row>
    <row r="853" spans="2:7" ht="13">
      <c r="B853" s="182"/>
      <c r="C853" s="127"/>
      <c r="D853" s="127"/>
      <c r="G853" s="127"/>
    </row>
    <row r="854" spans="2:7" ht="13">
      <c r="B854" s="182"/>
      <c r="C854" s="127"/>
      <c r="D854" s="127"/>
      <c r="G854" s="127"/>
    </row>
    <row r="855" spans="2:7" ht="13">
      <c r="B855" s="182"/>
      <c r="C855" s="127"/>
      <c r="D855" s="127"/>
      <c r="G855" s="127"/>
    </row>
    <row r="856" spans="2:7" ht="13">
      <c r="B856" s="182"/>
      <c r="C856" s="127"/>
      <c r="D856" s="127"/>
      <c r="G856" s="127"/>
    </row>
    <row r="857" spans="2:7" ht="13">
      <c r="B857" s="182"/>
      <c r="C857" s="127"/>
      <c r="D857" s="127"/>
      <c r="G857" s="127"/>
    </row>
    <row r="858" spans="2:7" ht="13">
      <c r="B858" s="182"/>
      <c r="C858" s="127"/>
      <c r="D858" s="127"/>
      <c r="G858" s="127"/>
    </row>
    <row r="859" spans="2:7" ht="13">
      <c r="B859" s="182"/>
      <c r="C859" s="127"/>
      <c r="D859" s="127"/>
      <c r="G859" s="127"/>
    </row>
    <row r="860" spans="2:7" ht="13">
      <c r="B860" s="182"/>
      <c r="C860" s="127"/>
      <c r="D860" s="127"/>
      <c r="G860" s="127"/>
    </row>
    <row r="861" spans="2:7" ht="13">
      <c r="B861" s="182"/>
      <c r="C861" s="127"/>
      <c r="D861" s="127"/>
      <c r="G861" s="127"/>
    </row>
    <row r="862" spans="2:7" ht="13">
      <c r="B862" s="182"/>
      <c r="C862" s="127"/>
      <c r="D862" s="127"/>
      <c r="G862" s="127"/>
    </row>
    <row r="863" spans="2:7" ht="13">
      <c r="B863" s="182"/>
      <c r="C863" s="127"/>
      <c r="D863" s="127"/>
      <c r="G863" s="127"/>
    </row>
    <row r="864" spans="2:7" ht="13">
      <c r="B864" s="182"/>
      <c r="C864" s="127"/>
      <c r="D864" s="127"/>
      <c r="G864" s="127"/>
    </row>
    <row r="865" spans="2:7" ht="13">
      <c r="B865" s="182"/>
      <c r="C865" s="127"/>
      <c r="D865" s="127"/>
      <c r="G865" s="127"/>
    </row>
    <row r="866" spans="2:7" ht="13">
      <c r="B866" s="182"/>
      <c r="C866" s="127"/>
      <c r="D866" s="127"/>
      <c r="G866" s="127"/>
    </row>
    <row r="867" spans="2:7" ht="13">
      <c r="B867" s="182"/>
      <c r="C867" s="127"/>
      <c r="D867" s="127"/>
      <c r="G867" s="127"/>
    </row>
    <row r="868" spans="2:7" ht="13">
      <c r="B868" s="182"/>
      <c r="C868" s="127"/>
      <c r="D868" s="127"/>
      <c r="G868" s="127"/>
    </row>
    <row r="869" spans="2:7" ht="13">
      <c r="B869" s="182"/>
      <c r="C869" s="127"/>
      <c r="D869" s="127"/>
      <c r="G869" s="127"/>
    </row>
    <row r="870" spans="2:7" ht="13">
      <c r="B870" s="182"/>
      <c r="C870" s="127"/>
      <c r="D870" s="127"/>
      <c r="G870" s="127"/>
    </row>
    <row r="871" spans="2:7" ht="13">
      <c r="B871" s="182"/>
      <c r="C871" s="127"/>
      <c r="D871" s="127"/>
      <c r="G871" s="127"/>
    </row>
    <row r="872" spans="2:7" ht="13">
      <c r="B872" s="182"/>
      <c r="C872" s="127"/>
      <c r="D872" s="127"/>
      <c r="G872" s="127"/>
    </row>
    <row r="873" spans="2:7" ht="13">
      <c r="B873" s="182"/>
      <c r="C873" s="127"/>
      <c r="D873" s="127"/>
      <c r="G873" s="127"/>
    </row>
    <row r="874" spans="2:7" ht="13">
      <c r="B874" s="182"/>
      <c r="C874" s="127"/>
      <c r="D874" s="127"/>
      <c r="G874" s="127"/>
    </row>
    <row r="875" spans="2:7" ht="13">
      <c r="B875" s="182"/>
      <c r="C875" s="127"/>
      <c r="D875" s="127"/>
      <c r="G875" s="127"/>
    </row>
    <row r="876" spans="2:7" ht="13">
      <c r="B876" s="182"/>
      <c r="C876" s="127"/>
      <c r="D876" s="127"/>
      <c r="G876" s="127"/>
    </row>
    <row r="877" spans="2:7" ht="13">
      <c r="B877" s="182"/>
      <c r="C877" s="127"/>
      <c r="D877" s="127"/>
      <c r="G877" s="127"/>
    </row>
    <row r="878" spans="2:7" ht="13">
      <c r="B878" s="182"/>
      <c r="C878" s="127"/>
      <c r="D878" s="127"/>
      <c r="G878" s="127"/>
    </row>
    <row r="879" spans="2:7" ht="13">
      <c r="B879" s="182"/>
      <c r="C879" s="127"/>
      <c r="D879" s="127"/>
      <c r="G879" s="127"/>
    </row>
    <row r="880" spans="2:7" ht="13">
      <c r="B880" s="182"/>
      <c r="C880" s="127"/>
      <c r="D880" s="127"/>
      <c r="G880" s="127"/>
    </row>
    <row r="881" spans="2:7" ht="13">
      <c r="B881" s="182"/>
      <c r="C881" s="127"/>
      <c r="D881" s="127"/>
      <c r="G881" s="127"/>
    </row>
    <row r="882" spans="2:7" ht="13">
      <c r="B882" s="182"/>
      <c r="C882" s="127"/>
      <c r="D882" s="127"/>
      <c r="G882" s="127"/>
    </row>
    <row r="883" spans="2:7" ht="13">
      <c r="B883" s="182"/>
      <c r="C883" s="127"/>
      <c r="D883" s="127"/>
      <c r="G883" s="127"/>
    </row>
    <row r="884" spans="2:7" ht="13">
      <c r="B884" s="182"/>
      <c r="C884" s="127"/>
      <c r="D884" s="127"/>
      <c r="G884" s="127"/>
    </row>
    <row r="885" spans="2:7" ht="13">
      <c r="B885" s="182"/>
      <c r="C885" s="127"/>
      <c r="D885" s="127"/>
      <c r="G885" s="127"/>
    </row>
    <row r="886" spans="2:7" ht="13">
      <c r="B886" s="182"/>
      <c r="C886" s="127"/>
      <c r="D886" s="127"/>
      <c r="G886" s="127"/>
    </row>
    <row r="887" spans="2:7" ht="13">
      <c r="B887" s="182"/>
      <c r="C887" s="127"/>
      <c r="D887" s="127"/>
      <c r="G887" s="127"/>
    </row>
    <row r="888" spans="2:7" ht="13">
      <c r="B888" s="182"/>
      <c r="C888" s="127"/>
      <c r="D888" s="127"/>
      <c r="G888" s="127"/>
    </row>
    <row r="889" spans="2:7" ht="13">
      <c r="B889" s="182"/>
      <c r="C889" s="127"/>
      <c r="D889" s="127"/>
      <c r="G889" s="127"/>
    </row>
    <row r="890" spans="2:7" ht="13">
      <c r="B890" s="182"/>
      <c r="C890" s="127"/>
      <c r="D890" s="127"/>
      <c r="G890" s="127"/>
    </row>
    <row r="891" spans="2:7" ht="13">
      <c r="B891" s="182"/>
      <c r="C891" s="127"/>
      <c r="D891" s="127"/>
      <c r="G891" s="127"/>
    </row>
    <row r="892" spans="2:7" ht="13">
      <c r="B892" s="182"/>
      <c r="C892" s="127"/>
      <c r="D892" s="127"/>
      <c r="G892" s="127"/>
    </row>
    <row r="893" spans="2:7" ht="13">
      <c r="B893" s="182"/>
      <c r="C893" s="127"/>
      <c r="D893" s="127"/>
      <c r="G893" s="127"/>
    </row>
    <row r="894" spans="2:7" ht="13">
      <c r="B894" s="182"/>
      <c r="C894" s="127"/>
      <c r="D894" s="127"/>
      <c r="G894" s="127"/>
    </row>
    <row r="895" spans="2:7" ht="13">
      <c r="B895" s="182"/>
      <c r="C895" s="127"/>
      <c r="D895" s="127"/>
      <c r="G895" s="127"/>
    </row>
    <row r="896" spans="2:7" ht="13">
      <c r="B896" s="182"/>
      <c r="C896" s="127"/>
      <c r="D896" s="127"/>
      <c r="G896" s="127"/>
    </row>
    <row r="897" spans="2:7" ht="13">
      <c r="B897" s="182"/>
      <c r="C897" s="127"/>
      <c r="D897" s="127"/>
      <c r="G897" s="127"/>
    </row>
    <row r="898" spans="2:7" ht="13">
      <c r="B898" s="182"/>
      <c r="C898" s="127"/>
      <c r="D898" s="127"/>
      <c r="G898" s="127"/>
    </row>
    <row r="899" spans="2:7" ht="13">
      <c r="B899" s="182"/>
      <c r="C899" s="127"/>
      <c r="D899" s="127"/>
      <c r="G899" s="127"/>
    </row>
    <row r="900" spans="2:7" ht="13">
      <c r="B900" s="182"/>
      <c r="C900" s="127"/>
      <c r="D900" s="127"/>
      <c r="G900" s="127"/>
    </row>
    <row r="901" spans="2:7" ht="13">
      <c r="B901" s="182"/>
      <c r="C901" s="127"/>
      <c r="D901" s="127"/>
      <c r="G901" s="127"/>
    </row>
    <row r="902" spans="2:7" ht="13">
      <c r="B902" s="182"/>
      <c r="C902" s="127"/>
      <c r="D902" s="127"/>
      <c r="G902" s="127"/>
    </row>
    <row r="903" spans="2:7" ht="13">
      <c r="B903" s="182"/>
      <c r="C903" s="127"/>
      <c r="D903" s="127"/>
      <c r="G903" s="127"/>
    </row>
    <row r="904" spans="2:7" ht="13">
      <c r="B904" s="182"/>
      <c r="C904" s="127"/>
      <c r="D904" s="127"/>
      <c r="G904" s="127"/>
    </row>
    <row r="905" spans="2:7" ht="13">
      <c r="B905" s="182"/>
      <c r="C905" s="127"/>
      <c r="D905" s="127"/>
      <c r="G905" s="127"/>
    </row>
    <row r="906" spans="2:7" ht="13">
      <c r="B906" s="182"/>
      <c r="C906" s="127"/>
      <c r="D906" s="127"/>
      <c r="G906" s="127"/>
    </row>
    <row r="907" spans="2:7" ht="13">
      <c r="B907" s="182"/>
      <c r="C907" s="127"/>
      <c r="D907" s="127"/>
      <c r="G907" s="127"/>
    </row>
    <row r="908" spans="2:7" ht="13">
      <c r="B908" s="182"/>
      <c r="C908" s="127"/>
      <c r="D908" s="127"/>
      <c r="G908" s="127"/>
    </row>
    <row r="909" spans="2:7" ht="13">
      <c r="B909" s="182"/>
      <c r="C909" s="127"/>
      <c r="D909" s="127"/>
      <c r="G909" s="127"/>
    </row>
    <row r="910" spans="2:7" ht="13">
      <c r="B910" s="182"/>
      <c r="C910" s="127"/>
      <c r="D910" s="127"/>
      <c r="G910" s="127"/>
    </row>
    <row r="911" spans="2:7" ht="13">
      <c r="B911" s="182"/>
      <c r="C911" s="127"/>
      <c r="D911" s="127"/>
      <c r="G911" s="127"/>
    </row>
    <row r="912" spans="2:7" ht="13">
      <c r="B912" s="182"/>
      <c r="C912" s="127"/>
      <c r="D912" s="127"/>
      <c r="G912" s="127"/>
    </row>
    <row r="913" spans="2:7" ht="13">
      <c r="B913" s="182"/>
      <c r="C913" s="127"/>
      <c r="D913" s="127"/>
      <c r="G913" s="127"/>
    </row>
    <row r="914" spans="2:7" ht="13">
      <c r="B914" s="182"/>
      <c r="C914" s="127"/>
      <c r="D914" s="127"/>
      <c r="G914" s="127"/>
    </row>
    <row r="915" spans="2:7" ht="13">
      <c r="B915" s="182"/>
      <c r="C915" s="127"/>
      <c r="D915" s="127"/>
      <c r="G915" s="127"/>
    </row>
    <row r="916" spans="2:7" ht="13">
      <c r="B916" s="182"/>
      <c r="C916" s="127"/>
      <c r="D916" s="127"/>
      <c r="G916" s="127"/>
    </row>
    <row r="917" spans="2:7" ht="13">
      <c r="B917" s="182"/>
      <c r="C917" s="127"/>
      <c r="D917" s="127"/>
      <c r="G917" s="127"/>
    </row>
    <row r="918" spans="2:7" ht="13">
      <c r="B918" s="182"/>
      <c r="C918" s="127"/>
      <c r="D918" s="127"/>
      <c r="G918" s="127"/>
    </row>
    <row r="919" spans="2:7" ht="13">
      <c r="B919" s="182"/>
      <c r="C919" s="127"/>
      <c r="D919" s="127"/>
      <c r="G919" s="127"/>
    </row>
    <row r="920" spans="2:7" ht="13">
      <c r="B920" s="182"/>
      <c r="C920" s="127"/>
      <c r="D920" s="127"/>
      <c r="G920" s="127"/>
    </row>
    <row r="921" spans="2:7" ht="13">
      <c r="B921" s="182"/>
      <c r="C921" s="127"/>
      <c r="D921" s="127"/>
      <c r="G921" s="127"/>
    </row>
    <row r="922" spans="2:7" ht="13">
      <c r="B922" s="182"/>
      <c r="C922" s="127"/>
      <c r="D922" s="127"/>
      <c r="G922" s="127"/>
    </row>
    <row r="923" spans="2:7" ht="13">
      <c r="B923" s="182"/>
      <c r="C923" s="127"/>
      <c r="D923" s="127"/>
      <c r="G923" s="127"/>
    </row>
    <row r="924" spans="2:7" ht="13">
      <c r="B924" s="182"/>
      <c r="C924" s="127"/>
      <c r="D924" s="127"/>
      <c r="G924" s="127"/>
    </row>
    <row r="925" spans="2:7" ht="13">
      <c r="B925" s="182"/>
      <c r="C925" s="127"/>
      <c r="D925" s="127"/>
      <c r="G925" s="127"/>
    </row>
    <row r="926" spans="2:7" ht="13">
      <c r="B926" s="182"/>
      <c r="C926" s="127"/>
      <c r="D926" s="127"/>
      <c r="G926" s="127"/>
    </row>
    <row r="927" spans="2:7" ht="13">
      <c r="B927" s="182"/>
      <c r="C927" s="127"/>
      <c r="D927" s="127"/>
      <c r="G927" s="127"/>
    </row>
    <row r="928" spans="2:7" ht="13">
      <c r="B928" s="182"/>
      <c r="C928" s="127"/>
      <c r="D928" s="127"/>
      <c r="G928" s="127"/>
    </row>
    <row r="929" spans="2:7" ht="13">
      <c r="B929" s="182"/>
      <c r="C929" s="127"/>
      <c r="D929" s="127"/>
      <c r="G929" s="127"/>
    </row>
    <row r="930" spans="2:7" ht="13">
      <c r="B930" s="182"/>
      <c r="C930" s="127"/>
      <c r="D930" s="127"/>
      <c r="G930" s="127"/>
    </row>
    <row r="931" spans="2:7" ht="13">
      <c r="B931" s="182"/>
      <c r="C931" s="127"/>
      <c r="D931" s="127"/>
      <c r="G931" s="127"/>
    </row>
    <row r="932" spans="2:7" ht="13">
      <c r="B932" s="182"/>
      <c r="C932" s="127"/>
      <c r="D932" s="127"/>
      <c r="G932" s="127"/>
    </row>
    <row r="933" spans="2:7" ht="13">
      <c r="B933" s="182"/>
      <c r="C933" s="127"/>
      <c r="D933" s="127"/>
      <c r="G933" s="127"/>
    </row>
    <row r="934" spans="2:7" ht="13">
      <c r="B934" s="182"/>
      <c r="C934" s="127"/>
      <c r="D934" s="127"/>
      <c r="G934" s="127"/>
    </row>
    <row r="935" spans="2:7" ht="13">
      <c r="B935" s="182"/>
      <c r="C935" s="127"/>
      <c r="D935" s="127"/>
      <c r="G935" s="127"/>
    </row>
    <row r="936" spans="2:7" ht="13">
      <c r="B936" s="182"/>
      <c r="C936" s="127"/>
      <c r="D936" s="127"/>
      <c r="G936" s="127"/>
    </row>
    <row r="937" spans="2:7" ht="13">
      <c r="B937" s="182"/>
      <c r="C937" s="127"/>
      <c r="D937" s="127"/>
      <c r="G937" s="127"/>
    </row>
    <row r="938" spans="2:7" ht="13">
      <c r="B938" s="182"/>
      <c r="C938" s="127"/>
      <c r="D938" s="127"/>
      <c r="G938" s="127"/>
    </row>
    <row r="939" spans="2:7" ht="13">
      <c r="B939" s="182"/>
      <c r="C939" s="127"/>
      <c r="D939" s="127"/>
      <c r="G939" s="127"/>
    </row>
    <row r="940" spans="2:7" ht="13">
      <c r="B940" s="182"/>
      <c r="C940" s="127"/>
      <c r="D940" s="127"/>
      <c r="G940" s="127"/>
    </row>
    <row r="941" spans="2:7" ht="13">
      <c r="B941" s="182"/>
      <c r="C941" s="127"/>
      <c r="D941" s="127"/>
      <c r="G941" s="127"/>
    </row>
    <row r="942" spans="2:7" ht="13">
      <c r="B942" s="182"/>
      <c r="C942" s="127"/>
      <c r="D942" s="127"/>
      <c r="G942" s="127"/>
    </row>
    <row r="943" spans="2:7" ht="13">
      <c r="B943" s="182"/>
      <c r="C943" s="127"/>
      <c r="D943" s="127"/>
      <c r="G943" s="127"/>
    </row>
    <row r="944" spans="2:7" ht="13">
      <c r="B944" s="182"/>
      <c r="C944" s="127"/>
      <c r="D944" s="127"/>
      <c r="G944" s="127"/>
    </row>
    <row r="945" spans="2:7" ht="13">
      <c r="B945" s="182"/>
      <c r="C945" s="127"/>
      <c r="D945" s="127"/>
      <c r="G945" s="127"/>
    </row>
    <row r="946" spans="2:7" ht="13">
      <c r="B946" s="182"/>
      <c r="C946" s="127"/>
      <c r="D946" s="127"/>
      <c r="G946" s="127"/>
    </row>
    <row r="947" spans="2:7" ht="13">
      <c r="B947" s="182"/>
      <c r="C947" s="127"/>
      <c r="D947" s="127"/>
      <c r="G947" s="127"/>
    </row>
    <row r="948" spans="2:7" ht="13">
      <c r="B948" s="182"/>
      <c r="C948" s="127"/>
      <c r="D948" s="127"/>
      <c r="G948" s="127"/>
    </row>
    <row r="949" spans="2:7" ht="13">
      <c r="B949" s="182"/>
      <c r="C949" s="127"/>
      <c r="D949" s="127"/>
      <c r="G949" s="127"/>
    </row>
    <row r="950" spans="2:7" ht="13">
      <c r="B950" s="182"/>
      <c r="C950" s="127"/>
      <c r="D950" s="127"/>
      <c r="G950" s="127"/>
    </row>
    <row r="951" spans="2:7" ht="13">
      <c r="B951" s="182"/>
      <c r="C951" s="127"/>
      <c r="D951" s="127"/>
      <c r="G951" s="127"/>
    </row>
    <row r="952" spans="2:7" ht="13">
      <c r="B952" s="182"/>
      <c r="C952" s="127"/>
      <c r="D952" s="127"/>
      <c r="G952" s="127"/>
    </row>
    <row r="953" spans="2:7" ht="13">
      <c r="B953" s="182"/>
      <c r="C953" s="127"/>
      <c r="D953" s="127"/>
      <c r="G953" s="127"/>
    </row>
    <row r="954" spans="2:7" ht="13">
      <c r="B954" s="182"/>
      <c r="C954" s="127"/>
      <c r="D954" s="127"/>
      <c r="G954" s="127"/>
    </row>
    <row r="955" spans="2:7" ht="13">
      <c r="B955" s="182"/>
      <c r="C955" s="127"/>
      <c r="D955" s="127"/>
      <c r="G955" s="127"/>
    </row>
    <row r="956" spans="2:7" ht="13">
      <c r="B956" s="182"/>
      <c r="C956" s="127"/>
      <c r="D956" s="127"/>
      <c r="G956" s="127"/>
    </row>
    <row r="957" spans="2:7" ht="13">
      <c r="B957" s="182"/>
      <c r="C957" s="127"/>
      <c r="D957" s="127"/>
      <c r="G957" s="127"/>
    </row>
    <row r="958" spans="2:7" ht="13">
      <c r="B958" s="182"/>
      <c r="C958" s="127"/>
      <c r="D958" s="127"/>
      <c r="G958" s="127"/>
    </row>
    <row r="959" spans="2:7" ht="13">
      <c r="B959" s="182"/>
      <c r="C959" s="127"/>
      <c r="D959" s="127"/>
      <c r="G959" s="127"/>
    </row>
    <row r="960" spans="2:7" ht="13">
      <c r="B960" s="182"/>
      <c r="C960" s="127"/>
      <c r="D960" s="127"/>
      <c r="G960" s="127"/>
    </row>
    <row r="961" spans="2:7" ht="13">
      <c r="B961" s="182"/>
      <c r="C961" s="127"/>
      <c r="D961" s="127"/>
      <c r="G961" s="127"/>
    </row>
    <row r="962" spans="2:7" ht="13">
      <c r="B962" s="182"/>
      <c r="C962" s="127"/>
      <c r="D962" s="127"/>
      <c r="G962" s="127"/>
    </row>
    <row r="963" spans="2:7" ht="13">
      <c r="B963" s="182"/>
      <c r="C963" s="127"/>
      <c r="D963" s="127"/>
      <c r="G963" s="127"/>
    </row>
    <row r="964" spans="2:7" ht="13">
      <c r="B964" s="182"/>
      <c r="C964" s="127"/>
      <c r="D964" s="127"/>
      <c r="G964" s="127"/>
    </row>
    <row r="965" spans="2:7" ht="13">
      <c r="B965" s="182"/>
      <c r="C965" s="127"/>
      <c r="D965" s="127"/>
      <c r="G965" s="127"/>
    </row>
    <row r="966" spans="2:7" ht="13">
      <c r="B966" s="182"/>
      <c r="C966" s="127"/>
      <c r="D966" s="127"/>
      <c r="G966" s="127"/>
    </row>
    <row r="967" spans="2:7" ht="13">
      <c r="B967" s="182"/>
      <c r="C967" s="127"/>
      <c r="D967" s="127"/>
      <c r="G967" s="127"/>
    </row>
    <row r="968" spans="2:7" ht="13">
      <c r="B968" s="182"/>
      <c r="C968" s="127"/>
      <c r="D968" s="127"/>
      <c r="G968" s="127"/>
    </row>
    <row r="969" spans="2:7" ht="13">
      <c r="B969" s="182"/>
      <c r="C969" s="127"/>
      <c r="D969" s="127"/>
      <c r="G969" s="127"/>
    </row>
    <row r="970" spans="2:7" ht="13">
      <c r="B970" s="182"/>
      <c r="C970" s="127"/>
      <c r="D970" s="127"/>
      <c r="G970" s="127"/>
    </row>
    <row r="971" spans="2:7" ht="13">
      <c r="B971" s="182"/>
      <c r="C971" s="127"/>
      <c r="D971" s="127"/>
      <c r="G971" s="127"/>
    </row>
    <row r="972" spans="2:7" ht="13">
      <c r="B972" s="182"/>
      <c r="C972" s="127"/>
      <c r="D972" s="127"/>
      <c r="G972" s="127"/>
    </row>
    <row r="973" spans="2:7" ht="13">
      <c r="B973" s="182"/>
      <c r="C973" s="127"/>
      <c r="D973" s="127"/>
      <c r="G973" s="127"/>
    </row>
    <row r="974" spans="2:7" ht="13">
      <c r="B974" s="182"/>
      <c r="C974" s="127"/>
      <c r="D974" s="127"/>
      <c r="G974" s="127"/>
    </row>
    <row r="975" spans="2:7" ht="13">
      <c r="B975" s="182"/>
      <c r="C975" s="127"/>
      <c r="D975" s="127"/>
      <c r="G975" s="127"/>
    </row>
    <row r="976" spans="2:7" ht="13">
      <c r="B976" s="182"/>
      <c r="C976" s="127"/>
      <c r="D976" s="127"/>
      <c r="G976" s="127"/>
    </row>
    <row r="977" spans="2:7" ht="13">
      <c r="B977" s="182"/>
      <c r="C977" s="127"/>
      <c r="D977" s="127"/>
      <c r="G977" s="127"/>
    </row>
    <row r="978" spans="2:7" ht="13">
      <c r="B978" s="182"/>
      <c r="C978" s="127"/>
      <c r="D978" s="127"/>
      <c r="G978" s="127"/>
    </row>
    <row r="979" spans="2:7" ht="13">
      <c r="B979" s="182"/>
      <c r="C979" s="127"/>
      <c r="D979" s="127"/>
      <c r="G979" s="127"/>
    </row>
    <row r="980" spans="2:7" ht="13">
      <c r="B980" s="182"/>
      <c r="C980" s="127"/>
      <c r="D980" s="127"/>
      <c r="G980" s="127"/>
    </row>
    <row r="981" spans="2:7" ht="13">
      <c r="B981" s="182"/>
      <c r="C981" s="127"/>
      <c r="D981" s="127"/>
      <c r="G981" s="127"/>
    </row>
    <row r="982" spans="2:7" ht="13">
      <c r="B982" s="182"/>
      <c r="C982" s="127"/>
      <c r="D982" s="127"/>
      <c r="G982" s="127"/>
    </row>
    <row r="983" spans="2:7" ht="13">
      <c r="B983" s="182"/>
      <c r="C983" s="127"/>
      <c r="D983" s="127"/>
      <c r="G983" s="127"/>
    </row>
    <row r="984" spans="2:7" ht="13">
      <c r="B984" s="182"/>
      <c r="C984" s="127"/>
      <c r="D984" s="127"/>
      <c r="G984" s="127"/>
    </row>
    <row r="985" spans="2:7" ht="13">
      <c r="B985" s="182"/>
      <c r="C985" s="127"/>
      <c r="D985" s="127"/>
      <c r="G985" s="127"/>
    </row>
    <row r="986" spans="2:7" ht="13">
      <c r="B986" s="182"/>
      <c r="C986" s="127"/>
      <c r="D986" s="127"/>
      <c r="G986" s="127"/>
    </row>
    <row r="987" spans="2:7" ht="13">
      <c r="B987" s="182"/>
      <c r="C987" s="127"/>
      <c r="D987" s="127"/>
      <c r="G987" s="127"/>
    </row>
    <row r="988" spans="2:7" ht="13">
      <c r="B988" s="182"/>
      <c r="C988" s="127"/>
      <c r="D988" s="127"/>
      <c r="G988" s="127"/>
    </row>
    <row r="989" spans="2:7" ht="13">
      <c r="B989" s="182"/>
      <c r="C989" s="127"/>
      <c r="D989" s="127"/>
      <c r="G989" s="127"/>
    </row>
    <row r="990" spans="2:7" ht="13">
      <c r="B990" s="182"/>
      <c r="C990" s="127"/>
      <c r="D990" s="127"/>
      <c r="G990" s="127"/>
    </row>
    <row r="991" spans="2:7" ht="13">
      <c r="B991" s="182"/>
      <c r="C991" s="127"/>
      <c r="D991" s="127"/>
      <c r="G991" s="127"/>
    </row>
    <row r="992" spans="2:7" ht="13">
      <c r="B992" s="182"/>
      <c r="C992" s="127"/>
      <c r="D992" s="127"/>
      <c r="G992" s="127"/>
    </row>
    <row r="993" spans="2:7" ht="13">
      <c r="B993" s="182"/>
      <c r="C993" s="127"/>
      <c r="D993" s="127"/>
      <c r="G993" s="127"/>
    </row>
    <row r="994" spans="2:7" ht="13">
      <c r="B994" s="182"/>
      <c r="C994" s="127"/>
      <c r="D994" s="127"/>
      <c r="G994" s="127"/>
    </row>
    <row r="995" spans="2:7" ht="13">
      <c r="B995" s="182"/>
      <c r="C995" s="127"/>
      <c r="D995" s="127"/>
      <c r="G995" s="127"/>
    </row>
    <row r="996" spans="2:7" ht="13">
      <c r="B996" s="182"/>
      <c r="C996" s="127"/>
      <c r="D996" s="127"/>
      <c r="G996" s="127"/>
    </row>
    <row r="997" spans="2:7" ht="13">
      <c r="B997" s="182"/>
      <c r="C997" s="127"/>
      <c r="D997" s="127"/>
      <c r="G997" s="127"/>
    </row>
  </sheetData>
  <mergeCells count="1">
    <mergeCell ref="E36:G36"/>
  </mergeCells>
  <hyperlinks>
    <hyperlink ref="A2" r:id="rId1" xr:uid="{00000000-0004-0000-0800-000000000000}"/>
    <hyperlink ref="C2" r:id="rId2" xr:uid="{00000000-0004-0000-0800-000001000000}"/>
    <hyperlink ref="D2" r:id="rId3" xr:uid="{00000000-0004-0000-0800-000002000000}"/>
    <hyperlink ref="A3" r:id="rId4" xr:uid="{00000000-0004-0000-0800-000003000000}"/>
    <hyperlink ref="C3" r:id="rId5" xr:uid="{00000000-0004-0000-0800-000004000000}"/>
    <hyperlink ref="D3" r:id="rId6" xr:uid="{00000000-0004-0000-0800-000005000000}"/>
    <hyperlink ref="A4" r:id="rId7" xr:uid="{00000000-0004-0000-0800-000006000000}"/>
    <hyperlink ref="C4" r:id="rId8" xr:uid="{00000000-0004-0000-0800-000007000000}"/>
    <hyperlink ref="D4" r:id="rId9" xr:uid="{00000000-0004-0000-0800-000008000000}"/>
    <hyperlink ref="A5" r:id="rId10" xr:uid="{00000000-0004-0000-0800-000009000000}"/>
    <hyperlink ref="C5" r:id="rId11" xr:uid="{00000000-0004-0000-0800-00000A000000}"/>
    <hyperlink ref="D5" r:id="rId12" xr:uid="{00000000-0004-0000-0800-00000B000000}"/>
    <hyperlink ref="A6" r:id="rId13" xr:uid="{00000000-0004-0000-0800-00000C000000}"/>
    <hyperlink ref="C6" r:id="rId14" xr:uid="{00000000-0004-0000-0800-00000D000000}"/>
    <hyperlink ref="D6" r:id="rId15" xr:uid="{00000000-0004-0000-0800-00000E000000}"/>
    <hyperlink ref="A7" r:id="rId16" xr:uid="{00000000-0004-0000-0800-00000F000000}"/>
    <hyperlink ref="C7" r:id="rId17" xr:uid="{00000000-0004-0000-0800-000010000000}"/>
    <hyperlink ref="D7" r:id="rId18" xr:uid="{00000000-0004-0000-0800-000011000000}"/>
    <hyperlink ref="A8" r:id="rId19" xr:uid="{00000000-0004-0000-0800-000012000000}"/>
    <hyperlink ref="C8" r:id="rId20" xr:uid="{00000000-0004-0000-0800-000013000000}"/>
    <hyperlink ref="D8" r:id="rId21" xr:uid="{00000000-0004-0000-0800-000014000000}"/>
    <hyperlink ref="A9" r:id="rId22" xr:uid="{00000000-0004-0000-0800-000015000000}"/>
    <hyperlink ref="C9" r:id="rId23" xr:uid="{00000000-0004-0000-0800-000016000000}"/>
    <hyperlink ref="D9" r:id="rId24" xr:uid="{00000000-0004-0000-0800-000017000000}"/>
    <hyperlink ref="A10" r:id="rId25" xr:uid="{00000000-0004-0000-0800-000018000000}"/>
    <hyperlink ref="C10" r:id="rId26" xr:uid="{00000000-0004-0000-0800-000019000000}"/>
    <hyperlink ref="D10" r:id="rId27" xr:uid="{00000000-0004-0000-0800-00001A000000}"/>
    <hyperlink ref="A11" r:id="rId28" xr:uid="{00000000-0004-0000-0800-00001B000000}"/>
    <hyperlink ref="C11" r:id="rId29" xr:uid="{00000000-0004-0000-0800-00001C000000}"/>
    <hyperlink ref="D11" r:id="rId30" xr:uid="{00000000-0004-0000-0800-00001D000000}"/>
    <hyperlink ref="A12" r:id="rId31" xr:uid="{00000000-0004-0000-0800-00001E000000}"/>
    <hyperlink ref="C12" r:id="rId32" xr:uid="{00000000-0004-0000-0800-00001F000000}"/>
    <hyperlink ref="D12" r:id="rId33" xr:uid="{00000000-0004-0000-0800-000020000000}"/>
    <hyperlink ref="C13" r:id="rId34" xr:uid="{00000000-0004-0000-0800-000021000000}"/>
    <hyperlink ref="D13" r:id="rId35" xr:uid="{00000000-0004-0000-0800-000022000000}"/>
    <hyperlink ref="A14" r:id="rId36" xr:uid="{00000000-0004-0000-0800-000023000000}"/>
    <hyperlink ref="C14" r:id="rId37" xr:uid="{00000000-0004-0000-0800-000024000000}"/>
    <hyperlink ref="D14" r:id="rId38" xr:uid="{00000000-0004-0000-0800-000025000000}"/>
    <hyperlink ref="A15" r:id="rId39" xr:uid="{00000000-0004-0000-0800-000026000000}"/>
    <hyperlink ref="C15" r:id="rId40" xr:uid="{00000000-0004-0000-0800-000027000000}"/>
    <hyperlink ref="D15" r:id="rId41" xr:uid="{00000000-0004-0000-0800-000028000000}"/>
    <hyperlink ref="C16" r:id="rId42" xr:uid="{00000000-0004-0000-0800-000029000000}"/>
    <hyperlink ref="D16" r:id="rId43" xr:uid="{00000000-0004-0000-0800-00002A000000}"/>
    <hyperlink ref="A17" r:id="rId44" xr:uid="{00000000-0004-0000-0800-00002B000000}"/>
    <hyperlink ref="C17" r:id="rId45" xr:uid="{00000000-0004-0000-0800-00002C000000}"/>
    <hyperlink ref="D17" r:id="rId46" xr:uid="{00000000-0004-0000-0800-00002D000000}"/>
    <hyperlink ref="C18" r:id="rId47" xr:uid="{00000000-0004-0000-0800-00002E000000}"/>
    <hyperlink ref="D18" r:id="rId48" xr:uid="{00000000-0004-0000-0800-00002F000000}"/>
    <hyperlink ref="A19" r:id="rId49" xr:uid="{00000000-0004-0000-0800-000030000000}"/>
    <hyperlink ref="C19" r:id="rId50" xr:uid="{00000000-0004-0000-0800-000031000000}"/>
    <hyperlink ref="D19" r:id="rId51" xr:uid="{00000000-0004-0000-0800-000032000000}"/>
    <hyperlink ref="N19" r:id="rId52" xr:uid="{00000000-0004-0000-0800-000033000000}"/>
    <hyperlink ref="A20" r:id="rId53" xr:uid="{00000000-0004-0000-0800-000034000000}"/>
    <hyperlink ref="C20" r:id="rId54" xr:uid="{00000000-0004-0000-0800-000035000000}"/>
    <hyperlink ref="D20" r:id="rId55" xr:uid="{00000000-0004-0000-0800-000036000000}"/>
    <hyperlink ref="A21" r:id="rId56" xr:uid="{00000000-0004-0000-0800-000037000000}"/>
    <hyperlink ref="C21" r:id="rId57" xr:uid="{00000000-0004-0000-0800-000038000000}"/>
    <hyperlink ref="D21" r:id="rId58" xr:uid="{00000000-0004-0000-0800-000039000000}"/>
    <hyperlink ref="C22" r:id="rId59" xr:uid="{00000000-0004-0000-0800-00003A000000}"/>
    <hyperlink ref="D22" r:id="rId60" xr:uid="{00000000-0004-0000-0800-00003B000000}"/>
    <hyperlink ref="C23" r:id="rId61" xr:uid="{00000000-0004-0000-0800-00003C000000}"/>
    <hyperlink ref="D23" r:id="rId62" xr:uid="{00000000-0004-0000-0800-00003D000000}"/>
    <hyperlink ref="N23" r:id="rId63" xr:uid="{00000000-0004-0000-0800-00003E000000}"/>
    <hyperlink ref="C24" r:id="rId64" xr:uid="{00000000-0004-0000-0800-00003F000000}"/>
    <hyperlink ref="D24" r:id="rId65" xr:uid="{00000000-0004-0000-0800-000040000000}"/>
    <hyperlink ref="N24" r:id="rId66" xr:uid="{00000000-0004-0000-0800-000041000000}"/>
    <hyperlink ref="A25" r:id="rId67" xr:uid="{00000000-0004-0000-0800-000042000000}"/>
    <hyperlink ref="C25" r:id="rId68" xr:uid="{00000000-0004-0000-0800-000043000000}"/>
    <hyperlink ref="D25" r:id="rId69" xr:uid="{00000000-0004-0000-0800-000044000000}"/>
    <hyperlink ref="N25" r:id="rId70" xr:uid="{00000000-0004-0000-0800-000045000000}"/>
  </hyperlinks>
  <pageMargins left="0.7" right="0.7" top="0.75" bottom="0.75" header="0.3" footer="0.3"/>
  <legacyDrawing r:id="rId71"/>
  <tableParts count="1">
    <tablePart r:id="rId7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H101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2" width="5.6640625" customWidth="1"/>
    <col min="5" max="5" width="18.6640625" customWidth="1"/>
    <col min="6" max="6" width="7.6640625" customWidth="1"/>
    <col min="7" max="7" width="14.33203125" customWidth="1"/>
    <col min="8" max="8" width="7.5" customWidth="1"/>
    <col min="9" max="10" width="8.5" customWidth="1"/>
    <col min="11" max="11" width="8" customWidth="1"/>
    <col min="12" max="13" width="9" customWidth="1"/>
    <col min="14" max="14" width="13.5" customWidth="1"/>
    <col min="15" max="15" width="14" customWidth="1"/>
    <col min="18" max="20" width="10.1640625" customWidth="1"/>
    <col min="21" max="21" width="17.6640625" customWidth="1"/>
    <col min="22" max="22" width="2.83203125" customWidth="1"/>
    <col min="23" max="23" width="6.5" customWidth="1"/>
    <col min="24" max="24" width="5.5" customWidth="1"/>
    <col min="25" max="28" width="6.5" customWidth="1"/>
    <col min="29" max="30" width="8.5" customWidth="1"/>
    <col min="31" max="31" width="7.5" customWidth="1"/>
    <col min="32" max="33" width="15.1640625" customWidth="1"/>
  </cols>
  <sheetData>
    <row r="1" spans="1:60" ht="13">
      <c r="A1" s="11"/>
      <c r="B1" s="11" t="s">
        <v>6</v>
      </c>
      <c r="C1" s="81" t="s">
        <v>7</v>
      </c>
      <c r="D1" s="81" t="s">
        <v>14</v>
      </c>
      <c r="E1" s="11" t="s">
        <v>15</v>
      </c>
      <c r="F1" s="11" t="s">
        <v>16</v>
      </c>
      <c r="G1" s="81" t="s">
        <v>17</v>
      </c>
      <c r="H1" s="171" t="s">
        <v>18</v>
      </c>
      <c r="I1" s="11" t="s">
        <v>19</v>
      </c>
      <c r="J1" s="11" t="s">
        <v>20</v>
      </c>
      <c r="K1" s="11" t="s">
        <v>21</v>
      </c>
      <c r="L1" s="11" t="s">
        <v>22</v>
      </c>
      <c r="M1" s="82" t="s">
        <v>142</v>
      </c>
      <c r="N1" s="11" t="s">
        <v>23</v>
      </c>
      <c r="O1" s="11" t="s">
        <v>24</v>
      </c>
      <c r="P1" s="11" t="s">
        <v>25</v>
      </c>
      <c r="Q1" s="11" t="s">
        <v>26</v>
      </c>
      <c r="R1" s="11" t="s">
        <v>27</v>
      </c>
      <c r="S1" s="11" t="s">
        <v>28</v>
      </c>
      <c r="T1" s="11" t="s">
        <v>29</v>
      </c>
      <c r="U1" s="11" t="s">
        <v>440</v>
      </c>
      <c r="V1" s="11" t="s">
        <v>441</v>
      </c>
      <c r="W1" s="11" t="s">
        <v>31</v>
      </c>
      <c r="X1" s="11" t="s">
        <v>32</v>
      </c>
      <c r="Y1" s="11" t="s">
        <v>33</v>
      </c>
      <c r="Z1" s="11" t="s">
        <v>34</v>
      </c>
      <c r="AA1" s="11" t="s">
        <v>35</v>
      </c>
      <c r="AB1" s="11" t="s">
        <v>36</v>
      </c>
      <c r="AC1" s="11" t="s">
        <v>37</v>
      </c>
      <c r="AD1" s="11" t="s">
        <v>38</v>
      </c>
      <c r="AE1" s="183" t="s">
        <v>864</v>
      </c>
      <c r="AF1" s="11" t="s">
        <v>40</v>
      </c>
      <c r="AG1" s="11" t="s">
        <v>41</v>
      </c>
      <c r="AH1" s="11" t="s">
        <v>42</v>
      </c>
      <c r="AI1" s="11" t="s">
        <v>43</v>
      </c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ht="13">
      <c r="A2" s="94" t="s">
        <v>237</v>
      </c>
      <c r="B2" t="s">
        <v>8</v>
      </c>
      <c r="C2" s="96" t="s">
        <v>239</v>
      </c>
      <c r="D2" s="96" t="s">
        <v>240</v>
      </c>
      <c r="E2" t="str">
        <f t="shared" ref="E2:E27" si="0">TRIM(LEFT(D2,LEN(D2)-4))</f>
        <v>Phillip J Fry</v>
      </c>
      <c r="F2" s="8" t="str">
        <f t="shared" ref="F2:F5" si="1">TRIM(RIGHT(D2,2))</f>
        <v>RF</v>
      </c>
      <c r="G2" s="97" t="s">
        <v>159</v>
      </c>
      <c r="H2" s="141">
        <v>1414</v>
      </c>
      <c r="I2" s="98">
        <v>9.25</v>
      </c>
      <c r="J2" s="98">
        <v>9.5</v>
      </c>
      <c r="K2" s="98">
        <v>10</v>
      </c>
      <c r="L2" s="99"/>
      <c r="M2" s="99"/>
      <c r="N2" s="8"/>
      <c r="O2" s="8" t="s">
        <v>32</v>
      </c>
      <c r="P2" s="8">
        <v>9</v>
      </c>
      <c r="Q2" s="8" t="s">
        <v>32</v>
      </c>
      <c r="R2" s="8"/>
      <c r="S2" s="8"/>
      <c r="T2" s="8"/>
      <c r="U2" s="8"/>
      <c r="V2" s="8"/>
      <c r="X2" s="8">
        <v>5</v>
      </c>
      <c r="Y2" s="8">
        <v>5</v>
      </c>
      <c r="Z2" s="8">
        <v>5</v>
      </c>
      <c r="AA2" s="8">
        <v>5.5</v>
      </c>
      <c r="AB2" s="8">
        <v>5.25</v>
      </c>
      <c r="AC2" s="99">
        <v>7.25</v>
      </c>
      <c r="AD2" s="99">
        <v>9.5</v>
      </c>
      <c r="AE2" s="142">
        <v>1055</v>
      </c>
      <c r="AF2" s="8">
        <v>100</v>
      </c>
      <c r="AG2" s="8">
        <v>100</v>
      </c>
    </row>
    <row r="3" spans="1:60" ht="13">
      <c r="A3" s="94" t="s">
        <v>267</v>
      </c>
      <c r="B3" t="s">
        <v>8</v>
      </c>
      <c r="C3" s="96" t="s">
        <v>269</v>
      </c>
      <c r="D3" s="96" t="s">
        <v>271</v>
      </c>
      <c r="E3" s="8" t="str">
        <f t="shared" si="0"/>
        <v>Weldon Borthwell</v>
      </c>
      <c r="F3" s="8" t="str">
        <f t="shared" si="1"/>
        <v>3B</v>
      </c>
      <c r="G3" s="97" t="s">
        <v>97</v>
      </c>
      <c r="H3" s="141">
        <v>1396</v>
      </c>
      <c r="I3" s="98">
        <v>9.25</v>
      </c>
      <c r="J3" s="98">
        <v>10</v>
      </c>
      <c r="K3" s="98">
        <v>10</v>
      </c>
      <c r="L3" s="99"/>
      <c r="M3" s="99"/>
      <c r="N3" s="8"/>
      <c r="O3" s="8" t="s">
        <v>33</v>
      </c>
      <c r="P3" s="8">
        <v>1</v>
      </c>
      <c r="Q3" s="8" t="s">
        <v>32</v>
      </c>
      <c r="W3" s="8"/>
      <c r="X3" s="8">
        <v>1</v>
      </c>
      <c r="Y3" s="8">
        <v>5</v>
      </c>
      <c r="Z3" s="8">
        <v>5</v>
      </c>
      <c r="AA3" s="8">
        <v>5</v>
      </c>
      <c r="AB3" s="8">
        <v>7</v>
      </c>
      <c r="AC3" s="99">
        <v>7</v>
      </c>
      <c r="AD3" s="99">
        <v>7</v>
      </c>
      <c r="AE3" s="142">
        <v>1037</v>
      </c>
      <c r="AF3" s="8"/>
      <c r="AG3" s="8"/>
      <c r="AH3" s="8"/>
      <c r="AI3" s="8"/>
    </row>
    <row r="4" spans="1:60" ht="13">
      <c r="A4" s="94" t="s">
        <v>337</v>
      </c>
      <c r="B4" t="s">
        <v>8</v>
      </c>
      <c r="C4" s="96" t="s">
        <v>339</v>
      </c>
      <c r="D4" s="96" t="s">
        <v>341</v>
      </c>
      <c r="E4" t="str">
        <f t="shared" si="0"/>
        <v>Ryan Stryker</v>
      </c>
      <c r="F4" s="8" t="str">
        <f t="shared" si="1"/>
        <v>SP</v>
      </c>
      <c r="G4" s="97" t="s">
        <v>55</v>
      </c>
      <c r="H4" s="141">
        <v>1081</v>
      </c>
      <c r="I4" s="98">
        <v>8</v>
      </c>
      <c r="J4" s="98">
        <v>9.25</v>
      </c>
      <c r="K4" s="98">
        <v>9.25</v>
      </c>
      <c r="L4" s="98">
        <v>9.75</v>
      </c>
      <c r="M4" s="98">
        <v>9.75</v>
      </c>
      <c r="N4" s="8"/>
      <c r="O4" s="8" t="s">
        <v>33</v>
      </c>
      <c r="P4" s="8">
        <v>7</v>
      </c>
      <c r="Q4" s="8" t="s">
        <v>33</v>
      </c>
      <c r="W4" s="8"/>
      <c r="X4" s="8"/>
      <c r="Y4" s="8">
        <v>5</v>
      </c>
      <c r="Z4" s="8">
        <v>4</v>
      </c>
      <c r="AA4" s="8">
        <v>4</v>
      </c>
      <c r="AB4" s="8">
        <v>8</v>
      </c>
      <c r="AC4" s="99">
        <v>6.5</v>
      </c>
      <c r="AD4" s="99">
        <v>5</v>
      </c>
      <c r="AE4" s="142">
        <v>782</v>
      </c>
      <c r="AF4" s="8"/>
      <c r="AG4" s="8"/>
      <c r="AH4" s="8"/>
      <c r="AI4" s="8"/>
    </row>
    <row r="5" spans="1:60" ht="13">
      <c r="A5" s="94" t="s">
        <v>369</v>
      </c>
      <c r="B5" s="8" t="s">
        <v>8</v>
      </c>
      <c r="C5" s="140" t="s">
        <v>370</v>
      </c>
      <c r="D5" s="140" t="s">
        <v>371</v>
      </c>
      <c r="E5" t="str">
        <f t="shared" si="0"/>
        <v>Louis Storm</v>
      </c>
      <c r="F5" t="str">
        <f t="shared" si="1"/>
        <v>2B</v>
      </c>
      <c r="G5" s="127" t="s">
        <v>151</v>
      </c>
      <c r="H5" s="141">
        <v>912</v>
      </c>
      <c r="I5" s="99">
        <v>5</v>
      </c>
      <c r="J5" s="87">
        <v>4</v>
      </c>
      <c r="K5" s="99"/>
      <c r="L5" s="99"/>
      <c r="M5" s="99"/>
      <c r="N5" s="8" t="s">
        <v>373</v>
      </c>
      <c r="O5" t="s">
        <v>34</v>
      </c>
      <c r="P5">
        <v>16</v>
      </c>
      <c r="Q5" t="s">
        <v>34</v>
      </c>
      <c r="R5" t="s">
        <v>374</v>
      </c>
      <c r="S5">
        <v>6</v>
      </c>
      <c r="T5">
        <v>12</v>
      </c>
      <c r="U5" t="s">
        <v>375</v>
      </c>
      <c r="X5" s="8"/>
      <c r="Y5" s="8"/>
      <c r="Z5">
        <v>2.5</v>
      </c>
      <c r="AA5" s="8">
        <v>2.5</v>
      </c>
      <c r="AB5" s="8">
        <v>2.5</v>
      </c>
      <c r="AC5" s="99">
        <v>10</v>
      </c>
      <c r="AD5" s="99">
        <v>6</v>
      </c>
      <c r="AE5" s="142">
        <v>600</v>
      </c>
    </row>
    <row r="6" spans="1:60" ht="13">
      <c r="A6" s="94" t="s">
        <v>381</v>
      </c>
      <c r="B6" s="8" t="s">
        <v>8</v>
      </c>
      <c r="C6" s="96" t="s">
        <v>382</v>
      </c>
      <c r="D6" s="96" t="s">
        <v>383</v>
      </c>
      <c r="E6" s="8" t="str">
        <f t="shared" si="0"/>
        <v>Pepe Alazar</v>
      </c>
      <c r="F6" s="8" t="s">
        <v>67</v>
      </c>
      <c r="G6" s="97" t="s">
        <v>166</v>
      </c>
      <c r="H6" s="141">
        <v>775</v>
      </c>
      <c r="I6" s="98">
        <v>6.5</v>
      </c>
      <c r="J6" s="99"/>
      <c r="K6" s="99"/>
      <c r="L6" s="99"/>
      <c r="M6" s="99"/>
      <c r="N6" s="8"/>
      <c r="O6" s="8" t="s">
        <v>70</v>
      </c>
      <c r="P6" s="8">
        <v>49</v>
      </c>
      <c r="Q6" s="8" t="s">
        <v>70</v>
      </c>
      <c r="V6" s="8"/>
      <c r="W6" s="8">
        <v>14</v>
      </c>
      <c r="X6" s="8">
        <v>4</v>
      </c>
      <c r="Y6" s="8">
        <v>6.5</v>
      </c>
      <c r="Z6" s="8">
        <v>14.5</v>
      </c>
      <c r="AA6" s="8">
        <v>7.25</v>
      </c>
      <c r="AB6" s="8">
        <v>7.25</v>
      </c>
      <c r="AC6" s="99">
        <v>7.25</v>
      </c>
      <c r="AD6" s="99">
        <v>7.25</v>
      </c>
      <c r="AE6" s="142">
        <v>881</v>
      </c>
      <c r="AF6" s="8">
        <v>595</v>
      </c>
      <c r="AG6" s="8">
        <v>577</v>
      </c>
      <c r="AH6">
        <v>563</v>
      </c>
      <c r="AI6">
        <v>539</v>
      </c>
    </row>
    <row r="7" spans="1:60" ht="13">
      <c r="A7" s="94" t="s">
        <v>550</v>
      </c>
      <c r="B7" t="s">
        <v>8</v>
      </c>
      <c r="C7" s="96" t="s">
        <v>551</v>
      </c>
      <c r="D7" s="96" t="s">
        <v>552</v>
      </c>
      <c r="E7" t="str">
        <f t="shared" si="0"/>
        <v>Ulysses Rove</v>
      </c>
      <c r="F7" s="8" t="str">
        <f t="shared" ref="F7:F25" si="2">TRIM(RIGHT(D7,2))</f>
        <v>SS</v>
      </c>
      <c r="G7" s="97" t="s">
        <v>554</v>
      </c>
      <c r="H7" s="141">
        <v>535</v>
      </c>
      <c r="I7" s="102">
        <v>3</v>
      </c>
      <c r="J7" s="98">
        <v>8</v>
      </c>
      <c r="K7" s="98">
        <v>8</v>
      </c>
      <c r="L7" s="90">
        <v>8.5</v>
      </c>
      <c r="M7" s="99"/>
      <c r="N7" s="4" t="s">
        <v>885</v>
      </c>
      <c r="O7" s="8" t="s">
        <v>36</v>
      </c>
      <c r="P7" s="8">
        <v>5</v>
      </c>
      <c r="Q7" s="8" t="s">
        <v>36</v>
      </c>
      <c r="R7" s="8"/>
      <c r="S7" s="8"/>
      <c r="T7" s="8"/>
      <c r="V7" s="8"/>
      <c r="W7" s="8"/>
      <c r="X7" s="8"/>
      <c r="Y7" s="8"/>
      <c r="Z7" s="8"/>
      <c r="AA7" s="8"/>
      <c r="AB7" s="8">
        <v>0</v>
      </c>
      <c r="AC7" s="99">
        <v>3</v>
      </c>
      <c r="AD7" s="99">
        <v>3</v>
      </c>
      <c r="AE7" s="142">
        <v>355</v>
      </c>
      <c r="AF7" s="8"/>
      <c r="AG7" s="8"/>
      <c r="AH7" s="8"/>
    </row>
    <row r="8" spans="1:60" ht="13">
      <c r="A8" s="94" t="s">
        <v>666</v>
      </c>
      <c r="B8" s="8" t="s">
        <v>8</v>
      </c>
      <c r="C8" s="96" t="s">
        <v>668</v>
      </c>
      <c r="D8" s="96" t="s">
        <v>669</v>
      </c>
      <c r="E8" t="str">
        <f t="shared" si="0"/>
        <v>Tristan Cameron</v>
      </c>
      <c r="F8" t="str">
        <f t="shared" si="2"/>
        <v>LF</v>
      </c>
      <c r="G8" s="97" t="s">
        <v>192</v>
      </c>
      <c r="H8" s="141">
        <v>382</v>
      </c>
      <c r="I8" s="102">
        <v>2.5</v>
      </c>
      <c r="J8" s="98">
        <v>4</v>
      </c>
      <c r="K8" s="125">
        <v>4</v>
      </c>
      <c r="L8" s="99"/>
      <c r="M8" s="99"/>
      <c r="N8" s="4" t="s">
        <v>525</v>
      </c>
      <c r="O8" s="8" t="s">
        <v>36</v>
      </c>
      <c r="P8" s="8">
        <v>15</v>
      </c>
      <c r="Q8" s="8" t="s">
        <v>35</v>
      </c>
      <c r="Y8" s="8"/>
      <c r="AB8" s="8">
        <v>0</v>
      </c>
      <c r="AC8" s="99">
        <v>2.5</v>
      </c>
      <c r="AD8" s="99">
        <v>2.5</v>
      </c>
      <c r="AE8" s="142">
        <v>271</v>
      </c>
    </row>
    <row r="9" spans="1:60" ht="13">
      <c r="A9" s="94" t="s">
        <v>693</v>
      </c>
      <c r="B9" s="8" t="s">
        <v>8</v>
      </c>
      <c r="C9" s="96" t="s">
        <v>695</v>
      </c>
      <c r="D9" s="96" t="s">
        <v>697</v>
      </c>
      <c r="E9" t="str">
        <f t="shared" si="0"/>
        <v>Adam Squiggly</v>
      </c>
      <c r="F9" s="8" t="str">
        <f t="shared" si="2"/>
        <v>CL</v>
      </c>
      <c r="G9" s="97" t="s">
        <v>699</v>
      </c>
      <c r="H9" s="141">
        <v>357</v>
      </c>
      <c r="I9" s="98">
        <v>4.25</v>
      </c>
      <c r="J9" s="98">
        <v>4.25</v>
      </c>
      <c r="K9" s="99"/>
      <c r="L9" s="99"/>
      <c r="M9" s="99"/>
      <c r="N9" s="8"/>
      <c r="O9" s="8" t="s">
        <v>34</v>
      </c>
      <c r="P9" s="8">
        <v>3</v>
      </c>
      <c r="Q9" s="8" t="s">
        <v>34</v>
      </c>
      <c r="R9" s="8"/>
      <c r="S9" s="8"/>
      <c r="T9" s="8"/>
      <c r="U9" s="8"/>
      <c r="W9" s="8"/>
      <c r="X9" s="8"/>
      <c r="Y9" s="8"/>
      <c r="Z9" s="8">
        <v>3</v>
      </c>
      <c r="AA9" s="8">
        <v>4</v>
      </c>
      <c r="AB9" s="8">
        <v>5</v>
      </c>
      <c r="AC9" s="99">
        <v>3.5</v>
      </c>
      <c r="AD9" s="99">
        <v>4.25</v>
      </c>
      <c r="AE9" s="142">
        <v>336</v>
      </c>
      <c r="AF9" s="8"/>
      <c r="AG9" s="8"/>
      <c r="AH9" s="8"/>
      <c r="AI9" s="8"/>
    </row>
    <row r="10" spans="1:60" ht="13">
      <c r="A10" s="8"/>
      <c r="B10" s="8" t="s">
        <v>8</v>
      </c>
      <c r="C10" s="96" t="s">
        <v>790</v>
      </c>
      <c r="D10" s="96" t="s">
        <v>791</v>
      </c>
      <c r="E10" t="str">
        <f t="shared" si="0"/>
        <v>TopGun Sheelay</v>
      </c>
      <c r="F10" s="8" t="str">
        <f t="shared" si="2"/>
        <v>C</v>
      </c>
      <c r="G10" s="97" t="s">
        <v>132</v>
      </c>
      <c r="H10" s="141">
        <v>297</v>
      </c>
      <c r="I10" s="87">
        <v>3</v>
      </c>
      <c r="J10" s="99"/>
      <c r="K10" s="99"/>
      <c r="L10" s="99"/>
      <c r="M10" s="99"/>
      <c r="N10" s="8" t="s">
        <v>459</v>
      </c>
      <c r="O10" s="8" t="s">
        <v>37</v>
      </c>
      <c r="P10" s="8">
        <v>29</v>
      </c>
      <c r="Q10" s="8" t="s">
        <v>37</v>
      </c>
      <c r="W10" s="8"/>
      <c r="X10" s="8"/>
      <c r="Y10" s="8"/>
      <c r="Z10" s="8"/>
      <c r="AC10" s="99" t="s">
        <v>274</v>
      </c>
      <c r="AD10" s="99">
        <v>3</v>
      </c>
      <c r="AE10" s="142">
        <v>160</v>
      </c>
      <c r="AF10" s="8"/>
      <c r="AG10" s="8"/>
      <c r="AH10" s="8"/>
      <c r="AI10" s="8"/>
    </row>
    <row r="11" spans="1:60" ht="12.75" customHeight="1">
      <c r="A11" s="94" t="s">
        <v>890</v>
      </c>
      <c r="B11" s="8" t="s">
        <v>8</v>
      </c>
      <c r="C11" s="96" t="s">
        <v>892</v>
      </c>
      <c r="D11" s="96" t="s">
        <v>894</v>
      </c>
      <c r="E11" t="str">
        <f t="shared" si="0"/>
        <v>Colton Hagan</v>
      </c>
      <c r="F11" t="str">
        <f t="shared" si="2"/>
        <v>SP</v>
      </c>
      <c r="G11" s="97" t="s">
        <v>458</v>
      </c>
      <c r="H11" s="141">
        <v>231</v>
      </c>
      <c r="I11" s="102">
        <v>3</v>
      </c>
      <c r="J11" s="99"/>
      <c r="K11" s="99"/>
      <c r="L11" s="99"/>
      <c r="M11" s="99"/>
      <c r="N11" s="8" t="s">
        <v>273</v>
      </c>
      <c r="O11" s="8" t="s">
        <v>36</v>
      </c>
      <c r="P11" s="8">
        <v>12</v>
      </c>
      <c r="Q11" s="8" t="s">
        <v>35</v>
      </c>
      <c r="Y11" s="8"/>
      <c r="AB11" s="8">
        <v>0</v>
      </c>
      <c r="AC11" s="99">
        <v>3</v>
      </c>
      <c r="AD11" s="99">
        <v>3</v>
      </c>
      <c r="AE11" s="142">
        <v>231</v>
      </c>
    </row>
    <row r="12" spans="1:60" ht="13">
      <c r="A12" s="8"/>
      <c r="B12" s="8" t="s">
        <v>8</v>
      </c>
      <c r="C12" s="96" t="s">
        <v>896</v>
      </c>
      <c r="D12" s="96" t="s">
        <v>898</v>
      </c>
      <c r="E12" s="8" t="str">
        <f t="shared" si="0"/>
        <v>Adrian Kaine</v>
      </c>
      <c r="F12" s="8" t="str">
        <f t="shared" si="2"/>
        <v>SP</v>
      </c>
      <c r="G12" s="97" t="s">
        <v>114</v>
      </c>
      <c r="H12" s="141">
        <v>211</v>
      </c>
      <c r="I12" s="98">
        <v>1</v>
      </c>
      <c r="J12" s="125">
        <v>5</v>
      </c>
      <c r="K12" s="99"/>
      <c r="L12" s="99"/>
      <c r="M12" s="99"/>
      <c r="N12" s="8" t="s">
        <v>612</v>
      </c>
      <c r="O12" s="8" t="s">
        <v>37</v>
      </c>
      <c r="P12" s="8">
        <v>17</v>
      </c>
      <c r="Q12" s="8" t="s">
        <v>37</v>
      </c>
      <c r="AC12" s="99" t="s">
        <v>274</v>
      </c>
      <c r="AD12" s="98">
        <v>1</v>
      </c>
      <c r="AE12" s="142">
        <v>185</v>
      </c>
    </row>
    <row r="13" spans="1:60" ht="13">
      <c r="A13" s="8"/>
      <c r="B13" s="8" t="s">
        <v>8</v>
      </c>
      <c r="C13" s="96" t="s">
        <v>900</v>
      </c>
      <c r="D13" s="96" t="s">
        <v>902</v>
      </c>
      <c r="E13" t="str">
        <f t="shared" si="0"/>
        <v>Shovel Bryant</v>
      </c>
      <c r="F13" s="8" t="str">
        <f t="shared" si="2"/>
        <v>2B</v>
      </c>
      <c r="G13" s="97" t="s">
        <v>904</v>
      </c>
      <c r="H13" s="141">
        <v>222</v>
      </c>
      <c r="I13" s="99">
        <v>3</v>
      </c>
      <c r="J13" s="87">
        <v>4</v>
      </c>
      <c r="K13" s="99"/>
      <c r="L13" s="99"/>
      <c r="M13" s="99"/>
      <c r="N13" s="8" t="s">
        <v>373</v>
      </c>
      <c r="O13" s="8" t="s">
        <v>37</v>
      </c>
      <c r="P13" s="8">
        <v>21</v>
      </c>
      <c r="Q13" s="8" t="s">
        <v>37</v>
      </c>
      <c r="W13" s="8"/>
      <c r="X13" s="8"/>
      <c r="Y13" s="8"/>
      <c r="Z13" s="8"/>
      <c r="AC13" s="99" t="s">
        <v>274</v>
      </c>
      <c r="AD13" s="99">
        <v>3</v>
      </c>
      <c r="AE13" s="142">
        <v>139</v>
      </c>
      <c r="AF13" s="8"/>
      <c r="AG13" s="8"/>
      <c r="AH13" s="8"/>
      <c r="AI13" s="8"/>
    </row>
    <row r="14" spans="1:60" ht="13">
      <c r="A14" s="82"/>
      <c r="B14" s="8" t="s">
        <v>8</v>
      </c>
      <c r="C14" s="96" t="s">
        <v>905</v>
      </c>
      <c r="D14" s="96" t="s">
        <v>907</v>
      </c>
      <c r="E14" s="8" t="str">
        <f t="shared" si="0"/>
        <v>Mork Spaghettelli</v>
      </c>
      <c r="F14" s="8" t="str">
        <f t="shared" si="2"/>
        <v>3B</v>
      </c>
      <c r="G14" s="97" t="s">
        <v>192</v>
      </c>
      <c r="H14" s="141">
        <v>228</v>
      </c>
      <c r="I14" s="98">
        <v>1.5</v>
      </c>
      <c r="J14" s="99">
        <v>5</v>
      </c>
      <c r="K14" s="102">
        <v>5</v>
      </c>
      <c r="L14" s="103"/>
      <c r="M14" s="103"/>
      <c r="N14" s="105" t="s">
        <v>909</v>
      </c>
      <c r="O14" s="4" t="s">
        <v>38</v>
      </c>
      <c r="P14" s="4">
        <v>17</v>
      </c>
      <c r="Q14" s="8" t="s">
        <v>37</v>
      </c>
      <c r="AB14" s="12"/>
      <c r="AD14" s="8" t="s">
        <v>274</v>
      </c>
      <c r="AE14" s="142">
        <v>152</v>
      </c>
    </row>
    <row r="15" spans="1:60" ht="13">
      <c r="A15" s="8"/>
      <c r="B15" s="8" t="s">
        <v>8</v>
      </c>
      <c r="C15" s="96" t="s">
        <v>910</v>
      </c>
      <c r="D15" s="96" t="s">
        <v>911</v>
      </c>
      <c r="E15" t="str">
        <f t="shared" si="0"/>
        <v>Mitchell McDowell</v>
      </c>
      <c r="F15" s="8" t="str">
        <f t="shared" si="2"/>
        <v>SP</v>
      </c>
      <c r="G15" s="97" t="s">
        <v>55</v>
      </c>
      <c r="H15" s="141">
        <v>206</v>
      </c>
      <c r="I15" s="87">
        <v>4</v>
      </c>
      <c r="J15" s="99"/>
      <c r="K15" s="99"/>
      <c r="L15" s="99"/>
      <c r="M15" s="99"/>
      <c r="N15" s="8" t="s">
        <v>459</v>
      </c>
      <c r="O15" s="8" t="s">
        <v>37</v>
      </c>
      <c r="P15" s="8">
        <v>37</v>
      </c>
      <c r="Q15" s="8" t="s">
        <v>37</v>
      </c>
      <c r="W15" s="8"/>
      <c r="X15" s="8"/>
      <c r="Y15" s="8"/>
      <c r="Z15" s="8"/>
      <c r="AC15" s="99" t="s">
        <v>274</v>
      </c>
      <c r="AD15" s="99">
        <v>4</v>
      </c>
      <c r="AE15" s="142">
        <v>143</v>
      </c>
      <c r="AF15" s="8"/>
      <c r="AG15" s="8"/>
      <c r="AH15" s="8"/>
      <c r="AI15" s="8"/>
    </row>
    <row r="16" spans="1:60" ht="13">
      <c r="A16" s="8"/>
      <c r="B16" s="8" t="s">
        <v>8</v>
      </c>
      <c r="C16" s="96" t="s">
        <v>912</v>
      </c>
      <c r="D16" s="96" t="s">
        <v>913</v>
      </c>
      <c r="E16" t="str">
        <f t="shared" si="0"/>
        <v>Justin Verbeek</v>
      </c>
      <c r="F16" s="8" t="str">
        <f t="shared" si="2"/>
        <v>CL</v>
      </c>
      <c r="G16" s="97" t="s">
        <v>290</v>
      </c>
      <c r="H16" s="141">
        <v>191</v>
      </c>
      <c r="I16" s="87">
        <v>4.5</v>
      </c>
      <c r="J16" s="99"/>
      <c r="K16" s="99"/>
      <c r="L16" s="99"/>
      <c r="M16" s="99"/>
      <c r="N16" s="8" t="s">
        <v>459</v>
      </c>
      <c r="O16" s="8" t="s">
        <v>37</v>
      </c>
      <c r="P16" s="8">
        <v>11</v>
      </c>
      <c r="Q16" s="8" t="s">
        <v>37</v>
      </c>
      <c r="W16" s="8"/>
      <c r="X16" s="8"/>
      <c r="Y16" s="8"/>
      <c r="Z16" s="8"/>
      <c r="AC16" s="98">
        <v>5</v>
      </c>
      <c r="AD16" s="99">
        <v>4</v>
      </c>
      <c r="AE16" s="142">
        <v>125</v>
      </c>
      <c r="AF16" s="8"/>
      <c r="AG16" s="8"/>
      <c r="AH16" s="8"/>
      <c r="AI16" s="8"/>
    </row>
    <row r="17" spans="1:60" ht="13">
      <c r="B17" s="8" t="s">
        <v>8</v>
      </c>
      <c r="C17" s="96" t="s">
        <v>803</v>
      </c>
      <c r="D17" s="96" t="s">
        <v>915</v>
      </c>
      <c r="E17" s="8" t="str">
        <f t="shared" si="0"/>
        <v>Ben Beck</v>
      </c>
      <c r="F17" s="8" t="str">
        <f t="shared" si="2"/>
        <v>1B</v>
      </c>
      <c r="G17" s="97" t="s">
        <v>691</v>
      </c>
      <c r="H17" s="141">
        <v>157</v>
      </c>
      <c r="I17" s="98">
        <v>2.5</v>
      </c>
      <c r="J17" s="99">
        <v>5</v>
      </c>
      <c r="K17" s="102">
        <v>5</v>
      </c>
      <c r="L17" s="103"/>
      <c r="M17" s="103"/>
      <c r="N17" s="105" t="s">
        <v>909</v>
      </c>
      <c r="O17" s="4" t="s">
        <v>38</v>
      </c>
      <c r="P17" s="4">
        <v>23</v>
      </c>
      <c r="Q17" s="4" t="s">
        <v>38</v>
      </c>
      <c r="AB17" s="12"/>
      <c r="AD17" s="8" t="s">
        <v>274</v>
      </c>
      <c r="AE17" s="142">
        <v>100</v>
      </c>
    </row>
    <row r="18" spans="1:60" ht="13">
      <c r="B18" s="8" t="s">
        <v>8</v>
      </c>
      <c r="C18" s="96" t="s">
        <v>916</v>
      </c>
      <c r="D18" s="96" t="s">
        <v>917</v>
      </c>
      <c r="E18" s="8" t="str">
        <f t="shared" si="0"/>
        <v>Mike McSlapp</v>
      </c>
      <c r="F18" s="8" t="str">
        <f t="shared" si="2"/>
        <v>CF</v>
      </c>
      <c r="G18" s="97" t="s">
        <v>84</v>
      </c>
      <c r="H18" s="141">
        <v>217</v>
      </c>
      <c r="I18" s="98">
        <v>2.5</v>
      </c>
      <c r="J18" s="99">
        <v>5</v>
      </c>
      <c r="K18" s="102">
        <v>5</v>
      </c>
      <c r="L18" s="103"/>
      <c r="M18" s="103"/>
      <c r="N18" s="105" t="s">
        <v>909</v>
      </c>
      <c r="O18" s="4" t="s">
        <v>38</v>
      </c>
      <c r="P18" s="4">
        <v>16</v>
      </c>
      <c r="Q18" s="4" t="s">
        <v>38</v>
      </c>
      <c r="AB18" s="12"/>
      <c r="AD18" s="8" t="s">
        <v>274</v>
      </c>
      <c r="AE18" s="142">
        <v>100</v>
      </c>
    </row>
    <row r="19" spans="1:60" ht="13">
      <c r="A19" s="94" t="s">
        <v>748</v>
      </c>
      <c r="B19" s="8" t="s">
        <v>8</v>
      </c>
      <c r="C19" s="96" t="s">
        <v>751</v>
      </c>
      <c r="D19" s="97" t="s">
        <v>753</v>
      </c>
      <c r="E19" t="str">
        <f t="shared" si="0"/>
        <v>Toledo Jones</v>
      </c>
      <c r="F19" s="8" t="str">
        <f t="shared" si="2"/>
        <v>1B</v>
      </c>
      <c r="G19" s="97" t="s">
        <v>132</v>
      </c>
      <c r="H19" s="4">
        <v>380</v>
      </c>
      <c r="I19" s="98">
        <v>3</v>
      </c>
      <c r="J19" s="98">
        <v>4.5</v>
      </c>
      <c r="K19" s="98">
        <v>5.25</v>
      </c>
      <c r="L19" s="99"/>
      <c r="M19" s="99"/>
      <c r="N19" s="8" t="s">
        <v>417</v>
      </c>
      <c r="O19" s="8" t="s">
        <v>35</v>
      </c>
      <c r="P19" s="8">
        <v>6</v>
      </c>
      <c r="Q19" s="8" t="s">
        <v>34</v>
      </c>
      <c r="W19" s="8"/>
      <c r="X19" s="8"/>
      <c r="Y19" s="8"/>
      <c r="Z19" s="8" t="s">
        <v>257</v>
      </c>
      <c r="AA19" s="8">
        <v>3</v>
      </c>
      <c r="AB19" s="99">
        <v>3</v>
      </c>
      <c r="AC19" s="4">
        <v>253</v>
      </c>
      <c r="AD19" s="102">
        <v>3</v>
      </c>
      <c r="AE19" s="8"/>
      <c r="AF19" s="8"/>
      <c r="AG19" s="8"/>
      <c r="AH19" s="8"/>
      <c r="AI19" s="8"/>
    </row>
    <row r="20" spans="1:60" ht="12.75" customHeight="1">
      <c r="A20" s="8"/>
      <c r="B20" s="8" t="s">
        <v>8</v>
      </c>
      <c r="C20" s="96" t="s">
        <v>919</v>
      </c>
      <c r="D20" s="96" t="s">
        <v>920</v>
      </c>
      <c r="E20" s="8" t="str">
        <f t="shared" si="0"/>
        <v>Alan Abel</v>
      </c>
      <c r="F20" s="8" t="str">
        <f t="shared" si="2"/>
        <v>SP</v>
      </c>
      <c r="G20" s="97" t="s">
        <v>55</v>
      </c>
      <c r="H20" s="4">
        <v>129</v>
      </c>
      <c r="I20" s="59">
        <v>1</v>
      </c>
      <c r="J20" s="99"/>
      <c r="K20" s="99"/>
      <c r="L20" s="99"/>
      <c r="M20" s="99"/>
      <c r="N20" s="8" t="s">
        <v>571</v>
      </c>
      <c r="O20" s="8" t="s">
        <v>37</v>
      </c>
      <c r="P20" s="8">
        <v>32</v>
      </c>
      <c r="Q20" s="8" t="s">
        <v>37</v>
      </c>
      <c r="W20" s="8"/>
      <c r="X20" s="8"/>
      <c r="Y20" s="8"/>
      <c r="Z20" s="8"/>
      <c r="AB20" s="99" t="s">
        <v>274</v>
      </c>
      <c r="AC20" s="4">
        <v>129</v>
      </c>
      <c r="AD20" s="98">
        <v>1</v>
      </c>
      <c r="AF20" s="8"/>
      <c r="AG20" s="8"/>
      <c r="AH20" s="8"/>
      <c r="AI20" s="8"/>
    </row>
    <row r="21" spans="1:60" ht="12.75" customHeight="1">
      <c r="A21" s="8"/>
      <c r="B21" s="8" t="s">
        <v>8</v>
      </c>
      <c r="C21" s="96" t="s">
        <v>922</v>
      </c>
      <c r="D21" s="96" t="s">
        <v>923</v>
      </c>
      <c r="E21" s="8" t="str">
        <f t="shared" si="0"/>
        <v>Tyler Findling</v>
      </c>
      <c r="F21" s="8" t="str">
        <f t="shared" si="2"/>
        <v>SS</v>
      </c>
      <c r="G21" s="97" t="s">
        <v>329</v>
      </c>
      <c r="H21" s="4">
        <v>108</v>
      </c>
      <c r="I21" s="98">
        <v>1.5</v>
      </c>
      <c r="J21" s="90">
        <v>1.5</v>
      </c>
      <c r="K21" s="99"/>
      <c r="L21" s="99"/>
      <c r="M21" s="99"/>
      <c r="N21" s="8" t="s">
        <v>373</v>
      </c>
      <c r="O21" s="8" t="s">
        <v>37</v>
      </c>
      <c r="P21" s="8">
        <v>24</v>
      </c>
      <c r="Q21" s="8" t="s">
        <v>37</v>
      </c>
      <c r="W21" s="8"/>
      <c r="X21" s="8"/>
      <c r="Y21" s="8"/>
      <c r="Z21" s="8"/>
      <c r="AB21" s="99" t="s">
        <v>274</v>
      </c>
      <c r="AC21" s="4">
        <v>108</v>
      </c>
      <c r="AD21" s="98">
        <v>1.5</v>
      </c>
      <c r="AF21" s="8"/>
      <c r="AG21" s="8"/>
      <c r="AH21" s="8"/>
      <c r="AI21" s="8"/>
    </row>
    <row r="22" spans="1:60" ht="13">
      <c r="B22" s="8" t="s">
        <v>8</v>
      </c>
      <c r="C22" s="96" t="s">
        <v>924</v>
      </c>
      <c r="D22" s="96" t="s">
        <v>926</v>
      </c>
      <c r="E22" s="8" t="str">
        <f t="shared" si="0"/>
        <v>Bartolo Pizza</v>
      </c>
      <c r="F22" s="8" t="str">
        <f t="shared" si="2"/>
        <v>CL</v>
      </c>
      <c r="G22" s="97" t="s">
        <v>114</v>
      </c>
      <c r="H22" s="141">
        <v>325</v>
      </c>
      <c r="I22" s="99">
        <v>5</v>
      </c>
      <c r="J22" s="99">
        <v>5</v>
      </c>
      <c r="K22" s="102">
        <v>5</v>
      </c>
      <c r="L22" s="103"/>
      <c r="M22" s="103"/>
      <c r="N22" s="105" t="s">
        <v>909</v>
      </c>
      <c r="O22" s="4" t="s">
        <v>38</v>
      </c>
      <c r="P22" s="4">
        <v>36</v>
      </c>
      <c r="Q22" s="4" t="s">
        <v>38</v>
      </c>
      <c r="AB22" s="12"/>
      <c r="AD22" s="4">
        <v>5</v>
      </c>
      <c r="AE22" s="142">
        <v>100</v>
      </c>
    </row>
    <row r="23" spans="1:60" ht="13">
      <c r="B23" s="8" t="s">
        <v>8</v>
      </c>
      <c r="C23" s="96" t="s">
        <v>930</v>
      </c>
      <c r="D23" s="96" t="s">
        <v>932</v>
      </c>
      <c r="E23" s="8" t="str">
        <f t="shared" si="0"/>
        <v>Fliff Cloyd</v>
      </c>
      <c r="F23" s="8" t="str">
        <f t="shared" si="2"/>
        <v>LF</v>
      </c>
      <c r="G23" s="97" t="s">
        <v>192</v>
      </c>
      <c r="H23" s="141">
        <v>108</v>
      </c>
      <c r="I23" s="98">
        <v>1.25</v>
      </c>
      <c r="J23" s="99"/>
      <c r="K23" s="102"/>
      <c r="L23" s="103"/>
      <c r="M23" s="103"/>
      <c r="N23" s="105" t="s">
        <v>909</v>
      </c>
      <c r="O23" s="4" t="s">
        <v>38</v>
      </c>
      <c r="P23" s="4">
        <v>30</v>
      </c>
      <c r="Q23" s="4" t="s">
        <v>38</v>
      </c>
      <c r="AB23" s="12"/>
      <c r="AD23" s="8" t="s">
        <v>274</v>
      </c>
      <c r="AE23" s="142">
        <v>100</v>
      </c>
    </row>
    <row r="24" spans="1:60" ht="12.75" customHeight="1">
      <c r="A24" s="94" t="s">
        <v>876</v>
      </c>
      <c r="B24" s="4" t="s">
        <v>8</v>
      </c>
      <c r="C24" s="96" t="s">
        <v>877</v>
      </c>
      <c r="D24" s="96" t="s">
        <v>878</v>
      </c>
      <c r="E24" t="str">
        <f t="shared" si="0"/>
        <v>Rye Tiffielder</v>
      </c>
      <c r="F24" s="8" t="str">
        <f t="shared" si="2"/>
        <v>RF</v>
      </c>
      <c r="G24" s="97" t="s">
        <v>132</v>
      </c>
      <c r="H24" s="4">
        <v>313</v>
      </c>
      <c r="I24" s="98">
        <v>3</v>
      </c>
      <c r="J24" s="99"/>
      <c r="K24" s="99"/>
      <c r="L24" s="99"/>
      <c r="M24" s="99"/>
      <c r="N24" s="8" t="s">
        <v>417</v>
      </c>
      <c r="O24" s="8" t="s">
        <v>35</v>
      </c>
      <c r="P24" s="8">
        <v>24</v>
      </c>
      <c r="Q24" s="8" t="s">
        <v>34</v>
      </c>
      <c r="W24" s="8"/>
      <c r="X24" s="8"/>
      <c r="Y24" s="8"/>
      <c r="Z24" s="8" t="s">
        <v>257</v>
      </c>
      <c r="AA24" s="8">
        <v>1.25</v>
      </c>
      <c r="AB24" s="99">
        <v>1.25</v>
      </c>
      <c r="AC24" s="8">
        <v>235</v>
      </c>
      <c r="AD24" s="125">
        <v>3</v>
      </c>
      <c r="AE24" s="8"/>
      <c r="AF24" s="8"/>
      <c r="AG24" s="8"/>
      <c r="AH24" s="8"/>
      <c r="AI24" s="8"/>
    </row>
    <row r="25" spans="1:60" ht="12.75" customHeight="1">
      <c r="A25" s="93" t="s">
        <v>376</v>
      </c>
      <c r="B25" s="4" t="s">
        <v>8</v>
      </c>
      <c r="C25" s="140" t="s">
        <v>377</v>
      </c>
      <c r="D25" s="140" t="s">
        <v>378</v>
      </c>
      <c r="E25" t="str">
        <f t="shared" si="0"/>
        <v>Laddy McBantershire</v>
      </c>
      <c r="F25" t="str">
        <f t="shared" si="2"/>
        <v>C</v>
      </c>
      <c r="G25" s="127" t="s">
        <v>294</v>
      </c>
      <c r="H25" s="141">
        <v>707</v>
      </c>
      <c r="I25" s="108">
        <v>5.75</v>
      </c>
      <c r="J25" s="43"/>
      <c r="K25" s="43"/>
      <c r="L25" s="43"/>
      <c r="M25" s="43"/>
      <c r="N25" s="186" t="s">
        <v>380</v>
      </c>
      <c r="O25" s="40" t="s">
        <v>70</v>
      </c>
      <c r="P25" s="42">
        <v>12</v>
      </c>
      <c r="Q25" s="40" t="s">
        <v>70</v>
      </c>
      <c r="R25" s="40"/>
      <c r="S25" s="40"/>
      <c r="T25" s="40"/>
      <c r="U25" s="40"/>
      <c r="V25" s="40"/>
      <c r="W25" s="42">
        <v>2</v>
      </c>
      <c r="X25" s="42">
        <v>3</v>
      </c>
      <c r="Y25" s="109">
        <v>4</v>
      </c>
      <c r="Z25" s="42">
        <v>5.75</v>
      </c>
      <c r="AA25" s="109">
        <v>6.25</v>
      </c>
      <c r="AB25" s="44">
        <v>6</v>
      </c>
      <c r="AC25" s="44">
        <v>6</v>
      </c>
      <c r="AD25" s="98">
        <v>6.5</v>
      </c>
      <c r="AE25" s="142">
        <v>706</v>
      </c>
      <c r="AF25" s="42">
        <v>360</v>
      </c>
      <c r="AG25" s="42">
        <v>352</v>
      </c>
      <c r="AH25" s="42">
        <v>344</v>
      </c>
      <c r="AI25" s="42">
        <v>314</v>
      </c>
      <c r="AJ25" s="93"/>
      <c r="AK25" s="93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</row>
    <row r="26" spans="1:60" ht="12.75" customHeight="1">
      <c r="A26" s="94" t="s">
        <v>901</v>
      </c>
      <c r="B26" s="4" t="s">
        <v>8</v>
      </c>
      <c r="C26" s="140" t="s">
        <v>903</v>
      </c>
      <c r="D26" s="140" t="s">
        <v>906</v>
      </c>
      <c r="E26" t="str">
        <f t="shared" si="0"/>
        <v>Fastguy Pitcherman</v>
      </c>
      <c r="F26" t="s">
        <v>90</v>
      </c>
      <c r="G26" s="127" t="s">
        <v>55</v>
      </c>
      <c r="H26" s="4">
        <v>234</v>
      </c>
      <c r="I26" s="108">
        <v>2</v>
      </c>
      <c r="J26" s="99"/>
      <c r="K26" s="99"/>
      <c r="L26" s="99"/>
      <c r="M26" s="99"/>
      <c r="O26" t="s">
        <v>126</v>
      </c>
      <c r="P26">
        <v>4</v>
      </c>
      <c r="Q26" t="s">
        <v>126</v>
      </c>
      <c r="W26">
        <v>6</v>
      </c>
      <c r="X26">
        <v>3</v>
      </c>
      <c r="Y26" s="8">
        <v>3</v>
      </c>
      <c r="Z26">
        <v>2</v>
      </c>
      <c r="AA26" s="8">
        <v>2</v>
      </c>
      <c r="AB26" s="99">
        <v>2</v>
      </c>
      <c r="AC26" s="99">
        <v>2</v>
      </c>
      <c r="AD26" s="8">
        <v>229</v>
      </c>
      <c r="AE26" s="99">
        <v>2</v>
      </c>
      <c r="AF26">
        <v>159</v>
      </c>
      <c r="AG26">
        <v>156</v>
      </c>
      <c r="AH26">
        <v>145</v>
      </c>
      <c r="AI26">
        <v>121</v>
      </c>
      <c r="AJ26" s="8"/>
      <c r="AK26" s="8"/>
    </row>
    <row r="27" spans="1:60" ht="12.75" customHeight="1">
      <c r="A27" s="143" t="s">
        <v>881</v>
      </c>
      <c r="B27" s="8" t="s">
        <v>304</v>
      </c>
      <c r="C27" s="84" t="s">
        <v>882</v>
      </c>
      <c r="D27" s="84" t="s">
        <v>883</v>
      </c>
      <c r="E27" s="12" t="str">
        <f t="shared" si="0"/>
        <v>Antonio "Tony" Pisano</v>
      </c>
      <c r="F27" s="11" t="str">
        <f t="shared" ref="F27:F33" si="3">TRIM(RIGHT(D27,2))</f>
        <v>SP</v>
      </c>
      <c r="G27" s="81" t="s">
        <v>55</v>
      </c>
      <c r="H27" s="4">
        <v>244</v>
      </c>
      <c r="I27" s="108">
        <v>3.5</v>
      </c>
      <c r="J27" s="86"/>
      <c r="K27" s="86"/>
      <c r="L27" s="86"/>
      <c r="M27" s="86"/>
      <c r="N27" s="11" t="s">
        <v>417</v>
      </c>
      <c r="O27" s="11" t="s">
        <v>35</v>
      </c>
      <c r="P27" s="11">
        <v>2</v>
      </c>
      <c r="Q27" s="11" t="s">
        <v>35</v>
      </c>
      <c r="R27" s="11"/>
      <c r="S27" s="11"/>
      <c r="T27" s="11"/>
      <c r="U27" s="11"/>
      <c r="V27" s="12"/>
      <c r="W27" s="11"/>
      <c r="X27" s="11"/>
      <c r="Y27" s="11"/>
      <c r="Z27" s="11"/>
      <c r="AA27" s="11" t="s">
        <v>257</v>
      </c>
      <c r="AB27" s="11">
        <v>3</v>
      </c>
      <c r="AC27" s="11">
        <v>244</v>
      </c>
      <c r="AD27" s="102">
        <v>3</v>
      </c>
      <c r="AE27" s="86">
        <v>3</v>
      </c>
      <c r="AF27" s="11"/>
      <c r="AG27" s="11"/>
      <c r="AH27" s="11"/>
      <c r="AI27" s="11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</row>
    <row r="28" spans="1:60" ht="13">
      <c r="A28" s="50"/>
      <c r="B28" s="50" t="s">
        <v>44</v>
      </c>
      <c r="C28" s="144" t="s">
        <v>958</v>
      </c>
      <c r="D28" s="112" t="s">
        <v>959</v>
      </c>
      <c r="E28" s="50" t="str">
        <f t="shared" ref="E28:E31" si="4">IFERROR(TRIM(LEFT(D28,LEN(D28)-4)),"")</f>
        <v>Dan Wilinsky</v>
      </c>
      <c r="F28" s="50" t="str">
        <f t="shared" si="3"/>
        <v>SP</v>
      </c>
      <c r="G28" s="161" t="s">
        <v>114</v>
      </c>
      <c r="H28" s="123">
        <v>219</v>
      </c>
      <c r="I28" s="145" t="s">
        <v>274</v>
      </c>
      <c r="J28" s="145">
        <v>3.5</v>
      </c>
      <c r="K28" s="145">
        <v>4</v>
      </c>
      <c r="L28" s="145">
        <v>4.5</v>
      </c>
      <c r="M28" s="146"/>
      <c r="N28" s="124" t="s">
        <v>961</v>
      </c>
      <c r="O28" s="50" t="s">
        <v>19</v>
      </c>
      <c r="P28" s="147">
        <v>3</v>
      </c>
      <c r="Q28" s="50" t="s">
        <v>38</v>
      </c>
      <c r="R28" s="148"/>
      <c r="S28" s="148"/>
      <c r="T28" s="148"/>
      <c r="U28" s="148"/>
      <c r="V28" s="148"/>
      <c r="W28" s="50"/>
      <c r="X28" s="50"/>
      <c r="Y28" s="50"/>
      <c r="Z28" s="148"/>
      <c r="AA28" s="148"/>
      <c r="AB28" s="50"/>
      <c r="AC28" s="146"/>
      <c r="AD28" s="146" t="s">
        <v>47</v>
      </c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</row>
    <row r="29" spans="1:60" ht="13">
      <c r="A29" s="50"/>
      <c r="B29" s="50" t="s">
        <v>8</v>
      </c>
      <c r="C29" s="159" t="s">
        <v>962</v>
      </c>
      <c r="D29" s="112" t="s">
        <v>963</v>
      </c>
      <c r="E29" s="50" t="str">
        <f t="shared" si="4"/>
        <v>Joey Slothface</v>
      </c>
      <c r="F29" s="50" t="str">
        <f t="shared" si="3"/>
        <v>SP</v>
      </c>
      <c r="G29" s="161" t="s">
        <v>114</v>
      </c>
      <c r="H29" s="123">
        <v>138</v>
      </c>
      <c r="I29" s="145" t="s">
        <v>274</v>
      </c>
      <c r="J29" s="145">
        <v>2</v>
      </c>
      <c r="K29" s="145">
        <v>3.5</v>
      </c>
      <c r="L29" s="145">
        <v>4</v>
      </c>
      <c r="M29" s="146"/>
      <c r="N29" s="124" t="s">
        <v>965</v>
      </c>
      <c r="O29" s="50" t="s">
        <v>19</v>
      </c>
      <c r="P29" s="174">
        <v>12</v>
      </c>
      <c r="Q29" s="50" t="s">
        <v>19</v>
      </c>
      <c r="R29" s="148"/>
      <c r="S29" s="148"/>
      <c r="T29" s="148"/>
      <c r="U29" s="148"/>
      <c r="V29" s="148"/>
      <c r="W29" s="50"/>
      <c r="X29" s="50"/>
      <c r="Y29" s="50"/>
      <c r="Z29" s="148"/>
      <c r="AA29" s="148"/>
      <c r="AB29" s="50"/>
      <c r="AC29" s="146"/>
      <c r="AD29" s="146" t="s">
        <v>47</v>
      </c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</row>
    <row r="30" spans="1:60" ht="13">
      <c r="A30" s="47"/>
      <c r="B30" s="47" t="s">
        <v>8</v>
      </c>
      <c r="C30" s="111" t="s">
        <v>382</v>
      </c>
      <c r="D30" s="112" t="s">
        <v>966</v>
      </c>
      <c r="E30" s="47" t="str">
        <f t="shared" si="4"/>
        <v>Thomas Trey Oudekerk</v>
      </c>
      <c r="F30" s="47" t="str">
        <f t="shared" si="3"/>
        <v>1B</v>
      </c>
      <c r="G30" s="47" t="s">
        <v>691</v>
      </c>
      <c r="H30" s="113">
        <v>172</v>
      </c>
      <c r="I30" s="145" t="s">
        <v>274</v>
      </c>
      <c r="J30" s="114">
        <v>2</v>
      </c>
      <c r="K30" s="114">
        <v>2</v>
      </c>
      <c r="L30" s="114">
        <v>2</v>
      </c>
      <c r="M30" s="115"/>
      <c r="N30" s="48" t="s">
        <v>750</v>
      </c>
      <c r="O30" s="47" t="s">
        <v>19</v>
      </c>
      <c r="P30" s="117">
        <v>16</v>
      </c>
      <c r="Q30" s="47" t="s">
        <v>19</v>
      </c>
      <c r="R30" s="49"/>
      <c r="S30" s="49"/>
      <c r="T30" s="49"/>
      <c r="U30" s="49"/>
      <c r="V30" s="49"/>
      <c r="W30" s="47"/>
      <c r="X30" s="47"/>
      <c r="Y30" s="47"/>
      <c r="Z30" s="49"/>
      <c r="AA30" s="49"/>
      <c r="AB30" s="47"/>
      <c r="AC30" s="115"/>
      <c r="AD30" s="115" t="s">
        <v>47</v>
      </c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</row>
    <row r="31" spans="1:60" ht="13">
      <c r="A31" s="50"/>
      <c r="B31" s="50" t="s">
        <v>8</v>
      </c>
      <c r="C31" s="144" t="s">
        <v>968</v>
      </c>
      <c r="D31" s="112" t="s">
        <v>969</v>
      </c>
      <c r="E31" s="50" t="str">
        <f t="shared" si="4"/>
        <v>Jack Bauer II</v>
      </c>
      <c r="F31" s="50" t="str">
        <f t="shared" si="3"/>
        <v>SS</v>
      </c>
      <c r="G31" s="50" t="s">
        <v>84</v>
      </c>
      <c r="H31" s="123">
        <v>178</v>
      </c>
      <c r="I31" s="145" t="s">
        <v>274</v>
      </c>
      <c r="J31" s="145">
        <v>2.5</v>
      </c>
      <c r="K31" s="145">
        <v>3.5</v>
      </c>
      <c r="L31" s="145">
        <v>4</v>
      </c>
      <c r="M31" s="146"/>
      <c r="N31" s="124" t="s">
        <v>965</v>
      </c>
      <c r="O31" s="50" t="s">
        <v>19</v>
      </c>
      <c r="P31" s="147">
        <v>22</v>
      </c>
      <c r="Q31" s="50" t="s">
        <v>38</v>
      </c>
      <c r="R31" s="148"/>
      <c r="S31" s="148"/>
      <c r="T31" s="148"/>
      <c r="U31" s="148"/>
      <c r="V31" s="148"/>
      <c r="W31" s="50"/>
      <c r="X31" s="50"/>
      <c r="Y31" s="50"/>
      <c r="Z31" s="148"/>
      <c r="AA31" s="148"/>
      <c r="AB31" s="50"/>
      <c r="AC31" s="146"/>
      <c r="AD31" s="146" t="s">
        <v>47</v>
      </c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</row>
    <row r="32" spans="1:60" ht="12.75" customHeight="1">
      <c r="A32" s="94" t="s">
        <v>973</v>
      </c>
      <c r="B32" s="8" t="s">
        <v>304</v>
      </c>
      <c r="C32" s="96" t="s">
        <v>975</v>
      </c>
      <c r="D32" s="96" t="s">
        <v>977</v>
      </c>
      <c r="E32" t="str">
        <f t="shared" ref="E32:E33" si="5">TRIM(LEFT(D32,LEN(D32)-4))</f>
        <v>Prickly Pearboi</v>
      </c>
      <c r="F32" s="8" t="str">
        <f t="shared" si="3"/>
        <v>SP</v>
      </c>
      <c r="G32" s="97" t="s">
        <v>820</v>
      </c>
      <c r="H32" s="4">
        <v>128</v>
      </c>
      <c r="I32" s="125">
        <v>1</v>
      </c>
      <c r="J32" s="99"/>
      <c r="K32" s="99"/>
      <c r="L32" s="99"/>
      <c r="M32" s="99"/>
      <c r="O32" t="s">
        <v>36</v>
      </c>
      <c r="P32" s="8">
        <v>25</v>
      </c>
      <c r="Q32" s="8" t="s">
        <v>35</v>
      </c>
      <c r="Y32" s="8"/>
      <c r="AA32" s="8">
        <v>0</v>
      </c>
      <c r="AB32" s="99">
        <v>1</v>
      </c>
      <c r="AC32" s="8">
        <v>128</v>
      </c>
      <c r="AD32" s="99">
        <v>1</v>
      </c>
    </row>
    <row r="33" spans="1:60" ht="12.75" customHeight="1">
      <c r="A33" s="93" t="s">
        <v>888</v>
      </c>
      <c r="B33" s="8" t="s">
        <v>304</v>
      </c>
      <c r="C33" s="140" t="s">
        <v>889</v>
      </c>
      <c r="D33" s="140" t="s">
        <v>891</v>
      </c>
      <c r="E33" t="str">
        <f t="shared" si="5"/>
        <v>Asipi Cantor</v>
      </c>
      <c r="F33" t="str">
        <f t="shared" si="3"/>
        <v>CL</v>
      </c>
      <c r="G33" s="127" t="s">
        <v>55</v>
      </c>
      <c r="H33" s="4">
        <v>242</v>
      </c>
      <c r="I33" s="108">
        <v>2</v>
      </c>
      <c r="J33" s="43"/>
      <c r="K33" s="43"/>
      <c r="L33" s="43"/>
      <c r="M33" s="43"/>
      <c r="N33" s="40"/>
      <c r="O33" s="40" t="s">
        <v>78</v>
      </c>
      <c r="P33" s="42">
        <v>11</v>
      </c>
      <c r="Q33" s="40" t="s">
        <v>78</v>
      </c>
      <c r="R33" s="40"/>
      <c r="S33" s="40"/>
      <c r="T33" s="40"/>
      <c r="U33" s="40"/>
      <c r="V33" s="40"/>
      <c r="W33" s="42">
        <v>3</v>
      </c>
      <c r="X33" s="42">
        <v>3</v>
      </c>
      <c r="Y33" s="109">
        <v>2.5</v>
      </c>
      <c r="Z33" s="42">
        <v>2.5</v>
      </c>
      <c r="AA33" s="109">
        <v>2.5</v>
      </c>
      <c r="AB33" s="44">
        <v>2.5</v>
      </c>
      <c r="AC33" s="44">
        <v>2</v>
      </c>
      <c r="AD33" s="108">
        <v>2</v>
      </c>
      <c r="AE33" s="109">
        <v>239</v>
      </c>
      <c r="AF33" s="42">
        <v>173</v>
      </c>
      <c r="AG33" s="42">
        <v>173</v>
      </c>
      <c r="AH33" s="42">
        <v>136</v>
      </c>
      <c r="AI33" s="42">
        <v>136</v>
      </c>
      <c r="AJ33" s="40"/>
      <c r="AK33" s="40"/>
      <c r="AL33" s="40"/>
      <c r="AM33" s="40"/>
      <c r="AN33" s="40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</row>
    <row r="34" spans="1:60" ht="13">
      <c r="C34" s="127"/>
      <c r="D34" s="127"/>
      <c r="G34" s="127"/>
      <c r="H34" s="182"/>
      <c r="I34" s="99">
        <f>9/4</f>
        <v>2.25</v>
      </c>
      <c r="J34" s="99"/>
      <c r="K34" s="99"/>
      <c r="L34" s="99"/>
      <c r="M34" s="99"/>
      <c r="N34" s="8" t="s">
        <v>987</v>
      </c>
      <c r="R34" s="8"/>
      <c r="S34" s="8"/>
      <c r="T34" s="8"/>
      <c r="U34" s="8"/>
      <c r="V34" s="8"/>
      <c r="Z34" s="8"/>
      <c r="AA34" s="8">
        <v>4</v>
      </c>
      <c r="AC34" s="98">
        <v>5</v>
      </c>
      <c r="AD34" s="98">
        <v>4.25</v>
      </c>
      <c r="AE34" s="182"/>
    </row>
    <row r="35" spans="1:60" ht="13">
      <c r="C35" s="127"/>
      <c r="D35" s="127"/>
      <c r="G35" s="127"/>
      <c r="H35" s="182"/>
      <c r="I35" s="99"/>
      <c r="J35" s="99"/>
      <c r="K35" s="99"/>
      <c r="L35" s="99"/>
      <c r="M35" s="99"/>
      <c r="N35" s="8" t="s">
        <v>340</v>
      </c>
      <c r="R35" s="8"/>
      <c r="S35" s="8"/>
      <c r="T35" s="8"/>
      <c r="U35" s="8"/>
      <c r="V35" s="8"/>
      <c r="Z35" s="8">
        <v>0.25</v>
      </c>
      <c r="AB35" s="8">
        <v>2.25</v>
      </c>
      <c r="AC35" s="99">
        <v>2.25</v>
      </c>
      <c r="AD35" s="99"/>
      <c r="AE35" s="182"/>
    </row>
    <row r="36" spans="1:60" ht="13">
      <c r="C36" s="127"/>
      <c r="D36" s="127"/>
      <c r="G36" s="127"/>
      <c r="H36" s="182"/>
      <c r="I36" s="99"/>
      <c r="J36" s="99"/>
      <c r="K36" s="99"/>
      <c r="L36" s="99"/>
      <c r="M36" s="99"/>
      <c r="N36" s="4" t="s">
        <v>989</v>
      </c>
      <c r="R36" s="8"/>
      <c r="S36" s="8"/>
      <c r="T36" s="8"/>
      <c r="U36" s="8"/>
      <c r="V36" s="8"/>
      <c r="Z36" s="8"/>
      <c r="AB36" s="8"/>
      <c r="AC36" s="99"/>
      <c r="AD36" s="98">
        <v>10</v>
      </c>
      <c r="AE36" s="182"/>
    </row>
    <row r="37" spans="1:60" ht="13">
      <c r="C37" s="127"/>
      <c r="D37" s="127"/>
      <c r="G37" s="127"/>
      <c r="H37" s="182"/>
      <c r="I37" s="99">
        <f t="shared" ref="I37:L37" si="6">SUM(I2:I35)</f>
        <v>104</v>
      </c>
      <c r="J37" s="99">
        <f t="shared" si="6"/>
        <v>94</v>
      </c>
      <c r="K37" s="99">
        <f t="shared" si="6"/>
        <v>79.5</v>
      </c>
      <c r="L37" s="99">
        <f t="shared" si="6"/>
        <v>32.75</v>
      </c>
      <c r="M37" s="99"/>
      <c r="R37" s="8"/>
      <c r="S37" s="8"/>
      <c r="T37" s="8"/>
      <c r="U37" s="8"/>
      <c r="V37" s="8"/>
      <c r="W37">
        <f>SUM(W2:W5)</f>
        <v>0</v>
      </c>
      <c r="X37">
        <f t="shared" ref="X37:Y37" si="7">SUM(X2:X6)</f>
        <v>10</v>
      </c>
      <c r="Y37">
        <f t="shared" si="7"/>
        <v>21.5</v>
      </c>
      <c r="Z37">
        <f t="shared" ref="Z37:AC37" si="8">SUM(Z2:Z35)</f>
        <v>44.5</v>
      </c>
      <c r="AA37">
        <f t="shared" si="8"/>
        <v>47.25</v>
      </c>
      <c r="AB37">
        <f t="shared" si="8"/>
        <v>56</v>
      </c>
      <c r="AC37" s="99">
        <f t="shared" si="8"/>
        <v>1169.25</v>
      </c>
      <c r="AD37" s="99">
        <f>SUM(AD2:AD36)</f>
        <v>331.75</v>
      </c>
      <c r="AE37" s="182"/>
    </row>
    <row r="38" spans="1:60" ht="13">
      <c r="C38" s="127"/>
      <c r="D38" s="127"/>
      <c r="G38" s="127"/>
      <c r="H38" s="182"/>
      <c r="AE38" s="182"/>
    </row>
    <row r="39" spans="1:60" ht="13">
      <c r="C39" s="127"/>
      <c r="D39" s="127"/>
      <c r="E39" s="128" t="s">
        <v>343</v>
      </c>
      <c r="F39" s="99"/>
      <c r="G39" s="129"/>
      <c r="H39" s="182"/>
      <c r="AE39" s="182"/>
      <c r="AG39" s="8"/>
      <c r="AH39" s="8"/>
    </row>
    <row r="40" spans="1:60" ht="13">
      <c r="C40" s="127"/>
      <c r="D40" s="127"/>
      <c r="E40" s="98" t="s">
        <v>344</v>
      </c>
      <c r="F40" s="99"/>
      <c r="G40" s="129"/>
      <c r="H40" s="182"/>
      <c r="AE40" s="182"/>
    </row>
    <row r="41" spans="1:60" ht="13">
      <c r="C41" s="127"/>
      <c r="D41" s="127"/>
      <c r="E41" s="149" t="s">
        <v>345</v>
      </c>
      <c r="F41" s="150"/>
      <c r="G41" s="151"/>
      <c r="H41" s="182"/>
      <c r="AE41" s="182"/>
    </row>
    <row r="42" spans="1:60" ht="13">
      <c r="C42" s="97"/>
      <c r="D42" s="127"/>
      <c r="E42" s="125" t="s">
        <v>347</v>
      </c>
      <c r="F42" s="102"/>
      <c r="G42" s="133"/>
      <c r="H42" s="182"/>
      <c r="AE42" s="182"/>
    </row>
    <row r="43" spans="1:60" ht="13">
      <c r="C43" s="127"/>
      <c r="D43" s="127"/>
      <c r="E43" s="90" t="s">
        <v>348</v>
      </c>
      <c r="F43" s="87"/>
      <c r="G43" s="134"/>
      <c r="H43" s="182"/>
      <c r="AE43" s="182"/>
    </row>
    <row r="44" spans="1:60" ht="13">
      <c r="C44" s="127"/>
      <c r="D44" s="127"/>
      <c r="E44" s="416" t="s">
        <v>350</v>
      </c>
      <c r="F44" s="417"/>
      <c r="G44" s="418"/>
      <c r="H44" s="182"/>
      <c r="AE44" s="182"/>
    </row>
    <row r="45" spans="1:60" ht="13">
      <c r="C45" s="127"/>
      <c r="D45" s="127"/>
      <c r="G45" s="127"/>
      <c r="H45" s="182"/>
      <c r="AE45" s="182"/>
    </row>
    <row r="46" spans="1:60" ht="13">
      <c r="C46" s="127"/>
      <c r="D46" s="127"/>
      <c r="G46" s="127"/>
      <c r="H46" s="182"/>
      <c r="AE46" s="182"/>
    </row>
    <row r="47" spans="1:60" ht="13">
      <c r="C47" s="127"/>
      <c r="D47" s="127"/>
      <c r="G47" s="127"/>
      <c r="H47" s="182"/>
      <c r="AE47" s="182"/>
    </row>
    <row r="48" spans="1:60" ht="13">
      <c r="C48" s="127"/>
      <c r="D48" s="127"/>
      <c r="G48" s="127"/>
      <c r="H48" s="182"/>
      <c r="AE48" s="182"/>
    </row>
    <row r="49" spans="3:31" ht="13">
      <c r="C49" s="127"/>
      <c r="D49" s="127"/>
      <c r="G49" s="127"/>
      <c r="H49" s="182"/>
      <c r="AE49" s="182"/>
    </row>
    <row r="50" spans="3:31" ht="13">
      <c r="C50" s="127"/>
      <c r="D50" s="127"/>
      <c r="G50" s="127"/>
      <c r="H50" s="182"/>
      <c r="AE50" s="182"/>
    </row>
    <row r="51" spans="3:31" ht="13">
      <c r="C51" s="127"/>
      <c r="D51" s="127"/>
      <c r="G51" s="127"/>
      <c r="H51" s="182"/>
      <c r="AE51" s="182"/>
    </row>
    <row r="52" spans="3:31" ht="13">
      <c r="C52" s="127"/>
      <c r="D52" s="127"/>
      <c r="G52" s="127"/>
      <c r="H52" s="182"/>
      <c r="AE52" s="182"/>
    </row>
    <row r="53" spans="3:31" ht="13">
      <c r="C53" s="127"/>
      <c r="D53" s="127"/>
      <c r="G53" s="127"/>
      <c r="H53" s="182"/>
      <c r="AE53" s="182"/>
    </row>
    <row r="54" spans="3:31" ht="13">
      <c r="C54" s="127"/>
      <c r="D54" s="127"/>
      <c r="G54" s="127"/>
      <c r="H54" s="182"/>
      <c r="AE54" s="182"/>
    </row>
    <row r="55" spans="3:31" ht="13">
      <c r="C55" s="127"/>
      <c r="D55" s="127"/>
      <c r="G55" s="127"/>
      <c r="H55" s="182"/>
      <c r="AE55" s="182"/>
    </row>
    <row r="56" spans="3:31" ht="13">
      <c r="C56" s="127"/>
      <c r="D56" s="127"/>
      <c r="G56" s="127"/>
      <c r="H56" s="182"/>
      <c r="AE56" s="182"/>
    </row>
    <row r="57" spans="3:31" ht="13">
      <c r="C57" s="127"/>
      <c r="D57" s="127"/>
      <c r="G57" s="127"/>
      <c r="H57" s="182"/>
      <c r="AE57" s="182"/>
    </row>
    <row r="58" spans="3:31" ht="13">
      <c r="C58" s="127"/>
      <c r="D58" s="127"/>
      <c r="G58" s="127"/>
      <c r="H58" s="182"/>
      <c r="AE58" s="182"/>
    </row>
    <row r="59" spans="3:31" ht="13">
      <c r="C59" s="127"/>
      <c r="D59" s="127"/>
      <c r="G59" s="127"/>
      <c r="H59" s="182"/>
      <c r="AE59" s="182"/>
    </row>
    <row r="60" spans="3:31" ht="13">
      <c r="C60" s="127"/>
      <c r="D60" s="127"/>
      <c r="G60" s="127"/>
      <c r="H60" s="182"/>
      <c r="AE60" s="182"/>
    </row>
    <row r="61" spans="3:31" ht="13">
      <c r="C61" s="127"/>
      <c r="D61" s="127"/>
      <c r="G61" s="127"/>
      <c r="H61" s="182"/>
      <c r="AE61" s="182"/>
    </row>
    <row r="62" spans="3:31" ht="13">
      <c r="C62" s="127"/>
      <c r="D62" s="127"/>
      <c r="G62" s="127"/>
      <c r="H62" s="182"/>
      <c r="AE62" s="182"/>
    </row>
    <row r="63" spans="3:31" ht="13">
      <c r="C63" s="127"/>
      <c r="D63" s="127"/>
      <c r="G63" s="127"/>
      <c r="H63" s="182"/>
      <c r="AE63" s="182"/>
    </row>
    <row r="64" spans="3:31" ht="13">
      <c r="C64" s="127"/>
      <c r="D64" s="127"/>
      <c r="G64" s="127"/>
      <c r="H64" s="182"/>
      <c r="AE64" s="182"/>
    </row>
    <row r="65" spans="3:31" ht="13">
      <c r="C65" s="127"/>
      <c r="D65" s="127"/>
      <c r="G65" s="127"/>
      <c r="H65" s="182"/>
      <c r="AE65" s="182"/>
    </row>
    <row r="66" spans="3:31" ht="13">
      <c r="C66" s="127"/>
      <c r="D66" s="127"/>
      <c r="G66" s="127"/>
      <c r="H66" s="182"/>
      <c r="AE66" s="182"/>
    </row>
    <row r="67" spans="3:31" ht="13">
      <c r="C67" s="127"/>
      <c r="D67" s="127"/>
      <c r="G67" s="127"/>
      <c r="H67" s="182"/>
      <c r="AE67" s="182"/>
    </row>
    <row r="68" spans="3:31" ht="13">
      <c r="C68" s="127"/>
      <c r="D68" s="127"/>
      <c r="G68" s="127"/>
      <c r="H68" s="182"/>
      <c r="AE68" s="182"/>
    </row>
    <row r="69" spans="3:31" ht="13">
      <c r="C69" s="127"/>
      <c r="D69" s="127"/>
      <c r="G69" s="127"/>
      <c r="H69" s="182"/>
      <c r="AE69" s="182"/>
    </row>
    <row r="70" spans="3:31" ht="13">
      <c r="C70" s="127"/>
      <c r="D70" s="127"/>
      <c r="G70" s="127"/>
      <c r="H70" s="182"/>
      <c r="AE70" s="182"/>
    </row>
    <row r="71" spans="3:31" ht="13">
      <c r="C71" s="127"/>
      <c r="D71" s="127"/>
      <c r="G71" s="127"/>
      <c r="H71" s="182"/>
      <c r="AE71" s="182"/>
    </row>
    <row r="72" spans="3:31" ht="13">
      <c r="C72" s="127"/>
      <c r="D72" s="127"/>
      <c r="G72" s="127"/>
      <c r="H72" s="182"/>
      <c r="AE72" s="182"/>
    </row>
    <row r="73" spans="3:31" ht="13">
      <c r="C73" s="127"/>
      <c r="D73" s="127"/>
      <c r="G73" s="127"/>
      <c r="H73" s="182"/>
      <c r="AE73" s="182"/>
    </row>
    <row r="74" spans="3:31" ht="13">
      <c r="C74" s="127"/>
      <c r="D74" s="127"/>
      <c r="G74" s="127"/>
      <c r="H74" s="182"/>
      <c r="AE74" s="182"/>
    </row>
    <row r="75" spans="3:31" ht="13">
      <c r="C75" s="127"/>
      <c r="D75" s="127"/>
      <c r="G75" s="127"/>
      <c r="H75" s="182"/>
      <c r="AE75" s="182"/>
    </row>
    <row r="76" spans="3:31" ht="13">
      <c r="C76" s="127"/>
      <c r="D76" s="127"/>
      <c r="G76" s="127"/>
      <c r="H76" s="182"/>
      <c r="AE76" s="182"/>
    </row>
    <row r="77" spans="3:31" ht="13">
      <c r="C77" s="127"/>
      <c r="D77" s="127"/>
      <c r="G77" s="127"/>
      <c r="H77" s="182"/>
      <c r="AE77" s="182"/>
    </row>
    <row r="78" spans="3:31" ht="13">
      <c r="C78" s="127"/>
      <c r="D78" s="127"/>
      <c r="G78" s="127"/>
      <c r="H78" s="182"/>
      <c r="AE78" s="182"/>
    </row>
    <row r="79" spans="3:31" ht="13">
      <c r="C79" s="127"/>
      <c r="D79" s="127"/>
      <c r="G79" s="127"/>
      <c r="H79" s="182"/>
      <c r="AE79" s="182"/>
    </row>
    <row r="80" spans="3:31" ht="13">
      <c r="C80" s="127"/>
      <c r="D80" s="127"/>
      <c r="G80" s="127"/>
      <c r="H80" s="182"/>
      <c r="AE80" s="182"/>
    </row>
    <row r="81" spans="3:31" ht="13">
      <c r="C81" s="127"/>
      <c r="D81" s="127"/>
      <c r="G81" s="127"/>
      <c r="H81" s="182"/>
      <c r="AE81" s="182"/>
    </row>
    <row r="82" spans="3:31" ht="13">
      <c r="C82" s="127"/>
      <c r="D82" s="127"/>
      <c r="G82" s="127"/>
      <c r="H82" s="182"/>
      <c r="AE82" s="182"/>
    </row>
    <row r="83" spans="3:31" ht="13">
      <c r="C83" s="127"/>
      <c r="D83" s="127"/>
      <c r="G83" s="127"/>
      <c r="H83" s="182"/>
      <c r="AE83" s="182"/>
    </row>
    <row r="84" spans="3:31" ht="13">
      <c r="C84" s="127"/>
      <c r="D84" s="127"/>
      <c r="G84" s="127"/>
      <c r="H84" s="182"/>
      <c r="AE84" s="182"/>
    </row>
    <row r="85" spans="3:31" ht="13">
      <c r="C85" s="127"/>
      <c r="D85" s="127"/>
      <c r="G85" s="127"/>
      <c r="H85" s="182"/>
      <c r="AE85" s="182"/>
    </row>
    <row r="86" spans="3:31" ht="13">
      <c r="C86" s="127"/>
      <c r="D86" s="127"/>
      <c r="G86" s="127"/>
      <c r="H86" s="182"/>
      <c r="AE86" s="182"/>
    </row>
    <row r="87" spans="3:31" ht="13">
      <c r="C87" s="127"/>
      <c r="D87" s="127"/>
      <c r="G87" s="127"/>
      <c r="H87" s="182"/>
      <c r="AE87" s="182"/>
    </row>
    <row r="88" spans="3:31" ht="13">
      <c r="C88" s="127"/>
      <c r="D88" s="127"/>
      <c r="G88" s="127"/>
      <c r="H88" s="182"/>
      <c r="AE88" s="182"/>
    </row>
    <row r="89" spans="3:31" ht="13">
      <c r="C89" s="127"/>
      <c r="D89" s="127"/>
      <c r="G89" s="127"/>
      <c r="H89" s="182"/>
      <c r="AE89" s="182"/>
    </row>
    <row r="90" spans="3:31" ht="13">
      <c r="C90" s="127"/>
      <c r="D90" s="127"/>
      <c r="G90" s="127"/>
      <c r="H90" s="182"/>
      <c r="AE90" s="182"/>
    </row>
    <row r="91" spans="3:31" ht="13">
      <c r="C91" s="127"/>
      <c r="D91" s="127"/>
      <c r="G91" s="127"/>
      <c r="H91" s="182"/>
      <c r="AE91" s="182"/>
    </row>
    <row r="92" spans="3:31" ht="13">
      <c r="C92" s="127"/>
      <c r="D92" s="127"/>
      <c r="G92" s="127"/>
      <c r="H92" s="182"/>
      <c r="AE92" s="182"/>
    </row>
    <row r="93" spans="3:31" ht="13">
      <c r="C93" s="127"/>
      <c r="D93" s="127"/>
      <c r="G93" s="127"/>
      <c r="H93" s="182"/>
      <c r="AE93" s="182"/>
    </row>
    <row r="94" spans="3:31" ht="13">
      <c r="C94" s="127"/>
      <c r="D94" s="127"/>
      <c r="G94" s="127"/>
      <c r="H94" s="182"/>
      <c r="AE94" s="182"/>
    </row>
    <row r="95" spans="3:31" ht="13">
      <c r="C95" s="127"/>
      <c r="D95" s="127"/>
      <c r="G95" s="127"/>
      <c r="H95" s="182"/>
      <c r="AE95" s="182"/>
    </row>
    <row r="96" spans="3:31" ht="13">
      <c r="C96" s="127"/>
      <c r="D96" s="127"/>
      <c r="G96" s="127"/>
      <c r="H96" s="182"/>
      <c r="AE96" s="182"/>
    </row>
    <row r="97" spans="3:31" ht="13">
      <c r="C97" s="127"/>
      <c r="D97" s="127"/>
      <c r="G97" s="127"/>
      <c r="H97" s="182"/>
      <c r="AE97" s="182"/>
    </row>
    <row r="98" spans="3:31" ht="13">
      <c r="C98" s="127"/>
      <c r="D98" s="127"/>
      <c r="G98" s="127"/>
      <c r="H98" s="182"/>
      <c r="AE98" s="182"/>
    </row>
    <row r="99" spans="3:31" ht="13">
      <c r="C99" s="127"/>
      <c r="D99" s="127"/>
      <c r="G99" s="127"/>
      <c r="H99" s="182"/>
      <c r="AE99" s="182"/>
    </row>
    <row r="100" spans="3:31" ht="13">
      <c r="C100" s="127"/>
      <c r="D100" s="127"/>
      <c r="G100" s="127"/>
      <c r="H100" s="182"/>
      <c r="AE100" s="182"/>
    </row>
    <row r="101" spans="3:31" ht="13">
      <c r="C101" s="127"/>
      <c r="D101" s="127"/>
      <c r="G101" s="127"/>
      <c r="H101" s="182"/>
      <c r="AE101" s="182"/>
    </row>
    <row r="102" spans="3:31" ht="13">
      <c r="C102" s="127"/>
      <c r="D102" s="127"/>
      <c r="G102" s="127"/>
      <c r="H102" s="182"/>
      <c r="AE102" s="182"/>
    </row>
    <row r="103" spans="3:31" ht="13">
      <c r="C103" s="127"/>
      <c r="D103" s="127"/>
      <c r="G103" s="127"/>
      <c r="H103" s="182"/>
      <c r="AE103" s="182"/>
    </row>
    <row r="104" spans="3:31" ht="13">
      <c r="C104" s="127"/>
      <c r="D104" s="127"/>
      <c r="G104" s="127"/>
      <c r="H104" s="182"/>
      <c r="AE104" s="182"/>
    </row>
    <row r="105" spans="3:31" ht="13">
      <c r="C105" s="127"/>
      <c r="D105" s="127"/>
      <c r="G105" s="127"/>
      <c r="H105" s="182"/>
      <c r="AE105" s="182"/>
    </row>
    <row r="106" spans="3:31" ht="13">
      <c r="C106" s="127"/>
      <c r="D106" s="127"/>
      <c r="G106" s="127"/>
      <c r="H106" s="182"/>
      <c r="AE106" s="182"/>
    </row>
    <row r="107" spans="3:31" ht="13">
      <c r="C107" s="127"/>
      <c r="D107" s="127"/>
      <c r="G107" s="127"/>
      <c r="H107" s="182"/>
      <c r="AE107" s="182"/>
    </row>
    <row r="108" spans="3:31" ht="13">
      <c r="C108" s="127"/>
      <c r="D108" s="127"/>
      <c r="G108" s="127"/>
      <c r="H108" s="182"/>
      <c r="AE108" s="182"/>
    </row>
    <row r="109" spans="3:31" ht="13">
      <c r="C109" s="127"/>
      <c r="D109" s="127"/>
      <c r="G109" s="127"/>
      <c r="H109" s="182"/>
      <c r="AE109" s="182"/>
    </row>
    <row r="110" spans="3:31" ht="13">
      <c r="C110" s="127"/>
      <c r="D110" s="127"/>
      <c r="G110" s="127"/>
      <c r="H110" s="182"/>
      <c r="AE110" s="182"/>
    </row>
    <row r="111" spans="3:31" ht="13">
      <c r="C111" s="127"/>
      <c r="D111" s="127"/>
      <c r="G111" s="127"/>
      <c r="H111" s="182"/>
      <c r="AE111" s="182"/>
    </row>
    <row r="112" spans="3:31" ht="13">
      <c r="C112" s="127"/>
      <c r="D112" s="127"/>
      <c r="G112" s="127"/>
      <c r="H112" s="182"/>
      <c r="AE112" s="182"/>
    </row>
    <row r="113" spans="3:31" ht="13">
      <c r="C113" s="127"/>
      <c r="D113" s="127"/>
      <c r="G113" s="127"/>
      <c r="H113" s="182"/>
      <c r="AE113" s="182"/>
    </row>
    <row r="114" spans="3:31" ht="13">
      <c r="C114" s="127"/>
      <c r="D114" s="127"/>
      <c r="G114" s="127"/>
      <c r="H114" s="182"/>
      <c r="AE114" s="182"/>
    </row>
    <row r="115" spans="3:31" ht="13">
      <c r="C115" s="127"/>
      <c r="D115" s="127"/>
      <c r="G115" s="127"/>
      <c r="H115" s="182"/>
      <c r="AE115" s="182"/>
    </row>
    <row r="116" spans="3:31" ht="13">
      <c r="C116" s="127"/>
      <c r="D116" s="127"/>
      <c r="G116" s="127"/>
      <c r="H116" s="182"/>
      <c r="AE116" s="182"/>
    </row>
    <row r="117" spans="3:31" ht="13">
      <c r="C117" s="127"/>
      <c r="D117" s="127"/>
      <c r="G117" s="127"/>
      <c r="H117" s="182"/>
      <c r="AE117" s="182"/>
    </row>
    <row r="118" spans="3:31" ht="13">
      <c r="C118" s="127"/>
      <c r="D118" s="127"/>
      <c r="G118" s="127"/>
      <c r="H118" s="182"/>
      <c r="AE118" s="182"/>
    </row>
    <row r="119" spans="3:31" ht="13">
      <c r="C119" s="127"/>
      <c r="D119" s="127"/>
      <c r="G119" s="127"/>
      <c r="H119" s="182"/>
      <c r="AE119" s="182"/>
    </row>
    <row r="120" spans="3:31" ht="13">
      <c r="C120" s="127"/>
      <c r="D120" s="127"/>
      <c r="G120" s="127"/>
      <c r="H120" s="182"/>
      <c r="AE120" s="182"/>
    </row>
    <row r="121" spans="3:31" ht="13">
      <c r="C121" s="127"/>
      <c r="D121" s="127"/>
      <c r="G121" s="127"/>
      <c r="H121" s="182"/>
      <c r="AE121" s="182"/>
    </row>
    <row r="122" spans="3:31" ht="13">
      <c r="C122" s="127"/>
      <c r="D122" s="127"/>
      <c r="G122" s="127"/>
      <c r="H122" s="182"/>
      <c r="AE122" s="182"/>
    </row>
    <row r="123" spans="3:31" ht="13">
      <c r="C123" s="127"/>
      <c r="D123" s="127"/>
      <c r="G123" s="127"/>
      <c r="H123" s="182"/>
      <c r="AE123" s="182"/>
    </row>
    <row r="124" spans="3:31" ht="13">
      <c r="C124" s="127"/>
      <c r="D124" s="127"/>
      <c r="G124" s="127"/>
      <c r="H124" s="182"/>
      <c r="AE124" s="182"/>
    </row>
    <row r="125" spans="3:31" ht="13">
      <c r="C125" s="127"/>
      <c r="D125" s="127"/>
      <c r="G125" s="127"/>
      <c r="H125" s="182"/>
      <c r="AE125" s="182"/>
    </row>
    <row r="126" spans="3:31" ht="13">
      <c r="C126" s="127"/>
      <c r="D126" s="127"/>
      <c r="G126" s="127"/>
      <c r="H126" s="182"/>
      <c r="AE126" s="182"/>
    </row>
    <row r="127" spans="3:31" ht="13">
      <c r="C127" s="127"/>
      <c r="D127" s="127"/>
      <c r="G127" s="127"/>
      <c r="H127" s="182"/>
      <c r="AE127" s="182"/>
    </row>
    <row r="128" spans="3:31" ht="13">
      <c r="C128" s="127"/>
      <c r="D128" s="127"/>
      <c r="G128" s="127"/>
      <c r="H128" s="182"/>
      <c r="AE128" s="182"/>
    </row>
    <row r="129" spans="3:31" ht="13">
      <c r="C129" s="127"/>
      <c r="D129" s="127"/>
      <c r="G129" s="127"/>
      <c r="H129" s="182"/>
      <c r="AE129" s="182"/>
    </row>
    <row r="130" spans="3:31" ht="13">
      <c r="C130" s="127"/>
      <c r="D130" s="127"/>
      <c r="G130" s="127"/>
      <c r="H130" s="182"/>
      <c r="AE130" s="182"/>
    </row>
    <row r="131" spans="3:31" ht="13">
      <c r="C131" s="127"/>
      <c r="D131" s="127"/>
      <c r="G131" s="127"/>
      <c r="H131" s="182"/>
      <c r="AE131" s="182"/>
    </row>
    <row r="132" spans="3:31" ht="13">
      <c r="C132" s="127"/>
      <c r="D132" s="127"/>
      <c r="G132" s="127"/>
      <c r="H132" s="182"/>
      <c r="AE132" s="182"/>
    </row>
    <row r="133" spans="3:31" ht="13">
      <c r="C133" s="127"/>
      <c r="D133" s="127"/>
      <c r="G133" s="127"/>
      <c r="H133" s="182"/>
      <c r="AE133" s="182"/>
    </row>
    <row r="134" spans="3:31" ht="13">
      <c r="C134" s="127"/>
      <c r="D134" s="127"/>
      <c r="G134" s="127"/>
      <c r="H134" s="182"/>
      <c r="AE134" s="182"/>
    </row>
    <row r="135" spans="3:31" ht="13">
      <c r="C135" s="127"/>
      <c r="D135" s="127"/>
      <c r="G135" s="127"/>
      <c r="H135" s="182"/>
      <c r="AE135" s="182"/>
    </row>
    <row r="136" spans="3:31" ht="13">
      <c r="C136" s="127"/>
      <c r="D136" s="127"/>
      <c r="G136" s="127"/>
      <c r="H136" s="182"/>
      <c r="AE136" s="182"/>
    </row>
    <row r="137" spans="3:31" ht="13">
      <c r="C137" s="127"/>
      <c r="D137" s="127"/>
      <c r="G137" s="127"/>
      <c r="H137" s="182"/>
      <c r="AE137" s="182"/>
    </row>
    <row r="138" spans="3:31" ht="13">
      <c r="C138" s="127"/>
      <c r="D138" s="127"/>
      <c r="G138" s="127"/>
      <c r="H138" s="182"/>
      <c r="AE138" s="182"/>
    </row>
    <row r="139" spans="3:31" ht="13">
      <c r="C139" s="127"/>
      <c r="D139" s="127"/>
      <c r="G139" s="127"/>
      <c r="H139" s="182"/>
      <c r="AE139" s="182"/>
    </row>
    <row r="140" spans="3:31" ht="13">
      <c r="C140" s="127"/>
      <c r="D140" s="127"/>
      <c r="G140" s="127"/>
      <c r="H140" s="182"/>
      <c r="AE140" s="182"/>
    </row>
    <row r="141" spans="3:31" ht="13">
      <c r="C141" s="127"/>
      <c r="D141" s="127"/>
      <c r="G141" s="127"/>
      <c r="H141" s="182"/>
      <c r="AE141" s="182"/>
    </row>
    <row r="142" spans="3:31" ht="13">
      <c r="C142" s="127"/>
      <c r="D142" s="127"/>
      <c r="G142" s="127"/>
      <c r="H142" s="182"/>
      <c r="AE142" s="182"/>
    </row>
    <row r="143" spans="3:31" ht="13">
      <c r="C143" s="127"/>
      <c r="D143" s="127"/>
      <c r="G143" s="127"/>
      <c r="H143" s="182"/>
      <c r="AE143" s="182"/>
    </row>
    <row r="144" spans="3:31" ht="13">
      <c r="C144" s="127"/>
      <c r="D144" s="127"/>
      <c r="G144" s="127"/>
      <c r="H144" s="182"/>
      <c r="AE144" s="182"/>
    </row>
    <row r="145" spans="3:31" ht="13">
      <c r="C145" s="127"/>
      <c r="D145" s="127"/>
      <c r="G145" s="127"/>
      <c r="H145" s="182"/>
      <c r="AE145" s="182"/>
    </row>
    <row r="146" spans="3:31" ht="13">
      <c r="C146" s="127"/>
      <c r="D146" s="127"/>
      <c r="G146" s="127"/>
      <c r="H146" s="182"/>
      <c r="AE146" s="182"/>
    </row>
    <row r="147" spans="3:31" ht="13">
      <c r="C147" s="127"/>
      <c r="D147" s="127"/>
      <c r="G147" s="127"/>
      <c r="H147" s="182"/>
      <c r="AE147" s="182"/>
    </row>
    <row r="148" spans="3:31" ht="13">
      <c r="C148" s="127"/>
      <c r="D148" s="127"/>
      <c r="G148" s="127"/>
      <c r="H148" s="182"/>
      <c r="AE148" s="182"/>
    </row>
    <row r="149" spans="3:31" ht="13">
      <c r="C149" s="127"/>
      <c r="D149" s="127"/>
      <c r="G149" s="127"/>
      <c r="H149" s="182"/>
      <c r="AE149" s="182"/>
    </row>
    <row r="150" spans="3:31" ht="13">
      <c r="C150" s="127"/>
      <c r="D150" s="127"/>
      <c r="G150" s="127"/>
      <c r="H150" s="182"/>
      <c r="AE150" s="182"/>
    </row>
    <row r="151" spans="3:31" ht="13">
      <c r="C151" s="127"/>
      <c r="D151" s="127"/>
      <c r="G151" s="127"/>
      <c r="H151" s="182"/>
      <c r="AE151" s="182"/>
    </row>
    <row r="152" spans="3:31" ht="13">
      <c r="C152" s="127"/>
      <c r="D152" s="127"/>
      <c r="G152" s="127"/>
      <c r="H152" s="182"/>
      <c r="AE152" s="182"/>
    </row>
    <row r="153" spans="3:31" ht="13">
      <c r="C153" s="127"/>
      <c r="D153" s="127"/>
      <c r="G153" s="127"/>
      <c r="H153" s="182"/>
      <c r="AE153" s="182"/>
    </row>
    <row r="154" spans="3:31" ht="13">
      <c r="C154" s="127"/>
      <c r="D154" s="127"/>
      <c r="G154" s="127"/>
      <c r="H154" s="182"/>
      <c r="AE154" s="182"/>
    </row>
    <row r="155" spans="3:31" ht="13">
      <c r="C155" s="127"/>
      <c r="D155" s="127"/>
      <c r="G155" s="127"/>
      <c r="H155" s="182"/>
      <c r="AE155" s="182"/>
    </row>
    <row r="156" spans="3:31" ht="13">
      <c r="C156" s="127"/>
      <c r="D156" s="127"/>
      <c r="G156" s="127"/>
      <c r="H156" s="182"/>
      <c r="AE156" s="182"/>
    </row>
    <row r="157" spans="3:31" ht="13">
      <c r="C157" s="127"/>
      <c r="D157" s="127"/>
      <c r="G157" s="127"/>
      <c r="H157" s="182"/>
      <c r="AE157" s="182"/>
    </row>
    <row r="158" spans="3:31" ht="13">
      <c r="C158" s="127"/>
      <c r="D158" s="127"/>
      <c r="G158" s="127"/>
      <c r="H158" s="182"/>
      <c r="AE158" s="182"/>
    </row>
    <row r="159" spans="3:31" ht="13">
      <c r="C159" s="127"/>
      <c r="D159" s="127"/>
      <c r="G159" s="127"/>
      <c r="H159" s="182"/>
      <c r="AE159" s="182"/>
    </row>
    <row r="160" spans="3:31" ht="13">
      <c r="C160" s="127"/>
      <c r="D160" s="127"/>
      <c r="G160" s="127"/>
      <c r="H160" s="182"/>
      <c r="AE160" s="182"/>
    </row>
    <row r="161" spans="3:31" ht="13">
      <c r="C161" s="127"/>
      <c r="D161" s="127"/>
      <c r="G161" s="127"/>
      <c r="H161" s="182"/>
      <c r="AE161" s="182"/>
    </row>
    <row r="162" spans="3:31" ht="13">
      <c r="C162" s="127"/>
      <c r="D162" s="127"/>
      <c r="G162" s="127"/>
      <c r="H162" s="182"/>
      <c r="AE162" s="182"/>
    </row>
    <row r="163" spans="3:31" ht="13">
      <c r="C163" s="127"/>
      <c r="D163" s="127"/>
      <c r="G163" s="127"/>
      <c r="H163" s="182"/>
      <c r="AE163" s="182"/>
    </row>
    <row r="164" spans="3:31" ht="13">
      <c r="C164" s="127"/>
      <c r="D164" s="127"/>
      <c r="G164" s="127"/>
      <c r="H164" s="182"/>
      <c r="AE164" s="182"/>
    </row>
    <row r="165" spans="3:31" ht="13">
      <c r="C165" s="127"/>
      <c r="D165" s="127"/>
      <c r="G165" s="127"/>
      <c r="H165" s="182"/>
      <c r="AE165" s="182"/>
    </row>
    <row r="166" spans="3:31" ht="13">
      <c r="C166" s="127"/>
      <c r="D166" s="127"/>
      <c r="G166" s="127"/>
      <c r="H166" s="182"/>
      <c r="AE166" s="182"/>
    </row>
    <row r="167" spans="3:31" ht="13">
      <c r="C167" s="127"/>
      <c r="D167" s="127"/>
      <c r="G167" s="127"/>
      <c r="H167" s="182"/>
      <c r="AE167" s="182"/>
    </row>
    <row r="168" spans="3:31" ht="13">
      <c r="C168" s="127"/>
      <c r="D168" s="127"/>
      <c r="G168" s="127"/>
      <c r="H168" s="182"/>
      <c r="AE168" s="182"/>
    </row>
    <row r="169" spans="3:31" ht="13">
      <c r="C169" s="127"/>
      <c r="D169" s="127"/>
      <c r="G169" s="127"/>
      <c r="H169" s="182"/>
      <c r="AE169" s="182"/>
    </row>
    <row r="170" spans="3:31" ht="13">
      <c r="C170" s="127"/>
      <c r="D170" s="127"/>
      <c r="G170" s="127"/>
      <c r="H170" s="182"/>
      <c r="AE170" s="182"/>
    </row>
    <row r="171" spans="3:31" ht="13">
      <c r="C171" s="127"/>
      <c r="D171" s="127"/>
      <c r="G171" s="127"/>
      <c r="H171" s="182"/>
      <c r="AE171" s="182"/>
    </row>
    <row r="172" spans="3:31" ht="13">
      <c r="C172" s="127"/>
      <c r="D172" s="127"/>
      <c r="G172" s="127"/>
      <c r="H172" s="182"/>
      <c r="AE172" s="182"/>
    </row>
    <row r="173" spans="3:31" ht="13">
      <c r="C173" s="127"/>
      <c r="D173" s="127"/>
      <c r="G173" s="127"/>
      <c r="H173" s="182"/>
      <c r="AE173" s="182"/>
    </row>
    <row r="174" spans="3:31" ht="13">
      <c r="C174" s="127"/>
      <c r="D174" s="127"/>
      <c r="G174" s="127"/>
      <c r="H174" s="182"/>
      <c r="AE174" s="182"/>
    </row>
    <row r="175" spans="3:31" ht="13">
      <c r="C175" s="127"/>
      <c r="D175" s="127"/>
      <c r="G175" s="127"/>
      <c r="H175" s="182"/>
      <c r="AE175" s="182"/>
    </row>
    <row r="176" spans="3:31" ht="13">
      <c r="C176" s="127"/>
      <c r="D176" s="127"/>
      <c r="G176" s="127"/>
      <c r="H176" s="182"/>
      <c r="AE176" s="182"/>
    </row>
    <row r="177" spans="3:31" ht="13">
      <c r="C177" s="127"/>
      <c r="D177" s="127"/>
      <c r="G177" s="127"/>
      <c r="H177" s="182"/>
      <c r="AE177" s="182"/>
    </row>
    <row r="178" spans="3:31" ht="13">
      <c r="C178" s="127"/>
      <c r="D178" s="127"/>
      <c r="G178" s="127"/>
      <c r="H178" s="182"/>
      <c r="AE178" s="182"/>
    </row>
    <row r="179" spans="3:31" ht="13">
      <c r="C179" s="127"/>
      <c r="D179" s="127"/>
      <c r="G179" s="127"/>
      <c r="H179" s="182"/>
      <c r="AE179" s="182"/>
    </row>
    <row r="180" spans="3:31" ht="13">
      <c r="C180" s="127"/>
      <c r="D180" s="127"/>
      <c r="G180" s="127"/>
      <c r="H180" s="182"/>
      <c r="AE180" s="182"/>
    </row>
    <row r="181" spans="3:31" ht="13">
      <c r="C181" s="127"/>
      <c r="D181" s="127"/>
      <c r="G181" s="127"/>
      <c r="H181" s="182"/>
      <c r="AE181" s="182"/>
    </row>
    <row r="182" spans="3:31" ht="13">
      <c r="C182" s="127"/>
      <c r="D182" s="127"/>
      <c r="G182" s="127"/>
      <c r="H182" s="182"/>
      <c r="AE182" s="182"/>
    </row>
    <row r="183" spans="3:31" ht="13">
      <c r="C183" s="127"/>
      <c r="D183" s="127"/>
      <c r="G183" s="127"/>
      <c r="H183" s="182"/>
      <c r="AE183" s="182"/>
    </row>
    <row r="184" spans="3:31" ht="13">
      <c r="C184" s="127"/>
      <c r="D184" s="127"/>
      <c r="G184" s="127"/>
      <c r="H184" s="182"/>
      <c r="AE184" s="182"/>
    </row>
    <row r="185" spans="3:31" ht="13">
      <c r="C185" s="127"/>
      <c r="D185" s="127"/>
      <c r="G185" s="127"/>
      <c r="H185" s="182"/>
      <c r="AE185" s="182"/>
    </row>
    <row r="186" spans="3:31" ht="13">
      <c r="C186" s="127"/>
      <c r="D186" s="127"/>
      <c r="G186" s="127"/>
      <c r="H186" s="182"/>
      <c r="AE186" s="182"/>
    </row>
    <row r="187" spans="3:31" ht="13">
      <c r="C187" s="127"/>
      <c r="D187" s="127"/>
      <c r="G187" s="127"/>
      <c r="H187" s="182"/>
      <c r="AE187" s="182"/>
    </row>
    <row r="188" spans="3:31" ht="13">
      <c r="C188" s="127"/>
      <c r="D188" s="127"/>
      <c r="G188" s="127"/>
      <c r="H188" s="182"/>
      <c r="AE188" s="182"/>
    </row>
    <row r="189" spans="3:31" ht="13">
      <c r="C189" s="127"/>
      <c r="D189" s="127"/>
      <c r="G189" s="127"/>
      <c r="H189" s="182"/>
      <c r="AE189" s="182"/>
    </row>
    <row r="190" spans="3:31" ht="13">
      <c r="C190" s="127"/>
      <c r="D190" s="127"/>
      <c r="G190" s="127"/>
      <c r="H190" s="182"/>
      <c r="AE190" s="182"/>
    </row>
    <row r="191" spans="3:31" ht="13">
      <c r="C191" s="127"/>
      <c r="D191" s="127"/>
      <c r="G191" s="127"/>
      <c r="H191" s="182"/>
      <c r="AE191" s="182"/>
    </row>
    <row r="192" spans="3:31" ht="13">
      <c r="C192" s="127"/>
      <c r="D192" s="127"/>
      <c r="G192" s="127"/>
      <c r="H192" s="182"/>
      <c r="AE192" s="182"/>
    </row>
    <row r="193" spans="3:31" ht="13">
      <c r="C193" s="127"/>
      <c r="D193" s="127"/>
      <c r="G193" s="127"/>
      <c r="H193" s="182"/>
      <c r="AE193" s="182"/>
    </row>
    <row r="194" spans="3:31" ht="13">
      <c r="C194" s="127"/>
      <c r="D194" s="127"/>
      <c r="G194" s="127"/>
      <c r="H194" s="182"/>
      <c r="AE194" s="182"/>
    </row>
    <row r="195" spans="3:31" ht="13">
      <c r="C195" s="127"/>
      <c r="D195" s="127"/>
      <c r="G195" s="127"/>
      <c r="H195" s="182"/>
      <c r="AE195" s="182"/>
    </row>
    <row r="196" spans="3:31" ht="13">
      <c r="C196" s="127"/>
      <c r="D196" s="127"/>
      <c r="G196" s="127"/>
      <c r="H196" s="182"/>
      <c r="AE196" s="182"/>
    </row>
    <row r="197" spans="3:31" ht="13">
      <c r="C197" s="127"/>
      <c r="D197" s="127"/>
      <c r="G197" s="127"/>
      <c r="H197" s="182"/>
      <c r="AE197" s="182"/>
    </row>
    <row r="198" spans="3:31" ht="13">
      <c r="C198" s="127"/>
      <c r="D198" s="127"/>
      <c r="G198" s="127"/>
      <c r="H198" s="182"/>
      <c r="AE198" s="182"/>
    </row>
    <row r="199" spans="3:31" ht="13">
      <c r="C199" s="127"/>
      <c r="D199" s="127"/>
      <c r="G199" s="127"/>
      <c r="H199" s="182"/>
      <c r="AE199" s="182"/>
    </row>
    <row r="200" spans="3:31" ht="13">
      <c r="C200" s="127"/>
      <c r="D200" s="127"/>
      <c r="G200" s="127"/>
      <c r="H200" s="182"/>
      <c r="AE200" s="182"/>
    </row>
    <row r="201" spans="3:31" ht="13">
      <c r="C201" s="127"/>
      <c r="D201" s="127"/>
      <c r="G201" s="127"/>
      <c r="H201" s="182"/>
      <c r="AE201" s="182"/>
    </row>
    <row r="202" spans="3:31" ht="13">
      <c r="C202" s="127"/>
      <c r="D202" s="127"/>
      <c r="G202" s="127"/>
      <c r="H202" s="182"/>
      <c r="AE202" s="182"/>
    </row>
    <row r="203" spans="3:31" ht="13">
      <c r="C203" s="127"/>
      <c r="D203" s="127"/>
      <c r="G203" s="127"/>
      <c r="H203" s="182"/>
      <c r="AE203" s="182"/>
    </row>
    <row r="204" spans="3:31" ht="13">
      <c r="C204" s="127"/>
      <c r="D204" s="127"/>
      <c r="G204" s="127"/>
      <c r="H204" s="182"/>
      <c r="AE204" s="182"/>
    </row>
    <row r="205" spans="3:31" ht="13">
      <c r="C205" s="127"/>
      <c r="D205" s="127"/>
      <c r="G205" s="127"/>
      <c r="H205" s="182"/>
      <c r="AE205" s="182"/>
    </row>
    <row r="206" spans="3:31" ht="13">
      <c r="C206" s="127"/>
      <c r="D206" s="127"/>
      <c r="G206" s="127"/>
      <c r="H206" s="182"/>
      <c r="AE206" s="182"/>
    </row>
    <row r="207" spans="3:31" ht="13">
      <c r="C207" s="127"/>
      <c r="D207" s="127"/>
      <c r="G207" s="127"/>
      <c r="H207" s="182"/>
      <c r="AE207" s="182"/>
    </row>
    <row r="208" spans="3:31" ht="13">
      <c r="C208" s="127"/>
      <c r="D208" s="127"/>
      <c r="G208" s="127"/>
      <c r="H208" s="182"/>
      <c r="AE208" s="182"/>
    </row>
    <row r="209" spans="3:31" ht="13">
      <c r="C209" s="127"/>
      <c r="D209" s="127"/>
      <c r="G209" s="127"/>
      <c r="H209" s="182"/>
      <c r="AE209" s="182"/>
    </row>
    <row r="210" spans="3:31" ht="13">
      <c r="C210" s="127"/>
      <c r="D210" s="127"/>
      <c r="G210" s="127"/>
      <c r="H210" s="182"/>
      <c r="AE210" s="182"/>
    </row>
    <row r="211" spans="3:31" ht="13">
      <c r="C211" s="127"/>
      <c r="D211" s="127"/>
      <c r="G211" s="127"/>
      <c r="H211" s="182"/>
      <c r="AE211" s="182"/>
    </row>
    <row r="212" spans="3:31" ht="13">
      <c r="C212" s="127"/>
      <c r="D212" s="127"/>
      <c r="G212" s="127"/>
      <c r="H212" s="182"/>
      <c r="AE212" s="182"/>
    </row>
    <row r="213" spans="3:31" ht="13">
      <c r="C213" s="127"/>
      <c r="D213" s="127"/>
      <c r="G213" s="127"/>
      <c r="H213" s="182"/>
      <c r="AE213" s="182"/>
    </row>
    <row r="214" spans="3:31" ht="13">
      <c r="C214" s="127"/>
      <c r="D214" s="127"/>
      <c r="G214" s="127"/>
      <c r="H214" s="182"/>
      <c r="AE214" s="182"/>
    </row>
    <row r="215" spans="3:31" ht="13">
      <c r="C215" s="127"/>
      <c r="D215" s="127"/>
      <c r="G215" s="127"/>
      <c r="H215" s="182"/>
      <c r="AE215" s="182"/>
    </row>
    <row r="216" spans="3:31" ht="13">
      <c r="C216" s="127"/>
      <c r="D216" s="127"/>
      <c r="G216" s="127"/>
      <c r="H216" s="182"/>
      <c r="AE216" s="182"/>
    </row>
    <row r="217" spans="3:31" ht="13">
      <c r="C217" s="127"/>
      <c r="D217" s="127"/>
      <c r="G217" s="127"/>
      <c r="H217" s="182"/>
      <c r="AE217" s="182"/>
    </row>
    <row r="218" spans="3:31" ht="13">
      <c r="C218" s="127"/>
      <c r="D218" s="127"/>
      <c r="G218" s="127"/>
      <c r="H218" s="182"/>
      <c r="AE218" s="182"/>
    </row>
    <row r="219" spans="3:31" ht="13">
      <c r="C219" s="127"/>
      <c r="D219" s="127"/>
      <c r="G219" s="127"/>
      <c r="H219" s="182"/>
      <c r="AE219" s="182"/>
    </row>
    <row r="220" spans="3:31" ht="13">
      <c r="C220" s="127"/>
      <c r="D220" s="127"/>
      <c r="G220" s="127"/>
      <c r="H220" s="182"/>
      <c r="AE220" s="182"/>
    </row>
    <row r="221" spans="3:31" ht="13">
      <c r="C221" s="127"/>
      <c r="D221" s="127"/>
      <c r="G221" s="127"/>
      <c r="H221" s="182"/>
      <c r="AE221" s="182"/>
    </row>
    <row r="222" spans="3:31" ht="13">
      <c r="C222" s="127"/>
      <c r="D222" s="127"/>
      <c r="G222" s="127"/>
      <c r="H222" s="182"/>
      <c r="AE222" s="182"/>
    </row>
    <row r="223" spans="3:31" ht="13">
      <c r="C223" s="127"/>
      <c r="D223" s="127"/>
      <c r="G223" s="127"/>
      <c r="H223" s="182"/>
      <c r="AE223" s="182"/>
    </row>
    <row r="224" spans="3:31" ht="13">
      <c r="C224" s="127"/>
      <c r="D224" s="127"/>
      <c r="G224" s="127"/>
      <c r="H224" s="182"/>
      <c r="AE224" s="182"/>
    </row>
    <row r="225" spans="3:31" ht="13">
      <c r="C225" s="127"/>
      <c r="D225" s="127"/>
      <c r="G225" s="127"/>
      <c r="H225" s="182"/>
      <c r="AE225" s="182"/>
    </row>
    <row r="226" spans="3:31" ht="13">
      <c r="C226" s="127"/>
      <c r="D226" s="127"/>
      <c r="G226" s="127"/>
      <c r="H226" s="182"/>
      <c r="AE226" s="182"/>
    </row>
    <row r="227" spans="3:31" ht="13">
      <c r="C227" s="127"/>
      <c r="D227" s="127"/>
      <c r="G227" s="127"/>
      <c r="H227" s="182"/>
      <c r="AE227" s="182"/>
    </row>
    <row r="228" spans="3:31" ht="13">
      <c r="C228" s="127"/>
      <c r="D228" s="127"/>
      <c r="G228" s="127"/>
      <c r="H228" s="182"/>
      <c r="AE228" s="182"/>
    </row>
    <row r="229" spans="3:31" ht="13">
      <c r="C229" s="127"/>
      <c r="D229" s="127"/>
      <c r="G229" s="127"/>
      <c r="H229" s="182"/>
      <c r="AE229" s="182"/>
    </row>
    <row r="230" spans="3:31" ht="13">
      <c r="C230" s="127"/>
      <c r="D230" s="127"/>
      <c r="G230" s="127"/>
      <c r="H230" s="182"/>
      <c r="AE230" s="182"/>
    </row>
    <row r="231" spans="3:31" ht="13">
      <c r="C231" s="127"/>
      <c r="D231" s="127"/>
      <c r="G231" s="127"/>
      <c r="H231" s="182"/>
      <c r="AE231" s="182"/>
    </row>
    <row r="232" spans="3:31" ht="13">
      <c r="C232" s="127"/>
      <c r="D232" s="127"/>
      <c r="G232" s="127"/>
      <c r="H232" s="182"/>
      <c r="AE232" s="182"/>
    </row>
    <row r="233" spans="3:31" ht="13">
      <c r="C233" s="127"/>
      <c r="D233" s="127"/>
      <c r="G233" s="127"/>
      <c r="H233" s="182"/>
      <c r="AE233" s="182"/>
    </row>
    <row r="234" spans="3:31" ht="13">
      <c r="C234" s="127"/>
      <c r="D234" s="127"/>
      <c r="G234" s="127"/>
      <c r="H234" s="182"/>
      <c r="AE234" s="182"/>
    </row>
    <row r="235" spans="3:31" ht="13">
      <c r="C235" s="127"/>
      <c r="D235" s="127"/>
      <c r="G235" s="127"/>
      <c r="H235" s="182"/>
      <c r="AE235" s="182"/>
    </row>
    <row r="236" spans="3:31" ht="13">
      <c r="C236" s="127"/>
      <c r="D236" s="127"/>
      <c r="G236" s="127"/>
      <c r="H236" s="182"/>
      <c r="AE236" s="182"/>
    </row>
    <row r="237" spans="3:31" ht="13">
      <c r="C237" s="127"/>
      <c r="D237" s="127"/>
      <c r="G237" s="127"/>
      <c r="H237" s="182"/>
      <c r="AE237" s="182"/>
    </row>
    <row r="238" spans="3:31" ht="13">
      <c r="C238" s="127"/>
      <c r="D238" s="127"/>
      <c r="G238" s="127"/>
      <c r="H238" s="182"/>
      <c r="AE238" s="182"/>
    </row>
    <row r="239" spans="3:31" ht="13">
      <c r="C239" s="127"/>
      <c r="D239" s="127"/>
      <c r="G239" s="127"/>
      <c r="H239" s="182"/>
      <c r="AE239" s="182"/>
    </row>
    <row r="240" spans="3:31" ht="13">
      <c r="C240" s="127"/>
      <c r="D240" s="127"/>
      <c r="G240" s="127"/>
      <c r="H240" s="182"/>
      <c r="AE240" s="182"/>
    </row>
    <row r="241" spans="3:31" ht="13">
      <c r="C241" s="127"/>
      <c r="D241" s="127"/>
      <c r="G241" s="127"/>
      <c r="H241" s="182"/>
      <c r="AE241" s="182"/>
    </row>
    <row r="242" spans="3:31" ht="13">
      <c r="C242" s="127"/>
      <c r="D242" s="127"/>
      <c r="G242" s="127"/>
      <c r="H242" s="182"/>
      <c r="AE242" s="182"/>
    </row>
    <row r="243" spans="3:31" ht="13">
      <c r="C243" s="127"/>
      <c r="D243" s="127"/>
      <c r="G243" s="127"/>
      <c r="H243" s="182"/>
      <c r="AE243" s="182"/>
    </row>
    <row r="244" spans="3:31" ht="13">
      <c r="C244" s="127"/>
      <c r="D244" s="127"/>
      <c r="G244" s="127"/>
      <c r="H244" s="182"/>
      <c r="AE244" s="182"/>
    </row>
    <row r="245" spans="3:31" ht="13">
      <c r="C245" s="127"/>
      <c r="D245" s="127"/>
      <c r="G245" s="127"/>
      <c r="H245" s="182"/>
      <c r="AE245" s="182"/>
    </row>
    <row r="246" spans="3:31" ht="13">
      <c r="C246" s="127"/>
      <c r="D246" s="127"/>
      <c r="G246" s="127"/>
      <c r="H246" s="182"/>
      <c r="AE246" s="182"/>
    </row>
    <row r="247" spans="3:31" ht="13">
      <c r="C247" s="127"/>
      <c r="D247" s="127"/>
      <c r="G247" s="127"/>
      <c r="H247" s="182"/>
      <c r="AE247" s="182"/>
    </row>
    <row r="248" spans="3:31" ht="13">
      <c r="C248" s="127"/>
      <c r="D248" s="127"/>
      <c r="G248" s="127"/>
      <c r="H248" s="182"/>
      <c r="AE248" s="182"/>
    </row>
    <row r="249" spans="3:31" ht="13">
      <c r="C249" s="127"/>
      <c r="D249" s="127"/>
      <c r="G249" s="127"/>
      <c r="H249" s="182"/>
      <c r="AE249" s="182"/>
    </row>
    <row r="250" spans="3:31" ht="13">
      <c r="C250" s="127"/>
      <c r="D250" s="127"/>
      <c r="G250" s="127"/>
      <c r="H250" s="182"/>
      <c r="AE250" s="182"/>
    </row>
    <row r="251" spans="3:31" ht="13">
      <c r="C251" s="127"/>
      <c r="D251" s="127"/>
      <c r="G251" s="127"/>
      <c r="H251" s="182"/>
      <c r="AE251" s="182"/>
    </row>
    <row r="252" spans="3:31" ht="13">
      <c r="C252" s="127"/>
      <c r="D252" s="127"/>
      <c r="G252" s="127"/>
      <c r="H252" s="182"/>
      <c r="AE252" s="182"/>
    </row>
    <row r="253" spans="3:31" ht="13">
      <c r="C253" s="127"/>
      <c r="D253" s="127"/>
      <c r="G253" s="127"/>
      <c r="H253" s="182"/>
      <c r="AE253" s="182"/>
    </row>
    <row r="254" spans="3:31" ht="13">
      <c r="C254" s="127"/>
      <c r="D254" s="127"/>
      <c r="G254" s="127"/>
      <c r="H254" s="182"/>
      <c r="AE254" s="182"/>
    </row>
    <row r="255" spans="3:31" ht="13">
      <c r="C255" s="127"/>
      <c r="D255" s="127"/>
      <c r="G255" s="127"/>
      <c r="H255" s="182"/>
      <c r="AE255" s="182"/>
    </row>
    <row r="256" spans="3:31" ht="13">
      <c r="C256" s="127"/>
      <c r="D256" s="127"/>
      <c r="G256" s="127"/>
      <c r="H256" s="182"/>
      <c r="AE256" s="182"/>
    </row>
    <row r="257" spans="3:31" ht="13">
      <c r="C257" s="127"/>
      <c r="D257" s="127"/>
      <c r="G257" s="127"/>
      <c r="H257" s="182"/>
      <c r="AE257" s="182"/>
    </row>
    <row r="258" spans="3:31" ht="13">
      <c r="C258" s="127"/>
      <c r="D258" s="127"/>
      <c r="G258" s="127"/>
      <c r="H258" s="182"/>
      <c r="AE258" s="182"/>
    </row>
    <row r="259" spans="3:31" ht="13">
      <c r="C259" s="127"/>
      <c r="D259" s="127"/>
      <c r="G259" s="127"/>
      <c r="H259" s="182"/>
      <c r="AE259" s="182"/>
    </row>
    <row r="260" spans="3:31" ht="13">
      <c r="C260" s="127"/>
      <c r="D260" s="127"/>
      <c r="G260" s="127"/>
      <c r="H260" s="182"/>
      <c r="AE260" s="182"/>
    </row>
    <row r="261" spans="3:31" ht="13">
      <c r="C261" s="127"/>
      <c r="D261" s="127"/>
      <c r="G261" s="127"/>
      <c r="H261" s="182"/>
      <c r="AE261" s="182"/>
    </row>
    <row r="262" spans="3:31" ht="13">
      <c r="C262" s="127"/>
      <c r="D262" s="127"/>
      <c r="G262" s="127"/>
      <c r="H262" s="182"/>
      <c r="AE262" s="182"/>
    </row>
    <row r="263" spans="3:31" ht="13">
      <c r="C263" s="127"/>
      <c r="D263" s="127"/>
      <c r="G263" s="127"/>
      <c r="H263" s="182"/>
      <c r="AE263" s="182"/>
    </row>
    <row r="264" spans="3:31" ht="13">
      <c r="C264" s="127"/>
      <c r="D264" s="127"/>
      <c r="G264" s="127"/>
      <c r="H264" s="182"/>
      <c r="AE264" s="182"/>
    </row>
    <row r="265" spans="3:31" ht="13">
      <c r="C265" s="127"/>
      <c r="D265" s="127"/>
      <c r="G265" s="127"/>
      <c r="H265" s="182"/>
      <c r="AE265" s="182"/>
    </row>
    <row r="266" spans="3:31" ht="13">
      <c r="C266" s="127"/>
      <c r="D266" s="127"/>
      <c r="G266" s="127"/>
      <c r="H266" s="182"/>
      <c r="AE266" s="182"/>
    </row>
    <row r="267" spans="3:31" ht="13">
      <c r="C267" s="127"/>
      <c r="D267" s="127"/>
      <c r="G267" s="127"/>
      <c r="H267" s="182"/>
      <c r="AE267" s="182"/>
    </row>
    <row r="268" spans="3:31" ht="13">
      <c r="C268" s="127"/>
      <c r="D268" s="127"/>
      <c r="G268" s="127"/>
      <c r="H268" s="182"/>
      <c r="AE268" s="182"/>
    </row>
    <row r="269" spans="3:31" ht="13">
      <c r="C269" s="127"/>
      <c r="D269" s="127"/>
      <c r="G269" s="127"/>
      <c r="H269" s="182"/>
      <c r="AE269" s="182"/>
    </row>
    <row r="270" spans="3:31" ht="13">
      <c r="C270" s="127"/>
      <c r="D270" s="127"/>
      <c r="G270" s="127"/>
      <c r="H270" s="182"/>
      <c r="AE270" s="182"/>
    </row>
    <row r="271" spans="3:31" ht="13">
      <c r="C271" s="127"/>
      <c r="D271" s="127"/>
      <c r="G271" s="127"/>
      <c r="H271" s="182"/>
      <c r="AE271" s="182"/>
    </row>
    <row r="272" spans="3:31" ht="13">
      <c r="C272" s="127"/>
      <c r="D272" s="127"/>
      <c r="G272" s="127"/>
      <c r="H272" s="182"/>
      <c r="AE272" s="182"/>
    </row>
    <row r="273" spans="3:31" ht="13">
      <c r="C273" s="127"/>
      <c r="D273" s="127"/>
      <c r="G273" s="127"/>
      <c r="H273" s="182"/>
      <c r="AE273" s="182"/>
    </row>
    <row r="274" spans="3:31" ht="13">
      <c r="C274" s="127"/>
      <c r="D274" s="127"/>
      <c r="G274" s="127"/>
      <c r="H274" s="182"/>
      <c r="AE274" s="182"/>
    </row>
    <row r="275" spans="3:31" ht="13">
      <c r="C275" s="127"/>
      <c r="D275" s="127"/>
      <c r="G275" s="127"/>
      <c r="H275" s="182"/>
      <c r="AE275" s="182"/>
    </row>
    <row r="276" spans="3:31" ht="13">
      <c r="C276" s="127"/>
      <c r="D276" s="127"/>
      <c r="G276" s="127"/>
      <c r="H276" s="182"/>
      <c r="AE276" s="182"/>
    </row>
    <row r="277" spans="3:31" ht="13">
      <c r="C277" s="127"/>
      <c r="D277" s="127"/>
      <c r="G277" s="127"/>
      <c r="H277" s="182"/>
      <c r="AE277" s="182"/>
    </row>
    <row r="278" spans="3:31" ht="13">
      <c r="C278" s="127"/>
      <c r="D278" s="127"/>
      <c r="G278" s="127"/>
      <c r="H278" s="182"/>
      <c r="AE278" s="182"/>
    </row>
    <row r="279" spans="3:31" ht="13">
      <c r="C279" s="127"/>
      <c r="D279" s="127"/>
      <c r="G279" s="127"/>
      <c r="H279" s="182"/>
      <c r="AE279" s="182"/>
    </row>
    <row r="280" spans="3:31" ht="13">
      <c r="C280" s="127"/>
      <c r="D280" s="127"/>
      <c r="G280" s="127"/>
      <c r="H280" s="182"/>
      <c r="AE280" s="182"/>
    </row>
    <row r="281" spans="3:31" ht="13">
      <c r="C281" s="127"/>
      <c r="D281" s="127"/>
      <c r="G281" s="127"/>
      <c r="H281" s="182"/>
      <c r="AE281" s="182"/>
    </row>
    <row r="282" spans="3:31" ht="13">
      <c r="C282" s="127"/>
      <c r="D282" s="127"/>
      <c r="G282" s="127"/>
      <c r="H282" s="182"/>
      <c r="AE282" s="182"/>
    </row>
    <row r="283" spans="3:31" ht="13">
      <c r="C283" s="127"/>
      <c r="D283" s="127"/>
      <c r="G283" s="127"/>
      <c r="H283" s="182"/>
      <c r="AE283" s="182"/>
    </row>
    <row r="284" spans="3:31" ht="13">
      <c r="C284" s="127"/>
      <c r="D284" s="127"/>
      <c r="G284" s="127"/>
      <c r="H284" s="182"/>
      <c r="AE284" s="182"/>
    </row>
    <row r="285" spans="3:31" ht="13">
      <c r="C285" s="127"/>
      <c r="D285" s="127"/>
      <c r="G285" s="127"/>
      <c r="H285" s="182"/>
      <c r="AE285" s="182"/>
    </row>
    <row r="286" spans="3:31" ht="13">
      <c r="C286" s="127"/>
      <c r="D286" s="127"/>
      <c r="G286" s="127"/>
      <c r="H286" s="182"/>
      <c r="AE286" s="182"/>
    </row>
    <row r="287" spans="3:31" ht="13">
      <c r="C287" s="127"/>
      <c r="D287" s="127"/>
      <c r="G287" s="127"/>
      <c r="H287" s="182"/>
      <c r="AE287" s="182"/>
    </row>
    <row r="288" spans="3:31" ht="13">
      <c r="C288" s="127"/>
      <c r="D288" s="127"/>
      <c r="G288" s="127"/>
      <c r="H288" s="182"/>
      <c r="AE288" s="182"/>
    </row>
    <row r="289" spans="3:31" ht="13">
      <c r="C289" s="127"/>
      <c r="D289" s="127"/>
      <c r="G289" s="127"/>
      <c r="H289" s="182"/>
      <c r="AE289" s="182"/>
    </row>
    <row r="290" spans="3:31" ht="13">
      <c r="C290" s="127"/>
      <c r="D290" s="127"/>
      <c r="G290" s="127"/>
      <c r="H290" s="182"/>
      <c r="AE290" s="182"/>
    </row>
    <row r="291" spans="3:31" ht="13">
      <c r="C291" s="127"/>
      <c r="D291" s="127"/>
      <c r="G291" s="127"/>
      <c r="H291" s="182"/>
      <c r="AE291" s="182"/>
    </row>
    <row r="292" spans="3:31" ht="13">
      <c r="C292" s="127"/>
      <c r="D292" s="127"/>
      <c r="G292" s="127"/>
      <c r="H292" s="182"/>
      <c r="AE292" s="182"/>
    </row>
    <row r="293" spans="3:31" ht="13">
      <c r="C293" s="127"/>
      <c r="D293" s="127"/>
      <c r="G293" s="127"/>
      <c r="H293" s="182"/>
      <c r="AE293" s="182"/>
    </row>
    <row r="294" spans="3:31" ht="13">
      <c r="C294" s="127"/>
      <c r="D294" s="127"/>
      <c r="G294" s="127"/>
      <c r="H294" s="182"/>
      <c r="AE294" s="182"/>
    </row>
    <row r="295" spans="3:31" ht="13">
      <c r="C295" s="127"/>
      <c r="D295" s="127"/>
      <c r="G295" s="127"/>
      <c r="H295" s="182"/>
      <c r="AE295" s="182"/>
    </row>
    <row r="296" spans="3:31" ht="13">
      <c r="C296" s="127"/>
      <c r="D296" s="127"/>
      <c r="G296" s="127"/>
      <c r="H296" s="182"/>
      <c r="AE296" s="182"/>
    </row>
    <row r="297" spans="3:31" ht="13">
      <c r="C297" s="127"/>
      <c r="D297" s="127"/>
      <c r="G297" s="127"/>
      <c r="H297" s="182"/>
      <c r="AE297" s="182"/>
    </row>
    <row r="298" spans="3:31" ht="13">
      <c r="C298" s="127"/>
      <c r="D298" s="127"/>
      <c r="G298" s="127"/>
      <c r="H298" s="182"/>
      <c r="AE298" s="182"/>
    </row>
    <row r="299" spans="3:31" ht="13">
      <c r="C299" s="127"/>
      <c r="D299" s="127"/>
      <c r="G299" s="127"/>
      <c r="H299" s="182"/>
      <c r="AE299" s="182"/>
    </row>
    <row r="300" spans="3:31" ht="13">
      <c r="C300" s="127"/>
      <c r="D300" s="127"/>
      <c r="G300" s="127"/>
      <c r="H300" s="182"/>
      <c r="AE300" s="182"/>
    </row>
    <row r="301" spans="3:31" ht="13">
      <c r="C301" s="127"/>
      <c r="D301" s="127"/>
      <c r="G301" s="127"/>
      <c r="H301" s="182"/>
      <c r="AE301" s="182"/>
    </row>
    <row r="302" spans="3:31" ht="13">
      <c r="C302" s="127"/>
      <c r="D302" s="127"/>
      <c r="G302" s="127"/>
      <c r="H302" s="182"/>
      <c r="AE302" s="182"/>
    </row>
    <row r="303" spans="3:31" ht="13">
      <c r="C303" s="127"/>
      <c r="D303" s="127"/>
      <c r="G303" s="127"/>
      <c r="H303" s="182"/>
      <c r="AE303" s="182"/>
    </row>
    <row r="304" spans="3:31" ht="13">
      <c r="C304" s="127"/>
      <c r="D304" s="127"/>
      <c r="G304" s="127"/>
      <c r="H304" s="182"/>
      <c r="AE304" s="182"/>
    </row>
    <row r="305" spans="3:31" ht="13">
      <c r="C305" s="127"/>
      <c r="D305" s="127"/>
      <c r="G305" s="127"/>
      <c r="H305" s="182"/>
      <c r="AE305" s="182"/>
    </row>
    <row r="306" spans="3:31" ht="13">
      <c r="C306" s="127"/>
      <c r="D306" s="127"/>
      <c r="G306" s="127"/>
      <c r="H306" s="182"/>
      <c r="AE306" s="182"/>
    </row>
    <row r="307" spans="3:31" ht="13">
      <c r="C307" s="127"/>
      <c r="D307" s="127"/>
      <c r="G307" s="127"/>
      <c r="H307" s="182"/>
      <c r="AE307" s="182"/>
    </row>
    <row r="308" spans="3:31" ht="13">
      <c r="C308" s="127"/>
      <c r="D308" s="127"/>
      <c r="G308" s="127"/>
      <c r="H308" s="182"/>
      <c r="AE308" s="182"/>
    </row>
    <row r="309" spans="3:31" ht="13">
      <c r="C309" s="127"/>
      <c r="D309" s="127"/>
      <c r="G309" s="127"/>
      <c r="H309" s="182"/>
      <c r="AE309" s="182"/>
    </row>
    <row r="310" spans="3:31" ht="13">
      <c r="C310" s="127"/>
      <c r="D310" s="127"/>
      <c r="G310" s="127"/>
      <c r="H310" s="182"/>
      <c r="AE310" s="182"/>
    </row>
    <row r="311" spans="3:31" ht="13">
      <c r="C311" s="127"/>
      <c r="D311" s="127"/>
      <c r="G311" s="127"/>
      <c r="H311" s="182"/>
      <c r="AE311" s="182"/>
    </row>
    <row r="312" spans="3:31" ht="13">
      <c r="C312" s="127"/>
      <c r="D312" s="127"/>
      <c r="G312" s="127"/>
      <c r="H312" s="182"/>
      <c r="AE312" s="182"/>
    </row>
    <row r="313" spans="3:31" ht="13">
      <c r="C313" s="127"/>
      <c r="D313" s="127"/>
      <c r="G313" s="127"/>
      <c r="H313" s="182"/>
      <c r="AE313" s="182"/>
    </row>
    <row r="314" spans="3:31" ht="13">
      <c r="C314" s="127"/>
      <c r="D314" s="127"/>
      <c r="G314" s="127"/>
      <c r="H314" s="182"/>
      <c r="AE314" s="182"/>
    </row>
    <row r="315" spans="3:31" ht="13">
      <c r="C315" s="127"/>
      <c r="D315" s="127"/>
      <c r="G315" s="127"/>
      <c r="H315" s="182"/>
      <c r="AE315" s="182"/>
    </row>
    <row r="316" spans="3:31" ht="13">
      <c r="C316" s="127"/>
      <c r="D316" s="127"/>
      <c r="G316" s="127"/>
      <c r="H316" s="182"/>
      <c r="AE316" s="182"/>
    </row>
    <row r="317" spans="3:31" ht="13">
      <c r="C317" s="127"/>
      <c r="D317" s="127"/>
      <c r="G317" s="127"/>
      <c r="H317" s="182"/>
      <c r="AE317" s="182"/>
    </row>
    <row r="318" spans="3:31" ht="13">
      <c r="C318" s="127"/>
      <c r="D318" s="127"/>
      <c r="G318" s="127"/>
      <c r="H318" s="182"/>
      <c r="AE318" s="182"/>
    </row>
    <row r="319" spans="3:31" ht="13">
      <c r="C319" s="127"/>
      <c r="D319" s="127"/>
      <c r="G319" s="127"/>
      <c r="H319" s="182"/>
      <c r="AE319" s="182"/>
    </row>
    <row r="320" spans="3:31" ht="13">
      <c r="C320" s="127"/>
      <c r="D320" s="127"/>
      <c r="G320" s="127"/>
      <c r="H320" s="182"/>
      <c r="AE320" s="182"/>
    </row>
    <row r="321" spans="3:31" ht="13">
      <c r="C321" s="127"/>
      <c r="D321" s="127"/>
      <c r="G321" s="127"/>
      <c r="H321" s="182"/>
      <c r="AE321" s="182"/>
    </row>
    <row r="322" spans="3:31" ht="13">
      <c r="C322" s="127"/>
      <c r="D322" s="127"/>
      <c r="G322" s="127"/>
      <c r="H322" s="182"/>
      <c r="AE322" s="182"/>
    </row>
    <row r="323" spans="3:31" ht="13">
      <c r="C323" s="127"/>
      <c r="D323" s="127"/>
      <c r="G323" s="127"/>
      <c r="H323" s="182"/>
      <c r="AE323" s="182"/>
    </row>
    <row r="324" spans="3:31" ht="13">
      <c r="C324" s="127"/>
      <c r="D324" s="127"/>
      <c r="G324" s="127"/>
      <c r="H324" s="182"/>
      <c r="AE324" s="182"/>
    </row>
    <row r="325" spans="3:31" ht="13">
      <c r="C325" s="127"/>
      <c r="D325" s="127"/>
      <c r="G325" s="127"/>
      <c r="H325" s="182"/>
      <c r="AE325" s="182"/>
    </row>
    <row r="326" spans="3:31" ht="13">
      <c r="C326" s="127"/>
      <c r="D326" s="127"/>
      <c r="G326" s="127"/>
      <c r="H326" s="182"/>
      <c r="AE326" s="182"/>
    </row>
    <row r="327" spans="3:31" ht="13">
      <c r="C327" s="127"/>
      <c r="D327" s="127"/>
      <c r="G327" s="127"/>
      <c r="H327" s="182"/>
      <c r="AE327" s="182"/>
    </row>
    <row r="328" spans="3:31" ht="13">
      <c r="C328" s="127"/>
      <c r="D328" s="127"/>
      <c r="G328" s="127"/>
      <c r="H328" s="182"/>
      <c r="AE328" s="182"/>
    </row>
    <row r="329" spans="3:31" ht="13">
      <c r="C329" s="127"/>
      <c r="D329" s="127"/>
      <c r="G329" s="127"/>
      <c r="H329" s="182"/>
      <c r="AE329" s="182"/>
    </row>
    <row r="330" spans="3:31" ht="13">
      <c r="C330" s="127"/>
      <c r="D330" s="127"/>
      <c r="G330" s="127"/>
      <c r="H330" s="182"/>
      <c r="AE330" s="182"/>
    </row>
    <row r="331" spans="3:31" ht="13">
      <c r="C331" s="127"/>
      <c r="D331" s="127"/>
      <c r="G331" s="127"/>
      <c r="H331" s="182"/>
      <c r="AE331" s="182"/>
    </row>
    <row r="332" spans="3:31" ht="13">
      <c r="C332" s="127"/>
      <c r="D332" s="127"/>
      <c r="G332" s="127"/>
      <c r="H332" s="182"/>
      <c r="AE332" s="182"/>
    </row>
    <row r="333" spans="3:31" ht="13">
      <c r="C333" s="127"/>
      <c r="D333" s="127"/>
      <c r="G333" s="127"/>
      <c r="H333" s="182"/>
      <c r="AE333" s="182"/>
    </row>
    <row r="334" spans="3:31" ht="13">
      <c r="C334" s="127"/>
      <c r="D334" s="127"/>
      <c r="G334" s="127"/>
      <c r="H334" s="182"/>
      <c r="AE334" s="182"/>
    </row>
    <row r="335" spans="3:31" ht="13">
      <c r="C335" s="127"/>
      <c r="D335" s="127"/>
      <c r="G335" s="127"/>
      <c r="H335" s="182"/>
      <c r="AE335" s="182"/>
    </row>
    <row r="336" spans="3:31" ht="13">
      <c r="C336" s="127"/>
      <c r="D336" s="127"/>
      <c r="G336" s="127"/>
      <c r="H336" s="182"/>
      <c r="AE336" s="182"/>
    </row>
    <row r="337" spans="3:31" ht="13">
      <c r="C337" s="127"/>
      <c r="D337" s="127"/>
      <c r="G337" s="127"/>
      <c r="H337" s="182"/>
      <c r="AE337" s="182"/>
    </row>
    <row r="338" spans="3:31" ht="13">
      <c r="C338" s="127"/>
      <c r="D338" s="127"/>
      <c r="G338" s="127"/>
      <c r="H338" s="182"/>
      <c r="AE338" s="182"/>
    </row>
    <row r="339" spans="3:31" ht="13">
      <c r="C339" s="127"/>
      <c r="D339" s="127"/>
      <c r="G339" s="127"/>
      <c r="H339" s="182"/>
      <c r="AE339" s="182"/>
    </row>
    <row r="340" spans="3:31" ht="13">
      <c r="C340" s="127"/>
      <c r="D340" s="127"/>
      <c r="G340" s="127"/>
      <c r="H340" s="182"/>
      <c r="AE340" s="182"/>
    </row>
    <row r="341" spans="3:31" ht="13">
      <c r="C341" s="127"/>
      <c r="D341" s="127"/>
      <c r="G341" s="127"/>
      <c r="H341" s="182"/>
      <c r="AE341" s="182"/>
    </row>
    <row r="342" spans="3:31" ht="13">
      <c r="C342" s="127"/>
      <c r="D342" s="127"/>
      <c r="G342" s="127"/>
      <c r="H342" s="182"/>
      <c r="AE342" s="182"/>
    </row>
    <row r="343" spans="3:31" ht="13">
      <c r="C343" s="127"/>
      <c r="D343" s="127"/>
      <c r="G343" s="127"/>
      <c r="H343" s="182"/>
      <c r="AE343" s="182"/>
    </row>
    <row r="344" spans="3:31" ht="13">
      <c r="C344" s="127"/>
      <c r="D344" s="127"/>
      <c r="G344" s="127"/>
      <c r="H344" s="182"/>
      <c r="AE344" s="182"/>
    </row>
    <row r="345" spans="3:31" ht="13">
      <c r="C345" s="127"/>
      <c r="D345" s="127"/>
      <c r="G345" s="127"/>
      <c r="H345" s="182"/>
      <c r="AE345" s="182"/>
    </row>
    <row r="346" spans="3:31" ht="13">
      <c r="C346" s="127"/>
      <c r="D346" s="127"/>
      <c r="G346" s="127"/>
      <c r="H346" s="182"/>
      <c r="AE346" s="182"/>
    </row>
    <row r="347" spans="3:31" ht="13">
      <c r="C347" s="127"/>
      <c r="D347" s="127"/>
      <c r="G347" s="127"/>
      <c r="H347" s="182"/>
      <c r="AE347" s="182"/>
    </row>
    <row r="348" spans="3:31" ht="13">
      <c r="C348" s="127"/>
      <c r="D348" s="127"/>
      <c r="G348" s="127"/>
      <c r="H348" s="182"/>
      <c r="AE348" s="182"/>
    </row>
    <row r="349" spans="3:31" ht="13">
      <c r="C349" s="127"/>
      <c r="D349" s="127"/>
      <c r="G349" s="127"/>
      <c r="H349" s="182"/>
      <c r="AE349" s="182"/>
    </row>
    <row r="350" spans="3:31" ht="13">
      <c r="C350" s="127"/>
      <c r="D350" s="127"/>
      <c r="G350" s="127"/>
      <c r="H350" s="182"/>
      <c r="AE350" s="182"/>
    </row>
    <row r="351" spans="3:31" ht="13">
      <c r="C351" s="127"/>
      <c r="D351" s="127"/>
      <c r="G351" s="127"/>
      <c r="H351" s="182"/>
      <c r="AE351" s="182"/>
    </row>
    <row r="352" spans="3:31" ht="13">
      <c r="C352" s="127"/>
      <c r="D352" s="127"/>
      <c r="G352" s="127"/>
      <c r="H352" s="182"/>
      <c r="AE352" s="182"/>
    </row>
    <row r="353" spans="3:31" ht="13">
      <c r="C353" s="127"/>
      <c r="D353" s="127"/>
      <c r="G353" s="127"/>
      <c r="H353" s="182"/>
      <c r="AE353" s="182"/>
    </row>
    <row r="354" spans="3:31" ht="13">
      <c r="C354" s="127"/>
      <c r="D354" s="127"/>
      <c r="G354" s="127"/>
      <c r="H354" s="182"/>
      <c r="AE354" s="182"/>
    </row>
    <row r="355" spans="3:31" ht="13">
      <c r="C355" s="127"/>
      <c r="D355" s="127"/>
      <c r="G355" s="127"/>
      <c r="H355" s="182"/>
      <c r="AE355" s="182"/>
    </row>
    <row r="356" spans="3:31" ht="13">
      <c r="C356" s="127"/>
      <c r="D356" s="127"/>
      <c r="G356" s="127"/>
      <c r="H356" s="182"/>
      <c r="AE356" s="182"/>
    </row>
    <row r="357" spans="3:31" ht="13">
      <c r="C357" s="127"/>
      <c r="D357" s="127"/>
      <c r="G357" s="127"/>
      <c r="H357" s="182"/>
      <c r="AE357" s="182"/>
    </row>
    <row r="358" spans="3:31" ht="13">
      <c r="C358" s="127"/>
      <c r="D358" s="127"/>
      <c r="G358" s="127"/>
      <c r="H358" s="182"/>
      <c r="AE358" s="182"/>
    </row>
    <row r="359" spans="3:31" ht="13">
      <c r="C359" s="127"/>
      <c r="D359" s="127"/>
      <c r="G359" s="127"/>
      <c r="H359" s="182"/>
      <c r="AE359" s="182"/>
    </row>
    <row r="360" spans="3:31" ht="13">
      <c r="C360" s="127"/>
      <c r="D360" s="127"/>
      <c r="G360" s="127"/>
      <c r="H360" s="182"/>
      <c r="AE360" s="182"/>
    </row>
    <row r="361" spans="3:31" ht="13">
      <c r="C361" s="127"/>
      <c r="D361" s="127"/>
      <c r="G361" s="127"/>
      <c r="H361" s="182"/>
      <c r="AE361" s="182"/>
    </row>
    <row r="362" spans="3:31" ht="13">
      <c r="C362" s="127"/>
      <c r="D362" s="127"/>
      <c r="G362" s="127"/>
      <c r="H362" s="182"/>
      <c r="AE362" s="182"/>
    </row>
    <row r="363" spans="3:31" ht="13">
      <c r="C363" s="127"/>
      <c r="D363" s="127"/>
      <c r="G363" s="127"/>
      <c r="H363" s="182"/>
      <c r="AE363" s="182"/>
    </row>
    <row r="364" spans="3:31" ht="13">
      <c r="C364" s="127"/>
      <c r="D364" s="127"/>
      <c r="G364" s="127"/>
      <c r="H364" s="182"/>
      <c r="AE364" s="182"/>
    </row>
    <row r="365" spans="3:31" ht="13">
      <c r="C365" s="127"/>
      <c r="D365" s="127"/>
      <c r="G365" s="127"/>
      <c r="H365" s="182"/>
      <c r="AE365" s="182"/>
    </row>
    <row r="366" spans="3:31" ht="13">
      <c r="C366" s="127"/>
      <c r="D366" s="127"/>
      <c r="G366" s="127"/>
      <c r="H366" s="182"/>
      <c r="AE366" s="182"/>
    </row>
    <row r="367" spans="3:31" ht="13">
      <c r="C367" s="127"/>
      <c r="D367" s="127"/>
      <c r="G367" s="127"/>
      <c r="H367" s="182"/>
      <c r="AE367" s="182"/>
    </row>
    <row r="368" spans="3:31" ht="13">
      <c r="C368" s="127"/>
      <c r="D368" s="127"/>
      <c r="G368" s="127"/>
      <c r="H368" s="182"/>
      <c r="AE368" s="182"/>
    </row>
    <row r="369" spans="3:31" ht="13">
      <c r="C369" s="127"/>
      <c r="D369" s="127"/>
      <c r="G369" s="127"/>
      <c r="H369" s="182"/>
      <c r="AE369" s="182"/>
    </row>
    <row r="370" spans="3:31" ht="13">
      <c r="C370" s="127"/>
      <c r="D370" s="127"/>
      <c r="G370" s="127"/>
      <c r="H370" s="182"/>
      <c r="AE370" s="182"/>
    </row>
    <row r="371" spans="3:31" ht="13">
      <c r="C371" s="127"/>
      <c r="D371" s="127"/>
      <c r="G371" s="127"/>
      <c r="H371" s="182"/>
      <c r="AE371" s="182"/>
    </row>
    <row r="372" spans="3:31" ht="13">
      <c r="C372" s="127"/>
      <c r="D372" s="127"/>
      <c r="G372" s="127"/>
      <c r="H372" s="182"/>
      <c r="AE372" s="182"/>
    </row>
    <row r="373" spans="3:31" ht="13">
      <c r="C373" s="127"/>
      <c r="D373" s="127"/>
      <c r="G373" s="127"/>
      <c r="H373" s="182"/>
      <c r="AE373" s="182"/>
    </row>
    <row r="374" spans="3:31" ht="13">
      <c r="C374" s="127"/>
      <c r="D374" s="127"/>
      <c r="G374" s="127"/>
      <c r="H374" s="182"/>
      <c r="AE374" s="182"/>
    </row>
    <row r="375" spans="3:31" ht="13">
      <c r="C375" s="127"/>
      <c r="D375" s="127"/>
      <c r="G375" s="127"/>
      <c r="H375" s="182"/>
      <c r="AE375" s="182"/>
    </row>
    <row r="376" spans="3:31" ht="13">
      <c r="C376" s="127"/>
      <c r="D376" s="127"/>
      <c r="G376" s="127"/>
      <c r="H376" s="182"/>
      <c r="AE376" s="182"/>
    </row>
    <row r="377" spans="3:31" ht="13">
      <c r="C377" s="127"/>
      <c r="D377" s="127"/>
      <c r="G377" s="127"/>
      <c r="H377" s="182"/>
      <c r="AE377" s="182"/>
    </row>
    <row r="378" spans="3:31" ht="13">
      <c r="C378" s="127"/>
      <c r="D378" s="127"/>
      <c r="G378" s="127"/>
      <c r="H378" s="182"/>
      <c r="AE378" s="182"/>
    </row>
    <row r="379" spans="3:31" ht="13">
      <c r="C379" s="127"/>
      <c r="D379" s="127"/>
      <c r="G379" s="127"/>
      <c r="H379" s="182"/>
      <c r="AE379" s="182"/>
    </row>
    <row r="380" spans="3:31" ht="13">
      <c r="C380" s="127"/>
      <c r="D380" s="127"/>
      <c r="G380" s="127"/>
      <c r="H380" s="182"/>
      <c r="AE380" s="182"/>
    </row>
    <row r="381" spans="3:31" ht="13">
      <c r="C381" s="127"/>
      <c r="D381" s="127"/>
      <c r="G381" s="127"/>
      <c r="H381" s="182"/>
      <c r="AE381" s="182"/>
    </row>
    <row r="382" spans="3:31" ht="13">
      <c r="C382" s="127"/>
      <c r="D382" s="127"/>
      <c r="G382" s="127"/>
      <c r="H382" s="182"/>
      <c r="AE382" s="182"/>
    </row>
    <row r="383" spans="3:31" ht="13">
      <c r="C383" s="127"/>
      <c r="D383" s="127"/>
      <c r="G383" s="127"/>
      <c r="H383" s="182"/>
      <c r="AE383" s="182"/>
    </row>
    <row r="384" spans="3:31" ht="13">
      <c r="C384" s="127"/>
      <c r="D384" s="127"/>
      <c r="G384" s="127"/>
      <c r="H384" s="182"/>
      <c r="AE384" s="182"/>
    </row>
    <row r="385" spans="3:31" ht="13">
      <c r="C385" s="127"/>
      <c r="D385" s="127"/>
      <c r="G385" s="127"/>
      <c r="H385" s="182"/>
      <c r="AE385" s="182"/>
    </row>
    <row r="386" spans="3:31" ht="13">
      <c r="C386" s="127"/>
      <c r="D386" s="127"/>
      <c r="G386" s="127"/>
      <c r="H386" s="182"/>
      <c r="AE386" s="182"/>
    </row>
    <row r="387" spans="3:31" ht="13">
      <c r="C387" s="127"/>
      <c r="D387" s="127"/>
      <c r="G387" s="127"/>
      <c r="H387" s="182"/>
      <c r="AE387" s="182"/>
    </row>
    <row r="388" spans="3:31" ht="13">
      <c r="C388" s="127"/>
      <c r="D388" s="127"/>
      <c r="G388" s="127"/>
      <c r="H388" s="182"/>
      <c r="AE388" s="182"/>
    </row>
    <row r="389" spans="3:31" ht="13">
      <c r="C389" s="127"/>
      <c r="D389" s="127"/>
      <c r="G389" s="127"/>
      <c r="H389" s="182"/>
      <c r="AE389" s="182"/>
    </row>
    <row r="390" spans="3:31" ht="13">
      <c r="C390" s="127"/>
      <c r="D390" s="127"/>
      <c r="G390" s="127"/>
      <c r="H390" s="182"/>
      <c r="AE390" s="182"/>
    </row>
    <row r="391" spans="3:31" ht="13">
      <c r="C391" s="127"/>
      <c r="D391" s="127"/>
      <c r="G391" s="127"/>
      <c r="H391" s="182"/>
      <c r="AE391" s="182"/>
    </row>
    <row r="392" spans="3:31" ht="13">
      <c r="C392" s="127"/>
      <c r="D392" s="127"/>
      <c r="G392" s="127"/>
      <c r="H392" s="182"/>
      <c r="AE392" s="182"/>
    </row>
    <row r="393" spans="3:31" ht="13">
      <c r="C393" s="127"/>
      <c r="D393" s="127"/>
      <c r="G393" s="127"/>
      <c r="H393" s="182"/>
      <c r="AE393" s="182"/>
    </row>
    <row r="394" spans="3:31" ht="13">
      <c r="C394" s="127"/>
      <c r="D394" s="127"/>
      <c r="G394" s="127"/>
      <c r="H394" s="182"/>
      <c r="AE394" s="182"/>
    </row>
    <row r="395" spans="3:31" ht="13">
      <c r="C395" s="127"/>
      <c r="D395" s="127"/>
      <c r="G395" s="127"/>
      <c r="H395" s="182"/>
      <c r="AE395" s="182"/>
    </row>
    <row r="396" spans="3:31" ht="13">
      <c r="C396" s="127"/>
      <c r="D396" s="127"/>
      <c r="G396" s="127"/>
      <c r="H396" s="182"/>
      <c r="AE396" s="182"/>
    </row>
    <row r="397" spans="3:31" ht="13">
      <c r="C397" s="127"/>
      <c r="D397" s="127"/>
      <c r="G397" s="127"/>
      <c r="H397" s="182"/>
      <c r="AE397" s="182"/>
    </row>
    <row r="398" spans="3:31" ht="13">
      <c r="C398" s="127"/>
      <c r="D398" s="127"/>
      <c r="G398" s="127"/>
      <c r="H398" s="182"/>
      <c r="AE398" s="182"/>
    </row>
    <row r="399" spans="3:31" ht="13">
      <c r="C399" s="127"/>
      <c r="D399" s="127"/>
      <c r="G399" s="127"/>
      <c r="H399" s="182"/>
      <c r="AE399" s="182"/>
    </row>
    <row r="400" spans="3:31" ht="13">
      <c r="C400" s="127"/>
      <c r="D400" s="127"/>
      <c r="G400" s="127"/>
      <c r="H400" s="182"/>
      <c r="AE400" s="182"/>
    </row>
    <row r="401" spans="3:31" ht="13">
      <c r="C401" s="127"/>
      <c r="D401" s="127"/>
      <c r="G401" s="127"/>
      <c r="H401" s="182"/>
      <c r="AE401" s="182"/>
    </row>
    <row r="402" spans="3:31" ht="13">
      <c r="C402" s="127"/>
      <c r="D402" s="127"/>
      <c r="G402" s="127"/>
      <c r="H402" s="182"/>
      <c r="AE402" s="182"/>
    </row>
    <row r="403" spans="3:31" ht="13">
      <c r="C403" s="127"/>
      <c r="D403" s="127"/>
      <c r="G403" s="127"/>
      <c r="H403" s="182"/>
      <c r="AE403" s="182"/>
    </row>
    <row r="404" spans="3:31" ht="13">
      <c r="C404" s="127"/>
      <c r="D404" s="127"/>
      <c r="G404" s="127"/>
      <c r="H404" s="182"/>
      <c r="AE404" s="182"/>
    </row>
    <row r="405" spans="3:31" ht="13">
      <c r="C405" s="127"/>
      <c r="D405" s="127"/>
      <c r="G405" s="127"/>
      <c r="H405" s="182"/>
      <c r="AE405" s="182"/>
    </row>
    <row r="406" spans="3:31" ht="13">
      <c r="C406" s="127"/>
      <c r="D406" s="127"/>
      <c r="G406" s="127"/>
      <c r="H406" s="182"/>
      <c r="AE406" s="182"/>
    </row>
    <row r="407" spans="3:31" ht="13">
      <c r="C407" s="127"/>
      <c r="D407" s="127"/>
      <c r="G407" s="127"/>
      <c r="H407" s="182"/>
      <c r="AE407" s="182"/>
    </row>
    <row r="408" spans="3:31" ht="13">
      <c r="C408" s="127"/>
      <c r="D408" s="127"/>
      <c r="G408" s="127"/>
      <c r="H408" s="182"/>
      <c r="AE408" s="182"/>
    </row>
    <row r="409" spans="3:31" ht="13">
      <c r="C409" s="127"/>
      <c r="D409" s="127"/>
      <c r="G409" s="127"/>
      <c r="H409" s="182"/>
      <c r="AE409" s="182"/>
    </row>
    <row r="410" spans="3:31" ht="13">
      <c r="C410" s="127"/>
      <c r="D410" s="127"/>
      <c r="G410" s="127"/>
      <c r="H410" s="182"/>
      <c r="AE410" s="182"/>
    </row>
    <row r="411" spans="3:31" ht="13">
      <c r="C411" s="127"/>
      <c r="D411" s="127"/>
      <c r="G411" s="127"/>
      <c r="H411" s="182"/>
      <c r="AE411" s="182"/>
    </row>
    <row r="412" spans="3:31" ht="13">
      <c r="C412" s="127"/>
      <c r="D412" s="127"/>
      <c r="G412" s="127"/>
      <c r="H412" s="182"/>
      <c r="AE412" s="182"/>
    </row>
    <row r="413" spans="3:31" ht="13">
      <c r="C413" s="127"/>
      <c r="D413" s="127"/>
      <c r="G413" s="127"/>
      <c r="H413" s="182"/>
      <c r="AE413" s="182"/>
    </row>
    <row r="414" spans="3:31" ht="13">
      <c r="C414" s="127"/>
      <c r="D414" s="127"/>
      <c r="G414" s="127"/>
      <c r="H414" s="182"/>
      <c r="AE414" s="182"/>
    </row>
    <row r="415" spans="3:31" ht="13">
      <c r="C415" s="127"/>
      <c r="D415" s="127"/>
      <c r="G415" s="127"/>
      <c r="H415" s="182"/>
      <c r="AE415" s="182"/>
    </row>
    <row r="416" spans="3:31" ht="13">
      <c r="C416" s="127"/>
      <c r="D416" s="127"/>
      <c r="G416" s="127"/>
      <c r="H416" s="182"/>
      <c r="AE416" s="182"/>
    </row>
    <row r="417" spans="3:31" ht="13">
      <c r="C417" s="127"/>
      <c r="D417" s="127"/>
      <c r="G417" s="127"/>
      <c r="H417" s="182"/>
      <c r="AE417" s="182"/>
    </row>
    <row r="418" spans="3:31" ht="13">
      <c r="C418" s="127"/>
      <c r="D418" s="127"/>
      <c r="G418" s="127"/>
      <c r="H418" s="182"/>
      <c r="AE418" s="182"/>
    </row>
    <row r="419" spans="3:31" ht="13">
      <c r="C419" s="127"/>
      <c r="D419" s="127"/>
      <c r="G419" s="127"/>
      <c r="H419" s="182"/>
      <c r="AE419" s="182"/>
    </row>
    <row r="420" spans="3:31" ht="13">
      <c r="C420" s="127"/>
      <c r="D420" s="127"/>
      <c r="G420" s="127"/>
      <c r="H420" s="182"/>
      <c r="AE420" s="182"/>
    </row>
    <row r="421" spans="3:31" ht="13">
      <c r="C421" s="127"/>
      <c r="D421" s="127"/>
      <c r="G421" s="127"/>
      <c r="H421" s="182"/>
      <c r="AE421" s="182"/>
    </row>
    <row r="422" spans="3:31" ht="13">
      <c r="C422" s="127"/>
      <c r="D422" s="127"/>
      <c r="G422" s="127"/>
      <c r="H422" s="182"/>
      <c r="AE422" s="182"/>
    </row>
    <row r="423" spans="3:31" ht="13">
      <c r="C423" s="127"/>
      <c r="D423" s="127"/>
      <c r="G423" s="127"/>
      <c r="H423" s="182"/>
      <c r="AE423" s="182"/>
    </row>
    <row r="424" spans="3:31" ht="13">
      <c r="C424" s="127"/>
      <c r="D424" s="127"/>
      <c r="G424" s="127"/>
      <c r="H424" s="182"/>
      <c r="AE424" s="182"/>
    </row>
    <row r="425" spans="3:31" ht="13">
      <c r="C425" s="127"/>
      <c r="D425" s="127"/>
      <c r="G425" s="127"/>
      <c r="H425" s="182"/>
      <c r="AE425" s="182"/>
    </row>
    <row r="426" spans="3:31" ht="13">
      <c r="C426" s="127"/>
      <c r="D426" s="127"/>
      <c r="G426" s="127"/>
      <c r="H426" s="182"/>
      <c r="AE426" s="182"/>
    </row>
    <row r="427" spans="3:31" ht="13">
      <c r="C427" s="127"/>
      <c r="D427" s="127"/>
      <c r="G427" s="127"/>
      <c r="H427" s="182"/>
      <c r="AE427" s="182"/>
    </row>
    <row r="428" spans="3:31" ht="13">
      <c r="C428" s="127"/>
      <c r="D428" s="127"/>
      <c r="G428" s="127"/>
      <c r="H428" s="182"/>
      <c r="AE428" s="182"/>
    </row>
    <row r="429" spans="3:31" ht="13">
      <c r="C429" s="127"/>
      <c r="D429" s="127"/>
      <c r="G429" s="127"/>
      <c r="H429" s="182"/>
      <c r="AE429" s="182"/>
    </row>
    <row r="430" spans="3:31" ht="13">
      <c r="C430" s="127"/>
      <c r="D430" s="127"/>
      <c r="G430" s="127"/>
      <c r="H430" s="182"/>
      <c r="AE430" s="182"/>
    </row>
    <row r="431" spans="3:31" ht="13">
      <c r="C431" s="127"/>
      <c r="D431" s="127"/>
      <c r="G431" s="127"/>
      <c r="H431" s="182"/>
      <c r="AE431" s="182"/>
    </row>
    <row r="432" spans="3:31" ht="13">
      <c r="C432" s="127"/>
      <c r="D432" s="127"/>
      <c r="G432" s="127"/>
      <c r="H432" s="182"/>
      <c r="AE432" s="182"/>
    </row>
    <row r="433" spans="3:31" ht="13">
      <c r="C433" s="127"/>
      <c r="D433" s="127"/>
      <c r="G433" s="127"/>
      <c r="H433" s="182"/>
      <c r="AE433" s="182"/>
    </row>
    <row r="434" spans="3:31" ht="13">
      <c r="C434" s="127"/>
      <c r="D434" s="127"/>
      <c r="G434" s="127"/>
      <c r="H434" s="182"/>
      <c r="AE434" s="182"/>
    </row>
    <row r="435" spans="3:31" ht="13">
      <c r="C435" s="127"/>
      <c r="D435" s="127"/>
      <c r="G435" s="127"/>
      <c r="H435" s="182"/>
      <c r="AE435" s="182"/>
    </row>
    <row r="436" spans="3:31" ht="13">
      <c r="C436" s="127"/>
      <c r="D436" s="127"/>
      <c r="G436" s="127"/>
      <c r="H436" s="182"/>
      <c r="AE436" s="182"/>
    </row>
    <row r="437" spans="3:31" ht="13">
      <c r="C437" s="127"/>
      <c r="D437" s="127"/>
      <c r="G437" s="127"/>
      <c r="H437" s="182"/>
      <c r="AE437" s="182"/>
    </row>
    <row r="438" spans="3:31" ht="13">
      <c r="C438" s="127"/>
      <c r="D438" s="127"/>
      <c r="G438" s="127"/>
      <c r="H438" s="182"/>
      <c r="AE438" s="182"/>
    </row>
    <row r="439" spans="3:31" ht="13">
      <c r="C439" s="127"/>
      <c r="D439" s="127"/>
      <c r="G439" s="127"/>
      <c r="H439" s="182"/>
      <c r="AE439" s="182"/>
    </row>
    <row r="440" spans="3:31" ht="13">
      <c r="C440" s="127"/>
      <c r="D440" s="127"/>
      <c r="G440" s="127"/>
      <c r="H440" s="182"/>
      <c r="AE440" s="182"/>
    </row>
    <row r="441" spans="3:31" ht="13">
      <c r="C441" s="127"/>
      <c r="D441" s="127"/>
      <c r="G441" s="127"/>
      <c r="H441" s="182"/>
      <c r="AE441" s="182"/>
    </row>
    <row r="442" spans="3:31" ht="13">
      <c r="C442" s="127"/>
      <c r="D442" s="127"/>
      <c r="G442" s="127"/>
      <c r="H442" s="182"/>
      <c r="AE442" s="182"/>
    </row>
    <row r="443" spans="3:31" ht="13">
      <c r="C443" s="127"/>
      <c r="D443" s="127"/>
      <c r="G443" s="127"/>
      <c r="H443" s="182"/>
      <c r="AE443" s="182"/>
    </row>
    <row r="444" spans="3:31" ht="13">
      <c r="C444" s="127"/>
      <c r="D444" s="127"/>
      <c r="G444" s="127"/>
      <c r="H444" s="182"/>
      <c r="AE444" s="182"/>
    </row>
    <row r="445" spans="3:31" ht="13">
      <c r="C445" s="127"/>
      <c r="D445" s="127"/>
      <c r="G445" s="127"/>
      <c r="H445" s="182"/>
      <c r="AE445" s="182"/>
    </row>
    <row r="446" spans="3:31" ht="13">
      <c r="C446" s="127"/>
      <c r="D446" s="127"/>
      <c r="G446" s="127"/>
      <c r="H446" s="182"/>
      <c r="AE446" s="182"/>
    </row>
    <row r="447" spans="3:31" ht="13">
      <c r="C447" s="127"/>
      <c r="D447" s="127"/>
      <c r="G447" s="127"/>
      <c r="H447" s="182"/>
      <c r="AE447" s="182"/>
    </row>
    <row r="448" spans="3:31" ht="13">
      <c r="C448" s="127"/>
      <c r="D448" s="127"/>
      <c r="G448" s="127"/>
      <c r="H448" s="182"/>
      <c r="AE448" s="182"/>
    </row>
    <row r="449" spans="3:31" ht="13">
      <c r="C449" s="127"/>
      <c r="D449" s="127"/>
      <c r="G449" s="127"/>
      <c r="H449" s="182"/>
      <c r="AE449" s="182"/>
    </row>
    <row r="450" spans="3:31" ht="13">
      <c r="C450" s="127"/>
      <c r="D450" s="127"/>
      <c r="G450" s="127"/>
      <c r="H450" s="182"/>
      <c r="AE450" s="182"/>
    </row>
    <row r="451" spans="3:31" ht="13">
      <c r="C451" s="127"/>
      <c r="D451" s="127"/>
      <c r="G451" s="127"/>
      <c r="H451" s="182"/>
      <c r="AE451" s="182"/>
    </row>
    <row r="452" spans="3:31" ht="13">
      <c r="C452" s="127"/>
      <c r="D452" s="127"/>
      <c r="G452" s="127"/>
      <c r="H452" s="182"/>
      <c r="AE452" s="182"/>
    </row>
    <row r="453" spans="3:31" ht="13">
      <c r="C453" s="127"/>
      <c r="D453" s="127"/>
      <c r="G453" s="127"/>
      <c r="H453" s="182"/>
      <c r="AE453" s="182"/>
    </row>
    <row r="454" spans="3:31" ht="13">
      <c r="C454" s="127"/>
      <c r="D454" s="127"/>
      <c r="G454" s="127"/>
      <c r="H454" s="182"/>
      <c r="AE454" s="182"/>
    </row>
    <row r="455" spans="3:31" ht="13">
      <c r="C455" s="127"/>
      <c r="D455" s="127"/>
      <c r="G455" s="127"/>
      <c r="H455" s="182"/>
      <c r="AE455" s="182"/>
    </row>
    <row r="456" spans="3:31" ht="13">
      <c r="C456" s="127"/>
      <c r="D456" s="127"/>
      <c r="G456" s="127"/>
      <c r="H456" s="182"/>
      <c r="AE456" s="182"/>
    </row>
    <row r="457" spans="3:31" ht="13">
      <c r="C457" s="127"/>
      <c r="D457" s="127"/>
      <c r="G457" s="127"/>
      <c r="H457" s="182"/>
      <c r="AE457" s="182"/>
    </row>
    <row r="458" spans="3:31" ht="13">
      <c r="C458" s="127"/>
      <c r="D458" s="127"/>
      <c r="G458" s="127"/>
      <c r="H458" s="182"/>
      <c r="AE458" s="182"/>
    </row>
    <row r="459" spans="3:31" ht="13">
      <c r="C459" s="127"/>
      <c r="D459" s="127"/>
      <c r="G459" s="127"/>
      <c r="H459" s="182"/>
      <c r="AE459" s="182"/>
    </row>
    <row r="460" spans="3:31" ht="13">
      <c r="C460" s="127"/>
      <c r="D460" s="127"/>
      <c r="G460" s="127"/>
      <c r="H460" s="182"/>
      <c r="AE460" s="182"/>
    </row>
    <row r="461" spans="3:31" ht="13">
      <c r="C461" s="127"/>
      <c r="D461" s="127"/>
      <c r="G461" s="127"/>
      <c r="H461" s="182"/>
      <c r="AE461" s="182"/>
    </row>
    <row r="462" spans="3:31" ht="13">
      <c r="C462" s="127"/>
      <c r="D462" s="127"/>
      <c r="G462" s="127"/>
      <c r="H462" s="182"/>
      <c r="AE462" s="182"/>
    </row>
    <row r="463" spans="3:31" ht="13">
      <c r="C463" s="127"/>
      <c r="D463" s="127"/>
      <c r="G463" s="127"/>
      <c r="H463" s="182"/>
      <c r="AE463" s="182"/>
    </row>
    <row r="464" spans="3:31" ht="13">
      <c r="C464" s="127"/>
      <c r="D464" s="127"/>
      <c r="G464" s="127"/>
      <c r="H464" s="182"/>
      <c r="AE464" s="182"/>
    </row>
    <row r="465" spans="3:31" ht="13">
      <c r="C465" s="127"/>
      <c r="D465" s="127"/>
      <c r="G465" s="127"/>
      <c r="H465" s="182"/>
      <c r="AE465" s="182"/>
    </row>
    <row r="466" spans="3:31" ht="13">
      <c r="C466" s="127"/>
      <c r="D466" s="127"/>
      <c r="G466" s="127"/>
      <c r="H466" s="182"/>
      <c r="AE466" s="182"/>
    </row>
    <row r="467" spans="3:31" ht="13">
      <c r="C467" s="127"/>
      <c r="D467" s="127"/>
      <c r="G467" s="127"/>
      <c r="H467" s="182"/>
      <c r="AE467" s="182"/>
    </row>
    <row r="468" spans="3:31" ht="13">
      <c r="C468" s="127"/>
      <c r="D468" s="127"/>
      <c r="G468" s="127"/>
      <c r="H468" s="182"/>
      <c r="AE468" s="182"/>
    </row>
    <row r="469" spans="3:31" ht="13">
      <c r="C469" s="127"/>
      <c r="D469" s="127"/>
      <c r="G469" s="127"/>
      <c r="H469" s="182"/>
      <c r="AE469" s="182"/>
    </row>
    <row r="470" spans="3:31" ht="13">
      <c r="C470" s="127"/>
      <c r="D470" s="127"/>
      <c r="G470" s="127"/>
      <c r="H470" s="182"/>
      <c r="AE470" s="182"/>
    </row>
    <row r="471" spans="3:31" ht="13">
      <c r="C471" s="127"/>
      <c r="D471" s="127"/>
      <c r="G471" s="127"/>
      <c r="H471" s="182"/>
      <c r="AE471" s="182"/>
    </row>
    <row r="472" spans="3:31" ht="13">
      <c r="C472" s="127"/>
      <c r="D472" s="127"/>
      <c r="G472" s="127"/>
      <c r="H472" s="182"/>
      <c r="AE472" s="182"/>
    </row>
    <row r="473" spans="3:31" ht="13">
      <c r="C473" s="127"/>
      <c r="D473" s="127"/>
      <c r="G473" s="127"/>
      <c r="H473" s="182"/>
      <c r="AE473" s="182"/>
    </row>
    <row r="474" spans="3:31" ht="13">
      <c r="C474" s="127"/>
      <c r="D474" s="127"/>
      <c r="G474" s="127"/>
      <c r="H474" s="182"/>
      <c r="AE474" s="182"/>
    </row>
    <row r="475" spans="3:31" ht="13">
      <c r="C475" s="127"/>
      <c r="D475" s="127"/>
      <c r="G475" s="127"/>
      <c r="H475" s="182"/>
      <c r="AE475" s="182"/>
    </row>
    <row r="476" spans="3:31" ht="13">
      <c r="C476" s="127"/>
      <c r="D476" s="127"/>
      <c r="G476" s="127"/>
      <c r="H476" s="182"/>
      <c r="AE476" s="182"/>
    </row>
    <row r="477" spans="3:31" ht="13">
      <c r="C477" s="127"/>
      <c r="D477" s="127"/>
      <c r="G477" s="127"/>
      <c r="H477" s="182"/>
      <c r="AE477" s="182"/>
    </row>
    <row r="478" spans="3:31" ht="13">
      <c r="C478" s="127"/>
      <c r="D478" s="127"/>
      <c r="G478" s="127"/>
      <c r="H478" s="182"/>
      <c r="AE478" s="182"/>
    </row>
    <row r="479" spans="3:31" ht="13">
      <c r="C479" s="127"/>
      <c r="D479" s="127"/>
      <c r="G479" s="127"/>
      <c r="H479" s="182"/>
      <c r="AE479" s="182"/>
    </row>
    <row r="480" spans="3:31" ht="13">
      <c r="C480" s="127"/>
      <c r="D480" s="127"/>
      <c r="G480" s="127"/>
      <c r="H480" s="182"/>
      <c r="AE480" s="182"/>
    </row>
    <row r="481" spans="3:31" ht="13">
      <c r="C481" s="127"/>
      <c r="D481" s="127"/>
      <c r="G481" s="127"/>
      <c r="H481" s="182"/>
      <c r="AE481" s="182"/>
    </row>
    <row r="482" spans="3:31" ht="13">
      <c r="C482" s="127"/>
      <c r="D482" s="127"/>
      <c r="G482" s="127"/>
      <c r="H482" s="182"/>
      <c r="AE482" s="182"/>
    </row>
    <row r="483" spans="3:31" ht="13">
      <c r="C483" s="127"/>
      <c r="D483" s="127"/>
      <c r="G483" s="127"/>
      <c r="H483" s="182"/>
      <c r="AE483" s="182"/>
    </row>
    <row r="484" spans="3:31" ht="13">
      <c r="C484" s="127"/>
      <c r="D484" s="127"/>
      <c r="G484" s="127"/>
      <c r="H484" s="182"/>
      <c r="AE484" s="182"/>
    </row>
    <row r="485" spans="3:31" ht="13">
      <c r="C485" s="127"/>
      <c r="D485" s="127"/>
      <c r="G485" s="127"/>
      <c r="H485" s="182"/>
      <c r="AE485" s="182"/>
    </row>
    <row r="486" spans="3:31" ht="13">
      <c r="C486" s="127"/>
      <c r="D486" s="127"/>
      <c r="G486" s="127"/>
      <c r="H486" s="182"/>
      <c r="AE486" s="182"/>
    </row>
    <row r="487" spans="3:31" ht="13">
      <c r="C487" s="127"/>
      <c r="D487" s="127"/>
      <c r="G487" s="127"/>
      <c r="H487" s="182"/>
      <c r="AE487" s="182"/>
    </row>
    <row r="488" spans="3:31" ht="13">
      <c r="C488" s="127"/>
      <c r="D488" s="127"/>
      <c r="G488" s="127"/>
      <c r="H488" s="182"/>
      <c r="AE488" s="182"/>
    </row>
    <row r="489" spans="3:31" ht="13">
      <c r="C489" s="127"/>
      <c r="D489" s="127"/>
      <c r="G489" s="127"/>
      <c r="H489" s="182"/>
      <c r="AE489" s="182"/>
    </row>
    <row r="490" spans="3:31" ht="13">
      <c r="C490" s="127"/>
      <c r="D490" s="127"/>
      <c r="G490" s="127"/>
      <c r="H490" s="182"/>
      <c r="AE490" s="182"/>
    </row>
    <row r="491" spans="3:31" ht="13">
      <c r="C491" s="127"/>
      <c r="D491" s="127"/>
      <c r="G491" s="127"/>
      <c r="H491" s="182"/>
      <c r="AE491" s="182"/>
    </row>
    <row r="492" spans="3:31" ht="13">
      <c r="C492" s="127"/>
      <c r="D492" s="127"/>
      <c r="G492" s="127"/>
      <c r="H492" s="182"/>
      <c r="AE492" s="182"/>
    </row>
    <row r="493" spans="3:31" ht="13">
      <c r="C493" s="127"/>
      <c r="D493" s="127"/>
      <c r="G493" s="127"/>
      <c r="H493" s="182"/>
      <c r="AE493" s="182"/>
    </row>
    <row r="494" spans="3:31" ht="13">
      <c r="C494" s="127"/>
      <c r="D494" s="127"/>
      <c r="G494" s="127"/>
      <c r="H494" s="182"/>
      <c r="AE494" s="182"/>
    </row>
    <row r="495" spans="3:31" ht="13">
      <c r="C495" s="127"/>
      <c r="D495" s="127"/>
      <c r="G495" s="127"/>
      <c r="H495" s="182"/>
      <c r="AE495" s="182"/>
    </row>
    <row r="496" spans="3:31" ht="13">
      <c r="C496" s="127"/>
      <c r="D496" s="127"/>
      <c r="G496" s="127"/>
      <c r="H496" s="182"/>
      <c r="AE496" s="182"/>
    </row>
    <row r="497" spans="3:31" ht="13">
      <c r="C497" s="127"/>
      <c r="D497" s="127"/>
      <c r="G497" s="127"/>
      <c r="H497" s="182"/>
      <c r="AE497" s="182"/>
    </row>
    <row r="498" spans="3:31" ht="13">
      <c r="C498" s="127"/>
      <c r="D498" s="127"/>
      <c r="G498" s="127"/>
      <c r="H498" s="182"/>
      <c r="AE498" s="182"/>
    </row>
    <row r="499" spans="3:31" ht="13">
      <c r="C499" s="127"/>
      <c r="D499" s="127"/>
      <c r="G499" s="127"/>
      <c r="H499" s="182"/>
      <c r="AE499" s="182"/>
    </row>
    <row r="500" spans="3:31" ht="13">
      <c r="C500" s="127"/>
      <c r="D500" s="127"/>
      <c r="G500" s="127"/>
      <c r="H500" s="182"/>
      <c r="AE500" s="182"/>
    </row>
    <row r="501" spans="3:31" ht="13">
      <c r="C501" s="127"/>
      <c r="D501" s="127"/>
      <c r="G501" s="127"/>
      <c r="H501" s="182"/>
      <c r="AE501" s="182"/>
    </row>
    <row r="502" spans="3:31" ht="13">
      <c r="C502" s="127"/>
      <c r="D502" s="127"/>
      <c r="G502" s="127"/>
      <c r="H502" s="182"/>
      <c r="AE502" s="182"/>
    </row>
    <row r="503" spans="3:31" ht="13">
      <c r="C503" s="127"/>
      <c r="D503" s="127"/>
      <c r="G503" s="127"/>
      <c r="H503" s="182"/>
      <c r="AE503" s="182"/>
    </row>
    <row r="504" spans="3:31" ht="13">
      <c r="C504" s="127"/>
      <c r="D504" s="127"/>
      <c r="G504" s="127"/>
      <c r="H504" s="182"/>
      <c r="AE504" s="182"/>
    </row>
    <row r="505" spans="3:31" ht="13">
      <c r="C505" s="127"/>
      <c r="D505" s="127"/>
      <c r="G505" s="127"/>
      <c r="H505" s="182"/>
      <c r="AE505" s="182"/>
    </row>
    <row r="506" spans="3:31" ht="13">
      <c r="C506" s="127"/>
      <c r="D506" s="127"/>
      <c r="G506" s="127"/>
      <c r="H506" s="182"/>
      <c r="AE506" s="182"/>
    </row>
    <row r="507" spans="3:31" ht="13">
      <c r="C507" s="127"/>
      <c r="D507" s="127"/>
      <c r="G507" s="127"/>
      <c r="H507" s="182"/>
      <c r="AE507" s="182"/>
    </row>
    <row r="508" spans="3:31" ht="13">
      <c r="C508" s="127"/>
      <c r="D508" s="127"/>
      <c r="G508" s="127"/>
      <c r="H508" s="182"/>
      <c r="AE508" s="182"/>
    </row>
    <row r="509" spans="3:31" ht="13">
      <c r="C509" s="127"/>
      <c r="D509" s="127"/>
      <c r="G509" s="127"/>
      <c r="H509" s="182"/>
      <c r="AE509" s="182"/>
    </row>
    <row r="510" spans="3:31" ht="13">
      <c r="C510" s="127"/>
      <c r="D510" s="127"/>
      <c r="G510" s="127"/>
      <c r="H510" s="182"/>
      <c r="AE510" s="182"/>
    </row>
    <row r="511" spans="3:31" ht="13">
      <c r="C511" s="127"/>
      <c r="D511" s="127"/>
      <c r="G511" s="127"/>
      <c r="H511" s="182"/>
      <c r="AE511" s="182"/>
    </row>
    <row r="512" spans="3:31" ht="13">
      <c r="C512" s="127"/>
      <c r="D512" s="127"/>
      <c r="G512" s="127"/>
      <c r="H512" s="182"/>
      <c r="AE512" s="182"/>
    </row>
    <row r="513" spans="3:31" ht="13">
      <c r="C513" s="127"/>
      <c r="D513" s="127"/>
      <c r="G513" s="127"/>
      <c r="H513" s="182"/>
      <c r="AE513" s="182"/>
    </row>
    <row r="514" spans="3:31" ht="13">
      <c r="C514" s="127"/>
      <c r="D514" s="127"/>
      <c r="G514" s="127"/>
      <c r="H514" s="182"/>
      <c r="AE514" s="182"/>
    </row>
    <row r="515" spans="3:31" ht="13">
      <c r="C515" s="127"/>
      <c r="D515" s="127"/>
      <c r="G515" s="127"/>
      <c r="H515" s="182"/>
      <c r="AE515" s="182"/>
    </row>
    <row r="516" spans="3:31" ht="13">
      <c r="C516" s="127"/>
      <c r="D516" s="127"/>
      <c r="G516" s="127"/>
      <c r="H516" s="182"/>
      <c r="AE516" s="182"/>
    </row>
    <row r="517" spans="3:31" ht="13">
      <c r="C517" s="127"/>
      <c r="D517" s="127"/>
      <c r="G517" s="127"/>
      <c r="H517" s="182"/>
      <c r="AE517" s="182"/>
    </row>
    <row r="518" spans="3:31" ht="13">
      <c r="C518" s="127"/>
      <c r="D518" s="127"/>
      <c r="G518" s="127"/>
      <c r="H518" s="182"/>
      <c r="AE518" s="182"/>
    </row>
    <row r="519" spans="3:31" ht="13">
      <c r="C519" s="127"/>
      <c r="D519" s="127"/>
      <c r="G519" s="127"/>
      <c r="H519" s="182"/>
      <c r="AE519" s="182"/>
    </row>
    <row r="520" spans="3:31" ht="13">
      <c r="C520" s="127"/>
      <c r="D520" s="127"/>
      <c r="G520" s="127"/>
      <c r="H520" s="182"/>
      <c r="AE520" s="182"/>
    </row>
    <row r="521" spans="3:31" ht="13">
      <c r="C521" s="127"/>
      <c r="D521" s="127"/>
      <c r="G521" s="127"/>
      <c r="H521" s="182"/>
      <c r="AE521" s="182"/>
    </row>
    <row r="522" spans="3:31" ht="13">
      <c r="C522" s="127"/>
      <c r="D522" s="127"/>
      <c r="G522" s="127"/>
      <c r="H522" s="182"/>
      <c r="AE522" s="182"/>
    </row>
    <row r="523" spans="3:31" ht="13">
      <c r="C523" s="127"/>
      <c r="D523" s="127"/>
      <c r="G523" s="127"/>
      <c r="H523" s="182"/>
      <c r="AE523" s="182"/>
    </row>
    <row r="524" spans="3:31" ht="13">
      <c r="C524" s="127"/>
      <c r="D524" s="127"/>
      <c r="G524" s="127"/>
      <c r="H524" s="182"/>
      <c r="AE524" s="182"/>
    </row>
    <row r="525" spans="3:31" ht="13">
      <c r="C525" s="127"/>
      <c r="D525" s="127"/>
      <c r="G525" s="127"/>
      <c r="H525" s="182"/>
      <c r="AE525" s="182"/>
    </row>
    <row r="526" spans="3:31" ht="13">
      <c r="C526" s="127"/>
      <c r="D526" s="127"/>
      <c r="G526" s="127"/>
      <c r="H526" s="182"/>
      <c r="AE526" s="182"/>
    </row>
    <row r="527" spans="3:31" ht="13">
      <c r="C527" s="127"/>
      <c r="D527" s="127"/>
      <c r="G527" s="127"/>
      <c r="H527" s="182"/>
      <c r="AE527" s="182"/>
    </row>
    <row r="528" spans="3:31" ht="13">
      <c r="C528" s="127"/>
      <c r="D528" s="127"/>
      <c r="G528" s="127"/>
      <c r="H528" s="182"/>
      <c r="AE528" s="182"/>
    </row>
    <row r="529" spans="3:31" ht="13">
      <c r="C529" s="127"/>
      <c r="D529" s="127"/>
      <c r="G529" s="127"/>
      <c r="H529" s="182"/>
      <c r="AE529" s="182"/>
    </row>
    <row r="530" spans="3:31" ht="13">
      <c r="C530" s="127"/>
      <c r="D530" s="127"/>
      <c r="G530" s="127"/>
      <c r="H530" s="182"/>
      <c r="AE530" s="182"/>
    </row>
    <row r="531" spans="3:31" ht="13">
      <c r="C531" s="127"/>
      <c r="D531" s="127"/>
      <c r="G531" s="127"/>
      <c r="H531" s="182"/>
      <c r="AE531" s="182"/>
    </row>
    <row r="532" spans="3:31" ht="13">
      <c r="C532" s="127"/>
      <c r="D532" s="127"/>
      <c r="G532" s="127"/>
      <c r="H532" s="182"/>
      <c r="AE532" s="182"/>
    </row>
    <row r="533" spans="3:31" ht="13">
      <c r="C533" s="127"/>
      <c r="D533" s="127"/>
      <c r="G533" s="127"/>
      <c r="H533" s="182"/>
      <c r="AE533" s="182"/>
    </row>
    <row r="534" spans="3:31" ht="13">
      <c r="C534" s="127"/>
      <c r="D534" s="127"/>
      <c r="G534" s="127"/>
      <c r="H534" s="182"/>
      <c r="AE534" s="182"/>
    </row>
    <row r="535" spans="3:31" ht="13">
      <c r="C535" s="127"/>
      <c r="D535" s="127"/>
      <c r="G535" s="127"/>
      <c r="H535" s="182"/>
      <c r="AE535" s="182"/>
    </row>
    <row r="536" spans="3:31" ht="13">
      <c r="C536" s="127"/>
      <c r="D536" s="127"/>
      <c r="G536" s="127"/>
      <c r="H536" s="182"/>
      <c r="AE536" s="182"/>
    </row>
    <row r="537" spans="3:31" ht="13">
      <c r="C537" s="127"/>
      <c r="D537" s="127"/>
      <c r="G537" s="127"/>
      <c r="H537" s="182"/>
      <c r="AE537" s="182"/>
    </row>
    <row r="538" spans="3:31" ht="13">
      <c r="C538" s="127"/>
      <c r="D538" s="127"/>
      <c r="G538" s="127"/>
      <c r="H538" s="182"/>
      <c r="AE538" s="182"/>
    </row>
    <row r="539" spans="3:31" ht="13">
      <c r="C539" s="127"/>
      <c r="D539" s="127"/>
      <c r="G539" s="127"/>
      <c r="H539" s="182"/>
      <c r="AE539" s="182"/>
    </row>
    <row r="540" spans="3:31" ht="13">
      <c r="C540" s="127"/>
      <c r="D540" s="127"/>
      <c r="G540" s="127"/>
      <c r="H540" s="182"/>
      <c r="AE540" s="182"/>
    </row>
    <row r="541" spans="3:31" ht="13">
      <c r="C541" s="127"/>
      <c r="D541" s="127"/>
      <c r="G541" s="127"/>
      <c r="H541" s="182"/>
      <c r="AE541" s="182"/>
    </row>
    <row r="542" spans="3:31" ht="13">
      <c r="C542" s="127"/>
      <c r="D542" s="127"/>
      <c r="G542" s="127"/>
      <c r="H542" s="182"/>
      <c r="AE542" s="182"/>
    </row>
    <row r="543" spans="3:31" ht="13">
      <c r="C543" s="127"/>
      <c r="D543" s="127"/>
      <c r="G543" s="127"/>
      <c r="H543" s="182"/>
      <c r="AE543" s="182"/>
    </row>
    <row r="544" spans="3:31" ht="13">
      <c r="C544" s="127"/>
      <c r="D544" s="127"/>
      <c r="G544" s="127"/>
      <c r="H544" s="182"/>
      <c r="AE544" s="182"/>
    </row>
    <row r="545" spans="3:31" ht="13">
      <c r="C545" s="127"/>
      <c r="D545" s="127"/>
      <c r="G545" s="127"/>
      <c r="H545" s="182"/>
      <c r="AE545" s="182"/>
    </row>
    <row r="546" spans="3:31" ht="13">
      <c r="C546" s="127"/>
      <c r="D546" s="127"/>
      <c r="G546" s="127"/>
      <c r="H546" s="182"/>
      <c r="AE546" s="182"/>
    </row>
    <row r="547" spans="3:31" ht="13">
      <c r="C547" s="127"/>
      <c r="D547" s="127"/>
      <c r="G547" s="127"/>
      <c r="H547" s="182"/>
      <c r="AE547" s="182"/>
    </row>
    <row r="548" spans="3:31" ht="13">
      <c r="C548" s="127"/>
      <c r="D548" s="127"/>
      <c r="G548" s="127"/>
      <c r="H548" s="182"/>
      <c r="AE548" s="182"/>
    </row>
    <row r="549" spans="3:31" ht="13">
      <c r="C549" s="127"/>
      <c r="D549" s="127"/>
      <c r="G549" s="127"/>
      <c r="H549" s="182"/>
      <c r="AE549" s="182"/>
    </row>
    <row r="550" spans="3:31" ht="13">
      <c r="C550" s="127"/>
      <c r="D550" s="127"/>
      <c r="G550" s="127"/>
      <c r="H550" s="182"/>
      <c r="AE550" s="182"/>
    </row>
    <row r="551" spans="3:31" ht="13">
      <c r="C551" s="127"/>
      <c r="D551" s="127"/>
      <c r="G551" s="127"/>
      <c r="H551" s="182"/>
      <c r="AE551" s="182"/>
    </row>
    <row r="552" spans="3:31" ht="13">
      <c r="C552" s="127"/>
      <c r="D552" s="127"/>
      <c r="G552" s="127"/>
      <c r="H552" s="182"/>
      <c r="AE552" s="182"/>
    </row>
    <row r="553" spans="3:31" ht="13">
      <c r="C553" s="127"/>
      <c r="D553" s="127"/>
      <c r="G553" s="127"/>
      <c r="H553" s="182"/>
      <c r="AE553" s="182"/>
    </row>
    <row r="554" spans="3:31" ht="13">
      <c r="C554" s="127"/>
      <c r="D554" s="127"/>
      <c r="G554" s="127"/>
      <c r="H554" s="182"/>
      <c r="AE554" s="182"/>
    </row>
    <row r="555" spans="3:31" ht="13">
      <c r="C555" s="127"/>
      <c r="D555" s="127"/>
      <c r="G555" s="127"/>
      <c r="H555" s="182"/>
      <c r="AE555" s="182"/>
    </row>
    <row r="556" spans="3:31" ht="13">
      <c r="C556" s="127"/>
      <c r="D556" s="127"/>
      <c r="G556" s="127"/>
      <c r="H556" s="182"/>
      <c r="AE556" s="182"/>
    </row>
    <row r="557" spans="3:31" ht="13">
      <c r="C557" s="127"/>
      <c r="D557" s="127"/>
      <c r="G557" s="127"/>
      <c r="H557" s="182"/>
      <c r="AE557" s="182"/>
    </row>
    <row r="558" spans="3:31" ht="13">
      <c r="C558" s="127"/>
      <c r="D558" s="127"/>
      <c r="G558" s="127"/>
      <c r="H558" s="182"/>
      <c r="AE558" s="182"/>
    </row>
    <row r="559" spans="3:31" ht="13">
      <c r="C559" s="127"/>
      <c r="D559" s="127"/>
      <c r="G559" s="127"/>
      <c r="H559" s="182"/>
      <c r="AE559" s="182"/>
    </row>
    <row r="560" spans="3:31" ht="13">
      <c r="C560" s="127"/>
      <c r="D560" s="127"/>
      <c r="G560" s="127"/>
      <c r="H560" s="182"/>
      <c r="AE560" s="182"/>
    </row>
    <row r="561" spans="3:31" ht="13">
      <c r="C561" s="127"/>
      <c r="D561" s="127"/>
      <c r="G561" s="127"/>
      <c r="H561" s="182"/>
      <c r="AE561" s="182"/>
    </row>
    <row r="562" spans="3:31" ht="13">
      <c r="C562" s="127"/>
      <c r="D562" s="127"/>
      <c r="G562" s="127"/>
      <c r="H562" s="182"/>
      <c r="AE562" s="182"/>
    </row>
    <row r="563" spans="3:31" ht="13">
      <c r="C563" s="127"/>
      <c r="D563" s="127"/>
      <c r="G563" s="127"/>
      <c r="H563" s="182"/>
      <c r="AE563" s="182"/>
    </row>
    <row r="564" spans="3:31" ht="13">
      <c r="C564" s="127"/>
      <c r="D564" s="127"/>
      <c r="G564" s="127"/>
      <c r="H564" s="182"/>
      <c r="AE564" s="182"/>
    </row>
    <row r="565" spans="3:31" ht="13">
      <c r="C565" s="127"/>
      <c r="D565" s="127"/>
      <c r="G565" s="127"/>
      <c r="H565" s="182"/>
      <c r="AE565" s="182"/>
    </row>
    <row r="566" spans="3:31" ht="13">
      <c r="C566" s="127"/>
      <c r="D566" s="127"/>
      <c r="G566" s="127"/>
      <c r="H566" s="182"/>
      <c r="AE566" s="182"/>
    </row>
    <row r="567" spans="3:31" ht="13">
      <c r="C567" s="127"/>
      <c r="D567" s="127"/>
      <c r="G567" s="127"/>
      <c r="H567" s="182"/>
      <c r="AE567" s="182"/>
    </row>
    <row r="568" spans="3:31" ht="13">
      <c r="C568" s="127"/>
      <c r="D568" s="127"/>
      <c r="G568" s="127"/>
      <c r="H568" s="182"/>
      <c r="AE568" s="182"/>
    </row>
    <row r="569" spans="3:31" ht="13">
      <c r="C569" s="127"/>
      <c r="D569" s="127"/>
      <c r="G569" s="127"/>
      <c r="H569" s="182"/>
      <c r="AE569" s="182"/>
    </row>
    <row r="570" spans="3:31" ht="13">
      <c r="C570" s="127"/>
      <c r="D570" s="127"/>
      <c r="G570" s="127"/>
      <c r="H570" s="182"/>
      <c r="AE570" s="182"/>
    </row>
    <row r="571" spans="3:31" ht="13">
      <c r="C571" s="127"/>
      <c r="D571" s="127"/>
      <c r="G571" s="127"/>
      <c r="H571" s="182"/>
      <c r="AE571" s="182"/>
    </row>
    <row r="572" spans="3:31" ht="13">
      <c r="C572" s="127"/>
      <c r="D572" s="127"/>
      <c r="G572" s="127"/>
      <c r="H572" s="182"/>
      <c r="AE572" s="182"/>
    </row>
    <row r="573" spans="3:31" ht="13">
      <c r="C573" s="127"/>
      <c r="D573" s="127"/>
      <c r="G573" s="127"/>
      <c r="H573" s="182"/>
      <c r="AE573" s="182"/>
    </row>
    <row r="574" spans="3:31" ht="13">
      <c r="C574" s="127"/>
      <c r="D574" s="127"/>
      <c r="G574" s="127"/>
      <c r="H574" s="182"/>
      <c r="AE574" s="182"/>
    </row>
    <row r="575" spans="3:31" ht="13">
      <c r="C575" s="127"/>
      <c r="D575" s="127"/>
      <c r="G575" s="127"/>
      <c r="H575" s="182"/>
      <c r="AE575" s="182"/>
    </row>
    <row r="576" spans="3:31" ht="13">
      <c r="C576" s="127"/>
      <c r="D576" s="127"/>
      <c r="G576" s="127"/>
      <c r="H576" s="182"/>
      <c r="AE576" s="182"/>
    </row>
    <row r="577" spans="3:31" ht="13">
      <c r="C577" s="127"/>
      <c r="D577" s="127"/>
      <c r="G577" s="127"/>
      <c r="H577" s="182"/>
      <c r="AE577" s="182"/>
    </row>
    <row r="578" spans="3:31" ht="13">
      <c r="C578" s="127"/>
      <c r="D578" s="127"/>
      <c r="G578" s="127"/>
      <c r="H578" s="182"/>
      <c r="AE578" s="182"/>
    </row>
    <row r="579" spans="3:31" ht="13">
      <c r="C579" s="127"/>
      <c r="D579" s="127"/>
      <c r="G579" s="127"/>
      <c r="H579" s="182"/>
      <c r="AE579" s="182"/>
    </row>
    <row r="580" spans="3:31" ht="13">
      <c r="C580" s="127"/>
      <c r="D580" s="127"/>
      <c r="G580" s="127"/>
      <c r="H580" s="182"/>
      <c r="AE580" s="182"/>
    </row>
    <row r="581" spans="3:31" ht="13">
      <c r="C581" s="127"/>
      <c r="D581" s="127"/>
      <c r="G581" s="127"/>
      <c r="H581" s="182"/>
      <c r="AE581" s="182"/>
    </row>
    <row r="582" spans="3:31" ht="13">
      <c r="C582" s="127"/>
      <c r="D582" s="127"/>
      <c r="G582" s="127"/>
      <c r="H582" s="182"/>
      <c r="AE582" s="182"/>
    </row>
    <row r="583" spans="3:31" ht="13">
      <c r="C583" s="127"/>
      <c r="D583" s="127"/>
      <c r="G583" s="127"/>
      <c r="H583" s="182"/>
      <c r="AE583" s="182"/>
    </row>
    <row r="584" spans="3:31" ht="13">
      <c r="C584" s="127"/>
      <c r="D584" s="127"/>
      <c r="G584" s="127"/>
      <c r="H584" s="182"/>
      <c r="AE584" s="182"/>
    </row>
    <row r="585" spans="3:31" ht="13">
      <c r="C585" s="127"/>
      <c r="D585" s="127"/>
      <c r="G585" s="127"/>
      <c r="H585" s="182"/>
      <c r="AE585" s="182"/>
    </row>
    <row r="586" spans="3:31" ht="13">
      <c r="C586" s="127"/>
      <c r="D586" s="127"/>
      <c r="G586" s="127"/>
      <c r="H586" s="182"/>
      <c r="AE586" s="182"/>
    </row>
    <row r="587" spans="3:31" ht="13">
      <c r="C587" s="127"/>
      <c r="D587" s="127"/>
      <c r="G587" s="127"/>
      <c r="H587" s="182"/>
      <c r="AE587" s="182"/>
    </row>
    <row r="588" spans="3:31" ht="13">
      <c r="C588" s="127"/>
      <c r="D588" s="127"/>
      <c r="G588" s="127"/>
      <c r="H588" s="182"/>
      <c r="AE588" s="182"/>
    </row>
    <row r="589" spans="3:31" ht="13">
      <c r="C589" s="127"/>
      <c r="D589" s="127"/>
      <c r="G589" s="127"/>
      <c r="H589" s="182"/>
      <c r="AE589" s="182"/>
    </row>
    <row r="590" spans="3:31" ht="13">
      <c r="C590" s="127"/>
      <c r="D590" s="127"/>
      <c r="G590" s="127"/>
      <c r="H590" s="182"/>
      <c r="AE590" s="182"/>
    </row>
    <row r="591" spans="3:31" ht="13">
      <c r="C591" s="127"/>
      <c r="D591" s="127"/>
      <c r="G591" s="127"/>
      <c r="H591" s="182"/>
      <c r="AE591" s="182"/>
    </row>
    <row r="592" spans="3:31" ht="13">
      <c r="C592" s="127"/>
      <c r="D592" s="127"/>
      <c r="G592" s="127"/>
      <c r="H592" s="182"/>
      <c r="AE592" s="182"/>
    </row>
    <row r="593" spans="3:31" ht="13">
      <c r="C593" s="127"/>
      <c r="D593" s="127"/>
      <c r="G593" s="127"/>
      <c r="H593" s="182"/>
      <c r="AE593" s="182"/>
    </row>
    <row r="594" spans="3:31" ht="13">
      <c r="C594" s="127"/>
      <c r="D594" s="127"/>
      <c r="G594" s="127"/>
      <c r="H594" s="182"/>
      <c r="AE594" s="182"/>
    </row>
    <row r="595" spans="3:31" ht="13">
      <c r="C595" s="127"/>
      <c r="D595" s="127"/>
      <c r="G595" s="127"/>
      <c r="H595" s="182"/>
      <c r="AE595" s="182"/>
    </row>
    <row r="596" spans="3:31" ht="13">
      <c r="C596" s="127"/>
      <c r="D596" s="127"/>
      <c r="G596" s="127"/>
      <c r="H596" s="182"/>
      <c r="AE596" s="182"/>
    </row>
    <row r="597" spans="3:31" ht="13">
      <c r="C597" s="127"/>
      <c r="D597" s="127"/>
      <c r="G597" s="127"/>
      <c r="H597" s="182"/>
      <c r="AE597" s="182"/>
    </row>
    <row r="598" spans="3:31" ht="13">
      <c r="C598" s="127"/>
      <c r="D598" s="127"/>
      <c r="G598" s="127"/>
      <c r="H598" s="182"/>
      <c r="AE598" s="182"/>
    </row>
    <row r="599" spans="3:31" ht="13">
      <c r="C599" s="127"/>
      <c r="D599" s="127"/>
      <c r="G599" s="127"/>
      <c r="H599" s="182"/>
      <c r="AE599" s="182"/>
    </row>
    <row r="600" spans="3:31" ht="13">
      <c r="C600" s="127"/>
      <c r="D600" s="127"/>
      <c r="G600" s="127"/>
      <c r="H600" s="182"/>
      <c r="AE600" s="182"/>
    </row>
    <row r="601" spans="3:31" ht="13">
      <c r="C601" s="127"/>
      <c r="D601" s="127"/>
      <c r="G601" s="127"/>
      <c r="H601" s="182"/>
      <c r="AE601" s="182"/>
    </row>
    <row r="602" spans="3:31" ht="13">
      <c r="C602" s="127"/>
      <c r="D602" s="127"/>
      <c r="G602" s="127"/>
      <c r="H602" s="182"/>
      <c r="AE602" s="182"/>
    </row>
    <row r="603" spans="3:31" ht="13">
      <c r="C603" s="127"/>
      <c r="D603" s="127"/>
      <c r="G603" s="127"/>
      <c r="H603" s="182"/>
      <c r="AE603" s="182"/>
    </row>
    <row r="604" spans="3:31" ht="13">
      <c r="C604" s="127"/>
      <c r="D604" s="127"/>
      <c r="G604" s="127"/>
      <c r="H604" s="182"/>
      <c r="AE604" s="182"/>
    </row>
    <row r="605" spans="3:31" ht="13">
      <c r="C605" s="127"/>
      <c r="D605" s="127"/>
      <c r="G605" s="127"/>
      <c r="H605" s="182"/>
      <c r="AE605" s="182"/>
    </row>
    <row r="606" spans="3:31" ht="13">
      <c r="C606" s="127"/>
      <c r="D606" s="127"/>
      <c r="G606" s="127"/>
      <c r="H606" s="182"/>
      <c r="AE606" s="182"/>
    </row>
    <row r="607" spans="3:31" ht="13">
      <c r="C607" s="127"/>
      <c r="D607" s="127"/>
      <c r="G607" s="127"/>
      <c r="H607" s="182"/>
      <c r="AE607" s="182"/>
    </row>
    <row r="608" spans="3:31" ht="13">
      <c r="C608" s="127"/>
      <c r="D608" s="127"/>
      <c r="G608" s="127"/>
      <c r="H608" s="182"/>
      <c r="AE608" s="182"/>
    </row>
    <row r="609" spans="3:31" ht="13">
      <c r="C609" s="127"/>
      <c r="D609" s="127"/>
      <c r="G609" s="127"/>
      <c r="H609" s="182"/>
      <c r="AE609" s="182"/>
    </row>
    <row r="610" spans="3:31" ht="13">
      <c r="C610" s="127"/>
      <c r="D610" s="127"/>
      <c r="G610" s="127"/>
      <c r="H610" s="182"/>
      <c r="AE610" s="182"/>
    </row>
    <row r="611" spans="3:31" ht="13">
      <c r="C611" s="127"/>
      <c r="D611" s="127"/>
      <c r="G611" s="127"/>
      <c r="H611" s="182"/>
      <c r="AE611" s="182"/>
    </row>
    <row r="612" spans="3:31" ht="13">
      <c r="C612" s="127"/>
      <c r="D612" s="127"/>
      <c r="G612" s="127"/>
      <c r="H612" s="182"/>
      <c r="AE612" s="182"/>
    </row>
    <row r="613" spans="3:31" ht="13">
      <c r="C613" s="127"/>
      <c r="D613" s="127"/>
      <c r="G613" s="127"/>
      <c r="H613" s="182"/>
      <c r="AE613" s="182"/>
    </row>
    <row r="614" spans="3:31" ht="13">
      <c r="C614" s="127"/>
      <c r="D614" s="127"/>
      <c r="G614" s="127"/>
      <c r="H614" s="182"/>
      <c r="AE614" s="182"/>
    </row>
    <row r="615" spans="3:31" ht="13">
      <c r="C615" s="127"/>
      <c r="D615" s="127"/>
      <c r="G615" s="127"/>
      <c r="H615" s="182"/>
      <c r="AE615" s="182"/>
    </row>
    <row r="616" spans="3:31" ht="13">
      <c r="C616" s="127"/>
      <c r="D616" s="127"/>
      <c r="G616" s="127"/>
      <c r="H616" s="182"/>
      <c r="AE616" s="182"/>
    </row>
    <row r="617" spans="3:31" ht="13">
      <c r="C617" s="127"/>
      <c r="D617" s="127"/>
      <c r="G617" s="127"/>
      <c r="H617" s="182"/>
      <c r="AE617" s="182"/>
    </row>
    <row r="618" spans="3:31" ht="13">
      <c r="C618" s="127"/>
      <c r="D618" s="127"/>
      <c r="G618" s="127"/>
      <c r="H618" s="182"/>
      <c r="AE618" s="182"/>
    </row>
    <row r="619" spans="3:31" ht="13">
      <c r="C619" s="127"/>
      <c r="D619" s="127"/>
      <c r="G619" s="127"/>
      <c r="H619" s="182"/>
      <c r="AE619" s="182"/>
    </row>
    <row r="620" spans="3:31" ht="13">
      <c r="C620" s="127"/>
      <c r="D620" s="127"/>
      <c r="G620" s="127"/>
      <c r="H620" s="182"/>
      <c r="AE620" s="182"/>
    </row>
    <row r="621" spans="3:31" ht="13">
      <c r="C621" s="127"/>
      <c r="D621" s="127"/>
      <c r="G621" s="127"/>
      <c r="H621" s="182"/>
      <c r="AE621" s="182"/>
    </row>
    <row r="622" spans="3:31" ht="13">
      <c r="C622" s="127"/>
      <c r="D622" s="127"/>
      <c r="G622" s="127"/>
      <c r="H622" s="182"/>
      <c r="AE622" s="182"/>
    </row>
    <row r="623" spans="3:31" ht="13">
      <c r="C623" s="127"/>
      <c r="D623" s="127"/>
      <c r="G623" s="127"/>
      <c r="H623" s="182"/>
      <c r="AE623" s="182"/>
    </row>
    <row r="624" spans="3:31" ht="13">
      <c r="C624" s="127"/>
      <c r="D624" s="127"/>
      <c r="G624" s="127"/>
      <c r="H624" s="182"/>
      <c r="AE624" s="182"/>
    </row>
    <row r="625" spans="3:31" ht="13">
      <c r="C625" s="127"/>
      <c r="D625" s="127"/>
      <c r="G625" s="127"/>
      <c r="H625" s="182"/>
      <c r="AE625" s="182"/>
    </row>
    <row r="626" spans="3:31" ht="13">
      <c r="C626" s="127"/>
      <c r="D626" s="127"/>
      <c r="G626" s="127"/>
      <c r="H626" s="182"/>
      <c r="AE626" s="182"/>
    </row>
    <row r="627" spans="3:31" ht="13">
      <c r="C627" s="127"/>
      <c r="D627" s="127"/>
      <c r="G627" s="127"/>
      <c r="H627" s="182"/>
      <c r="AE627" s="182"/>
    </row>
    <row r="628" spans="3:31" ht="13">
      <c r="C628" s="127"/>
      <c r="D628" s="127"/>
      <c r="G628" s="127"/>
      <c r="H628" s="182"/>
      <c r="AE628" s="182"/>
    </row>
    <row r="629" spans="3:31" ht="13">
      <c r="C629" s="127"/>
      <c r="D629" s="127"/>
      <c r="G629" s="127"/>
      <c r="H629" s="182"/>
      <c r="AE629" s="182"/>
    </row>
    <row r="630" spans="3:31" ht="13">
      <c r="C630" s="127"/>
      <c r="D630" s="127"/>
      <c r="G630" s="127"/>
      <c r="H630" s="182"/>
      <c r="AE630" s="182"/>
    </row>
    <row r="631" spans="3:31" ht="13">
      <c r="C631" s="127"/>
      <c r="D631" s="127"/>
      <c r="G631" s="127"/>
      <c r="H631" s="182"/>
      <c r="AE631" s="182"/>
    </row>
    <row r="632" spans="3:31" ht="13">
      <c r="C632" s="127"/>
      <c r="D632" s="127"/>
      <c r="G632" s="127"/>
      <c r="H632" s="182"/>
      <c r="AE632" s="182"/>
    </row>
    <row r="633" spans="3:31" ht="13">
      <c r="C633" s="127"/>
      <c r="D633" s="127"/>
      <c r="G633" s="127"/>
      <c r="H633" s="182"/>
      <c r="AE633" s="182"/>
    </row>
    <row r="634" spans="3:31" ht="13">
      <c r="C634" s="127"/>
      <c r="D634" s="127"/>
      <c r="G634" s="127"/>
      <c r="H634" s="182"/>
      <c r="AE634" s="182"/>
    </row>
    <row r="635" spans="3:31" ht="13">
      <c r="C635" s="127"/>
      <c r="D635" s="127"/>
      <c r="G635" s="127"/>
      <c r="H635" s="182"/>
      <c r="AE635" s="182"/>
    </row>
    <row r="636" spans="3:31" ht="13">
      <c r="C636" s="127"/>
      <c r="D636" s="127"/>
      <c r="G636" s="127"/>
      <c r="H636" s="182"/>
      <c r="AE636" s="182"/>
    </row>
    <row r="637" spans="3:31" ht="13">
      <c r="C637" s="127"/>
      <c r="D637" s="127"/>
      <c r="G637" s="127"/>
      <c r="H637" s="182"/>
      <c r="AE637" s="182"/>
    </row>
    <row r="638" spans="3:31" ht="13">
      <c r="C638" s="127"/>
      <c r="D638" s="127"/>
      <c r="G638" s="127"/>
      <c r="H638" s="182"/>
      <c r="AE638" s="182"/>
    </row>
    <row r="639" spans="3:31" ht="13">
      <c r="C639" s="127"/>
      <c r="D639" s="127"/>
      <c r="G639" s="127"/>
      <c r="H639" s="182"/>
      <c r="AE639" s="182"/>
    </row>
    <row r="640" spans="3:31" ht="13">
      <c r="C640" s="127"/>
      <c r="D640" s="127"/>
      <c r="G640" s="127"/>
      <c r="H640" s="182"/>
      <c r="AE640" s="182"/>
    </row>
    <row r="641" spans="3:31" ht="13">
      <c r="C641" s="127"/>
      <c r="D641" s="127"/>
      <c r="G641" s="127"/>
      <c r="H641" s="182"/>
      <c r="AE641" s="182"/>
    </row>
    <row r="642" spans="3:31" ht="13">
      <c r="C642" s="127"/>
      <c r="D642" s="127"/>
      <c r="G642" s="127"/>
      <c r="H642" s="182"/>
      <c r="AE642" s="182"/>
    </row>
    <row r="643" spans="3:31" ht="13">
      <c r="C643" s="127"/>
      <c r="D643" s="127"/>
      <c r="G643" s="127"/>
      <c r="H643" s="182"/>
      <c r="AE643" s="182"/>
    </row>
    <row r="644" spans="3:31" ht="13">
      <c r="C644" s="127"/>
      <c r="D644" s="127"/>
      <c r="G644" s="127"/>
      <c r="H644" s="182"/>
      <c r="AE644" s="182"/>
    </row>
    <row r="645" spans="3:31" ht="13">
      <c r="C645" s="127"/>
      <c r="D645" s="127"/>
      <c r="G645" s="127"/>
      <c r="H645" s="182"/>
      <c r="AE645" s="182"/>
    </row>
    <row r="646" spans="3:31" ht="13">
      <c r="C646" s="127"/>
      <c r="D646" s="127"/>
      <c r="G646" s="127"/>
      <c r="H646" s="182"/>
      <c r="AE646" s="182"/>
    </row>
    <row r="647" spans="3:31" ht="13">
      <c r="C647" s="127"/>
      <c r="D647" s="127"/>
      <c r="G647" s="127"/>
      <c r="H647" s="182"/>
      <c r="AE647" s="182"/>
    </row>
    <row r="648" spans="3:31" ht="13">
      <c r="C648" s="127"/>
      <c r="D648" s="127"/>
      <c r="G648" s="127"/>
      <c r="H648" s="182"/>
      <c r="AE648" s="182"/>
    </row>
    <row r="649" spans="3:31" ht="13">
      <c r="C649" s="127"/>
      <c r="D649" s="127"/>
      <c r="G649" s="127"/>
      <c r="H649" s="182"/>
      <c r="AE649" s="182"/>
    </row>
    <row r="650" spans="3:31" ht="13">
      <c r="C650" s="127"/>
      <c r="D650" s="127"/>
      <c r="G650" s="127"/>
      <c r="H650" s="182"/>
      <c r="AE650" s="182"/>
    </row>
    <row r="651" spans="3:31" ht="13">
      <c r="C651" s="127"/>
      <c r="D651" s="127"/>
      <c r="G651" s="127"/>
      <c r="H651" s="182"/>
      <c r="AE651" s="182"/>
    </row>
    <row r="652" spans="3:31" ht="13">
      <c r="C652" s="127"/>
      <c r="D652" s="127"/>
      <c r="G652" s="127"/>
      <c r="H652" s="182"/>
      <c r="AE652" s="182"/>
    </row>
    <row r="653" spans="3:31" ht="13">
      <c r="C653" s="127"/>
      <c r="D653" s="127"/>
      <c r="G653" s="127"/>
      <c r="H653" s="182"/>
      <c r="AE653" s="182"/>
    </row>
    <row r="654" spans="3:31" ht="13">
      <c r="C654" s="127"/>
      <c r="D654" s="127"/>
      <c r="G654" s="127"/>
      <c r="H654" s="182"/>
      <c r="AE654" s="182"/>
    </row>
    <row r="655" spans="3:31" ht="13">
      <c r="C655" s="127"/>
      <c r="D655" s="127"/>
      <c r="G655" s="127"/>
      <c r="H655" s="182"/>
      <c r="AE655" s="182"/>
    </row>
    <row r="656" spans="3:31" ht="13">
      <c r="C656" s="127"/>
      <c r="D656" s="127"/>
      <c r="G656" s="127"/>
      <c r="H656" s="182"/>
      <c r="AE656" s="182"/>
    </row>
    <row r="657" spans="3:31" ht="13">
      <c r="C657" s="127"/>
      <c r="D657" s="127"/>
      <c r="G657" s="127"/>
      <c r="H657" s="182"/>
      <c r="AE657" s="182"/>
    </row>
    <row r="658" spans="3:31" ht="13">
      <c r="C658" s="127"/>
      <c r="D658" s="127"/>
      <c r="G658" s="127"/>
      <c r="H658" s="182"/>
      <c r="AE658" s="182"/>
    </row>
    <row r="659" spans="3:31" ht="13">
      <c r="C659" s="127"/>
      <c r="D659" s="127"/>
      <c r="G659" s="127"/>
      <c r="H659" s="182"/>
      <c r="AE659" s="182"/>
    </row>
    <row r="660" spans="3:31" ht="13">
      <c r="C660" s="127"/>
      <c r="D660" s="127"/>
      <c r="G660" s="127"/>
      <c r="H660" s="182"/>
      <c r="AE660" s="182"/>
    </row>
    <row r="661" spans="3:31" ht="13">
      <c r="C661" s="127"/>
      <c r="D661" s="127"/>
      <c r="G661" s="127"/>
      <c r="H661" s="182"/>
      <c r="AE661" s="182"/>
    </row>
    <row r="662" spans="3:31" ht="13">
      <c r="C662" s="127"/>
      <c r="D662" s="127"/>
      <c r="G662" s="127"/>
      <c r="H662" s="182"/>
      <c r="AE662" s="182"/>
    </row>
    <row r="663" spans="3:31" ht="13">
      <c r="C663" s="127"/>
      <c r="D663" s="127"/>
      <c r="G663" s="127"/>
      <c r="H663" s="182"/>
      <c r="AE663" s="182"/>
    </row>
    <row r="664" spans="3:31" ht="13">
      <c r="C664" s="127"/>
      <c r="D664" s="127"/>
      <c r="G664" s="127"/>
      <c r="H664" s="182"/>
      <c r="AE664" s="182"/>
    </row>
    <row r="665" spans="3:31" ht="13">
      <c r="C665" s="127"/>
      <c r="D665" s="127"/>
      <c r="G665" s="127"/>
      <c r="H665" s="182"/>
      <c r="AE665" s="182"/>
    </row>
    <row r="666" spans="3:31" ht="13">
      <c r="C666" s="127"/>
      <c r="D666" s="127"/>
      <c r="G666" s="127"/>
      <c r="H666" s="182"/>
      <c r="AE666" s="182"/>
    </row>
    <row r="667" spans="3:31" ht="13">
      <c r="C667" s="127"/>
      <c r="D667" s="127"/>
      <c r="G667" s="127"/>
      <c r="H667" s="182"/>
      <c r="AE667" s="182"/>
    </row>
    <row r="668" spans="3:31" ht="13">
      <c r="C668" s="127"/>
      <c r="D668" s="127"/>
      <c r="G668" s="127"/>
      <c r="H668" s="182"/>
      <c r="AE668" s="182"/>
    </row>
    <row r="669" spans="3:31" ht="13">
      <c r="C669" s="127"/>
      <c r="D669" s="127"/>
      <c r="G669" s="127"/>
      <c r="H669" s="182"/>
      <c r="AE669" s="182"/>
    </row>
    <row r="670" spans="3:31" ht="13">
      <c r="C670" s="127"/>
      <c r="D670" s="127"/>
      <c r="G670" s="127"/>
      <c r="H670" s="182"/>
      <c r="AE670" s="182"/>
    </row>
    <row r="671" spans="3:31" ht="13">
      <c r="C671" s="127"/>
      <c r="D671" s="127"/>
      <c r="G671" s="127"/>
      <c r="H671" s="182"/>
      <c r="AE671" s="182"/>
    </row>
    <row r="672" spans="3:31" ht="13">
      <c r="C672" s="127"/>
      <c r="D672" s="127"/>
      <c r="G672" s="127"/>
      <c r="H672" s="182"/>
      <c r="AE672" s="182"/>
    </row>
    <row r="673" spans="3:31" ht="13">
      <c r="C673" s="127"/>
      <c r="D673" s="127"/>
      <c r="G673" s="127"/>
      <c r="H673" s="182"/>
      <c r="AE673" s="182"/>
    </row>
    <row r="674" spans="3:31" ht="13">
      <c r="C674" s="127"/>
      <c r="D674" s="127"/>
      <c r="G674" s="127"/>
      <c r="H674" s="182"/>
      <c r="AE674" s="182"/>
    </row>
    <row r="675" spans="3:31" ht="13">
      <c r="C675" s="127"/>
      <c r="D675" s="127"/>
      <c r="G675" s="127"/>
      <c r="H675" s="182"/>
      <c r="AE675" s="182"/>
    </row>
    <row r="676" spans="3:31" ht="13">
      <c r="C676" s="127"/>
      <c r="D676" s="127"/>
      <c r="G676" s="127"/>
      <c r="H676" s="182"/>
      <c r="AE676" s="182"/>
    </row>
    <row r="677" spans="3:31" ht="13">
      <c r="C677" s="127"/>
      <c r="D677" s="127"/>
      <c r="G677" s="127"/>
      <c r="H677" s="182"/>
      <c r="AE677" s="182"/>
    </row>
    <row r="678" spans="3:31" ht="13">
      <c r="C678" s="127"/>
      <c r="D678" s="127"/>
      <c r="G678" s="127"/>
      <c r="H678" s="182"/>
      <c r="AE678" s="182"/>
    </row>
    <row r="679" spans="3:31" ht="13">
      <c r="C679" s="127"/>
      <c r="D679" s="127"/>
      <c r="G679" s="127"/>
      <c r="H679" s="182"/>
      <c r="AE679" s="182"/>
    </row>
    <row r="680" spans="3:31" ht="13">
      <c r="C680" s="127"/>
      <c r="D680" s="127"/>
      <c r="G680" s="127"/>
      <c r="H680" s="182"/>
      <c r="AE680" s="182"/>
    </row>
    <row r="681" spans="3:31" ht="13">
      <c r="C681" s="127"/>
      <c r="D681" s="127"/>
      <c r="G681" s="127"/>
      <c r="H681" s="182"/>
      <c r="AE681" s="182"/>
    </row>
    <row r="682" spans="3:31" ht="13">
      <c r="C682" s="127"/>
      <c r="D682" s="127"/>
      <c r="G682" s="127"/>
      <c r="H682" s="182"/>
      <c r="AE682" s="182"/>
    </row>
    <row r="683" spans="3:31" ht="13">
      <c r="C683" s="127"/>
      <c r="D683" s="127"/>
      <c r="G683" s="127"/>
      <c r="H683" s="182"/>
      <c r="AE683" s="182"/>
    </row>
    <row r="684" spans="3:31" ht="13">
      <c r="C684" s="127"/>
      <c r="D684" s="127"/>
      <c r="G684" s="127"/>
      <c r="H684" s="182"/>
      <c r="AE684" s="182"/>
    </row>
    <row r="685" spans="3:31" ht="13">
      <c r="C685" s="127"/>
      <c r="D685" s="127"/>
      <c r="G685" s="127"/>
      <c r="H685" s="182"/>
      <c r="AE685" s="182"/>
    </row>
    <row r="686" spans="3:31" ht="13">
      <c r="C686" s="127"/>
      <c r="D686" s="127"/>
      <c r="G686" s="127"/>
      <c r="H686" s="182"/>
      <c r="AE686" s="182"/>
    </row>
    <row r="687" spans="3:31" ht="13">
      <c r="C687" s="127"/>
      <c r="D687" s="127"/>
      <c r="G687" s="127"/>
      <c r="H687" s="182"/>
      <c r="AE687" s="182"/>
    </row>
    <row r="688" spans="3:31" ht="13">
      <c r="C688" s="127"/>
      <c r="D688" s="127"/>
      <c r="G688" s="127"/>
      <c r="H688" s="182"/>
      <c r="AE688" s="182"/>
    </row>
    <row r="689" spans="3:31" ht="13">
      <c r="C689" s="127"/>
      <c r="D689" s="127"/>
      <c r="G689" s="127"/>
      <c r="H689" s="182"/>
      <c r="AE689" s="182"/>
    </row>
    <row r="690" spans="3:31" ht="13">
      <c r="C690" s="127"/>
      <c r="D690" s="127"/>
      <c r="G690" s="127"/>
      <c r="H690" s="182"/>
      <c r="AE690" s="182"/>
    </row>
    <row r="691" spans="3:31" ht="13">
      <c r="C691" s="127"/>
      <c r="D691" s="127"/>
      <c r="G691" s="127"/>
      <c r="H691" s="182"/>
      <c r="AE691" s="182"/>
    </row>
    <row r="692" spans="3:31" ht="13">
      <c r="C692" s="127"/>
      <c r="D692" s="127"/>
      <c r="G692" s="127"/>
      <c r="H692" s="182"/>
      <c r="AE692" s="182"/>
    </row>
    <row r="693" spans="3:31" ht="13">
      <c r="C693" s="127"/>
      <c r="D693" s="127"/>
      <c r="G693" s="127"/>
      <c r="H693" s="182"/>
      <c r="AE693" s="182"/>
    </row>
    <row r="694" spans="3:31" ht="13">
      <c r="C694" s="127"/>
      <c r="D694" s="127"/>
      <c r="G694" s="127"/>
      <c r="H694" s="182"/>
      <c r="AE694" s="182"/>
    </row>
    <row r="695" spans="3:31" ht="13">
      <c r="C695" s="127"/>
      <c r="D695" s="127"/>
      <c r="G695" s="127"/>
      <c r="H695" s="182"/>
      <c r="AE695" s="182"/>
    </row>
    <row r="696" spans="3:31" ht="13">
      <c r="C696" s="127"/>
      <c r="D696" s="127"/>
      <c r="G696" s="127"/>
      <c r="H696" s="182"/>
      <c r="AE696" s="182"/>
    </row>
    <row r="697" spans="3:31" ht="13">
      <c r="C697" s="127"/>
      <c r="D697" s="127"/>
      <c r="G697" s="127"/>
      <c r="H697" s="182"/>
      <c r="AE697" s="182"/>
    </row>
    <row r="698" spans="3:31" ht="13">
      <c r="C698" s="127"/>
      <c r="D698" s="127"/>
      <c r="G698" s="127"/>
      <c r="H698" s="182"/>
      <c r="AE698" s="182"/>
    </row>
    <row r="699" spans="3:31" ht="13">
      <c r="C699" s="127"/>
      <c r="D699" s="127"/>
      <c r="G699" s="127"/>
      <c r="H699" s="182"/>
      <c r="AE699" s="182"/>
    </row>
    <row r="700" spans="3:31" ht="13">
      <c r="C700" s="127"/>
      <c r="D700" s="127"/>
      <c r="G700" s="127"/>
      <c r="H700" s="182"/>
      <c r="AE700" s="182"/>
    </row>
    <row r="701" spans="3:31" ht="13">
      <c r="C701" s="127"/>
      <c r="D701" s="127"/>
      <c r="G701" s="127"/>
      <c r="H701" s="182"/>
      <c r="AE701" s="182"/>
    </row>
    <row r="702" spans="3:31" ht="13">
      <c r="C702" s="127"/>
      <c r="D702" s="127"/>
      <c r="G702" s="127"/>
      <c r="H702" s="182"/>
      <c r="AE702" s="182"/>
    </row>
    <row r="703" spans="3:31" ht="13">
      <c r="C703" s="127"/>
      <c r="D703" s="127"/>
      <c r="G703" s="127"/>
      <c r="H703" s="182"/>
      <c r="AE703" s="182"/>
    </row>
    <row r="704" spans="3:31" ht="13">
      <c r="C704" s="127"/>
      <c r="D704" s="127"/>
      <c r="G704" s="127"/>
      <c r="H704" s="182"/>
      <c r="AE704" s="182"/>
    </row>
    <row r="705" spans="3:31" ht="13">
      <c r="C705" s="127"/>
      <c r="D705" s="127"/>
      <c r="G705" s="127"/>
      <c r="H705" s="182"/>
      <c r="AE705" s="182"/>
    </row>
    <row r="706" spans="3:31" ht="13">
      <c r="C706" s="127"/>
      <c r="D706" s="127"/>
      <c r="G706" s="127"/>
      <c r="H706" s="182"/>
      <c r="AE706" s="182"/>
    </row>
    <row r="707" spans="3:31" ht="13">
      <c r="C707" s="127"/>
      <c r="D707" s="127"/>
      <c r="G707" s="127"/>
      <c r="H707" s="182"/>
      <c r="AE707" s="182"/>
    </row>
    <row r="708" spans="3:31" ht="13">
      <c r="C708" s="127"/>
      <c r="D708" s="127"/>
      <c r="G708" s="127"/>
      <c r="H708" s="182"/>
      <c r="AE708" s="182"/>
    </row>
    <row r="709" spans="3:31" ht="13">
      <c r="C709" s="127"/>
      <c r="D709" s="127"/>
      <c r="G709" s="127"/>
      <c r="H709" s="182"/>
      <c r="AE709" s="182"/>
    </row>
    <row r="710" spans="3:31" ht="13">
      <c r="C710" s="127"/>
      <c r="D710" s="127"/>
      <c r="G710" s="127"/>
      <c r="H710" s="182"/>
      <c r="AE710" s="182"/>
    </row>
    <row r="711" spans="3:31" ht="13">
      <c r="C711" s="127"/>
      <c r="D711" s="127"/>
      <c r="G711" s="127"/>
      <c r="H711" s="182"/>
      <c r="AE711" s="182"/>
    </row>
    <row r="712" spans="3:31" ht="13">
      <c r="C712" s="127"/>
      <c r="D712" s="127"/>
      <c r="G712" s="127"/>
      <c r="H712" s="182"/>
      <c r="AE712" s="182"/>
    </row>
    <row r="713" spans="3:31" ht="13">
      <c r="C713" s="127"/>
      <c r="D713" s="127"/>
      <c r="G713" s="127"/>
      <c r="H713" s="182"/>
      <c r="AE713" s="182"/>
    </row>
    <row r="714" spans="3:31" ht="13">
      <c r="C714" s="127"/>
      <c r="D714" s="127"/>
      <c r="G714" s="127"/>
      <c r="H714" s="182"/>
      <c r="AE714" s="182"/>
    </row>
    <row r="715" spans="3:31" ht="13">
      <c r="C715" s="127"/>
      <c r="D715" s="127"/>
      <c r="G715" s="127"/>
      <c r="H715" s="182"/>
      <c r="AE715" s="182"/>
    </row>
    <row r="716" spans="3:31" ht="13">
      <c r="C716" s="127"/>
      <c r="D716" s="127"/>
      <c r="G716" s="127"/>
      <c r="H716" s="182"/>
      <c r="AE716" s="182"/>
    </row>
    <row r="717" spans="3:31" ht="13">
      <c r="C717" s="127"/>
      <c r="D717" s="127"/>
      <c r="G717" s="127"/>
      <c r="H717" s="182"/>
      <c r="AE717" s="182"/>
    </row>
    <row r="718" spans="3:31" ht="13">
      <c r="C718" s="127"/>
      <c r="D718" s="127"/>
      <c r="G718" s="127"/>
      <c r="H718" s="182"/>
      <c r="AE718" s="182"/>
    </row>
    <row r="719" spans="3:31" ht="13">
      <c r="C719" s="127"/>
      <c r="D719" s="127"/>
      <c r="G719" s="127"/>
      <c r="H719" s="182"/>
      <c r="AE719" s="182"/>
    </row>
    <row r="720" spans="3:31" ht="13">
      <c r="C720" s="127"/>
      <c r="D720" s="127"/>
      <c r="G720" s="127"/>
      <c r="H720" s="182"/>
      <c r="AE720" s="182"/>
    </row>
    <row r="721" spans="3:31" ht="13">
      <c r="C721" s="127"/>
      <c r="D721" s="127"/>
      <c r="G721" s="127"/>
      <c r="H721" s="182"/>
      <c r="AE721" s="182"/>
    </row>
    <row r="722" spans="3:31" ht="13">
      <c r="C722" s="127"/>
      <c r="D722" s="127"/>
      <c r="G722" s="127"/>
      <c r="H722" s="182"/>
      <c r="AE722" s="182"/>
    </row>
    <row r="723" spans="3:31" ht="13">
      <c r="C723" s="127"/>
      <c r="D723" s="127"/>
      <c r="G723" s="127"/>
      <c r="H723" s="182"/>
      <c r="AE723" s="182"/>
    </row>
    <row r="724" spans="3:31" ht="13">
      <c r="C724" s="127"/>
      <c r="D724" s="127"/>
      <c r="G724" s="127"/>
      <c r="H724" s="182"/>
      <c r="AE724" s="182"/>
    </row>
    <row r="725" spans="3:31" ht="13">
      <c r="C725" s="127"/>
      <c r="D725" s="127"/>
      <c r="G725" s="127"/>
      <c r="H725" s="182"/>
      <c r="AE725" s="182"/>
    </row>
    <row r="726" spans="3:31" ht="13">
      <c r="C726" s="127"/>
      <c r="D726" s="127"/>
      <c r="G726" s="127"/>
      <c r="H726" s="182"/>
      <c r="AE726" s="182"/>
    </row>
    <row r="727" spans="3:31" ht="13">
      <c r="C727" s="127"/>
      <c r="D727" s="127"/>
      <c r="G727" s="127"/>
      <c r="H727" s="182"/>
      <c r="AE727" s="182"/>
    </row>
    <row r="728" spans="3:31" ht="13">
      <c r="C728" s="127"/>
      <c r="D728" s="127"/>
      <c r="G728" s="127"/>
      <c r="H728" s="182"/>
      <c r="AE728" s="182"/>
    </row>
    <row r="729" spans="3:31" ht="13">
      <c r="C729" s="127"/>
      <c r="D729" s="127"/>
      <c r="G729" s="127"/>
      <c r="H729" s="182"/>
      <c r="AE729" s="182"/>
    </row>
    <row r="730" spans="3:31" ht="13">
      <c r="C730" s="127"/>
      <c r="D730" s="127"/>
      <c r="G730" s="127"/>
      <c r="H730" s="182"/>
      <c r="AE730" s="182"/>
    </row>
    <row r="731" spans="3:31" ht="13">
      <c r="C731" s="127"/>
      <c r="D731" s="127"/>
      <c r="G731" s="127"/>
      <c r="H731" s="182"/>
      <c r="AE731" s="182"/>
    </row>
    <row r="732" spans="3:31" ht="13">
      <c r="C732" s="127"/>
      <c r="D732" s="127"/>
      <c r="G732" s="127"/>
      <c r="H732" s="182"/>
      <c r="AE732" s="182"/>
    </row>
    <row r="733" spans="3:31" ht="13">
      <c r="C733" s="127"/>
      <c r="D733" s="127"/>
      <c r="G733" s="127"/>
      <c r="H733" s="182"/>
      <c r="AE733" s="182"/>
    </row>
    <row r="734" spans="3:31" ht="13">
      <c r="C734" s="127"/>
      <c r="D734" s="127"/>
      <c r="G734" s="127"/>
      <c r="H734" s="182"/>
      <c r="AE734" s="182"/>
    </row>
    <row r="735" spans="3:31" ht="13">
      <c r="C735" s="127"/>
      <c r="D735" s="127"/>
      <c r="G735" s="127"/>
      <c r="H735" s="182"/>
      <c r="AE735" s="182"/>
    </row>
    <row r="736" spans="3:31" ht="13">
      <c r="C736" s="127"/>
      <c r="D736" s="127"/>
      <c r="G736" s="127"/>
      <c r="H736" s="182"/>
      <c r="AE736" s="182"/>
    </row>
    <row r="737" spans="3:31" ht="13">
      <c r="C737" s="127"/>
      <c r="D737" s="127"/>
      <c r="G737" s="127"/>
      <c r="H737" s="182"/>
      <c r="AE737" s="182"/>
    </row>
    <row r="738" spans="3:31" ht="13">
      <c r="C738" s="127"/>
      <c r="D738" s="127"/>
      <c r="G738" s="127"/>
      <c r="H738" s="182"/>
      <c r="AE738" s="182"/>
    </row>
    <row r="739" spans="3:31" ht="13">
      <c r="C739" s="127"/>
      <c r="D739" s="127"/>
      <c r="G739" s="127"/>
      <c r="H739" s="182"/>
      <c r="AE739" s="182"/>
    </row>
    <row r="740" spans="3:31" ht="13">
      <c r="C740" s="127"/>
      <c r="D740" s="127"/>
      <c r="G740" s="127"/>
      <c r="H740" s="182"/>
      <c r="AE740" s="182"/>
    </row>
    <row r="741" spans="3:31" ht="13">
      <c r="C741" s="127"/>
      <c r="D741" s="127"/>
      <c r="G741" s="127"/>
      <c r="H741" s="182"/>
      <c r="AE741" s="182"/>
    </row>
    <row r="742" spans="3:31" ht="13">
      <c r="C742" s="127"/>
      <c r="D742" s="127"/>
      <c r="G742" s="127"/>
      <c r="H742" s="182"/>
      <c r="AE742" s="182"/>
    </row>
    <row r="743" spans="3:31" ht="13">
      <c r="C743" s="127"/>
      <c r="D743" s="127"/>
      <c r="G743" s="127"/>
      <c r="H743" s="182"/>
      <c r="AE743" s="182"/>
    </row>
    <row r="744" spans="3:31" ht="13">
      <c r="C744" s="127"/>
      <c r="D744" s="127"/>
      <c r="G744" s="127"/>
      <c r="H744" s="182"/>
      <c r="AE744" s="182"/>
    </row>
    <row r="745" spans="3:31" ht="13">
      <c r="C745" s="127"/>
      <c r="D745" s="127"/>
      <c r="G745" s="127"/>
      <c r="H745" s="182"/>
      <c r="AE745" s="182"/>
    </row>
    <row r="746" spans="3:31" ht="13">
      <c r="C746" s="127"/>
      <c r="D746" s="127"/>
      <c r="G746" s="127"/>
      <c r="H746" s="182"/>
      <c r="AE746" s="182"/>
    </row>
    <row r="747" spans="3:31" ht="13">
      <c r="C747" s="127"/>
      <c r="D747" s="127"/>
      <c r="G747" s="127"/>
      <c r="H747" s="182"/>
      <c r="AE747" s="182"/>
    </row>
    <row r="748" spans="3:31" ht="13">
      <c r="C748" s="127"/>
      <c r="D748" s="127"/>
      <c r="G748" s="127"/>
      <c r="H748" s="182"/>
      <c r="AE748" s="182"/>
    </row>
    <row r="749" spans="3:31" ht="13">
      <c r="C749" s="127"/>
      <c r="D749" s="127"/>
      <c r="G749" s="127"/>
      <c r="H749" s="182"/>
      <c r="AE749" s="182"/>
    </row>
    <row r="750" spans="3:31" ht="13">
      <c r="C750" s="127"/>
      <c r="D750" s="127"/>
      <c r="G750" s="127"/>
      <c r="H750" s="182"/>
      <c r="AE750" s="182"/>
    </row>
    <row r="751" spans="3:31" ht="13">
      <c r="C751" s="127"/>
      <c r="D751" s="127"/>
      <c r="G751" s="127"/>
      <c r="H751" s="182"/>
      <c r="AE751" s="182"/>
    </row>
    <row r="752" spans="3:31" ht="13">
      <c r="C752" s="127"/>
      <c r="D752" s="127"/>
      <c r="G752" s="127"/>
      <c r="H752" s="182"/>
      <c r="AE752" s="182"/>
    </row>
    <row r="753" spans="3:31" ht="13">
      <c r="C753" s="127"/>
      <c r="D753" s="127"/>
      <c r="G753" s="127"/>
      <c r="H753" s="182"/>
      <c r="AE753" s="182"/>
    </row>
    <row r="754" spans="3:31" ht="13">
      <c r="C754" s="127"/>
      <c r="D754" s="127"/>
      <c r="G754" s="127"/>
      <c r="H754" s="182"/>
      <c r="AE754" s="182"/>
    </row>
    <row r="755" spans="3:31" ht="13">
      <c r="C755" s="127"/>
      <c r="D755" s="127"/>
      <c r="G755" s="127"/>
      <c r="H755" s="182"/>
      <c r="AE755" s="182"/>
    </row>
    <row r="756" spans="3:31" ht="13">
      <c r="C756" s="127"/>
      <c r="D756" s="127"/>
      <c r="G756" s="127"/>
      <c r="H756" s="182"/>
      <c r="AE756" s="182"/>
    </row>
    <row r="757" spans="3:31" ht="13">
      <c r="C757" s="127"/>
      <c r="D757" s="127"/>
      <c r="G757" s="127"/>
      <c r="H757" s="182"/>
      <c r="AE757" s="182"/>
    </row>
    <row r="758" spans="3:31" ht="13">
      <c r="C758" s="127"/>
      <c r="D758" s="127"/>
      <c r="G758" s="127"/>
      <c r="H758" s="182"/>
      <c r="AE758" s="182"/>
    </row>
    <row r="759" spans="3:31" ht="13">
      <c r="C759" s="127"/>
      <c r="D759" s="127"/>
      <c r="G759" s="127"/>
      <c r="H759" s="182"/>
      <c r="AE759" s="182"/>
    </row>
    <row r="760" spans="3:31" ht="13">
      <c r="C760" s="127"/>
      <c r="D760" s="127"/>
      <c r="G760" s="127"/>
      <c r="H760" s="182"/>
      <c r="AE760" s="182"/>
    </row>
    <row r="761" spans="3:31" ht="13">
      <c r="C761" s="127"/>
      <c r="D761" s="127"/>
      <c r="G761" s="127"/>
      <c r="H761" s="182"/>
      <c r="AE761" s="182"/>
    </row>
    <row r="762" spans="3:31" ht="13">
      <c r="C762" s="127"/>
      <c r="D762" s="127"/>
      <c r="G762" s="127"/>
      <c r="H762" s="182"/>
      <c r="AE762" s="182"/>
    </row>
    <row r="763" spans="3:31" ht="13">
      <c r="C763" s="127"/>
      <c r="D763" s="127"/>
      <c r="G763" s="127"/>
      <c r="H763" s="182"/>
      <c r="AE763" s="182"/>
    </row>
    <row r="764" spans="3:31" ht="13">
      <c r="C764" s="127"/>
      <c r="D764" s="127"/>
      <c r="G764" s="127"/>
      <c r="H764" s="182"/>
      <c r="AE764" s="182"/>
    </row>
    <row r="765" spans="3:31" ht="13">
      <c r="C765" s="127"/>
      <c r="D765" s="127"/>
      <c r="G765" s="127"/>
      <c r="H765" s="182"/>
      <c r="AE765" s="182"/>
    </row>
    <row r="766" spans="3:31" ht="13">
      <c r="C766" s="127"/>
      <c r="D766" s="127"/>
      <c r="G766" s="127"/>
      <c r="H766" s="182"/>
      <c r="AE766" s="182"/>
    </row>
    <row r="767" spans="3:31" ht="13">
      <c r="C767" s="127"/>
      <c r="D767" s="127"/>
      <c r="G767" s="127"/>
      <c r="H767" s="182"/>
      <c r="AE767" s="182"/>
    </row>
    <row r="768" spans="3:31" ht="13">
      <c r="C768" s="127"/>
      <c r="D768" s="127"/>
      <c r="G768" s="127"/>
      <c r="H768" s="182"/>
      <c r="AE768" s="182"/>
    </row>
    <row r="769" spans="3:31" ht="13">
      <c r="C769" s="127"/>
      <c r="D769" s="127"/>
      <c r="G769" s="127"/>
      <c r="H769" s="182"/>
      <c r="AE769" s="182"/>
    </row>
    <row r="770" spans="3:31" ht="13">
      <c r="C770" s="127"/>
      <c r="D770" s="127"/>
      <c r="G770" s="127"/>
      <c r="H770" s="182"/>
      <c r="AE770" s="182"/>
    </row>
    <row r="771" spans="3:31" ht="13">
      <c r="C771" s="127"/>
      <c r="D771" s="127"/>
      <c r="G771" s="127"/>
      <c r="H771" s="182"/>
      <c r="AE771" s="182"/>
    </row>
    <row r="772" spans="3:31" ht="13">
      <c r="C772" s="127"/>
      <c r="D772" s="127"/>
      <c r="G772" s="127"/>
      <c r="H772" s="182"/>
      <c r="AE772" s="182"/>
    </row>
    <row r="773" spans="3:31" ht="13">
      <c r="C773" s="127"/>
      <c r="D773" s="127"/>
      <c r="G773" s="127"/>
      <c r="H773" s="182"/>
      <c r="AE773" s="182"/>
    </row>
    <row r="774" spans="3:31" ht="13">
      <c r="C774" s="127"/>
      <c r="D774" s="127"/>
      <c r="G774" s="127"/>
      <c r="H774" s="182"/>
      <c r="AE774" s="182"/>
    </row>
    <row r="775" spans="3:31" ht="13">
      <c r="C775" s="127"/>
      <c r="D775" s="127"/>
      <c r="G775" s="127"/>
      <c r="H775" s="182"/>
      <c r="AE775" s="182"/>
    </row>
    <row r="776" spans="3:31" ht="13">
      <c r="C776" s="127"/>
      <c r="D776" s="127"/>
      <c r="G776" s="127"/>
      <c r="H776" s="182"/>
      <c r="AE776" s="182"/>
    </row>
    <row r="777" spans="3:31" ht="13">
      <c r="C777" s="127"/>
      <c r="D777" s="127"/>
      <c r="G777" s="127"/>
      <c r="H777" s="182"/>
      <c r="AE777" s="182"/>
    </row>
    <row r="778" spans="3:31" ht="13">
      <c r="C778" s="127"/>
      <c r="D778" s="127"/>
      <c r="G778" s="127"/>
      <c r="H778" s="182"/>
      <c r="AE778" s="182"/>
    </row>
    <row r="779" spans="3:31" ht="13">
      <c r="C779" s="127"/>
      <c r="D779" s="127"/>
      <c r="G779" s="127"/>
      <c r="H779" s="182"/>
      <c r="AE779" s="182"/>
    </row>
    <row r="780" spans="3:31" ht="13">
      <c r="C780" s="127"/>
      <c r="D780" s="127"/>
      <c r="G780" s="127"/>
      <c r="H780" s="182"/>
      <c r="AE780" s="182"/>
    </row>
    <row r="781" spans="3:31" ht="13">
      <c r="C781" s="127"/>
      <c r="D781" s="127"/>
      <c r="G781" s="127"/>
      <c r="H781" s="182"/>
      <c r="AE781" s="182"/>
    </row>
    <row r="782" spans="3:31" ht="13">
      <c r="C782" s="127"/>
      <c r="D782" s="127"/>
      <c r="G782" s="127"/>
      <c r="H782" s="182"/>
      <c r="AE782" s="182"/>
    </row>
    <row r="783" spans="3:31" ht="13">
      <c r="C783" s="127"/>
      <c r="D783" s="127"/>
      <c r="G783" s="127"/>
      <c r="H783" s="182"/>
      <c r="AE783" s="182"/>
    </row>
    <row r="784" spans="3:31" ht="13">
      <c r="C784" s="127"/>
      <c r="D784" s="127"/>
      <c r="G784" s="127"/>
      <c r="H784" s="182"/>
      <c r="AE784" s="182"/>
    </row>
    <row r="785" spans="3:31" ht="13">
      <c r="C785" s="127"/>
      <c r="D785" s="127"/>
      <c r="G785" s="127"/>
      <c r="H785" s="182"/>
      <c r="AE785" s="182"/>
    </row>
    <row r="786" spans="3:31" ht="13">
      <c r="C786" s="127"/>
      <c r="D786" s="127"/>
      <c r="G786" s="127"/>
      <c r="H786" s="182"/>
      <c r="AE786" s="182"/>
    </row>
    <row r="787" spans="3:31" ht="13">
      <c r="C787" s="127"/>
      <c r="D787" s="127"/>
      <c r="G787" s="127"/>
      <c r="H787" s="182"/>
      <c r="AE787" s="182"/>
    </row>
    <row r="788" spans="3:31" ht="13">
      <c r="C788" s="127"/>
      <c r="D788" s="127"/>
      <c r="G788" s="127"/>
      <c r="H788" s="182"/>
      <c r="AE788" s="182"/>
    </row>
    <row r="789" spans="3:31" ht="13">
      <c r="C789" s="127"/>
      <c r="D789" s="127"/>
      <c r="G789" s="127"/>
      <c r="H789" s="182"/>
      <c r="AE789" s="182"/>
    </row>
    <row r="790" spans="3:31" ht="13">
      <c r="C790" s="127"/>
      <c r="D790" s="127"/>
      <c r="G790" s="127"/>
      <c r="H790" s="182"/>
      <c r="AE790" s="182"/>
    </row>
    <row r="791" spans="3:31" ht="13">
      <c r="C791" s="127"/>
      <c r="D791" s="127"/>
      <c r="G791" s="127"/>
      <c r="H791" s="182"/>
      <c r="AE791" s="182"/>
    </row>
    <row r="792" spans="3:31" ht="13">
      <c r="C792" s="127"/>
      <c r="D792" s="127"/>
      <c r="G792" s="127"/>
      <c r="H792" s="182"/>
      <c r="AE792" s="182"/>
    </row>
    <row r="793" spans="3:31" ht="13">
      <c r="C793" s="127"/>
      <c r="D793" s="127"/>
      <c r="G793" s="127"/>
      <c r="H793" s="182"/>
      <c r="AE793" s="182"/>
    </row>
    <row r="794" spans="3:31" ht="13">
      <c r="C794" s="127"/>
      <c r="D794" s="127"/>
      <c r="G794" s="127"/>
      <c r="H794" s="182"/>
      <c r="AE794" s="182"/>
    </row>
    <row r="795" spans="3:31" ht="13">
      <c r="C795" s="127"/>
      <c r="D795" s="127"/>
      <c r="G795" s="127"/>
      <c r="H795" s="182"/>
      <c r="AE795" s="182"/>
    </row>
    <row r="796" spans="3:31" ht="13">
      <c r="C796" s="127"/>
      <c r="D796" s="127"/>
      <c r="G796" s="127"/>
      <c r="H796" s="182"/>
      <c r="AE796" s="182"/>
    </row>
    <row r="797" spans="3:31" ht="13">
      <c r="C797" s="127"/>
      <c r="D797" s="127"/>
      <c r="G797" s="127"/>
      <c r="H797" s="182"/>
      <c r="AE797" s="182"/>
    </row>
    <row r="798" spans="3:31" ht="13">
      <c r="C798" s="127"/>
      <c r="D798" s="127"/>
      <c r="G798" s="127"/>
      <c r="H798" s="182"/>
      <c r="AE798" s="182"/>
    </row>
    <row r="799" spans="3:31" ht="13">
      <c r="C799" s="127"/>
      <c r="D799" s="127"/>
      <c r="G799" s="127"/>
      <c r="H799" s="182"/>
      <c r="AE799" s="182"/>
    </row>
    <row r="800" spans="3:31" ht="13">
      <c r="C800" s="127"/>
      <c r="D800" s="127"/>
      <c r="G800" s="127"/>
      <c r="H800" s="182"/>
      <c r="AE800" s="182"/>
    </row>
    <row r="801" spans="3:31" ht="13">
      <c r="C801" s="127"/>
      <c r="D801" s="127"/>
      <c r="G801" s="127"/>
      <c r="H801" s="182"/>
      <c r="AE801" s="182"/>
    </row>
    <row r="802" spans="3:31" ht="13">
      <c r="C802" s="127"/>
      <c r="D802" s="127"/>
      <c r="G802" s="127"/>
      <c r="H802" s="182"/>
      <c r="AE802" s="182"/>
    </row>
    <row r="803" spans="3:31" ht="13">
      <c r="C803" s="127"/>
      <c r="D803" s="127"/>
      <c r="G803" s="127"/>
      <c r="H803" s="182"/>
      <c r="AE803" s="182"/>
    </row>
    <row r="804" spans="3:31" ht="13">
      <c r="C804" s="127"/>
      <c r="D804" s="127"/>
      <c r="G804" s="127"/>
      <c r="H804" s="182"/>
      <c r="AE804" s="182"/>
    </row>
    <row r="805" spans="3:31" ht="13">
      <c r="C805" s="127"/>
      <c r="D805" s="127"/>
      <c r="G805" s="127"/>
      <c r="H805" s="182"/>
      <c r="AE805" s="182"/>
    </row>
    <row r="806" spans="3:31" ht="13">
      <c r="C806" s="127"/>
      <c r="D806" s="127"/>
      <c r="G806" s="127"/>
      <c r="H806" s="182"/>
      <c r="AE806" s="182"/>
    </row>
    <row r="807" spans="3:31" ht="13">
      <c r="C807" s="127"/>
      <c r="D807" s="127"/>
      <c r="G807" s="127"/>
      <c r="H807" s="182"/>
      <c r="AE807" s="182"/>
    </row>
    <row r="808" spans="3:31" ht="13">
      <c r="C808" s="127"/>
      <c r="D808" s="127"/>
      <c r="G808" s="127"/>
      <c r="H808" s="182"/>
      <c r="AE808" s="182"/>
    </row>
    <row r="809" spans="3:31" ht="13">
      <c r="C809" s="127"/>
      <c r="D809" s="127"/>
      <c r="G809" s="127"/>
      <c r="H809" s="182"/>
      <c r="AE809" s="182"/>
    </row>
    <row r="810" spans="3:31" ht="13">
      <c r="C810" s="127"/>
      <c r="D810" s="127"/>
      <c r="G810" s="127"/>
      <c r="H810" s="182"/>
      <c r="AE810" s="182"/>
    </row>
    <row r="811" spans="3:31" ht="13">
      <c r="C811" s="127"/>
      <c r="D811" s="127"/>
      <c r="G811" s="127"/>
      <c r="H811" s="182"/>
      <c r="AE811" s="182"/>
    </row>
    <row r="812" spans="3:31" ht="13">
      <c r="C812" s="127"/>
      <c r="D812" s="127"/>
      <c r="G812" s="127"/>
      <c r="H812" s="182"/>
      <c r="AE812" s="182"/>
    </row>
    <row r="813" spans="3:31" ht="13">
      <c r="C813" s="127"/>
      <c r="D813" s="127"/>
      <c r="G813" s="127"/>
      <c r="H813" s="182"/>
      <c r="AE813" s="182"/>
    </row>
    <row r="814" spans="3:31" ht="13">
      <c r="C814" s="127"/>
      <c r="D814" s="127"/>
      <c r="G814" s="127"/>
      <c r="H814" s="182"/>
      <c r="AE814" s="182"/>
    </row>
    <row r="815" spans="3:31" ht="13">
      <c r="C815" s="127"/>
      <c r="D815" s="127"/>
      <c r="G815" s="127"/>
      <c r="H815" s="182"/>
      <c r="AE815" s="182"/>
    </row>
    <row r="816" spans="3:31" ht="13">
      <c r="C816" s="127"/>
      <c r="D816" s="127"/>
      <c r="G816" s="127"/>
      <c r="H816" s="182"/>
      <c r="AE816" s="182"/>
    </row>
    <row r="817" spans="3:31" ht="13">
      <c r="C817" s="127"/>
      <c r="D817" s="127"/>
      <c r="G817" s="127"/>
      <c r="H817" s="182"/>
      <c r="AE817" s="182"/>
    </row>
    <row r="818" spans="3:31" ht="13">
      <c r="C818" s="127"/>
      <c r="D818" s="127"/>
      <c r="G818" s="127"/>
      <c r="H818" s="182"/>
      <c r="AE818" s="182"/>
    </row>
    <row r="819" spans="3:31" ht="13">
      <c r="C819" s="127"/>
      <c r="D819" s="127"/>
      <c r="G819" s="127"/>
      <c r="H819" s="182"/>
      <c r="AE819" s="182"/>
    </row>
    <row r="820" spans="3:31" ht="13">
      <c r="C820" s="127"/>
      <c r="D820" s="127"/>
      <c r="G820" s="127"/>
      <c r="H820" s="182"/>
      <c r="AE820" s="182"/>
    </row>
    <row r="821" spans="3:31" ht="13">
      <c r="C821" s="127"/>
      <c r="D821" s="127"/>
      <c r="G821" s="127"/>
      <c r="H821" s="182"/>
      <c r="AE821" s="182"/>
    </row>
    <row r="822" spans="3:31" ht="13">
      <c r="C822" s="127"/>
      <c r="D822" s="127"/>
      <c r="G822" s="127"/>
      <c r="H822" s="182"/>
      <c r="AE822" s="182"/>
    </row>
    <row r="823" spans="3:31" ht="13">
      <c r="C823" s="127"/>
      <c r="D823" s="127"/>
      <c r="G823" s="127"/>
      <c r="H823" s="182"/>
      <c r="AE823" s="182"/>
    </row>
    <row r="824" spans="3:31" ht="13">
      <c r="C824" s="127"/>
      <c r="D824" s="127"/>
      <c r="G824" s="127"/>
      <c r="H824" s="182"/>
      <c r="AE824" s="182"/>
    </row>
    <row r="825" spans="3:31" ht="13">
      <c r="C825" s="127"/>
      <c r="D825" s="127"/>
      <c r="G825" s="127"/>
      <c r="H825" s="182"/>
      <c r="AE825" s="182"/>
    </row>
    <row r="826" spans="3:31" ht="13">
      <c r="C826" s="127"/>
      <c r="D826" s="127"/>
      <c r="G826" s="127"/>
      <c r="H826" s="182"/>
      <c r="AE826" s="182"/>
    </row>
    <row r="827" spans="3:31" ht="13">
      <c r="C827" s="127"/>
      <c r="D827" s="127"/>
      <c r="G827" s="127"/>
      <c r="H827" s="182"/>
      <c r="AE827" s="182"/>
    </row>
    <row r="828" spans="3:31" ht="13">
      <c r="C828" s="127"/>
      <c r="D828" s="127"/>
      <c r="G828" s="127"/>
      <c r="H828" s="182"/>
      <c r="AE828" s="182"/>
    </row>
    <row r="829" spans="3:31" ht="13">
      <c r="C829" s="127"/>
      <c r="D829" s="127"/>
      <c r="G829" s="127"/>
      <c r="H829" s="182"/>
      <c r="AE829" s="182"/>
    </row>
    <row r="830" spans="3:31" ht="13">
      <c r="C830" s="127"/>
      <c r="D830" s="127"/>
      <c r="G830" s="127"/>
      <c r="H830" s="182"/>
      <c r="AE830" s="182"/>
    </row>
    <row r="831" spans="3:31" ht="13">
      <c r="C831" s="127"/>
      <c r="D831" s="127"/>
      <c r="G831" s="127"/>
      <c r="H831" s="182"/>
      <c r="AE831" s="182"/>
    </row>
    <row r="832" spans="3:31" ht="13">
      <c r="C832" s="127"/>
      <c r="D832" s="127"/>
      <c r="G832" s="127"/>
      <c r="H832" s="182"/>
      <c r="AE832" s="182"/>
    </row>
    <row r="833" spans="3:31" ht="13">
      <c r="C833" s="127"/>
      <c r="D833" s="127"/>
      <c r="G833" s="127"/>
      <c r="H833" s="182"/>
      <c r="AE833" s="182"/>
    </row>
    <row r="834" spans="3:31" ht="13">
      <c r="C834" s="127"/>
      <c r="D834" s="127"/>
      <c r="G834" s="127"/>
      <c r="H834" s="182"/>
      <c r="AE834" s="182"/>
    </row>
    <row r="835" spans="3:31" ht="13">
      <c r="C835" s="127"/>
      <c r="D835" s="127"/>
      <c r="G835" s="127"/>
      <c r="H835" s="182"/>
      <c r="AE835" s="182"/>
    </row>
    <row r="836" spans="3:31" ht="13">
      <c r="C836" s="127"/>
      <c r="D836" s="127"/>
      <c r="G836" s="127"/>
      <c r="H836" s="182"/>
      <c r="AE836" s="182"/>
    </row>
    <row r="837" spans="3:31" ht="13">
      <c r="C837" s="127"/>
      <c r="D837" s="127"/>
      <c r="G837" s="127"/>
      <c r="H837" s="182"/>
      <c r="AE837" s="182"/>
    </row>
    <row r="838" spans="3:31" ht="13">
      <c r="C838" s="127"/>
      <c r="D838" s="127"/>
      <c r="G838" s="127"/>
      <c r="H838" s="182"/>
      <c r="AE838" s="182"/>
    </row>
    <row r="839" spans="3:31" ht="13">
      <c r="C839" s="127"/>
      <c r="D839" s="127"/>
      <c r="G839" s="127"/>
      <c r="H839" s="182"/>
      <c r="AE839" s="182"/>
    </row>
    <row r="840" spans="3:31" ht="13">
      <c r="C840" s="127"/>
      <c r="D840" s="127"/>
      <c r="G840" s="127"/>
      <c r="H840" s="182"/>
      <c r="AE840" s="182"/>
    </row>
    <row r="841" spans="3:31" ht="13">
      <c r="C841" s="127"/>
      <c r="D841" s="127"/>
      <c r="G841" s="127"/>
      <c r="H841" s="182"/>
      <c r="AE841" s="182"/>
    </row>
    <row r="842" spans="3:31" ht="13">
      <c r="C842" s="127"/>
      <c r="D842" s="127"/>
      <c r="G842" s="127"/>
      <c r="H842" s="182"/>
      <c r="AE842" s="182"/>
    </row>
    <row r="843" spans="3:31" ht="13">
      <c r="C843" s="127"/>
      <c r="D843" s="127"/>
      <c r="G843" s="127"/>
      <c r="H843" s="182"/>
      <c r="AE843" s="182"/>
    </row>
    <row r="844" spans="3:31" ht="13">
      <c r="C844" s="127"/>
      <c r="D844" s="127"/>
      <c r="G844" s="127"/>
      <c r="H844" s="182"/>
      <c r="AE844" s="182"/>
    </row>
    <row r="845" spans="3:31" ht="13">
      <c r="C845" s="127"/>
      <c r="D845" s="127"/>
      <c r="G845" s="127"/>
      <c r="H845" s="182"/>
      <c r="AE845" s="182"/>
    </row>
    <row r="846" spans="3:31" ht="13">
      <c r="C846" s="127"/>
      <c r="D846" s="127"/>
      <c r="G846" s="127"/>
      <c r="H846" s="182"/>
      <c r="AE846" s="182"/>
    </row>
    <row r="847" spans="3:31" ht="13">
      <c r="C847" s="127"/>
      <c r="D847" s="127"/>
      <c r="G847" s="127"/>
      <c r="H847" s="182"/>
      <c r="AE847" s="182"/>
    </row>
    <row r="848" spans="3:31" ht="13">
      <c r="C848" s="127"/>
      <c r="D848" s="127"/>
      <c r="G848" s="127"/>
      <c r="H848" s="182"/>
      <c r="AE848" s="182"/>
    </row>
    <row r="849" spans="3:31" ht="13">
      <c r="C849" s="127"/>
      <c r="D849" s="127"/>
      <c r="G849" s="127"/>
      <c r="H849" s="182"/>
      <c r="AE849" s="182"/>
    </row>
    <row r="850" spans="3:31" ht="13">
      <c r="C850" s="127"/>
      <c r="D850" s="127"/>
      <c r="G850" s="127"/>
      <c r="H850" s="182"/>
      <c r="AE850" s="182"/>
    </row>
    <row r="851" spans="3:31" ht="13">
      <c r="C851" s="127"/>
      <c r="D851" s="127"/>
      <c r="G851" s="127"/>
      <c r="H851" s="182"/>
      <c r="AE851" s="182"/>
    </row>
    <row r="852" spans="3:31" ht="13">
      <c r="C852" s="127"/>
      <c r="D852" s="127"/>
      <c r="G852" s="127"/>
      <c r="H852" s="182"/>
      <c r="AE852" s="182"/>
    </row>
    <row r="853" spans="3:31" ht="13">
      <c r="C853" s="127"/>
      <c r="D853" s="127"/>
      <c r="G853" s="127"/>
      <c r="H853" s="182"/>
      <c r="AE853" s="182"/>
    </row>
    <row r="854" spans="3:31" ht="13">
      <c r="C854" s="127"/>
      <c r="D854" s="127"/>
      <c r="G854" s="127"/>
      <c r="H854" s="182"/>
      <c r="AE854" s="182"/>
    </row>
    <row r="855" spans="3:31" ht="13">
      <c r="C855" s="127"/>
      <c r="D855" s="127"/>
      <c r="G855" s="127"/>
      <c r="H855" s="182"/>
      <c r="AE855" s="182"/>
    </row>
    <row r="856" spans="3:31" ht="13">
      <c r="C856" s="127"/>
      <c r="D856" s="127"/>
      <c r="G856" s="127"/>
      <c r="H856" s="182"/>
      <c r="AE856" s="182"/>
    </row>
    <row r="857" spans="3:31" ht="13">
      <c r="C857" s="127"/>
      <c r="D857" s="127"/>
      <c r="G857" s="127"/>
      <c r="H857" s="182"/>
      <c r="AE857" s="182"/>
    </row>
    <row r="858" spans="3:31" ht="13">
      <c r="C858" s="127"/>
      <c r="D858" s="127"/>
      <c r="G858" s="127"/>
      <c r="H858" s="182"/>
      <c r="AE858" s="182"/>
    </row>
    <row r="859" spans="3:31" ht="13">
      <c r="C859" s="127"/>
      <c r="D859" s="127"/>
      <c r="G859" s="127"/>
      <c r="H859" s="182"/>
      <c r="AE859" s="182"/>
    </row>
    <row r="860" spans="3:31" ht="13">
      <c r="C860" s="127"/>
      <c r="D860" s="127"/>
      <c r="G860" s="127"/>
      <c r="H860" s="182"/>
      <c r="AE860" s="182"/>
    </row>
    <row r="861" spans="3:31" ht="13">
      <c r="C861" s="127"/>
      <c r="D861" s="127"/>
      <c r="G861" s="127"/>
      <c r="H861" s="182"/>
      <c r="AE861" s="182"/>
    </row>
    <row r="862" spans="3:31" ht="13">
      <c r="C862" s="127"/>
      <c r="D862" s="127"/>
      <c r="G862" s="127"/>
      <c r="H862" s="182"/>
      <c r="AE862" s="182"/>
    </row>
    <row r="863" spans="3:31" ht="13">
      <c r="C863" s="127"/>
      <c r="D863" s="127"/>
      <c r="G863" s="127"/>
      <c r="H863" s="182"/>
      <c r="AE863" s="182"/>
    </row>
    <row r="864" spans="3:31" ht="13">
      <c r="C864" s="127"/>
      <c r="D864" s="127"/>
      <c r="G864" s="127"/>
      <c r="H864" s="182"/>
      <c r="AE864" s="182"/>
    </row>
    <row r="865" spans="3:31" ht="13">
      <c r="C865" s="127"/>
      <c r="D865" s="127"/>
      <c r="G865" s="127"/>
      <c r="H865" s="182"/>
      <c r="AE865" s="182"/>
    </row>
    <row r="866" spans="3:31" ht="13">
      <c r="C866" s="127"/>
      <c r="D866" s="127"/>
      <c r="G866" s="127"/>
      <c r="H866" s="182"/>
      <c r="AE866" s="182"/>
    </row>
    <row r="867" spans="3:31" ht="13">
      <c r="C867" s="127"/>
      <c r="D867" s="127"/>
      <c r="G867" s="127"/>
      <c r="H867" s="182"/>
      <c r="AE867" s="182"/>
    </row>
    <row r="868" spans="3:31" ht="13">
      <c r="C868" s="127"/>
      <c r="D868" s="127"/>
      <c r="G868" s="127"/>
      <c r="H868" s="182"/>
      <c r="AE868" s="182"/>
    </row>
    <row r="869" spans="3:31" ht="13">
      <c r="C869" s="127"/>
      <c r="D869" s="127"/>
      <c r="G869" s="127"/>
      <c r="H869" s="182"/>
      <c r="AE869" s="182"/>
    </row>
    <row r="870" spans="3:31" ht="13">
      <c r="C870" s="127"/>
      <c r="D870" s="127"/>
      <c r="G870" s="127"/>
      <c r="H870" s="182"/>
      <c r="AE870" s="182"/>
    </row>
    <row r="871" spans="3:31" ht="13">
      <c r="C871" s="127"/>
      <c r="D871" s="127"/>
      <c r="G871" s="127"/>
      <c r="H871" s="182"/>
      <c r="AE871" s="182"/>
    </row>
    <row r="872" spans="3:31" ht="13">
      <c r="C872" s="127"/>
      <c r="D872" s="127"/>
      <c r="G872" s="127"/>
      <c r="H872" s="182"/>
      <c r="AE872" s="182"/>
    </row>
    <row r="873" spans="3:31" ht="13">
      <c r="C873" s="127"/>
      <c r="D873" s="127"/>
      <c r="G873" s="127"/>
      <c r="H873" s="182"/>
      <c r="AE873" s="182"/>
    </row>
    <row r="874" spans="3:31" ht="13">
      <c r="C874" s="127"/>
      <c r="D874" s="127"/>
      <c r="G874" s="127"/>
      <c r="H874" s="182"/>
      <c r="AE874" s="182"/>
    </row>
    <row r="875" spans="3:31" ht="13">
      <c r="C875" s="127"/>
      <c r="D875" s="127"/>
      <c r="G875" s="127"/>
      <c r="H875" s="182"/>
      <c r="AE875" s="182"/>
    </row>
    <row r="876" spans="3:31" ht="13">
      <c r="C876" s="127"/>
      <c r="D876" s="127"/>
      <c r="G876" s="127"/>
      <c r="H876" s="182"/>
      <c r="AE876" s="182"/>
    </row>
    <row r="877" spans="3:31" ht="13">
      <c r="C877" s="127"/>
      <c r="D877" s="127"/>
      <c r="G877" s="127"/>
      <c r="H877" s="182"/>
      <c r="AE877" s="182"/>
    </row>
    <row r="878" spans="3:31" ht="13">
      <c r="C878" s="127"/>
      <c r="D878" s="127"/>
      <c r="G878" s="127"/>
      <c r="H878" s="182"/>
      <c r="AE878" s="182"/>
    </row>
    <row r="879" spans="3:31" ht="13">
      <c r="C879" s="127"/>
      <c r="D879" s="127"/>
      <c r="G879" s="127"/>
      <c r="H879" s="182"/>
      <c r="AE879" s="182"/>
    </row>
    <row r="880" spans="3:31" ht="13">
      <c r="C880" s="127"/>
      <c r="D880" s="127"/>
      <c r="G880" s="127"/>
      <c r="H880" s="182"/>
      <c r="AE880" s="182"/>
    </row>
    <row r="881" spans="3:31" ht="13">
      <c r="C881" s="127"/>
      <c r="D881" s="127"/>
      <c r="G881" s="127"/>
      <c r="H881" s="182"/>
      <c r="AE881" s="182"/>
    </row>
    <row r="882" spans="3:31" ht="13">
      <c r="C882" s="127"/>
      <c r="D882" s="127"/>
      <c r="G882" s="127"/>
      <c r="H882" s="182"/>
      <c r="AE882" s="182"/>
    </row>
    <row r="883" spans="3:31" ht="13">
      <c r="C883" s="127"/>
      <c r="D883" s="127"/>
      <c r="G883" s="127"/>
      <c r="H883" s="182"/>
      <c r="AE883" s="182"/>
    </row>
    <row r="884" spans="3:31" ht="13">
      <c r="C884" s="127"/>
      <c r="D884" s="127"/>
      <c r="G884" s="127"/>
      <c r="H884" s="182"/>
      <c r="AE884" s="182"/>
    </row>
    <row r="885" spans="3:31" ht="13">
      <c r="C885" s="127"/>
      <c r="D885" s="127"/>
      <c r="G885" s="127"/>
      <c r="H885" s="182"/>
      <c r="AE885" s="182"/>
    </row>
    <row r="886" spans="3:31" ht="13">
      <c r="C886" s="127"/>
      <c r="D886" s="127"/>
      <c r="G886" s="127"/>
      <c r="H886" s="182"/>
      <c r="AE886" s="182"/>
    </row>
    <row r="887" spans="3:31" ht="13">
      <c r="C887" s="127"/>
      <c r="D887" s="127"/>
      <c r="G887" s="127"/>
      <c r="H887" s="182"/>
      <c r="AE887" s="182"/>
    </row>
    <row r="888" spans="3:31" ht="13">
      <c r="C888" s="127"/>
      <c r="D888" s="127"/>
      <c r="G888" s="127"/>
      <c r="H888" s="182"/>
      <c r="AE888" s="182"/>
    </row>
    <row r="889" spans="3:31" ht="13">
      <c r="C889" s="127"/>
      <c r="D889" s="127"/>
      <c r="G889" s="127"/>
      <c r="H889" s="182"/>
      <c r="AE889" s="182"/>
    </row>
    <row r="890" spans="3:31" ht="13">
      <c r="C890" s="127"/>
      <c r="D890" s="127"/>
      <c r="G890" s="127"/>
      <c r="H890" s="182"/>
      <c r="AE890" s="182"/>
    </row>
    <row r="891" spans="3:31" ht="13">
      <c r="C891" s="127"/>
      <c r="D891" s="127"/>
      <c r="G891" s="127"/>
      <c r="H891" s="182"/>
      <c r="AE891" s="182"/>
    </row>
    <row r="892" spans="3:31" ht="13">
      <c r="C892" s="127"/>
      <c r="D892" s="127"/>
      <c r="G892" s="127"/>
      <c r="H892" s="182"/>
      <c r="AE892" s="182"/>
    </row>
    <row r="893" spans="3:31" ht="13">
      <c r="C893" s="127"/>
      <c r="D893" s="127"/>
      <c r="G893" s="127"/>
      <c r="H893" s="182"/>
      <c r="AE893" s="182"/>
    </row>
    <row r="894" spans="3:31" ht="13">
      <c r="C894" s="127"/>
      <c r="D894" s="127"/>
      <c r="G894" s="127"/>
      <c r="H894" s="182"/>
      <c r="AE894" s="182"/>
    </row>
    <row r="895" spans="3:31" ht="13">
      <c r="C895" s="127"/>
      <c r="D895" s="127"/>
      <c r="G895" s="127"/>
      <c r="H895" s="182"/>
      <c r="AE895" s="182"/>
    </row>
    <row r="896" spans="3:31" ht="13">
      <c r="C896" s="127"/>
      <c r="D896" s="127"/>
      <c r="G896" s="127"/>
      <c r="H896" s="182"/>
      <c r="AE896" s="182"/>
    </row>
    <row r="897" spans="3:31" ht="13">
      <c r="C897" s="127"/>
      <c r="D897" s="127"/>
      <c r="G897" s="127"/>
      <c r="H897" s="182"/>
      <c r="AE897" s="182"/>
    </row>
    <row r="898" spans="3:31" ht="13">
      <c r="C898" s="127"/>
      <c r="D898" s="127"/>
      <c r="G898" s="127"/>
      <c r="H898" s="182"/>
      <c r="AE898" s="182"/>
    </row>
    <row r="899" spans="3:31" ht="13">
      <c r="C899" s="127"/>
      <c r="D899" s="127"/>
      <c r="G899" s="127"/>
      <c r="H899" s="182"/>
      <c r="AE899" s="182"/>
    </row>
    <row r="900" spans="3:31" ht="13">
      <c r="C900" s="127"/>
      <c r="D900" s="127"/>
      <c r="G900" s="127"/>
      <c r="H900" s="182"/>
      <c r="AE900" s="182"/>
    </row>
    <row r="901" spans="3:31" ht="13">
      <c r="C901" s="127"/>
      <c r="D901" s="127"/>
      <c r="G901" s="127"/>
      <c r="H901" s="182"/>
      <c r="AE901" s="182"/>
    </row>
    <row r="902" spans="3:31" ht="13">
      <c r="C902" s="127"/>
      <c r="D902" s="127"/>
      <c r="G902" s="127"/>
      <c r="H902" s="182"/>
      <c r="AE902" s="182"/>
    </row>
    <row r="903" spans="3:31" ht="13">
      <c r="C903" s="127"/>
      <c r="D903" s="127"/>
      <c r="G903" s="127"/>
      <c r="H903" s="182"/>
      <c r="AE903" s="182"/>
    </row>
    <row r="904" spans="3:31" ht="13">
      <c r="C904" s="127"/>
      <c r="D904" s="127"/>
      <c r="G904" s="127"/>
      <c r="H904" s="182"/>
      <c r="AE904" s="182"/>
    </row>
    <row r="905" spans="3:31" ht="13">
      <c r="C905" s="127"/>
      <c r="D905" s="127"/>
      <c r="G905" s="127"/>
      <c r="H905" s="182"/>
      <c r="AE905" s="182"/>
    </row>
    <row r="906" spans="3:31" ht="13">
      <c r="C906" s="127"/>
      <c r="D906" s="127"/>
      <c r="G906" s="127"/>
      <c r="H906" s="182"/>
      <c r="AE906" s="182"/>
    </row>
    <row r="907" spans="3:31" ht="13">
      <c r="C907" s="127"/>
      <c r="D907" s="127"/>
      <c r="G907" s="127"/>
      <c r="H907" s="182"/>
      <c r="AE907" s="182"/>
    </row>
    <row r="908" spans="3:31" ht="13">
      <c r="C908" s="127"/>
      <c r="D908" s="127"/>
      <c r="G908" s="127"/>
      <c r="H908" s="182"/>
      <c r="AE908" s="182"/>
    </row>
    <row r="909" spans="3:31" ht="13">
      <c r="C909" s="127"/>
      <c r="D909" s="127"/>
      <c r="G909" s="127"/>
      <c r="H909" s="182"/>
      <c r="AE909" s="182"/>
    </row>
    <row r="910" spans="3:31" ht="13">
      <c r="C910" s="127"/>
      <c r="D910" s="127"/>
      <c r="G910" s="127"/>
      <c r="H910" s="182"/>
      <c r="AE910" s="182"/>
    </row>
    <row r="911" spans="3:31" ht="13">
      <c r="C911" s="127"/>
      <c r="D911" s="127"/>
      <c r="G911" s="127"/>
      <c r="H911" s="182"/>
      <c r="AE911" s="182"/>
    </row>
    <row r="912" spans="3:31" ht="13">
      <c r="C912" s="127"/>
      <c r="D912" s="127"/>
      <c r="G912" s="127"/>
      <c r="H912" s="182"/>
      <c r="AE912" s="182"/>
    </row>
    <row r="913" spans="3:31" ht="13">
      <c r="C913" s="127"/>
      <c r="D913" s="127"/>
      <c r="G913" s="127"/>
      <c r="H913" s="182"/>
      <c r="AE913" s="182"/>
    </row>
    <row r="914" spans="3:31" ht="13">
      <c r="C914" s="127"/>
      <c r="D914" s="127"/>
      <c r="G914" s="127"/>
      <c r="H914" s="182"/>
      <c r="AE914" s="182"/>
    </row>
    <row r="915" spans="3:31" ht="13">
      <c r="C915" s="127"/>
      <c r="D915" s="127"/>
      <c r="G915" s="127"/>
      <c r="H915" s="182"/>
      <c r="AE915" s="182"/>
    </row>
    <row r="916" spans="3:31" ht="13">
      <c r="C916" s="127"/>
      <c r="D916" s="127"/>
      <c r="G916" s="127"/>
      <c r="H916" s="182"/>
      <c r="AE916" s="182"/>
    </row>
    <row r="917" spans="3:31" ht="13">
      <c r="C917" s="127"/>
      <c r="D917" s="127"/>
      <c r="G917" s="127"/>
      <c r="H917" s="182"/>
      <c r="AE917" s="182"/>
    </row>
    <row r="918" spans="3:31" ht="13">
      <c r="C918" s="127"/>
      <c r="D918" s="127"/>
      <c r="G918" s="127"/>
      <c r="H918" s="182"/>
      <c r="AE918" s="182"/>
    </row>
    <row r="919" spans="3:31" ht="13">
      <c r="C919" s="127"/>
      <c r="D919" s="127"/>
      <c r="G919" s="127"/>
      <c r="H919" s="182"/>
      <c r="AE919" s="182"/>
    </row>
    <row r="920" spans="3:31" ht="13">
      <c r="C920" s="127"/>
      <c r="D920" s="127"/>
      <c r="G920" s="127"/>
      <c r="H920" s="182"/>
      <c r="AE920" s="182"/>
    </row>
    <row r="921" spans="3:31" ht="13">
      <c r="C921" s="127"/>
      <c r="D921" s="127"/>
      <c r="G921" s="127"/>
      <c r="H921" s="182"/>
      <c r="AE921" s="182"/>
    </row>
    <row r="922" spans="3:31" ht="13">
      <c r="C922" s="127"/>
      <c r="D922" s="127"/>
      <c r="G922" s="127"/>
      <c r="H922" s="182"/>
      <c r="AE922" s="182"/>
    </row>
    <row r="923" spans="3:31" ht="13">
      <c r="C923" s="127"/>
      <c r="D923" s="127"/>
      <c r="G923" s="127"/>
      <c r="H923" s="182"/>
      <c r="AE923" s="182"/>
    </row>
    <row r="924" spans="3:31" ht="13">
      <c r="C924" s="127"/>
      <c r="D924" s="127"/>
      <c r="G924" s="127"/>
      <c r="H924" s="182"/>
      <c r="AE924" s="182"/>
    </row>
    <row r="925" spans="3:31" ht="13">
      <c r="C925" s="127"/>
      <c r="D925" s="127"/>
      <c r="G925" s="127"/>
      <c r="H925" s="182"/>
      <c r="AE925" s="182"/>
    </row>
    <row r="926" spans="3:31" ht="13">
      <c r="C926" s="127"/>
      <c r="D926" s="127"/>
      <c r="G926" s="127"/>
      <c r="H926" s="182"/>
      <c r="AE926" s="182"/>
    </row>
    <row r="927" spans="3:31" ht="13">
      <c r="C927" s="127"/>
      <c r="D927" s="127"/>
      <c r="G927" s="127"/>
      <c r="H927" s="182"/>
      <c r="AE927" s="182"/>
    </row>
    <row r="928" spans="3:31" ht="13">
      <c r="C928" s="127"/>
      <c r="D928" s="127"/>
      <c r="G928" s="127"/>
      <c r="H928" s="182"/>
      <c r="AE928" s="182"/>
    </row>
    <row r="929" spans="3:31" ht="13">
      <c r="C929" s="127"/>
      <c r="D929" s="127"/>
      <c r="G929" s="127"/>
      <c r="H929" s="182"/>
      <c r="AE929" s="182"/>
    </row>
    <row r="930" spans="3:31" ht="13">
      <c r="C930" s="127"/>
      <c r="D930" s="127"/>
      <c r="G930" s="127"/>
      <c r="H930" s="182"/>
      <c r="AE930" s="182"/>
    </row>
    <row r="931" spans="3:31" ht="13">
      <c r="C931" s="127"/>
      <c r="D931" s="127"/>
      <c r="G931" s="127"/>
      <c r="H931" s="182"/>
      <c r="AE931" s="182"/>
    </row>
    <row r="932" spans="3:31" ht="13">
      <c r="C932" s="127"/>
      <c r="D932" s="127"/>
      <c r="G932" s="127"/>
      <c r="H932" s="182"/>
      <c r="AE932" s="182"/>
    </row>
    <row r="933" spans="3:31" ht="13">
      <c r="C933" s="127"/>
      <c r="D933" s="127"/>
      <c r="G933" s="127"/>
      <c r="H933" s="182"/>
      <c r="AE933" s="182"/>
    </row>
    <row r="934" spans="3:31" ht="13">
      <c r="C934" s="127"/>
      <c r="D934" s="127"/>
      <c r="G934" s="127"/>
      <c r="H934" s="182"/>
      <c r="AE934" s="182"/>
    </row>
    <row r="935" spans="3:31" ht="13">
      <c r="C935" s="127"/>
      <c r="D935" s="127"/>
      <c r="G935" s="127"/>
      <c r="H935" s="182"/>
      <c r="AE935" s="182"/>
    </row>
    <row r="936" spans="3:31" ht="13">
      <c r="C936" s="127"/>
      <c r="D936" s="127"/>
      <c r="G936" s="127"/>
      <c r="H936" s="182"/>
      <c r="AE936" s="182"/>
    </row>
    <row r="937" spans="3:31" ht="13">
      <c r="C937" s="127"/>
      <c r="D937" s="127"/>
      <c r="G937" s="127"/>
      <c r="H937" s="182"/>
      <c r="AE937" s="182"/>
    </row>
    <row r="938" spans="3:31" ht="13">
      <c r="C938" s="127"/>
      <c r="D938" s="127"/>
      <c r="G938" s="127"/>
      <c r="H938" s="182"/>
      <c r="AE938" s="182"/>
    </row>
    <row r="939" spans="3:31" ht="13">
      <c r="C939" s="127"/>
      <c r="D939" s="127"/>
      <c r="G939" s="127"/>
      <c r="H939" s="182"/>
      <c r="AE939" s="182"/>
    </row>
    <row r="940" spans="3:31" ht="13">
      <c r="C940" s="127"/>
      <c r="D940" s="127"/>
      <c r="G940" s="127"/>
      <c r="H940" s="182"/>
      <c r="AE940" s="182"/>
    </row>
    <row r="941" spans="3:31" ht="13">
      <c r="C941" s="127"/>
      <c r="D941" s="127"/>
      <c r="G941" s="127"/>
      <c r="H941" s="182"/>
      <c r="AE941" s="182"/>
    </row>
    <row r="942" spans="3:31" ht="13">
      <c r="C942" s="127"/>
      <c r="D942" s="127"/>
      <c r="G942" s="127"/>
      <c r="H942" s="182"/>
      <c r="AE942" s="182"/>
    </row>
    <row r="943" spans="3:31" ht="13">
      <c r="C943" s="127"/>
      <c r="D943" s="127"/>
      <c r="G943" s="127"/>
      <c r="H943" s="182"/>
      <c r="AE943" s="182"/>
    </row>
    <row r="944" spans="3:31" ht="13">
      <c r="C944" s="127"/>
      <c r="D944" s="127"/>
      <c r="G944" s="127"/>
      <c r="H944" s="182"/>
      <c r="AE944" s="182"/>
    </row>
    <row r="945" spans="3:31" ht="13">
      <c r="C945" s="127"/>
      <c r="D945" s="127"/>
      <c r="G945" s="127"/>
      <c r="H945" s="182"/>
      <c r="AE945" s="182"/>
    </row>
    <row r="946" spans="3:31" ht="13">
      <c r="C946" s="127"/>
      <c r="D946" s="127"/>
      <c r="G946" s="127"/>
      <c r="H946" s="182"/>
      <c r="AE946" s="182"/>
    </row>
    <row r="947" spans="3:31" ht="13">
      <c r="C947" s="127"/>
      <c r="D947" s="127"/>
      <c r="G947" s="127"/>
      <c r="H947" s="182"/>
      <c r="AE947" s="182"/>
    </row>
    <row r="948" spans="3:31" ht="13">
      <c r="C948" s="127"/>
      <c r="D948" s="127"/>
      <c r="G948" s="127"/>
      <c r="H948" s="182"/>
      <c r="AE948" s="182"/>
    </row>
    <row r="949" spans="3:31" ht="13">
      <c r="C949" s="127"/>
      <c r="D949" s="127"/>
      <c r="G949" s="127"/>
      <c r="H949" s="182"/>
      <c r="AE949" s="182"/>
    </row>
    <row r="950" spans="3:31" ht="13">
      <c r="C950" s="127"/>
      <c r="D950" s="127"/>
      <c r="G950" s="127"/>
      <c r="H950" s="182"/>
      <c r="AE950" s="182"/>
    </row>
    <row r="951" spans="3:31" ht="13">
      <c r="C951" s="127"/>
      <c r="D951" s="127"/>
      <c r="G951" s="127"/>
      <c r="H951" s="182"/>
      <c r="AE951" s="182"/>
    </row>
    <row r="952" spans="3:31" ht="13">
      <c r="C952" s="127"/>
      <c r="D952" s="127"/>
      <c r="G952" s="127"/>
      <c r="H952" s="182"/>
      <c r="AE952" s="182"/>
    </row>
    <row r="953" spans="3:31" ht="13">
      <c r="C953" s="127"/>
      <c r="D953" s="127"/>
      <c r="G953" s="127"/>
      <c r="H953" s="182"/>
      <c r="AE953" s="182"/>
    </row>
    <row r="954" spans="3:31" ht="13">
      <c r="C954" s="127"/>
      <c r="D954" s="127"/>
      <c r="G954" s="127"/>
      <c r="H954" s="182"/>
      <c r="AE954" s="182"/>
    </row>
    <row r="955" spans="3:31" ht="13">
      <c r="C955" s="127"/>
      <c r="D955" s="127"/>
      <c r="G955" s="127"/>
      <c r="H955" s="182"/>
      <c r="AE955" s="182"/>
    </row>
    <row r="956" spans="3:31" ht="13">
      <c r="C956" s="127"/>
      <c r="D956" s="127"/>
      <c r="G956" s="127"/>
      <c r="H956" s="182"/>
      <c r="AE956" s="182"/>
    </row>
    <row r="957" spans="3:31" ht="13">
      <c r="C957" s="127"/>
      <c r="D957" s="127"/>
      <c r="G957" s="127"/>
      <c r="H957" s="182"/>
      <c r="AE957" s="182"/>
    </row>
    <row r="958" spans="3:31" ht="13">
      <c r="C958" s="127"/>
      <c r="D958" s="127"/>
      <c r="G958" s="127"/>
      <c r="H958" s="182"/>
      <c r="AE958" s="182"/>
    </row>
    <row r="959" spans="3:31" ht="13">
      <c r="C959" s="127"/>
      <c r="D959" s="127"/>
      <c r="G959" s="127"/>
      <c r="H959" s="182"/>
      <c r="AE959" s="182"/>
    </row>
    <row r="960" spans="3:31" ht="13">
      <c r="C960" s="127"/>
      <c r="D960" s="127"/>
      <c r="G960" s="127"/>
      <c r="H960" s="182"/>
      <c r="AE960" s="182"/>
    </row>
    <row r="961" spans="3:31" ht="13">
      <c r="C961" s="127"/>
      <c r="D961" s="127"/>
      <c r="G961" s="127"/>
      <c r="H961" s="182"/>
      <c r="AE961" s="182"/>
    </row>
    <row r="962" spans="3:31" ht="13">
      <c r="C962" s="127"/>
      <c r="D962" s="127"/>
      <c r="G962" s="127"/>
      <c r="H962" s="182"/>
      <c r="AE962" s="182"/>
    </row>
    <row r="963" spans="3:31" ht="13">
      <c r="C963" s="127"/>
      <c r="D963" s="127"/>
      <c r="G963" s="127"/>
      <c r="H963" s="182"/>
      <c r="AE963" s="182"/>
    </row>
    <row r="964" spans="3:31" ht="13">
      <c r="C964" s="127"/>
      <c r="D964" s="127"/>
      <c r="G964" s="127"/>
      <c r="H964" s="182"/>
      <c r="AE964" s="182"/>
    </row>
    <row r="965" spans="3:31" ht="13">
      <c r="C965" s="127"/>
      <c r="D965" s="127"/>
      <c r="G965" s="127"/>
      <c r="H965" s="182"/>
      <c r="AE965" s="182"/>
    </row>
    <row r="966" spans="3:31" ht="13">
      <c r="C966" s="127"/>
      <c r="D966" s="127"/>
      <c r="G966" s="127"/>
      <c r="H966" s="182"/>
      <c r="AE966" s="182"/>
    </row>
    <row r="967" spans="3:31" ht="13">
      <c r="C967" s="127"/>
      <c r="D967" s="127"/>
      <c r="G967" s="127"/>
      <c r="H967" s="182"/>
      <c r="AE967" s="182"/>
    </row>
    <row r="968" spans="3:31" ht="13">
      <c r="C968" s="127"/>
      <c r="D968" s="127"/>
      <c r="G968" s="127"/>
      <c r="H968" s="182"/>
      <c r="AE968" s="182"/>
    </row>
    <row r="969" spans="3:31" ht="13">
      <c r="C969" s="127"/>
      <c r="D969" s="127"/>
      <c r="G969" s="127"/>
      <c r="H969" s="182"/>
      <c r="AE969" s="182"/>
    </row>
    <row r="970" spans="3:31" ht="13">
      <c r="C970" s="127"/>
      <c r="D970" s="127"/>
      <c r="G970" s="127"/>
      <c r="H970" s="182"/>
      <c r="AE970" s="182"/>
    </row>
    <row r="971" spans="3:31" ht="13">
      <c r="C971" s="127"/>
      <c r="D971" s="127"/>
      <c r="G971" s="127"/>
      <c r="H971" s="182"/>
      <c r="AE971" s="182"/>
    </row>
    <row r="972" spans="3:31" ht="13">
      <c r="C972" s="127"/>
      <c r="D972" s="127"/>
      <c r="G972" s="127"/>
      <c r="H972" s="182"/>
      <c r="AE972" s="182"/>
    </row>
    <row r="973" spans="3:31" ht="13">
      <c r="C973" s="127"/>
      <c r="D973" s="127"/>
      <c r="G973" s="127"/>
      <c r="H973" s="182"/>
      <c r="AE973" s="182"/>
    </row>
    <row r="974" spans="3:31" ht="13">
      <c r="C974" s="127"/>
      <c r="D974" s="127"/>
      <c r="G974" s="127"/>
      <c r="H974" s="182"/>
      <c r="AE974" s="182"/>
    </row>
    <row r="975" spans="3:31" ht="13">
      <c r="C975" s="127"/>
      <c r="D975" s="127"/>
      <c r="G975" s="127"/>
      <c r="H975" s="182"/>
      <c r="AE975" s="182"/>
    </row>
    <row r="976" spans="3:31" ht="13">
      <c r="C976" s="127"/>
      <c r="D976" s="127"/>
      <c r="G976" s="127"/>
      <c r="H976" s="182"/>
      <c r="AE976" s="182"/>
    </row>
    <row r="977" spans="3:31" ht="13">
      <c r="C977" s="127"/>
      <c r="D977" s="127"/>
      <c r="G977" s="127"/>
      <c r="H977" s="182"/>
      <c r="AE977" s="182"/>
    </row>
    <row r="978" spans="3:31" ht="13">
      <c r="C978" s="127"/>
      <c r="D978" s="127"/>
      <c r="G978" s="127"/>
      <c r="H978" s="182"/>
      <c r="AE978" s="182"/>
    </row>
    <row r="979" spans="3:31" ht="13">
      <c r="C979" s="127"/>
      <c r="D979" s="127"/>
      <c r="G979" s="127"/>
      <c r="H979" s="182"/>
      <c r="AE979" s="182"/>
    </row>
    <row r="980" spans="3:31" ht="13">
      <c r="C980" s="127"/>
      <c r="D980" s="127"/>
      <c r="G980" s="127"/>
      <c r="H980" s="182"/>
      <c r="AE980" s="182"/>
    </row>
    <row r="981" spans="3:31" ht="13">
      <c r="C981" s="127"/>
      <c r="D981" s="127"/>
      <c r="G981" s="127"/>
      <c r="H981" s="182"/>
      <c r="AE981" s="182"/>
    </row>
    <row r="982" spans="3:31" ht="13">
      <c r="C982" s="127"/>
      <c r="D982" s="127"/>
      <c r="G982" s="127"/>
      <c r="H982" s="182"/>
      <c r="AE982" s="182"/>
    </row>
    <row r="983" spans="3:31" ht="13">
      <c r="C983" s="127"/>
      <c r="D983" s="127"/>
      <c r="G983" s="127"/>
      <c r="H983" s="182"/>
      <c r="AE983" s="182"/>
    </row>
    <row r="984" spans="3:31" ht="13">
      <c r="C984" s="127"/>
      <c r="D984" s="127"/>
      <c r="G984" s="127"/>
      <c r="H984" s="182"/>
      <c r="AE984" s="182"/>
    </row>
    <row r="985" spans="3:31" ht="13">
      <c r="C985" s="127"/>
      <c r="D985" s="127"/>
      <c r="G985" s="127"/>
      <c r="H985" s="182"/>
      <c r="AE985" s="182"/>
    </row>
    <row r="986" spans="3:31" ht="13">
      <c r="C986" s="127"/>
      <c r="D986" s="127"/>
      <c r="G986" s="127"/>
      <c r="H986" s="182"/>
      <c r="AE986" s="182"/>
    </row>
    <row r="987" spans="3:31" ht="13">
      <c r="C987" s="127"/>
      <c r="D987" s="127"/>
      <c r="G987" s="127"/>
      <c r="H987" s="182"/>
      <c r="AE987" s="182"/>
    </row>
    <row r="988" spans="3:31" ht="13">
      <c r="C988" s="127"/>
      <c r="D988" s="127"/>
      <c r="G988" s="127"/>
      <c r="H988" s="182"/>
      <c r="AE988" s="182"/>
    </row>
    <row r="989" spans="3:31" ht="13">
      <c r="C989" s="127"/>
      <c r="D989" s="127"/>
      <c r="G989" s="127"/>
      <c r="H989" s="182"/>
      <c r="AE989" s="182"/>
    </row>
    <row r="990" spans="3:31" ht="13">
      <c r="C990" s="127"/>
      <c r="D990" s="127"/>
      <c r="G990" s="127"/>
      <c r="H990" s="182"/>
      <c r="AE990" s="182"/>
    </row>
    <row r="991" spans="3:31" ht="13">
      <c r="C991" s="127"/>
      <c r="D991" s="127"/>
      <c r="G991" s="127"/>
      <c r="H991" s="182"/>
      <c r="AE991" s="182"/>
    </row>
    <row r="992" spans="3:31" ht="13">
      <c r="C992" s="127"/>
      <c r="D992" s="127"/>
      <c r="G992" s="127"/>
      <c r="H992" s="182"/>
      <c r="AE992" s="182"/>
    </row>
    <row r="993" spans="3:31" ht="13">
      <c r="C993" s="127"/>
      <c r="D993" s="127"/>
      <c r="G993" s="127"/>
      <c r="H993" s="182"/>
      <c r="AE993" s="182"/>
    </row>
    <row r="994" spans="3:31" ht="13">
      <c r="C994" s="127"/>
      <c r="D994" s="127"/>
      <c r="G994" s="127"/>
      <c r="H994" s="182"/>
      <c r="AE994" s="182"/>
    </row>
    <row r="995" spans="3:31" ht="13">
      <c r="C995" s="127"/>
      <c r="D995" s="127"/>
      <c r="G995" s="127"/>
      <c r="H995" s="182"/>
      <c r="AE995" s="182"/>
    </row>
    <row r="996" spans="3:31" ht="13">
      <c r="C996" s="127"/>
      <c r="D996" s="127"/>
      <c r="G996" s="127"/>
      <c r="H996" s="182"/>
      <c r="AE996" s="182"/>
    </row>
    <row r="997" spans="3:31" ht="13">
      <c r="C997" s="127"/>
      <c r="D997" s="127"/>
      <c r="G997" s="127"/>
      <c r="H997" s="182"/>
      <c r="AE997" s="182"/>
    </row>
    <row r="998" spans="3:31" ht="13">
      <c r="C998" s="127"/>
      <c r="D998" s="127"/>
      <c r="G998" s="127"/>
      <c r="H998" s="182"/>
      <c r="AE998" s="182"/>
    </row>
    <row r="999" spans="3:31" ht="13">
      <c r="C999" s="127"/>
      <c r="D999" s="127"/>
      <c r="G999" s="127"/>
      <c r="H999" s="182"/>
      <c r="AE999" s="182"/>
    </row>
    <row r="1000" spans="3:31" ht="13">
      <c r="C1000" s="127"/>
      <c r="D1000" s="127"/>
      <c r="G1000" s="127"/>
      <c r="H1000" s="182"/>
      <c r="AE1000" s="182"/>
    </row>
    <row r="1001" spans="3:31" ht="13">
      <c r="C1001" s="127"/>
      <c r="D1001" s="127"/>
      <c r="G1001" s="127"/>
      <c r="H1001" s="182"/>
      <c r="AE1001" s="182"/>
    </row>
    <row r="1002" spans="3:31" ht="13">
      <c r="C1002" s="127"/>
      <c r="D1002" s="127"/>
      <c r="G1002" s="127"/>
      <c r="H1002" s="182"/>
      <c r="AE1002" s="182"/>
    </row>
    <row r="1003" spans="3:31" ht="13">
      <c r="C1003" s="127"/>
      <c r="D1003" s="127"/>
      <c r="G1003" s="127"/>
      <c r="H1003" s="182"/>
      <c r="AE1003" s="182"/>
    </row>
    <row r="1004" spans="3:31" ht="13">
      <c r="C1004" s="127"/>
      <c r="D1004" s="127"/>
      <c r="G1004" s="127"/>
      <c r="H1004" s="182"/>
      <c r="AE1004" s="182"/>
    </row>
    <row r="1005" spans="3:31" ht="13">
      <c r="C1005" s="127"/>
      <c r="D1005" s="127"/>
      <c r="G1005" s="127"/>
      <c r="H1005" s="182"/>
      <c r="AE1005" s="182"/>
    </row>
    <row r="1006" spans="3:31" ht="13">
      <c r="C1006" s="127"/>
      <c r="D1006" s="127"/>
      <c r="G1006" s="127"/>
      <c r="H1006" s="182"/>
      <c r="AE1006" s="182"/>
    </row>
    <row r="1007" spans="3:31" ht="13">
      <c r="C1007" s="127"/>
      <c r="D1007" s="127"/>
      <c r="G1007" s="127"/>
      <c r="H1007" s="182"/>
      <c r="AE1007" s="182"/>
    </row>
    <row r="1008" spans="3:31" ht="13">
      <c r="C1008" s="127"/>
      <c r="D1008" s="127"/>
      <c r="G1008" s="127"/>
      <c r="H1008" s="182"/>
      <c r="AE1008" s="182"/>
    </row>
    <row r="1009" spans="3:31" ht="13">
      <c r="C1009" s="127"/>
      <c r="D1009" s="127"/>
      <c r="G1009" s="127"/>
      <c r="H1009" s="182"/>
      <c r="AE1009" s="182"/>
    </row>
    <row r="1010" spans="3:31" ht="13">
      <c r="C1010" s="127"/>
      <c r="D1010" s="127"/>
      <c r="G1010" s="127"/>
      <c r="H1010" s="182"/>
      <c r="AE1010" s="182"/>
    </row>
    <row r="1011" spans="3:31" ht="13">
      <c r="C1011" s="127"/>
      <c r="D1011" s="127"/>
      <c r="G1011" s="127"/>
      <c r="H1011" s="182"/>
      <c r="AE1011" s="182"/>
    </row>
    <row r="1012" spans="3:31" ht="13">
      <c r="C1012" s="127"/>
      <c r="D1012" s="127"/>
      <c r="G1012" s="127"/>
      <c r="H1012" s="182"/>
      <c r="AE1012" s="182"/>
    </row>
    <row r="1013" spans="3:31" ht="13">
      <c r="C1013" s="127"/>
      <c r="D1013" s="127"/>
      <c r="G1013" s="127"/>
      <c r="H1013" s="182"/>
      <c r="AE1013" s="182"/>
    </row>
    <row r="1014" spans="3:31" ht="13">
      <c r="C1014" s="127"/>
      <c r="D1014" s="127"/>
      <c r="G1014" s="127"/>
      <c r="H1014" s="182"/>
      <c r="AE1014" s="182"/>
    </row>
    <row r="1015" spans="3:31" ht="13">
      <c r="C1015" s="127"/>
      <c r="D1015" s="127"/>
      <c r="G1015" s="127"/>
      <c r="H1015" s="182"/>
      <c r="AE1015" s="182"/>
    </row>
  </sheetData>
  <mergeCells count="1">
    <mergeCell ref="E44:G44"/>
  </mergeCells>
  <hyperlinks>
    <hyperlink ref="A2" r:id="rId1" xr:uid="{00000000-0004-0000-0900-000000000000}"/>
    <hyperlink ref="C2" r:id="rId2" xr:uid="{00000000-0004-0000-0900-000001000000}"/>
    <hyperlink ref="D2" r:id="rId3" xr:uid="{00000000-0004-0000-0900-000002000000}"/>
    <hyperlink ref="A3" r:id="rId4" xr:uid="{00000000-0004-0000-0900-000003000000}"/>
    <hyperlink ref="C3" r:id="rId5" xr:uid="{00000000-0004-0000-0900-000004000000}"/>
    <hyperlink ref="D3" r:id="rId6" xr:uid="{00000000-0004-0000-0900-000005000000}"/>
    <hyperlink ref="A4" r:id="rId7" xr:uid="{00000000-0004-0000-0900-000006000000}"/>
    <hyperlink ref="C4" r:id="rId8" xr:uid="{00000000-0004-0000-0900-000007000000}"/>
    <hyperlink ref="D4" r:id="rId9" xr:uid="{00000000-0004-0000-0900-000008000000}"/>
    <hyperlink ref="A5" r:id="rId10" xr:uid="{00000000-0004-0000-0900-000009000000}"/>
    <hyperlink ref="C5" r:id="rId11" xr:uid="{00000000-0004-0000-0900-00000A000000}"/>
    <hyperlink ref="D5" r:id="rId12" xr:uid="{00000000-0004-0000-0900-00000B000000}"/>
    <hyperlink ref="A6" r:id="rId13" xr:uid="{00000000-0004-0000-0900-00000C000000}"/>
    <hyperlink ref="C6" r:id="rId14" xr:uid="{00000000-0004-0000-0900-00000D000000}"/>
    <hyperlink ref="D6" r:id="rId15" xr:uid="{00000000-0004-0000-0900-00000E000000}"/>
    <hyperlink ref="A7" r:id="rId16" xr:uid="{00000000-0004-0000-0900-00000F000000}"/>
    <hyperlink ref="C7" r:id="rId17" xr:uid="{00000000-0004-0000-0900-000010000000}"/>
    <hyperlink ref="D7" r:id="rId18" xr:uid="{00000000-0004-0000-0900-000011000000}"/>
    <hyperlink ref="A8" r:id="rId19" xr:uid="{00000000-0004-0000-0900-000012000000}"/>
    <hyperlink ref="C8" r:id="rId20" xr:uid="{00000000-0004-0000-0900-000013000000}"/>
    <hyperlink ref="D8" r:id="rId21" xr:uid="{00000000-0004-0000-0900-000014000000}"/>
    <hyperlink ref="A9" r:id="rId22" xr:uid="{00000000-0004-0000-0900-000015000000}"/>
    <hyperlink ref="C9" r:id="rId23" xr:uid="{00000000-0004-0000-0900-000016000000}"/>
    <hyperlink ref="D9" r:id="rId24" xr:uid="{00000000-0004-0000-0900-000017000000}"/>
    <hyperlink ref="C10" r:id="rId25" xr:uid="{00000000-0004-0000-0900-000018000000}"/>
    <hyperlink ref="D10" r:id="rId26" xr:uid="{00000000-0004-0000-0900-000019000000}"/>
    <hyperlink ref="A11" r:id="rId27" xr:uid="{00000000-0004-0000-0900-00001A000000}"/>
    <hyperlink ref="C11" r:id="rId28" xr:uid="{00000000-0004-0000-0900-00001B000000}"/>
    <hyperlink ref="D11" r:id="rId29" xr:uid="{00000000-0004-0000-0900-00001C000000}"/>
    <hyperlink ref="C12" r:id="rId30" xr:uid="{00000000-0004-0000-0900-00001D000000}"/>
    <hyperlink ref="D12" r:id="rId31" xr:uid="{00000000-0004-0000-0900-00001E000000}"/>
    <hyperlink ref="C13" r:id="rId32" xr:uid="{00000000-0004-0000-0900-00001F000000}"/>
    <hyperlink ref="D13" r:id="rId33" xr:uid="{00000000-0004-0000-0900-000020000000}"/>
    <hyperlink ref="C14" r:id="rId34" xr:uid="{00000000-0004-0000-0900-000021000000}"/>
    <hyperlink ref="D14" r:id="rId35" xr:uid="{00000000-0004-0000-0900-000022000000}"/>
    <hyperlink ref="N14" r:id="rId36" xr:uid="{00000000-0004-0000-0900-000023000000}"/>
    <hyperlink ref="C15" r:id="rId37" xr:uid="{00000000-0004-0000-0900-000024000000}"/>
    <hyperlink ref="D15" r:id="rId38" xr:uid="{00000000-0004-0000-0900-000025000000}"/>
    <hyperlink ref="C16" r:id="rId39" xr:uid="{00000000-0004-0000-0900-000026000000}"/>
    <hyperlink ref="D16" r:id="rId40" xr:uid="{00000000-0004-0000-0900-000027000000}"/>
    <hyperlink ref="C17" r:id="rId41" xr:uid="{00000000-0004-0000-0900-000028000000}"/>
    <hyperlink ref="D17" r:id="rId42" xr:uid="{00000000-0004-0000-0900-000029000000}"/>
    <hyperlink ref="N17" r:id="rId43" xr:uid="{00000000-0004-0000-0900-00002A000000}"/>
    <hyperlink ref="C18" r:id="rId44" xr:uid="{00000000-0004-0000-0900-00002B000000}"/>
    <hyperlink ref="D18" r:id="rId45" xr:uid="{00000000-0004-0000-0900-00002C000000}"/>
    <hyperlink ref="N18" r:id="rId46" xr:uid="{00000000-0004-0000-0900-00002D000000}"/>
    <hyperlink ref="A19" r:id="rId47" xr:uid="{00000000-0004-0000-0900-00002E000000}"/>
    <hyperlink ref="C19" r:id="rId48" xr:uid="{00000000-0004-0000-0900-00002F000000}"/>
    <hyperlink ref="C20" r:id="rId49" xr:uid="{00000000-0004-0000-0900-000030000000}"/>
    <hyperlink ref="D20" r:id="rId50" xr:uid="{00000000-0004-0000-0900-000031000000}"/>
    <hyperlink ref="C21" r:id="rId51" xr:uid="{00000000-0004-0000-0900-000032000000}"/>
    <hyperlink ref="D21" r:id="rId52" xr:uid="{00000000-0004-0000-0900-000033000000}"/>
    <hyperlink ref="C22" r:id="rId53" xr:uid="{00000000-0004-0000-0900-000034000000}"/>
    <hyperlink ref="D22" r:id="rId54" xr:uid="{00000000-0004-0000-0900-000035000000}"/>
    <hyperlink ref="N22" r:id="rId55" xr:uid="{00000000-0004-0000-0900-000036000000}"/>
    <hyperlink ref="C23" r:id="rId56" xr:uid="{00000000-0004-0000-0900-000037000000}"/>
    <hyperlink ref="D23" r:id="rId57" xr:uid="{00000000-0004-0000-0900-000038000000}"/>
    <hyperlink ref="N23" r:id="rId58" xr:uid="{00000000-0004-0000-0900-000039000000}"/>
    <hyperlink ref="A24" r:id="rId59" xr:uid="{00000000-0004-0000-0900-00003A000000}"/>
    <hyperlink ref="C24" r:id="rId60" xr:uid="{00000000-0004-0000-0900-00003B000000}"/>
    <hyperlink ref="D24" r:id="rId61" xr:uid="{00000000-0004-0000-0900-00003C000000}"/>
    <hyperlink ref="A25" r:id="rId62" xr:uid="{00000000-0004-0000-0900-00003D000000}"/>
    <hyperlink ref="C25" r:id="rId63" xr:uid="{00000000-0004-0000-0900-00003E000000}"/>
    <hyperlink ref="D25" r:id="rId64" xr:uid="{00000000-0004-0000-0900-00003F000000}"/>
    <hyperlink ref="N25" r:id="rId65" xr:uid="{00000000-0004-0000-0900-000040000000}"/>
    <hyperlink ref="A26" r:id="rId66" xr:uid="{00000000-0004-0000-0900-000041000000}"/>
    <hyperlink ref="C26" r:id="rId67" xr:uid="{00000000-0004-0000-0900-000042000000}"/>
    <hyperlink ref="D26" r:id="rId68" xr:uid="{00000000-0004-0000-0900-000043000000}"/>
    <hyperlink ref="A27" r:id="rId69" xr:uid="{00000000-0004-0000-0900-000044000000}"/>
    <hyperlink ref="C27" r:id="rId70" xr:uid="{00000000-0004-0000-0900-000045000000}"/>
    <hyperlink ref="D27" r:id="rId71" xr:uid="{00000000-0004-0000-0900-000046000000}"/>
    <hyperlink ref="C28" r:id="rId72" xr:uid="{00000000-0004-0000-0900-000047000000}"/>
    <hyperlink ref="D28" r:id="rId73" xr:uid="{00000000-0004-0000-0900-000048000000}"/>
    <hyperlink ref="N28" r:id="rId74" xr:uid="{00000000-0004-0000-0900-000049000000}"/>
    <hyperlink ref="C29" r:id="rId75" xr:uid="{00000000-0004-0000-0900-00004A000000}"/>
    <hyperlink ref="D29" r:id="rId76" xr:uid="{00000000-0004-0000-0900-00004B000000}"/>
    <hyperlink ref="N29" r:id="rId77" location="entry74866" xr:uid="{00000000-0004-0000-0900-00004C000000}"/>
    <hyperlink ref="C30" r:id="rId78" xr:uid="{00000000-0004-0000-0900-00004D000000}"/>
    <hyperlink ref="D30" r:id="rId79" xr:uid="{00000000-0004-0000-0900-00004E000000}"/>
    <hyperlink ref="C31" r:id="rId80" xr:uid="{00000000-0004-0000-0900-00004F000000}"/>
    <hyperlink ref="D31" r:id="rId81" xr:uid="{00000000-0004-0000-0900-000050000000}"/>
    <hyperlink ref="N31" r:id="rId82" location="entry74866" xr:uid="{00000000-0004-0000-0900-000051000000}"/>
    <hyperlink ref="A32" r:id="rId83" xr:uid="{00000000-0004-0000-0900-000052000000}"/>
    <hyperlink ref="C32" r:id="rId84" xr:uid="{00000000-0004-0000-0900-000053000000}"/>
    <hyperlink ref="D32" r:id="rId85" xr:uid="{00000000-0004-0000-0900-000054000000}"/>
    <hyperlink ref="A33" r:id="rId86" xr:uid="{00000000-0004-0000-0900-000055000000}"/>
    <hyperlink ref="C33" r:id="rId87" xr:uid="{00000000-0004-0000-0900-000056000000}"/>
    <hyperlink ref="D33" r:id="rId88" xr:uid="{00000000-0004-0000-0900-000057000000}"/>
  </hyperlinks>
  <pageMargins left="0.7" right="0.7" top="0.75" bottom="0.75" header="0.3" footer="0.3"/>
  <legacyDrawing r:id="rId89"/>
  <tableParts count="1">
    <tablePart r:id="rId90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H101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2" width="5.6640625" customWidth="1"/>
    <col min="3" max="3" width="16.1640625" customWidth="1"/>
    <col min="4" max="4" width="15.5" customWidth="1"/>
    <col min="5" max="5" width="23" customWidth="1"/>
    <col min="6" max="7" width="8.33203125" customWidth="1"/>
    <col min="8" max="8" width="7.5" customWidth="1"/>
    <col min="9" max="11" width="8.5" customWidth="1"/>
    <col min="12" max="13" width="6.33203125" customWidth="1"/>
    <col min="14" max="14" width="14.5" customWidth="1"/>
    <col min="15" max="15" width="14" customWidth="1"/>
    <col min="17" max="20" width="15.33203125" customWidth="1"/>
    <col min="21" max="21" width="7.5" customWidth="1"/>
    <col min="22" max="22" width="7.6640625" customWidth="1"/>
    <col min="23" max="23" width="6.6640625" customWidth="1"/>
    <col min="24" max="24" width="5.83203125" customWidth="1"/>
    <col min="25" max="26" width="7.83203125" customWidth="1"/>
    <col min="27" max="27" width="5.83203125" customWidth="1"/>
    <col min="28" max="29" width="8.5" customWidth="1"/>
    <col min="30" max="30" width="5.33203125" customWidth="1"/>
    <col min="31" max="33" width="15.1640625" customWidth="1"/>
  </cols>
  <sheetData>
    <row r="1" spans="1:60" ht="13">
      <c r="A1" s="8"/>
      <c r="B1" s="8" t="s">
        <v>6</v>
      </c>
      <c r="C1" s="97" t="s">
        <v>7</v>
      </c>
      <c r="D1" s="97" t="s">
        <v>14</v>
      </c>
      <c r="E1" s="8" t="s">
        <v>15</v>
      </c>
      <c r="F1" s="8" t="s">
        <v>16</v>
      </c>
      <c r="G1" s="97" t="s">
        <v>17</v>
      </c>
      <c r="H1" s="8" t="s">
        <v>18</v>
      </c>
      <c r="I1" s="8" t="s">
        <v>19</v>
      </c>
      <c r="J1" s="8" t="s">
        <v>20</v>
      </c>
      <c r="K1" s="82" t="s">
        <v>21</v>
      </c>
      <c r="L1" s="82" t="s">
        <v>22</v>
      </c>
      <c r="M1" s="82" t="s">
        <v>142</v>
      </c>
      <c r="N1" s="8" t="s">
        <v>23</v>
      </c>
      <c r="O1" s="8" t="s">
        <v>24</v>
      </c>
      <c r="P1" s="8" t="s">
        <v>25</v>
      </c>
      <c r="Q1" s="8" t="s">
        <v>26</v>
      </c>
      <c r="R1" s="8" t="s">
        <v>27</v>
      </c>
      <c r="S1" s="8" t="s">
        <v>28</v>
      </c>
      <c r="T1" s="8" t="s">
        <v>29</v>
      </c>
      <c r="U1" s="8" t="s">
        <v>30</v>
      </c>
      <c r="V1" s="8" t="s">
        <v>31</v>
      </c>
      <c r="W1" s="8" t="s">
        <v>32</v>
      </c>
      <c r="X1" s="8" t="s">
        <v>33</v>
      </c>
      <c r="Y1" s="8" t="s">
        <v>34</v>
      </c>
      <c r="Z1" s="8" t="s">
        <v>35</v>
      </c>
      <c r="AA1" s="8" t="s">
        <v>36</v>
      </c>
      <c r="AB1" s="8" t="s">
        <v>37</v>
      </c>
      <c r="AC1" s="8" t="s">
        <v>38</v>
      </c>
      <c r="AD1" s="4" t="s">
        <v>39</v>
      </c>
      <c r="AE1" s="8" t="s">
        <v>40</v>
      </c>
      <c r="AF1" s="8" t="s">
        <v>41</v>
      </c>
      <c r="AG1" s="8" t="s">
        <v>42</v>
      </c>
      <c r="AH1" s="8" t="s">
        <v>43</v>
      </c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ht="12.75" customHeight="1">
      <c r="A2" s="94" t="s">
        <v>246</v>
      </c>
      <c r="B2" s="8" t="s">
        <v>304</v>
      </c>
      <c r="C2" s="96" t="s">
        <v>248</v>
      </c>
      <c r="D2" s="96" t="s">
        <v>250</v>
      </c>
      <c r="E2" t="str">
        <f t="shared" ref="E2:E3" si="0">TRIM(LEFT(D2,LEN(D2)-5))</f>
        <v>Randy Koufax</v>
      </c>
      <c r="F2" s="8" t="str">
        <f t="shared" ref="F2:F25" si="1">TRIM(RIGHT(D2,2))</f>
        <v>SP</v>
      </c>
      <c r="G2" s="97" t="s">
        <v>109</v>
      </c>
      <c r="H2" s="4">
        <v>1097</v>
      </c>
      <c r="I2" s="98">
        <v>9.25</v>
      </c>
      <c r="J2" s="98">
        <v>9.25</v>
      </c>
      <c r="K2" s="99"/>
      <c r="L2" s="99"/>
      <c r="M2" s="99"/>
      <c r="N2" s="8" t="s">
        <v>202</v>
      </c>
      <c r="O2" s="8" t="s">
        <v>70</v>
      </c>
      <c r="P2" s="8" t="s">
        <v>141</v>
      </c>
      <c r="Q2" s="8" t="s">
        <v>70</v>
      </c>
      <c r="R2" s="8"/>
      <c r="S2" s="8"/>
      <c r="T2" s="8"/>
      <c r="V2" s="8">
        <v>2</v>
      </c>
      <c r="W2" s="8">
        <v>4</v>
      </c>
      <c r="X2" s="8">
        <v>5.75</v>
      </c>
      <c r="Y2" s="8">
        <v>6.5</v>
      </c>
      <c r="Z2" s="8">
        <v>8.5</v>
      </c>
      <c r="AA2" s="8">
        <v>9.25</v>
      </c>
      <c r="AB2" s="99">
        <v>9.5</v>
      </c>
      <c r="AC2" s="98">
        <v>4.5</v>
      </c>
      <c r="AD2" s="8">
        <v>1225</v>
      </c>
      <c r="AE2" s="8">
        <v>538</v>
      </c>
      <c r="AF2" s="8">
        <v>514</v>
      </c>
      <c r="AG2" s="8">
        <v>492</v>
      </c>
      <c r="AH2" s="8">
        <v>463</v>
      </c>
    </row>
    <row r="3" spans="1:60" ht="12.75" customHeight="1">
      <c r="A3" s="94" t="s">
        <v>71</v>
      </c>
      <c r="B3" s="8" t="s">
        <v>3</v>
      </c>
      <c r="C3" s="96" t="s">
        <v>72</v>
      </c>
      <c r="D3" s="96" t="s">
        <v>73</v>
      </c>
      <c r="E3" t="str">
        <f t="shared" si="0"/>
        <v>Eduardo Dinero</v>
      </c>
      <c r="F3" s="8" t="str">
        <f t="shared" si="1"/>
        <v>SS</v>
      </c>
      <c r="G3" s="97" t="s">
        <v>76</v>
      </c>
      <c r="H3" s="4">
        <v>1696</v>
      </c>
      <c r="I3" s="98">
        <v>10</v>
      </c>
      <c r="J3" s="99"/>
      <c r="K3" s="99"/>
      <c r="L3" s="99"/>
      <c r="M3" s="99"/>
      <c r="N3" s="9" t="s">
        <v>77</v>
      </c>
      <c r="O3" s="8" t="s">
        <v>78</v>
      </c>
      <c r="P3" s="8">
        <v>15</v>
      </c>
      <c r="Q3" s="8" t="s">
        <v>78</v>
      </c>
      <c r="R3" s="8"/>
      <c r="S3" s="8"/>
      <c r="T3" s="8"/>
      <c r="V3" s="8">
        <v>3</v>
      </c>
      <c r="W3" s="8">
        <v>3</v>
      </c>
      <c r="X3" s="8">
        <v>13</v>
      </c>
      <c r="Y3" s="8">
        <v>13</v>
      </c>
      <c r="Z3" s="8">
        <v>13</v>
      </c>
      <c r="AA3" s="8">
        <v>13</v>
      </c>
      <c r="AB3" s="99">
        <v>13</v>
      </c>
      <c r="AC3" s="98">
        <v>10</v>
      </c>
      <c r="AD3" s="8">
        <v>1545</v>
      </c>
      <c r="AE3" s="8">
        <v>416</v>
      </c>
      <c r="AF3" s="8">
        <v>398</v>
      </c>
      <c r="AG3" s="8">
        <v>395</v>
      </c>
      <c r="AH3" s="8">
        <v>360</v>
      </c>
    </row>
    <row r="4" spans="1:60" ht="18" customHeight="1">
      <c r="B4" s="8" t="s">
        <v>3</v>
      </c>
      <c r="C4" s="96" t="s">
        <v>944</v>
      </c>
      <c r="D4" s="96" t="s">
        <v>947</v>
      </c>
      <c r="E4" s="8" t="str">
        <f t="shared" ref="E4:E24" si="2">TRIM(LEFT(D4,LEN(D4)-4))</f>
        <v>Chip Bowman</v>
      </c>
      <c r="F4" s="8" t="str">
        <f t="shared" si="1"/>
        <v>SP</v>
      </c>
      <c r="G4" s="97" t="s">
        <v>109</v>
      </c>
      <c r="H4" s="4">
        <v>157</v>
      </c>
      <c r="I4" s="98">
        <v>4</v>
      </c>
      <c r="J4" s="90">
        <v>4</v>
      </c>
      <c r="N4" s="94" t="s">
        <v>285</v>
      </c>
      <c r="O4" s="8" t="s">
        <v>38</v>
      </c>
      <c r="P4" s="8">
        <v>6</v>
      </c>
      <c r="Q4" s="8" t="s">
        <v>38</v>
      </c>
      <c r="AC4" s="99" t="s">
        <v>274</v>
      </c>
      <c r="AD4" s="8">
        <v>100</v>
      </c>
    </row>
    <row r="5" spans="1:60" ht="13">
      <c r="A5" s="94" t="s">
        <v>399</v>
      </c>
      <c r="B5" s="8" t="s">
        <v>3</v>
      </c>
      <c r="C5" s="96" t="s">
        <v>400</v>
      </c>
      <c r="D5" s="96" t="s">
        <v>401</v>
      </c>
      <c r="E5" t="str">
        <f t="shared" si="2"/>
        <v>Jackson Jackson</v>
      </c>
      <c r="F5" s="8" t="str">
        <f t="shared" si="1"/>
        <v>C</v>
      </c>
      <c r="G5" s="97" t="s">
        <v>159</v>
      </c>
      <c r="H5" s="4">
        <v>631</v>
      </c>
      <c r="I5" s="98">
        <v>6.5</v>
      </c>
      <c r="J5" s="99"/>
      <c r="K5" s="99"/>
      <c r="L5" s="99"/>
      <c r="M5" s="99"/>
      <c r="N5" s="8" t="s">
        <v>202</v>
      </c>
      <c r="O5" s="8" t="s">
        <v>70</v>
      </c>
      <c r="P5" s="8" t="s">
        <v>141</v>
      </c>
      <c r="Q5" s="8" t="s">
        <v>70</v>
      </c>
      <c r="R5" s="8"/>
      <c r="S5" s="8"/>
      <c r="T5" s="8"/>
      <c r="V5" s="8">
        <v>2</v>
      </c>
      <c r="W5" s="8">
        <v>3</v>
      </c>
      <c r="X5" s="8">
        <v>3</v>
      </c>
      <c r="Y5" s="8">
        <v>3</v>
      </c>
      <c r="Z5" s="8">
        <v>5</v>
      </c>
      <c r="AA5" s="8">
        <v>5.75</v>
      </c>
      <c r="AB5" s="99">
        <v>7.25</v>
      </c>
      <c r="AC5" s="99">
        <v>8</v>
      </c>
      <c r="AD5" s="8">
        <v>843</v>
      </c>
      <c r="AE5" s="8">
        <v>373</v>
      </c>
      <c r="AF5" s="8">
        <v>373</v>
      </c>
      <c r="AG5" s="8">
        <v>373</v>
      </c>
      <c r="AH5" s="8">
        <v>373</v>
      </c>
    </row>
    <row r="6" spans="1:60" ht="13">
      <c r="A6" s="94" t="s">
        <v>581</v>
      </c>
      <c r="B6" s="8" t="s">
        <v>3</v>
      </c>
      <c r="C6" s="140" t="s">
        <v>582</v>
      </c>
      <c r="D6" s="140" t="s">
        <v>583</v>
      </c>
      <c r="E6" t="str">
        <f t="shared" si="2"/>
        <v>Lucas North</v>
      </c>
      <c r="F6" t="str">
        <f t="shared" si="1"/>
        <v>SP</v>
      </c>
      <c r="G6" s="127" t="s">
        <v>114</v>
      </c>
      <c r="H6" s="4">
        <v>434</v>
      </c>
      <c r="I6" s="98">
        <v>4</v>
      </c>
      <c r="J6" s="99"/>
      <c r="K6" s="99"/>
      <c r="L6" s="99"/>
      <c r="M6" s="99"/>
      <c r="O6" t="s">
        <v>34</v>
      </c>
      <c r="P6">
        <v>4</v>
      </c>
      <c r="Q6" t="s">
        <v>34</v>
      </c>
      <c r="Y6" s="8"/>
      <c r="Z6">
        <v>4</v>
      </c>
      <c r="AA6" s="8">
        <v>6</v>
      </c>
      <c r="AB6" s="99">
        <v>3</v>
      </c>
      <c r="AC6" s="98">
        <v>4</v>
      </c>
      <c r="AD6" s="8">
        <v>434</v>
      </c>
      <c r="AE6">
        <v>4</v>
      </c>
    </row>
    <row r="7" spans="1:60" ht="13">
      <c r="A7" s="94" t="s">
        <v>606</v>
      </c>
      <c r="B7" s="8" t="s">
        <v>3</v>
      </c>
      <c r="C7" s="140" t="s">
        <v>607</v>
      </c>
      <c r="D7" s="140" t="s">
        <v>608</v>
      </c>
      <c r="E7" t="str">
        <f t="shared" si="2"/>
        <v>Pete Peters</v>
      </c>
      <c r="F7" t="str">
        <f t="shared" si="1"/>
        <v>SP</v>
      </c>
      <c r="G7" s="127" t="s">
        <v>114</v>
      </c>
      <c r="H7" s="4">
        <v>486</v>
      </c>
      <c r="I7" s="98">
        <v>4</v>
      </c>
      <c r="J7" s="98">
        <v>4</v>
      </c>
      <c r="K7" s="99"/>
      <c r="L7" s="99"/>
      <c r="M7" s="99"/>
      <c r="N7" s="8" t="s">
        <v>516</v>
      </c>
      <c r="O7" t="s">
        <v>35</v>
      </c>
      <c r="P7" s="8">
        <v>4</v>
      </c>
      <c r="Q7" s="8" t="s">
        <v>34</v>
      </c>
      <c r="S7" s="8"/>
      <c r="T7" s="8"/>
      <c r="X7" s="8"/>
      <c r="Y7" s="8"/>
      <c r="Z7" s="8">
        <v>0.9</v>
      </c>
      <c r="AA7" s="8">
        <v>3</v>
      </c>
      <c r="AB7" s="99">
        <v>3</v>
      </c>
      <c r="AC7" s="99">
        <v>3</v>
      </c>
      <c r="AD7" s="8">
        <v>360</v>
      </c>
    </row>
    <row r="8" spans="1:60" ht="13">
      <c r="A8" s="8"/>
      <c r="B8" s="8" t="s">
        <v>3</v>
      </c>
      <c r="C8" s="96" t="s">
        <v>706</v>
      </c>
      <c r="D8" s="96" t="s">
        <v>707</v>
      </c>
      <c r="E8" t="str">
        <f t="shared" si="2"/>
        <v>Fenway Turner</v>
      </c>
      <c r="F8" s="8" t="str">
        <f t="shared" si="1"/>
        <v>RF</v>
      </c>
      <c r="G8" s="97" t="s">
        <v>554</v>
      </c>
      <c r="H8" s="4">
        <v>390</v>
      </c>
      <c r="I8" s="99">
        <v>2</v>
      </c>
      <c r="J8" s="87">
        <v>2</v>
      </c>
      <c r="K8" s="99"/>
      <c r="L8" s="99"/>
      <c r="M8" s="99"/>
      <c r="N8" s="8" t="s">
        <v>373</v>
      </c>
      <c r="O8" s="8" t="s">
        <v>37</v>
      </c>
      <c r="P8" s="8">
        <v>13</v>
      </c>
      <c r="Q8" s="8" t="s">
        <v>37</v>
      </c>
      <c r="R8" s="8"/>
      <c r="S8" s="8"/>
      <c r="T8" s="8"/>
      <c r="U8" s="8"/>
      <c r="W8" s="8"/>
      <c r="X8" s="8"/>
      <c r="Y8" s="8"/>
      <c r="Z8" s="8"/>
      <c r="AA8" s="8"/>
      <c r="AB8" s="99" t="s">
        <v>274</v>
      </c>
      <c r="AC8" s="99">
        <v>2</v>
      </c>
      <c r="AD8" s="4">
        <v>202</v>
      </c>
      <c r="AF8" s="8"/>
      <c r="AG8" s="8"/>
      <c r="AH8" s="8"/>
      <c r="AI8" s="8"/>
    </row>
    <row r="9" spans="1:60" ht="13">
      <c r="A9" s="8"/>
      <c r="B9" s="8" t="s">
        <v>3</v>
      </c>
      <c r="C9" s="96" t="s">
        <v>711</v>
      </c>
      <c r="D9" s="96" t="s">
        <v>713</v>
      </c>
      <c r="E9" t="str">
        <f t="shared" si="2"/>
        <v>Jahseh Tentacion</v>
      </c>
      <c r="F9" s="8" t="str">
        <f t="shared" si="1"/>
        <v>LF</v>
      </c>
      <c r="G9" s="97" t="s">
        <v>132</v>
      </c>
      <c r="H9" s="4">
        <v>530</v>
      </c>
      <c r="I9" s="99">
        <v>1</v>
      </c>
      <c r="J9" s="87">
        <v>1</v>
      </c>
      <c r="K9" s="99"/>
      <c r="L9" s="99"/>
      <c r="M9" s="99"/>
      <c r="N9" s="8" t="s">
        <v>373</v>
      </c>
      <c r="O9" s="8" t="s">
        <v>37</v>
      </c>
      <c r="P9" s="8">
        <v>36</v>
      </c>
      <c r="Q9" s="8" t="s">
        <v>37</v>
      </c>
      <c r="R9" s="8"/>
      <c r="S9" s="8"/>
      <c r="T9" s="8"/>
      <c r="U9" s="8"/>
      <c r="W9" s="8"/>
      <c r="X9" s="8"/>
      <c r="Y9" s="8"/>
      <c r="Z9" s="8"/>
      <c r="AA9" s="8"/>
      <c r="AB9" s="99" t="s">
        <v>274</v>
      </c>
      <c r="AC9" s="99">
        <v>1</v>
      </c>
      <c r="AD9" s="4">
        <v>142</v>
      </c>
      <c r="AF9" s="8"/>
      <c r="AG9" s="8"/>
      <c r="AH9" s="8"/>
      <c r="AI9" s="8"/>
    </row>
    <row r="10" spans="1:60" ht="13">
      <c r="A10" s="94" t="s">
        <v>773</v>
      </c>
      <c r="B10" s="8" t="s">
        <v>3</v>
      </c>
      <c r="C10" s="140" t="s">
        <v>775</v>
      </c>
      <c r="D10" s="140" t="s">
        <v>776</v>
      </c>
      <c r="E10" t="str">
        <f t="shared" si="2"/>
        <v>Dexter Paquette</v>
      </c>
      <c r="F10" t="str">
        <f t="shared" si="1"/>
        <v>LF</v>
      </c>
      <c r="G10" s="127" t="s">
        <v>166</v>
      </c>
      <c r="H10" s="4">
        <v>379</v>
      </c>
      <c r="I10" s="98">
        <v>3</v>
      </c>
      <c r="J10" s="98">
        <v>3</v>
      </c>
      <c r="K10" s="99"/>
      <c r="L10" s="99"/>
      <c r="M10" s="99"/>
      <c r="N10" s="8" t="s">
        <v>516</v>
      </c>
      <c r="O10" t="s">
        <v>35</v>
      </c>
      <c r="P10" s="8">
        <v>16</v>
      </c>
      <c r="Q10" s="8" t="s">
        <v>35</v>
      </c>
      <c r="S10" s="8"/>
      <c r="T10" s="8"/>
      <c r="X10" s="8"/>
      <c r="Y10" s="8"/>
      <c r="Z10" s="8" t="s">
        <v>257</v>
      </c>
      <c r="AA10" s="8">
        <v>2</v>
      </c>
      <c r="AB10" s="99">
        <v>2</v>
      </c>
      <c r="AC10" s="99">
        <v>2</v>
      </c>
      <c r="AD10" s="8">
        <v>273</v>
      </c>
    </row>
    <row r="11" spans="1:60" ht="13">
      <c r="A11" s="8"/>
      <c r="B11" s="8" t="s">
        <v>3</v>
      </c>
      <c r="C11" s="96" t="s">
        <v>797</v>
      </c>
      <c r="D11" s="96" t="s">
        <v>798</v>
      </c>
      <c r="E11" t="str">
        <f t="shared" si="2"/>
        <v>Richard Small</v>
      </c>
      <c r="F11" s="8" t="str">
        <f t="shared" si="1"/>
        <v>LF</v>
      </c>
      <c r="G11" s="97" t="s">
        <v>84</v>
      </c>
      <c r="H11" s="4">
        <v>441</v>
      </c>
      <c r="I11" s="99">
        <v>1.5</v>
      </c>
      <c r="J11" s="87">
        <v>1.5</v>
      </c>
      <c r="K11" s="99"/>
      <c r="L11" s="99"/>
      <c r="M11" s="99"/>
      <c r="N11" s="8" t="s">
        <v>373</v>
      </c>
      <c r="O11" s="8" t="s">
        <v>37</v>
      </c>
      <c r="P11" s="8">
        <v>20</v>
      </c>
      <c r="Q11" s="8" t="s">
        <v>37</v>
      </c>
      <c r="R11" s="8"/>
      <c r="S11" s="8"/>
      <c r="T11" s="8"/>
      <c r="U11" s="8"/>
      <c r="W11" s="8"/>
      <c r="X11" s="8"/>
      <c r="Y11" s="8"/>
      <c r="Z11" s="8"/>
      <c r="AA11" s="8"/>
      <c r="AB11" s="99" t="s">
        <v>274</v>
      </c>
      <c r="AC11" s="99">
        <v>1.5</v>
      </c>
      <c r="AD11" s="4">
        <v>142</v>
      </c>
      <c r="AF11" s="8"/>
      <c r="AG11" s="8"/>
      <c r="AH11" s="8"/>
      <c r="AI11" s="8"/>
    </row>
    <row r="12" spans="1:60" ht="13">
      <c r="A12" s="8"/>
      <c r="B12" s="8" t="s">
        <v>3</v>
      </c>
      <c r="C12" s="96" t="s">
        <v>895</v>
      </c>
      <c r="D12" s="96" t="s">
        <v>897</v>
      </c>
      <c r="E12" t="str">
        <f t="shared" si="2"/>
        <v>Chase Petten</v>
      </c>
      <c r="F12" s="8" t="str">
        <f t="shared" si="1"/>
        <v>SP</v>
      </c>
      <c r="G12" s="97" t="s">
        <v>109</v>
      </c>
      <c r="H12" s="4">
        <v>241</v>
      </c>
      <c r="I12" s="99">
        <v>3</v>
      </c>
      <c r="J12" s="87">
        <v>3</v>
      </c>
      <c r="K12" s="99"/>
      <c r="L12" s="99"/>
      <c r="M12" s="99"/>
      <c r="N12" s="8" t="s">
        <v>373</v>
      </c>
      <c r="O12" s="8" t="s">
        <v>37</v>
      </c>
      <c r="P12" s="8">
        <v>2</v>
      </c>
      <c r="Q12" s="8" t="s">
        <v>37</v>
      </c>
      <c r="R12" s="8"/>
      <c r="S12" s="8"/>
      <c r="T12" s="8"/>
      <c r="U12" s="8"/>
      <c r="W12" s="8"/>
      <c r="X12" s="8"/>
      <c r="Y12" s="8"/>
      <c r="Z12" s="8"/>
      <c r="AA12" s="8"/>
      <c r="AB12" s="99" t="s">
        <v>274</v>
      </c>
      <c r="AC12" s="99">
        <v>3</v>
      </c>
      <c r="AD12" s="4">
        <v>178</v>
      </c>
      <c r="AF12" s="8"/>
      <c r="AG12" s="8"/>
      <c r="AH12" s="8"/>
      <c r="AI12" s="8"/>
    </row>
    <row r="13" spans="1:60" ht="13">
      <c r="A13" s="8"/>
      <c r="B13" s="8" t="s">
        <v>3</v>
      </c>
      <c r="C13" s="96" t="s">
        <v>979</v>
      </c>
      <c r="D13" s="96" t="s">
        <v>981</v>
      </c>
      <c r="E13" t="str">
        <f t="shared" si="2"/>
        <v>Stryker Killian</v>
      </c>
      <c r="F13" s="8" t="str">
        <f t="shared" si="1"/>
        <v>3B</v>
      </c>
      <c r="G13" s="97" t="s">
        <v>97</v>
      </c>
      <c r="H13" s="4">
        <v>243</v>
      </c>
      <c r="I13" s="99">
        <v>1.5</v>
      </c>
      <c r="J13" s="87">
        <v>1.5</v>
      </c>
      <c r="K13" s="99"/>
      <c r="L13" s="99"/>
      <c r="M13" s="99"/>
      <c r="N13" s="8" t="s">
        <v>373</v>
      </c>
      <c r="O13" s="8" t="s">
        <v>37</v>
      </c>
      <c r="P13" s="8">
        <v>31</v>
      </c>
      <c r="Q13" s="8" t="s">
        <v>37</v>
      </c>
      <c r="R13" s="8"/>
      <c r="S13" s="8"/>
      <c r="T13" s="8"/>
      <c r="U13" s="8"/>
      <c r="W13" s="8"/>
      <c r="X13" s="8"/>
      <c r="Y13" s="8"/>
      <c r="Z13" s="8"/>
      <c r="AA13" s="8"/>
      <c r="AB13" s="99" t="s">
        <v>274</v>
      </c>
      <c r="AC13" s="99">
        <v>1.5</v>
      </c>
      <c r="AD13" s="4">
        <v>126</v>
      </c>
      <c r="AF13" s="8"/>
      <c r="AG13" s="8"/>
      <c r="AH13" s="8"/>
      <c r="AI13" s="8"/>
    </row>
    <row r="14" spans="1:60" ht="13">
      <c r="A14" s="8"/>
      <c r="B14" s="8" t="s">
        <v>3</v>
      </c>
      <c r="C14" s="96" t="s">
        <v>983</v>
      </c>
      <c r="D14" s="96" t="s">
        <v>986</v>
      </c>
      <c r="E14" t="str">
        <f t="shared" si="2"/>
        <v>Eric Tsai</v>
      </c>
      <c r="F14" s="8" t="str">
        <f t="shared" si="1"/>
        <v>2B</v>
      </c>
      <c r="G14" s="97" t="s">
        <v>62</v>
      </c>
      <c r="H14" s="4">
        <v>294</v>
      </c>
      <c r="I14" s="99">
        <v>2</v>
      </c>
      <c r="J14" s="87">
        <v>2</v>
      </c>
      <c r="K14" s="99"/>
      <c r="L14" s="99"/>
      <c r="M14" s="99"/>
      <c r="N14" s="8" t="s">
        <v>373</v>
      </c>
      <c r="O14" s="8" t="s">
        <v>37</v>
      </c>
      <c r="P14" s="8">
        <v>15</v>
      </c>
      <c r="Q14" s="8" t="s">
        <v>37</v>
      </c>
      <c r="R14" s="8"/>
      <c r="S14" s="8"/>
      <c r="T14" s="8"/>
      <c r="U14" s="8"/>
      <c r="W14" s="8"/>
      <c r="X14" s="8"/>
      <c r="Y14" s="8"/>
      <c r="Z14" s="8"/>
      <c r="AA14" s="8"/>
      <c r="AB14" s="99" t="s">
        <v>274</v>
      </c>
      <c r="AC14" s="99">
        <v>2</v>
      </c>
      <c r="AD14" s="4">
        <v>115</v>
      </c>
      <c r="AF14" s="8"/>
      <c r="AG14" s="8"/>
      <c r="AH14" s="8"/>
      <c r="AI14" s="8"/>
    </row>
    <row r="15" spans="1:60" ht="13">
      <c r="B15" s="8" t="s">
        <v>3</v>
      </c>
      <c r="C15" s="96" t="s">
        <v>988</v>
      </c>
      <c r="D15" s="96" t="s">
        <v>990</v>
      </c>
      <c r="E15" s="8" t="str">
        <f t="shared" si="2"/>
        <v>Yamcha Pu'ar</v>
      </c>
      <c r="F15" s="8" t="str">
        <f t="shared" si="1"/>
        <v>CL</v>
      </c>
      <c r="G15" s="97" t="s">
        <v>458</v>
      </c>
      <c r="H15" s="4">
        <v>214</v>
      </c>
      <c r="I15" s="98">
        <v>2.5</v>
      </c>
      <c r="J15" s="98">
        <v>2.5</v>
      </c>
      <c r="K15" s="90">
        <v>2.5</v>
      </c>
      <c r="L15" s="103"/>
      <c r="M15" s="103"/>
      <c r="N15" s="105" t="s">
        <v>991</v>
      </c>
      <c r="O15" s="4" t="s">
        <v>38</v>
      </c>
      <c r="P15" s="4">
        <v>11</v>
      </c>
      <c r="Q15" s="8" t="s">
        <v>37</v>
      </c>
      <c r="AB15" s="12"/>
      <c r="AC15" s="103" t="s">
        <v>274</v>
      </c>
      <c r="AD15" s="82">
        <v>178</v>
      </c>
    </row>
    <row r="16" spans="1:60" ht="13">
      <c r="B16" s="8" t="s">
        <v>3</v>
      </c>
      <c r="C16" s="96" t="s">
        <v>993</v>
      </c>
      <c r="D16" s="187" t="s">
        <v>994</v>
      </c>
      <c r="E16" s="8" t="str">
        <f t="shared" si="2"/>
        <v>A.C. Payton</v>
      </c>
      <c r="F16" s="8" t="str">
        <f t="shared" si="1"/>
        <v>SP</v>
      </c>
      <c r="G16" s="97" t="s">
        <v>114</v>
      </c>
      <c r="H16" s="4">
        <v>263</v>
      </c>
      <c r="I16" s="98">
        <v>4</v>
      </c>
      <c r="J16" s="98">
        <v>3</v>
      </c>
      <c r="K16" s="90">
        <v>3</v>
      </c>
      <c r="L16" s="103"/>
      <c r="M16" s="103"/>
      <c r="N16" s="105" t="s">
        <v>991</v>
      </c>
      <c r="O16" s="4" t="s">
        <v>38</v>
      </c>
      <c r="P16" s="4">
        <v>2</v>
      </c>
      <c r="Q16" s="4" t="s">
        <v>38</v>
      </c>
      <c r="AB16" s="12"/>
      <c r="AC16" s="188" t="s">
        <v>274</v>
      </c>
      <c r="AD16" s="82">
        <v>100</v>
      </c>
    </row>
    <row r="17" spans="1:58" ht="13">
      <c r="A17" s="8"/>
      <c r="B17" s="8" t="s">
        <v>3</v>
      </c>
      <c r="C17" s="96" t="s">
        <v>995</v>
      </c>
      <c r="D17" s="96" t="s">
        <v>997</v>
      </c>
      <c r="E17" t="str">
        <f t="shared" si="2"/>
        <v>John Bill</v>
      </c>
      <c r="F17" s="8" t="str">
        <f t="shared" si="1"/>
        <v>CL</v>
      </c>
      <c r="G17" s="97" t="s">
        <v>290</v>
      </c>
      <c r="H17" s="4">
        <v>169</v>
      </c>
      <c r="I17" s="99">
        <v>1.5</v>
      </c>
      <c r="J17" s="87">
        <v>1.5</v>
      </c>
      <c r="K17" s="99"/>
      <c r="L17" s="99"/>
      <c r="M17" s="99"/>
      <c r="N17" s="8" t="s">
        <v>373</v>
      </c>
      <c r="O17" s="8" t="s">
        <v>37</v>
      </c>
      <c r="P17" s="8">
        <v>28</v>
      </c>
      <c r="Q17" s="8" t="s">
        <v>37</v>
      </c>
      <c r="R17" s="8"/>
      <c r="S17" s="8"/>
      <c r="T17" s="8"/>
      <c r="U17" s="8"/>
      <c r="W17" s="8"/>
      <c r="X17" s="8"/>
      <c r="Y17" s="8"/>
      <c r="Z17" s="8"/>
      <c r="AA17" s="8"/>
      <c r="AB17" s="99" t="s">
        <v>274</v>
      </c>
      <c r="AC17" s="99">
        <v>1.5</v>
      </c>
      <c r="AD17" s="4">
        <v>129</v>
      </c>
      <c r="AF17" s="8"/>
      <c r="AG17" s="8"/>
      <c r="AH17" s="8"/>
      <c r="AI17" s="8"/>
    </row>
    <row r="18" spans="1:58" ht="13">
      <c r="B18" s="8" t="s">
        <v>3</v>
      </c>
      <c r="C18" s="96" t="s">
        <v>362</v>
      </c>
      <c r="D18" s="96" t="s">
        <v>1000</v>
      </c>
      <c r="E18" s="8" t="str">
        <f t="shared" si="2"/>
        <v>Tylar Finch</v>
      </c>
      <c r="F18" s="8" t="str">
        <f t="shared" si="1"/>
        <v>SP</v>
      </c>
      <c r="G18" s="97" t="s">
        <v>114</v>
      </c>
      <c r="H18" s="4">
        <v>234</v>
      </c>
      <c r="I18" s="98">
        <v>2</v>
      </c>
      <c r="J18" s="98">
        <v>2</v>
      </c>
      <c r="K18" s="90">
        <v>2</v>
      </c>
      <c r="L18" s="103"/>
      <c r="M18" s="103"/>
      <c r="N18" s="105" t="s">
        <v>991</v>
      </c>
      <c r="O18" s="4" t="s">
        <v>38</v>
      </c>
      <c r="P18" s="4">
        <v>18</v>
      </c>
      <c r="Q18" s="4" t="s">
        <v>38</v>
      </c>
      <c r="AB18" s="12"/>
      <c r="AC18" s="103" t="s">
        <v>274</v>
      </c>
      <c r="AD18" s="82">
        <v>100</v>
      </c>
    </row>
    <row r="19" spans="1:58" ht="13">
      <c r="B19" s="8" t="s">
        <v>3</v>
      </c>
      <c r="C19" s="96" t="s">
        <v>1003</v>
      </c>
      <c r="D19" s="96" t="s">
        <v>1004</v>
      </c>
      <c r="E19" s="8" t="str">
        <f t="shared" si="2"/>
        <v>Orin Valeryn</v>
      </c>
      <c r="F19" s="8" t="str">
        <f t="shared" si="1"/>
        <v>CL</v>
      </c>
      <c r="G19" s="97" t="s">
        <v>290</v>
      </c>
      <c r="H19" s="4">
        <v>124</v>
      </c>
      <c r="I19" s="98">
        <v>2</v>
      </c>
      <c r="J19" s="98">
        <v>2</v>
      </c>
      <c r="K19" s="90">
        <v>2</v>
      </c>
      <c r="L19" s="103"/>
      <c r="M19" s="103"/>
      <c r="N19" s="105" t="s">
        <v>991</v>
      </c>
      <c r="O19" s="4" t="s">
        <v>38</v>
      </c>
      <c r="P19" s="4">
        <v>24</v>
      </c>
      <c r="Q19" s="4" t="s">
        <v>38</v>
      </c>
      <c r="AB19" s="12"/>
      <c r="AC19" s="103" t="s">
        <v>274</v>
      </c>
      <c r="AD19" s="82">
        <v>100</v>
      </c>
    </row>
    <row r="20" spans="1:58" ht="13">
      <c r="A20" s="8"/>
      <c r="B20" s="8" t="s">
        <v>3</v>
      </c>
      <c r="C20" s="96" t="s">
        <v>1006</v>
      </c>
      <c r="D20" s="96" t="s">
        <v>1007</v>
      </c>
      <c r="E20" t="str">
        <f t="shared" si="2"/>
        <v>Olle Sylvegaard</v>
      </c>
      <c r="F20" s="8" t="str">
        <f t="shared" si="1"/>
        <v>RF</v>
      </c>
      <c r="G20" s="97" t="s">
        <v>132</v>
      </c>
      <c r="H20" s="4">
        <v>106</v>
      </c>
      <c r="I20" s="99">
        <v>1.5</v>
      </c>
      <c r="J20" s="87">
        <v>1.5</v>
      </c>
      <c r="K20" s="99"/>
      <c r="L20" s="99"/>
      <c r="M20" s="99"/>
      <c r="N20" s="8" t="s">
        <v>373</v>
      </c>
      <c r="O20" s="8" t="s">
        <v>37</v>
      </c>
      <c r="P20" s="8">
        <v>23</v>
      </c>
      <c r="Q20" s="8" t="s">
        <v>37</v>
      </c>
      <c r="R20" s="8"/>
      <c r="S20" s="8"/>
      <c r="T20" s="8"/>
      <c r="U20" s="8"/>
      <c r="W20" s="8"/>
      <c r="X20" s="8"/>
      <c r="Y20" s="8"/>
      <c r="Z20" s="8"/>
      <c r="AA20" s="8"/>
      <c r="AB20" s="99" t="s">
        <v>274</v>
      </c>
      <c r="AC20" s="99">
        <v>1.5</v>
      </c>
      <c r="AD20" s="4">
        <v>113</v>
      </c>
      <c r="AF20" s="8"/>
      <c r="AG20" s="8"/>
      <c r="AH20" s="8"/>
      <c r="AI20" s="8"/>
    </row>
    <row r="21" spans="1:58" ht="13">
      <c r="B21" s="8" t="s">
        <v>3</v>
      </c>
      <c r="C21" s="96" t="s">
        <v>1008</v>
      </c>
      <c r="D21" s="96" t="s">
        <v>1009</v>
      </c>
      <c r="E21" s="8" t="str">
        <f t="shared" si="2"/>
        <v>Ryusei Makunouchi</v>
      </c>
      <c r="F21" s="8" t="str">
        <f t="shared" si="1"/>
        <v>C</v>
      </c>
      <c r="G21" s="97" t="s">
        <v>298</v>
      </c>
      <c r="H21" s="4">
        <v>226</v>
      </c>
      <c r="I21" s="98">
        <v>2.5</v>
      </c>
      <c r="J21" s="90">
        <v>2.5</v>
      </c>
      <c r="K21" s="99"/>
      <c r="L21" s="103"/>
      <c r="M21" s="103"/>
      <c r="N21" s="105" t="s">
        <v>991</v>
      </c>
      <c r="O21" s="4" t="s">
        <v>38</v>
      </c>
      <c r="P21" s="4">
        <v>13</v>
      </c>
      <c r="Q21" s="4" t="s">
        <v>38</v>
      </c>
      <c r="AB21" s="12"/>
      <c r="AC21" s="103" t="s">
        <v>274</v>
      </c>
      <c r="AD21" s="82">
        <v>100</v>
      </c>
    </row>
    <row r="22" spans="1:58" ht="13">
      <c r="B22" s="8" t="s">
        <v>3</v>
      </c>
      <c r="C22" s="96" t="s">
        <v>1012</v>
      </c>
      <c r="D22" s="96" t="s">
        <v>1013</v>
      </c>
      <c r="E22" s="8" t="str">
        <f t="shared" si="2"/>
        <v>Daquan Nibbason</v>
      </c>
      <c r="F22" s="8" t="str">
        <f t="shared" si="1"/>
        <v>SP</v>
      </c>
      <c r="G22" s="97" t="s">
        <v>114</v>
      </c>
      <c r="H22" s="4">
        <v>100</v>
      </c>
      <c r="I22" s="99">
        <v>1.5</v>
      </c>
      <c r="J22" s="99">
        <v>1.5</v>
      </c>
      <c r="K22" s="102">
        <v>1.5</v>
      </c>
      <c r="L22" s="103"/>
      <c r="M22" s="103"/>
      <c r="N22" s="105" t="s">
        <v>1014</v>
      </c>
      <c r="O22" s="4" t="s">
        <v>38</v>
      </c>
      <c r="P22" s="4">
        <v>19</v>
      </c>
      <c r="Q22" s="4" t="s">
        <v>38</v>
      </c>
      <c r="AB22" s="12"/>
      <c r="AC22" s="103" t="s">
        <v>274</v>
      </c>
      <c r="AD22" s="82">
        <v>100</v>
      </c>
    </row>
    <row r="23" spans="1:58" ht="12.75" customHeight="1">
      <c r="A23" s="94" t="s">
        <v>781</v>
      </c>
      <c r="B23" s="4" t="s">
        <v>3</v>
      </c>
      <c r="C23" s="96" t="s">
        <v>783</v>
      </c>
      <c r="D23" s="96" t="s">
        <v>784</v>
      </c>
      <c r="E23" s="8" t="str">
        <f t="shared" si="2"/>
        <v>Joffrey Baratheon</v>
      </c>
      <c r="F23" s="8" t="str">
        <f t="shared" si="1"/>
        <v>C</v>
      </c>
      <c r="G23" s="97" t="s">
        <v>46</v>
      </c>
      <c r="H23" s="4">
        <v>301</v>
      </c>
      <c r="I23" s="98">
        <v>3</v>
      </c>
      <c r="J23" s="99"/>
      <c r="K23" s="99"/>
      <c r="L23" s="99"/>
      <c r="M23" s="99"/>
      <c r="N23" s="8"/>
      <c r="O23" s="8" t="s">
        <v>126</v>
      </c>
      <c r="P23" s="8">
        <v>6</v>
      </c>
      <c r="Q23" s="8" t="s">
        <v>78</v>
      </c>
      <c r="R23" s="8"/>
      <c r="S23" s="8"/>
      <c r="T23" s="8"/>
      <c r="U23" s="8"/>
      <c r="W23" s="8">
        <v>4</v>
      </c>
      <c r="X23" s="8">
        <v>3</v>
      </c>
      <c r="Y23" s="8">
        <v>3</v>
      </c>
      <c r="Z23" s="8">
        <v>3</v>
      </c>
      <c r="AA23" s="8">
        <v>3</v>
      </c>
      <c r="AB23" s="8">
        <v>3</v>
      </c>
      <c r="AC23" s="99">
        <v>3</v>
      </c>
      <c r="AD23" s="98">
        <v>3</v>
      </c>
      <c r="AE23" s="8">
        <v>301</v>
      </c>
      <c r="AF23" s="8">
        <v>253</v>
      </c>
      <c r="AG23" s="8">
        <v>241</v>
      </c>
      <c r="AH23" s="8">
        <v>227</v>
      </c>
      <c r="AI23" s="8">
        <v>209</v>
      </c>
    </row>
    <row r="24" spans="1:58" ht="13">
      <c r="B24" s="4" t="s">
        <v>3</v>
      </c>
      <c r="C24" s="96" t="s">
        <v>806</v>
      </c>
      <c r="D24" s="96" t="s">
        <v>807</v>
      </c>
      <c r="E24" s="8" t="str">
        <f t="shared" si="2"/>
        <v>Artem Maximovich</v>
      </c>
      <c r="F24" s="8" t="str">
        <f t="shared" si="1"/>
        <v>C</v>
      </c>
      <c r="G24" s="97" t="s">
        <v>691</v>
      </c>
      <c r="H24" s="4">
        <v>440</v>
      </c>
      <c r="I24" s="98">
        <v>3</v>
      </c>
      <c r="J24" s="99"/>
      <c r="K24" s="99"/>
      <c r="L24" s="103"/>
      <c r="M24" s="103"/>
      <c r="N24" s="105" t="s">
        <v>702</v>
      </c>
      <c r="O24" s="4" t="s">
        <v>38</v>
      </c>
      <c r="P24" s="4">
        <v>20</v>
      </c>
      <c r="Q24" s="8" t="s">
        <v>37</v>
      </c>
      <c r="AB24" s="12"/>
      <c r="AC24" s="98">
        <v>5</v>
      </c>
      <c r="AD24" s="82">
        <v>173</v>
      </c>
    </row>
    <row r="25" spans="1:58" ht="13">
      <c r="A25" s="94" t="s">
        <v>394</v>
      </c>
      <c r="B25" s="4" t="s">
        <v>3</v>
      </c>
      <c r="C25" s="96" t="s">
        <v>395</v>
      </c>
      <c r="D25" s="96" t="s">
        <v>396</v>
      </c>
      <c r="E25" t="str">
        <f>TRIM(LEFT(D25,LEN(D25)-5))</f>
        <v>Matthew Valentine</v>
      </c>
      <c r="F25" s="8" t="str">
        <f t="shared" si="1"/>
        <v>CF</v>
      </c>
      <c r="G25" s="97" t="s">
        <v>398</v>
      </c>
      <c r="H25" s="4">
        <v>736</v>
      </c>
      <c r="I25" s="98">
        <v>7.25</v>
      </c>
      <c r="J25" s="99"/>
      <c r="K25" s="99"/>
      <c r="L25" s="99"/>
      <c r="M25" s="99"/>
      <c r="N25" s="4" t="s">
        <v>350</v>
      </c>
      <c r="O25" s="8" t="s">
        <v>70</v>
      </c>
      <c r="P25" s="8">
        <v>53</v>
      </c>
      <c r="Q25" s="8" t="s">
        <v>70</v>
      </c>
      <c r="R25" s="8"/>
      <c r="S25" s="8"/>
      <c r="T25" s="8"/>
      <c r="V25" s="8">
        <v>3</v>
      </c>
      <c r="W25" s="8">
        <v>4</v>
      </c>
      <c r="X25" s="8">
        <v>5</v>
      </c>
      <c r="Y25" s="8">
        <v>5.75</v>
      </c>
      <c r="Z25" s="8">
        <v>5</v>
      </c>
      <c r="AA25" s="8">
        <v>6.5</v>
      </c>
      <c r="AB25" s="99">
        <v>7.25</v>
      </c>
      <c r="AC25" s="98">
        <v>7.25</v>
      </c>
      <c r="AD25" s="8">
        <v>722</v>
      </c>
      <c r="AE25" s="8">
        <v>427</v>
      </c>
      <c r="AF25" s="8">
        <v>408</v>
      </c>
      <c r="AG25" s="8">
        <v>408</v>
      </c>
      <c r="AH25" s="8">
        <v>390</v>
      </c>
    </row>
    <row r="26" spans="1:58" ht="12.75" customHeight="1">
      <c r="B26" s="4" t="s">
        <v>3</v>
      </c>
      <c r="C26" s="140" t="s">
        <v>810</v>
      </c>
      <c r="D26" s="25" t="s">
        <v>1026</v>
      </c>
      <c r="E26" s="4" t="s">
        <v>811</v>
      </c>
      <c r="F26" s="4" t="s">
        <v>90</v>
      </c>
      <c r="G26" s="127" t="s">
        <v>55</v>
      </c>
      <c r="H26" s="4">
        <v>238</v>
      </c>
      <c r="I26" s="98">
        <v>2</v>
      </c>
      <c r="J26" s="99"/>
      <c r="K26" s="99"/>
      <c r="L26" s="99"/>
      <c r="M26" s="99"/>
      <c r="O26" t="s">
        <v>70</v>
      </c>
      <c r="P26">
        <v>70</v>
      </c>
      <c r="Q26" t="s">
        <v>70</v>
      </c>
      <c r="W26">
        <v>3</v>
      </c>
      <c r="X26">
        <v>4</v>
      </c>
      <c r="Y26" s="8">
        <v>3</v>
      </c>
      <c r="Z26">
        <v>3</v>
      </c>
      <c r="AA26" s="8">
        <v>3</v>
      </c>
      <c r="AB26" s="99">
        <v>3</v>
      </c>
      <c r="AC26">
        <v>1.5</v>
      </c>
      <c r="AD26" s="98">
        <v>4</v>
      </c>
      <c r="AE26" s="4">
        <v>280</v>
      </c>
      <c r="AF26">
        <v>226</v>
      </c>
      <c r="AG26">
        <v>226</v>
      </c>
      <c r="AH26">
        <v>226</v>
      </c>
      <c r="AI26">
        <v>223</v>
      </c>
      <c r="AJ26" s="8" t="str">
        <f>VLOOKUP(B26,Analysis!$A$24:$B$32,2,FALSE)</f>
        <v>:crabs:</v>
      </c>
      <c r="AK26" s="8" t="e">
        <f>AJ26&amp;" [b][url="&amp;D26&amp;"]"&amp;#REF!&amp;"[/url][/b] TPE: "&amp;H26&amp;", Regression Class: "&amp;Q26</f>
        <v>#REF!</v>
      </c>
    </row>
    <row r="27" spans="1:58" ht="13">
      <c r="A27" s="12"/>
      <c r="B27" s="7" t="s">
        <v>44</v>
      </c>
      <c r="C27" s="189" t="s">
        <v>1029</v>
      </c>
      <c r="D27" s="25" t="s">
        <v>1030</v>
      </c>
      <c r="E27" s="11" t="str">
        <f>IFERROR(TRIM(LEFT(D27,LEN(D27)-4)),"")</f>
        <v>Kosei Yoshida</v>
      </c>
      <c r="F27" s="11" t="str">
        <f t="shared" ref="F27:F32" si="3">TRIM(RIGHT(D27,2))</f>
        <v>CL</v>
      </c>
      <c r="G27" s="7" t="s">
        <v>55</v>
      </c>
      <c r="H27" s="7">
        <v>188</v>
      </c>
      <c r="I27" s="190" t="s">
        <v>274</v>
      </c>
      <c r="J27" s="98">
        <v>4</v>
      </c>
      <c r="K27" s="98">
        <v>4</v>
      </c>
      <c r="L27" s="98">
        <v>4</v>
      </c>
      <c r="M27" s="2"/>
      <c r="N27" s="122" t="s">
        <v>1033</v>
      </c>
      <c r="O27" s="7" t="s">
        <v>19</v>
      </c>
      <c r="P27" s="7">
        <v>1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2"/>
      <c r="AC27" s="4" t="s">
        <v>47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</row>
    <row r="28" spans="1:58" ht="13">
      <c r="A28" s="47"/>
      <c r="B28" s="47" t="s">
        <v>3</v>
      </c>
      <c r="C28" s="111" t="s">
        <v>652</v>
      </c>
      <c r="D28" s="112" t="s">
        <v>1038</v>
      </c>
      <c r="E28" s="47" t="str">
        <f t="shared" ref="E28:E32" si="4">IFERROR(TRIM(LEFT(D28,LEN(D28)-4)),"")</f>
        <v>Archer Fisch</v>
      </c>
      <c r="F28" s="49" t="str">
        <f t="shared" si="3"/>
        <v>SS</v>
      </c>
      <c r="G28" s="49" t="s">
        <v>589</v>
      </c>
      <c r="H28" s="113">
        <v>292</v>
      </c>
      <c r="I28" s="190" t="s">
        <v>274</v>
      </c>
      <c r="J28" s="98">
        <v>2</v>
      </c>
      <c r="K28" s="98">
        <v>2</v>
      </c>
      <c r="L28" s="98">
        <v>2</v>
      </c>
      <c r="M28" s="115"/>
      <c r="N28" s="48" t="s">
        <v>842</v>
      </c>
      <c r="O28" s="47" t="s">
        <v>19</v>
      </c>
      <c r="P28" s="117">
        <v>11</v>
      </c>
      <c r="Q28" s="47" t="s">
        <v>38</v>
      </c>
      <c r="R28" s="47"/>
      <c r="S28" s="47"/>
      <c r="T28" s="47"/>
      <c r="U28" s="47"/>
      <c r="V28" s="47"/>
      <c r="W28" s="47"/>
      <c r="X28" s="47"/>
      <c r="Y28" s="49"/>
      <c r="Z28" s="47"/>
      <c r="AA28" s="49"/>
      <c r="AB28" s="115"/>
      <c r="AC28" s="115"/>
      <c r="AD28" s="47" t="s">
        <v>47</v>
      </c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</row>
    <row r="29" spans="1:58" ht="13">
      <c r="A29" s="50"/>
      <c r="B29" s="50" t="s">
        <v>3</v>
      </c>
      <c r="C29" s="144" t="s">
        <v>1041</v>
      </c>
      <c r="D29" s="112" t="s">
        <v>1043</v>
      </c>
      <c r="E29" s="50" t="str">
        <f t="shared" si="4"/>
        <v>Smitty Springfield</v>
      </c>
      <c r="F29" s="148" t="str">
        <f t="shared" si="3"/>
        <v>2B</v>
      </c>
      <c r="G29" s="148" t="s">
        <v>1046</v>
      </c>
      <c r="H29" s="123">
        <v>192</v>
      </c>
      <c r="I29" s="190" t="s">
        <v>274</v>
      </c>
      <c r="J29" s="98">
        <v>4</v>
      </c>
      <c r="K29" s="98">
        <v>4</v>
      </c>
      <c r="L29" s="98"/>
      <c r="M29" s="146"/>
      <c r="N29" s="124" t="s">
        <v>1033</v>
      </c>
      <c r="O29" s="50" t="s">
        <v>19</v>
      </c>
      <c r="P29" s="147">
        <v>15</v>
      </c>
      <c r="Q29" s="50" t="s">
        <v>19</v>
      </c>
      <c r="R29" s="50"/>
      <c r="S29" s="50"/>
      <c r="T29" s="50"/>
      <c r="U29" s="50"/>
      <c r="V29" s="50"/>
      <c r="W29" s="50"/>
      <c r="X29" s="50"/>
      <c r="Y29" s="148"/>
      <c r="Z29" s="50"/>
      <c r="AA29" s="148"/>
      <c r="AB29" s="146"/>
      <c r="AC29" s="146"/>
      <c r="AD29" s="50" t="s">
        <v>47</v>
      </c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</row>
    <row r="30" spans="1:58" ht="13">
      <c r="A30" s="47"/>
      <c r="B30" s="47" t="s">
        <v>3</v>
      </c>
      <c r="C30" s="111" t="s">
        <v>1050</v>
      </c>
      <c r="D30" s="112" t="s">
        <v>1051</v>
      </c>
      <c r="E30" s="47" t="str">
        <f t="shared" si="4"/>
        <v>Rob Cena</v>
      </c>
      <c r="F30" s="49" t="str">
        <f t="shared" si="3"/>
        <v>CF</v>
      </c>
      <c r="G30" s="49" t="s">
        <v>554</v>
      </c>
      <c r="H30" s="113">
        <v>153</v>
      </c>
      <c r="I30" s="190" t="s">
        <v>274</v>
      </c>
      <c r="J30" s="98">
        <v>3</v>
      </c>
      <c r="K30" s="98">
        <v>2.5</v>
      </c>
      <c r="L30" s="98">
        <v>1.5</v>
      </c>
      <c r="M30" s="115"/>
      <c r="N30" s="48" t="s">
        <v>750</v>
      </c>
      <c r="O30" s="47" t="s">
        <v>19</v>
      </c>
      <c r="P30" s="162">
        <v>19</v>
      </c>
      <c r="Q30" s="47" t="s">
        <v>19</v>
      </c>
      <c r="R30" s="47"/>
      <c r="S30" s="47"/>
      <c r="T30" s="47"/>
      <c r="U30" s="47"/>
      <c r="V30" s="47"/>
      <c r="W30" s="47"/>
      <c r="X30" s="47"/>
      <c r="Y30" s="49"/>
      <c r="Z30" s="47"/>
      <c r="AA30" s="49"/>
      <c r="AB30" s="115"/>
      <c r="AC30" s="115"/>
      <c r="AD30" s="47" t="s">
        <v>47</v>
      </c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</row>
    <row r="31" spans="1:58" ht="13">
      <c r="A31" s="50"/>
      <c r="B31" s="50" t="s">
        <v>3</v>
      </c>
      <c r="C31" s="144" t="s">
        <v>1053</v>
      </c>
      <c r="D31" s="112" t="s">
        <v>1054</v>
      </c>
      <c r="E31" s="50" t="str">
        <f t="shared" si="4"/>
        <v>Juan Dong</v>
      </c>
      <c r="F31" s="148" t="str">
        <f t="shared" si="3"/>
        <v>1B</v>
      </c>
      <c r="G31" s="148" t="s">
        <v>1046</v>
      </c>
      <c r="H31" s="123">
        <v>182</v>
      </c>
      <c r="I31" s="190" t="s">
        <v>274</v>
      </c>
      <c r="J31" s="98">
        <v>4</v>
      </c>
      <c r="K31" s="98">
        <v>4</v>
      </c>
      <c r="L31" s="98">
        <v>4</v>
      </c>
      <c r="M31" s="146"/>
      <c r="N31" s="122" t="s">
        <v>1033</v>
      </c>
      <c r="O31" s="50" t="s">
        <v>19</v>
      </c>
      <c r="P31" s="147">
        <v>25</v>
      </c>
      <c r="Q31" s="50" t="s">
        <v>38</v>
      </c>
      <c r="R31" s="50"/>
      <c r="S31" s="50"/>
      <c r="T31" s="50"/>
      <c r="U31" s="50"/>
      <c r="V31" s="50"/>
      <c r="W31" s="50"/>
      <c r="X31" s="50"/>
      <c r="Y31" s="148"/>
      <c r="Z31" s="50"/>
      <c r="AA31" s="148"/>
      <c r="AB31" s="146"/>
      <c r="AC31" s="146"/>
      <c r="AD31" s="50" t="s">
        <v>47</v>
      </c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</row>
    <row r="32" spans="1:58" ht="13">
      <c r="A32" s="47"/>
      <c r="B32" s="47" t="s">
        <v>3</v>
      </c>
      <c r="C32" s="111" t="s">
        <v>1056</v>
      </c>
      <c r="D32" s="112" t="s">
        <v>1057</v>
      </c>
      <c r="E32" s="47" t="str">
        <f t="shared" si="4"/>
        <v>Ben Crump</v>
      </c>
      <c r="F32" s="49" t="str">
        <f t="shared" si="3"/>
        <v>SS</v>
      </c>
      <c r="G32" s="49" t="s">
        <v>62</v>
      </c>
      <c r="H32" s="113">
        <v>108</v>
      </c>
      <c r="I32" s="190" t="s">
        <v>274</v>
      </c>
      <c r="J32" s="98">
        <v>2</v>
      </c>
      <c r="K32" s="98">
        <v>2</v>
      </c>
      <c r="L32" s="98">
        <v>2</v>
      </c>
      <c r="M32" s="115"/>
      <c r="N32" s="48" t="s">
        <v>842</v>
      </c>
      <c r="O32" s="47" t="s">
        <v>19</v>
      </c>
      <c r="P32" s="117">
        <v>35</v>
      </c>
      <c r="Q32" s="47" t="s">
        <v>19</v>
      </c>
      <c r="R32" s="47"/>
      <c r="S32" s="47"/>
      <c r="T32" s="47"/>
      <c r="U32" s="47"/>
      <c r="V32" s="47"/>
      <c r="W32" s="47"/>
      <c r="X32" s="47"/>
      <c r="Y32" s="49"/>
      <c r="Z32" s="47"/>
      <c r="AA32" s="49"/>
      <c r="AB32" s="115"/>
      <c r="AC32" s="115"/>
      <c r="AD32" s="47" t="s">
        <v>47</v>
      </c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</row>
    <row r="33" spans="3:60" ht="13">
      <c r="C33" s="127"/>
      <c r="D33" s="127"/>
      <c r="F33" s="8"/>
      <c r="G33" s="97"/>
      <c r="I33" s="99"/>
      <c r="J33" s="99"/>
      <c r="K33" s="99"/>
      <c r="L33" s="99"/>
      <c r="M33" s="99"/>
      <c r="N33" s="4" t="s">
        <v>1058</v>
      </c>
      <c r="Y33" s="8"/>
      <c r="AA33" s="8"/>
      <c r="AB33" s="98"/>
      <c r="AC33" s="98">
        <v>10</v>
      </c>
    </row>
    <row r="34" spans="3:60" ht="13">
      <c r="C34" s="127"/>
      <c r="D34" s="127"/>
      <c r="F34" s="8"/>
      <c r="G34" s="97"/>
      <c r="I34" s="99"/>
      <c r="J34" s="99"/>
      <c r="K34" s="99"/>
      <c r="L34" s="99"/>
      <c r="M34" s="99"/>
      <c r="N34" s="4" t="s">
        <v>989</v>
      </c>
      <c r="Y34" s="8"/>
      <c r="AA34" s="8"/>
      <c r="AB34" s="98">
        <v>20</v>
      </c>
      <c r="AC34" s="98">
        <v>5</v>
      </c>
    </row>
    <row r="35" spans="3:60" ht="13">
      <c r="C35" s="127"/>
      <c r="D35" s="127"/>
      <c r="F35" s="8"/>
      <c r="G35" s="97"/>
      <c r="I35" s="98">
        <v>2.25</v>
      </c>
      <c r="J35" s="99"/>
      <c r="K35" s="99"/>
      <c r="L35" s="99"/>
      <c r="M35" s="99"/>
      <c r="N35" s="4" t="s">
        <v>1059</v>
      </c>
      <c r="Y35" s="8"/>
      <c r="AA35" s="8"/>
      <c r="AB35" s="99"/>
      <c r="AC35" s="192"/>
    </row>
    <row r="36" spans="3:60" ht="13">
      <c r="C36" s="127"/>
      <c r="D36" s="127"/>
      <c r="F36" s="8"/>
      <c r="G36" s="97"/>
      <c r="I36" s="4">
        <v>5</v>
      </c>
      <c r="K36" s="99"/>
      <c r="L36" s="99"/>
      <c r="M36" s="99"/>
      <c r="N36" s="8" t="s">
        <v>338</v>
      </c>
      <c r="Y36" s="8"/>
      <c r="AA36" s="8">
        <f>2.5+4.5</f>
        <v>7</v>
      </c>
      <c r="AB36" s="99"/>
      <c r="AC36" s="192">
        <f>2+7.25/2+4.5</f>
        <v>10.125</v>
      </c>
    </row>
    <row r="37" spans="3:60" ht="13">
      <c r="C37" s="127"/>
      <c r="D37" s="127"/>
      <c r="F37" s="8"/>
      <c r="G37" s="97"/>
      <c r="I37" s="4">
        <v>1.75</v>
      </c>
      <c r="J37" s="4">
        <v>1.75</v>
      </c>
      <c r="K37" s="99"/>
      <c r="L37" s="99"/>
      <c r="M37" s="99"/>
      <c r="N37" s="8" t="s">
        <v>340</v>
      </c>
      <c r="Y37" s="8">
        <f>(1.25+5)/2</f>
        <v>3.125</v>
      </c>
      <c r="AA37" s="8">
        <v>0.5</v>
      </c>
      <c r="AB37" s="99"/>
      <c r="AC37" s="98">
        <v>0.25</v>
      </c>
    </row>
    <row r="38" spans="3:60" ht="13">
      <c r="C38" s="127"/>
      <c r="D38" s="127"/>
      <c r="F38" s="8"/>
      <c r="G38" s="97"/>
      <c r="I38" s="99">
        <f t="shared" ref="I38:M38" si="5">SUM(I2:I37)</f>
        <v>93.5</v>
      </c>
      <c r="J38" s="99">
        <f t="shared" si="5"/>
        <v>68.5</v>
      </c>
      <c r="K38" s="99">
        <f t="shared" si="5"/>
        <v>29.5</v>
      </c>
      <c r="L38" s="99">
        <f t="shared" si="5"/>
        <v>13.5</v>
      </c>
      <c r="M38" s="99">
        <f t="shared" si="5"/>
        <v>0</v>
      </c>
      <c r="V38">
        <f t="shared" ref="V38:W38" si="6">SUM(V4)</f>
        <v>0</v>
      </c>
      <c r="W38">
        <f t="shared" si="6"/>
        <v>0</v>
      </c>
      <c r="X38">
        <f>SUM(X3:X4)</f>
        <v>13</v>
      </c>
      <c r="Y38">
        <f t="shared" ref="Y38:AC38" si="7">SUM(Y3:Y37)</f>
        <v>30.875</v>
      </c>
      <c r="Z38">
        <f t="shared" si="7"/>
        <v>33.9</v>
      </c>
      <c r="AA38">
        <f t="shared" si="7"/>
        <v>49.75</v>
      </c>
      <c r="AB38" s="99">
        <f t="shared" si="7"/>
        <v>61.5</v>
      </c>
      <c r="AC38" s="99">
        <f t="shared" si="7"/>
        <v>83.125</v>
      </c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</row>
    <row r="39" spans="3:60" ht="13">
      <c r="C39" s="127"/>
      <c r="D39" s="127"/>
      <c r="F39" s="8"/>
      <c r="G39" s="97"/>
    </row>
    <row r="40" spans="3:60" ht="13">
      <c r="C40" s="127"/>
      <c r="D40" s="127"/>
      <c r="E40" s="128" t="s">
        <v>343</v>
      </c>
      <c r="F40" s="99"/>
      <c r="G40" s="129"/>
      <c r="Q40" s="8" t="s">
        <v>1061</v>
      </c>
      <c r="R40" s="8"/>
      <c r="S40" s="8"/>
      <c r="T40" s="8"/>
      <c r="AB40" s="128"/>
      <c r="AE40" s="8"/>
      <c r="AF40" s="8"/>
      <c r="AG40" s="8"/>
    </row>
    <row r="41" spans="3:60" ht="13">
      <c r="C41" s="127"/>
      <c r="D41" s="127"/>
      <c r="E41" s="98" t="s">
        <v>344</v>
      </c>
      <c r="F41" s="99"/>
      <c r="G41" s="129"/>
      <c r="Q41" s="8" t="s">
        <v>1062</v>
      </c>
      <c r="R41" s="8"/>
      <c r="S41" s="8"/>
      <c r="T41" s="8"/>
      <c r="AB41" s="98"/>
    </row>
    <row r="42" spans="3:60" ht="13">
      <c r="C42" s="127"/>
      <c r="D42" s="127"/>
      <c r="E42" s="149" t="s">
        <v>345</v>
      </c>
      <c r="F42" s="150"/>
      <c r="G42" s="151"/>
      <c r="AB42" s="149"/>
    </row>
    <row r="43" spans="3:60" ht="13">
      <c r="C43" s="127"/>
      <c r="D43" s="127"/>
      <c r="E43" s="125" t="s">
        <v>347</v>
      </c>
      <c r="F43" s="102"/>
      <c r="G43" s="133"/>
      <c r="AB43" s="125"/>
    </row>
    <row r="44" spans="3:60" ht="13">
      <c r="C44" s="127"/>
      <c r="D44" s="127"/>
      <c r="E44" s="90" t="s">
        <v>348</v>
      </c>
      <c r="F44" s="87"/>
      <c r="G44" s="134"/>
      <c r="AB44" s="90"/>
    </row>
    <row r="45" spans="3:60" ht="13">
      <c r="C45" s="127"/>
      <c r="D45" s="127"/>
      <c r="E45" s="416" t="s">
        <v>350</v>
      </c>
      <c r="F45" s="417"/>
      <c r="G45" s="418"/>
    </row>
    <row r="46" spans="3:60" ht="13">
      <c r="C46" s="127"/>
      <c r="D46" s="127"/>
      <c r="F46" s="8"/>
      <c r="G46" s="97"/>
    </row>
    <row r="47" spans="3:60" ht="13">
      <c r="C47" s="127"/>
      <c r="D47" s="127"/>
      <c r="F47" s="8"/>
      <c r="G47" s="97"/>
    </row>
    <row r="48" spans="3:60" ht="13">
      <c r="C48" s="127"/>
      <c r="D48" s="127"/>
      <c r="F48" s="8"/>
      <c r="G48" s="97"/>
    </row>
    <row r="49" spans="3:7" ht="13">
      <c r="C49" s="127"/>
      <c r="D49" s="127"/>
      <c r="F49" s="8"/>
      <c r="G49" s="97"/>
    </row>
    <row r="50" spans="3:7" ht="13">
      <c r="C50" s="127"/>
      <c r="D50" s="127"/>
      <c r="F50" s="8"/>
      <c r="G50" s="97"/>
    </row>
    <row r="51" spans="3:7" ht="13">
      <c r="C51" s="127"/>
      <c r="D51" s="127"/>
      <c r="F51" s="8"/>
      <c r="G51" s="97"/>
    </row>
    <row r="52" spans="3:7" ht="13">
      <c r="C52" s="127"/>
      <c r="D52" s="127"/>
      <c r="F52" s="8"/>
      <c r="G52" s="97"/>
    </row>
    <row r="53" spans="3:7" ht="13">
      <c r="C53" s="127"/>
      <c r="D53" s="127"/>
      <c r="F53" s="8"/>
      <c r="G53" s="97"/>
    </row>
    <row r="54" spans="3:7" ht="13">
      <c r="C54" s="127"/>
      <c r="D54" s="127"/>
      <c r="F54" s="8"/>
      <c r="G54" s="97"/>
    </row>
    <row r="55" spans="3:7" ht="13">
      <c r="C55" s="127"/>
      <c r="D55" s="127"/>
      <c r="F55" s="8"/>
      <c r="G55" s="97"/>
    </row>
    <row r="56" spans="3:7" ht="13">
      <c r="C56" s="127"/>
      <c r="D56" s="127"/>
      <c r="G56" s="127"/>
    </row>
    <row r="57" spans="3:7" ht="13">
      <c r="C57" s="127"/>
      <c r="D57" s="127"/>
      <c r="G57" s="127"/>
    </row>
    <row r="58" spans="3:7" ht="13">
      <c r="C58" s="127"/>
      <c r="D58" s="127"/>
      <c r="G58" s="127"/>
    </row>
    <row r="59" spans="3:7" ht="13">
      <c r="C59" s="127"/>
      <c r="D59" s="127"/>
      <c r="G59" s="127"/>
    </row>
    <row r="60" spans="3:7" ht="13">
      <c r="C60" s="127"/>
      <c r="D60" s="127"/>
      <c r="G60" s="127"/>
    </row>
    <row r="61" spans="3:7" ht="13">
      <c r="C61" s="127"/>
      <c r="D61" s="127"/>
      <c r="G61" s="127"/>
    </row>
    <row r="62" spans="3:7" ht="13">
      <c r="C62" s="127"/>
      <c r="D62" s="127"/>
      <c r="G62" s="127"/>
    </row>
    <row r="63" spans="3:7" ht="13">
      <c r="C63" s="127"/>
      <c r="D63" s="127"/>
      <c r="G63" s="127"/>
    </row>
    <row r="64" spans="3:7" ht="13">
      <c r="C64" s="127"/>
      <c r="D64" s="127"/>
      <c r="G64" s="127"/>
    </row>
    <row r="65" spans="3:7" ht="13">
      <c r="C65" s="127"/>
      <c r="D65" s="127"/>
      <c r="G65" s="127"/>
    </row>
    <row r="66" spans="3:7" ht="13">
      <c r="C66" s="127"/>
      <c r="D66" s="127"/>
      <c r="G66" s="127"/>
    </row>
    <row r="67" spans="3:7" ht="13">
      <c r="C67" s="127"/>
      <c r="D67" s="127"/>
      <c r="G67" s="127"/>
    </row>
    <row r="68" spans="3:7" ht="13">
      <c r="C68" s="127"/>
      <c r="D68" s="127"/>
      <c r="G68" s="127"/>
    </row>
    <row r="69" spans="3:7" ht="13">
      <c r="C69" s="127"/>
      <c r="D69" s="127"/>
      <c r="G69" s="127"/>
    </row>
    <row r="70" spans="3:7" ht="13">
      <c r="C70" s="127"/>
      <c r="D70" s="127"/>
      <c r="G70" s="127"/>
    </row>
    <row r="71" spans="3:7" ht="13">
      <c r="C71" s="127"/>
      <c r="D71" s="127"/>
      <c r="G71" s="127"/>
    </row>
    <row r="72" spans="3:7" ht="13">
      <c r="C72" s="127"/>
      <c r="D72" s="127"/>
      <c r="G72" s="127"/>
    </row>
    <row r="73" spans="3:7" ht="13">
      <c r="C73" s="127"/>
      <c r="D73" s="127"/>
      <c r="G73" s="127"/>
    </row>
    <row r="74" spans="3:7" ht="13">
      <c r="C74" s="127"/>
      <c r="D74" s="127"/>
      <c r="G74" s="127"/>
    </row>
    <row r="75" spans="3:7" ht="13">
      <c r="C75" s="127"/>
      <c r="D75" s="127"/>
      <c r="G75" s="127"/>
    </row>
    <row r="76" spans="3:7" ht="13">
      <c r="C76" s="127"/>
      <c r="D76" s="127"/>
      <c r="G76" s="127"/>
    </row>
    <row r="77" spans="3:7" ht="13">
      <c r="C77" s="127"/>
      <c r="D77" s="127"/>
      <c r="G77" s="127"/>
    </row>
    <row r="78" spans="3:7" ht="13">
      <c r="C78" s="127"/>
      <c r="D78" s="127"/>
      <c r="G78" s="127"/>
    </row>
    <row r="79" spans="3:7" ht="13">
      <c r="C79" s="127"/>
      <c r="D79" s="127"/>
      <c r="G79" s="127"/>
    </row>
    <row r="80" spans="3:7" ht="13">
      <c r="C80" s="127"/>
      <c r="D80" s="127"/>
      <c r="G80" s="127"/>
    </row>
    <row r="81" spans="3:7" ht="13">
      <c r="C81" s="127"/>
      <c r="D81" s="127"/>
      <c r="G81" s="127"/>
    </row>
    <row r="82" spans="3:7" ht="13">
      <c r="C82" s="127"/>
      <c r="D82" s="127"/>
      <c r="G82" s="127"/>
    </row>
    <row r="83" spans="3:7" ht="13">
      <c r="C83" s="127"/>
      <c r="D83" s="127"/>
      <c r="G83" s="127"/>
    </row>
    <row r="84" spans="3:7" ht="13">
      <c r="C84" s="127"/>
      <c r="D84" s="127"/>
      <c r="G84" s="127"/>
    </row>
    <row r="85" spans="3:7" ht="13">
      <c r="C85" s="127"/>
      <c r="D85" s="127"/>
      <c r="G85" s="127"/>
    </row>
    <row r="86" spans="3:7" ht="13">
      <c r="C86" s="127"/>
      <c r="D86" s="127"/>
      <c r="G86" s="127"/>
    </row>
    <row r="87" spans="3:7" ht="13">
      <c r="C87" s="127"/>
      <c r="D87" s="127"/>
      <c r="G87" s="127"/>
    </row>
    <row r="88" spans="3:7" ht="13">
      <c r="C88" s="127"/>
      <c r="D88" s="127"/>
      <c r="G88" s="127"/>
    </row>
    <row r="89" spans="3:7" ht="13">
      <c r="C89" s="127"/>
      <c r="D89" s="127"/>
      <c r="G89" s="127"/>
    </row>
    <row r="90" spans="3:7" ht="13">
      <c r="C90" s="127"/>
      <c r="D90" s="127"/>
      <c r="G90" s="127"/>
    </row>
    <row r="91" spans="3:7" ht="13">
      <c r="C91" s="127"/>
      <c r="D91" s="127"/>
      <c r="G91" s="127"/>
    </row>
    <row r="92" spans="3:7" ht="13">
      <c r="C92" s="127"/>
      <c r="D92" s="127"/>
      <c r="G92" s="127"/>
    </row>
    <row r="93" spans="3:7" ht="13">
      <c r="C93" s="127"/>
      <c r="D93" s="127"/>
      <c r="G93" s="127"/>
    </row>
    <row r="94" spans="3:7" ht="13">
      <c r="C94" s="127"/>
      <c r="D94" s="127"/>
      <c r="G94" s="127"/>
    </row>
    <row r="95" spans="3:7" ht="13">
      <c r="C95" s="127"/>
      <c r="D95" s="127"/>
      <c r="G95" s="127"/>
    </row>
    <row r="96" spans="3:7" ht="13">
      <c r="C96" s="127"/>
      <c r="D96" s="127"/>
      <c r="G96" s="127"/>
    </row>
    <row r="97" spans="3:7" ht="13">
      <c r="C97" s="127"/>
      <c r="D97" s="127"/>
      <c r="G97" s="127"/>
    </row>
    <row r="98" spans="3:7" ht="13">
      <c r="C98" s="127"/>
      <c r="D98" s="127"/>
      <c r="G98" s="127"/>
    </row>
    <row r="99" spans="3:7" ht="13">
      <c r="C99" s="127"/>
      <c r="D99" s="127"/>
      <c r="G99" s="127"/>
    </row>
    <row r="100" spans="3:7" ht="13">
      <c r="C100" s="127"/>
      <c r="D100" s="127"/>
      <c r="G100" s="127"/>
    </row>
    <row r="101" spans="3:7" ht="13">
      <c r="C101" s="127"/>
      <c r="D101" s="127"/>
      <c r="G101" s="127"/>
    </row>
    <row r="102" spans="3:7" ht="13">
      <c r="C102" s="127"/>
      <c r="D102" s="127"/>
      <c r="G102" s="127"/>
    </row>
    <row r="103" spans="3:7" ht="13">
      <c r="C103" s="127"/>
      <c r="D103" s="127"/>
      <c r="G103" s="127"/>
    </row>
    <row r="104" spans="3:7" ht="13">
      <c r="C104" s="127"/>
      <c r="D104" s="127"/>
      <c r="G104" s="127"/>
    </row>
    <row r="105" spans="3:7" ht="13">
      <c r="C105" s="127"/>
      <c r="D105" s="127"/>
      <c r="G105" s="127"/>
    </row>
    <row r="106" spans="3:7" ht="13">
      <c r="C106" s="127"/>
      <c r="D106" s="127"/>
      <c r="G106" s="127"/>
    </row>
    <row r="107" spans="3:7" ht="13">
      <c r="C107" s="127"/>
      <c r="D107" s="127"/>
      <c r="G107" s="127"/>
    </row>
    <row r="108" spans="3:7" ht="13">
      <c r="C108" s="127"/>
      <c r="D108" s="127"/>
      <c r="G108" s="127"/>
    </row>
    <row r="109" spans="3:7" ht="13">
      <c r="C109" s="127"/>
      <c r="D109" s="127"/>
      <c r="G109" s="127"/>
    </row>
    <row r="110" spans="3:7" ht="13">
      <c r="C110" s="127"/>
      <c r="D110" s="127"/>
      <c r="G110" s="127"/>
    </row>
    <row r="111" spans="3:7" ht="13">
      <c r="C111" s="127"/>
      <c r="D111" s="127"/>
      <c r="G111" s="127"/>
    </row>
    <row r="112" spans="3:7" ht="13">
      <c r="C112" s="127"/>
      <c r="D112" s="127"/>
      <c r="G112" s="127"/>
    </row>
    <row r="113" spans="3:7" ht="13">
      <c r="C113" s="127"/>
      <c r="D113" s="127"/>
      <c r="G113" s="127"/>
    </row>
    <row r="114" spans="3:7" ht="13">
      <c r="C114" s="127"/>
      <c r="D114" s="127"/>
      <c r="G114" s="127"/>
    </row>
    <row r="115" spans="3:7" ht="13">
      <c r="C115" s="127"/>
      <c r="D115" s="127"/>
      <c r="G115" s="127"/>
    </row>
    <row r="116" spans="3:7" ht="13">
      <c r="C116" s="127"/>
      <c r="D116" s="127"/>
      <c r="G116" s="127"/>
    </row>
    <row r="117" spans="3:7" ht="13">
      <c r="C117" s="127"/>
      <c r="D117" s="127"/>
      <c r="G117" s="127"/>
    </row>
    <row r="118" spans="3:7" ht="13">
      <c r="C118" s="127"/>
      <c r="D118" s="127"/>
      <c r="G118" s="127"/>
    </row>
    <row r="119" spans="3:7" ht="13">
      <c r="C119" s="127"/>
      <c r="D119" s="127"/>
      <c r="G119" s="127"/>
    </row>
    <row r="120" spans="3:7" ht="13">
      <c r="C120" s="127"/>
      <c r="D120" s="127"/>
      <c r="G120" s="127"/>
    </row>
    <row r="121" spans="3:7" ht="13">
      <c r="C121" s="127"/>
      <c r="D121" s="127"/>
      <c r="G121" s="127"/>
    </row>
    <row r="122" spans="3:7" ht="13">
      <c r="C122" s="127"/>
      <c r="D122" s="127"/>
      <c r="G122" s="127"/>
    </row>
    <row r="123" spans="3:7" ht="13">
      <c r="C123" s="127"/>
      <c r="D123" s="127"/>
      <c r="G123" s="127"/>
    </row>
    <row r="124" spans="3:7" ht="13">
      <c r="C124" s="127"/>
      <c r="D124" s="127"/>
      <c r="G124" s="127"/>
    </row>
    <row r="125" spans="3:7" ht="13">
      <c r="C125" s="127"/>
      <c r="D125" s="127"/>
      <c r="G125" s="127"/>
    </row>
    <row r="126" spans="3:7" ht="13">
      <c r="C126" s="127"/>
      <c r="D126" s="127"/>
      <c r="G126" s="127"/>
    </row>
    <row r="127" spans="3:7" ht="13">
      <c r="C127" s="127"/>
      <c r="D127" s="127"/>
      <c r="G127" s="127"/>
    </row>
    <row r="128" spans="3:7" ht="13">
      <c r="C128" s="127"/>
      <c r="D128" s="127"/>
      <c r="G128" s="127"/>
    </row>
    <row r="129" spans="3:7" ht="13">
      <c r="C129" s="127"/>
      <c r="D129" s="127"/>
      <c r="G129" s="127"/>
    </row>
    <row r="130" spans="3:7" ht="13">
      <c r="C130" s="127"/>
      <c r="D130" s="127"/>
      <c r="G130" s="127"/>
    </row>
    <row r="131" spans="3:7" ht="13">
      <c r="C131" s="127"/>
      <c r="D131" s="127"/>
      <c r="G131" s="127"/>
    </row>
    <row r="132" spans="3:7" ht="13">
      <c r="C132" s="127"/>
      <c r="D132" s="127"/>
      <c r="G132" s="127"/>
    </row>
    <row r="133" spans="3:7" ht="13">
      <c r="C133" s="127"/>
      <c r="D133" s="127"/>
      <c r="G133" s="127"/>
    </row>
    <row r="134" spans="3:7" ht="13">
      <c r="C134" s="127"/>
      <c r="D134" s="127"/>
      <c r="G134" s="127"/>
    </row>
    <row r="135" spans="3:7" ht="13">
      <c r="C135" s="127"/>
      <c r="D135" s="127"/>
      <c r="G135" s="127"/>
    </row>
    <row r="136" spans="3:7" ht="13">
      <c r="C136" s="127"/>
      <c r="D136" s="127"/>
      <c r="G136" s="127"/>
    </row>
    <row r="137" spans="3:7" ht="13">
      <c r="C137" s="127"/>
      <c r="D137" s="127"/>
      <c r="G137" s="127"/>
    </row>
    <row r="138" spans="3:7" ht="13">
      <c r="C138" s="127"/>
      <c r="D138" s="127"/>
      <c r="G138" s="127"/>
    </row>
    <row r="139" spans="3:7" ht="13">
      <c r="C139" s="127"/>
      <c r="D139" s="127"/>
      <c r="G139" s="127"/>
    </row>
    <row r="140" spans="3:7" ht="13">
      <c r="C140" s="127"/>
      <c r="D140" s="127"/>
      <c r="G140" s="127"/>
    </row>
    <row r="141" spans="3:7" ht="13">
      <c r="C141" s="127"/>
      <c r="D141" s="127"/>
      <c r="G141" s="127"/>
    </row>
    <row r="142" spans="3:7" ht="13">
      <c r="C142" s="127"/>
      <c r="D142" s="127"/>
      <c r="G142" s="127"/>
    </row>
    <row r="143" spans="3:7" ht="13">
      <c r="C143" s="127"/>
      <c r="D143" s="127"/>
      <c r="G143" s="127"/>
    </row>
    <row r="144" spans="3:7" ht="13">
      <c r="C144" s="127"/>
      <c r="D144" s="127"/>
      <c r="G144" s="127"/>
    </row>
    <row r="145" spans="3:7" ht="13">
      <c r="C145" s="127"/>
      <c r="D145" s="127"/>
      <c r="G145" s="127"/>
    </row>
    <row r="146" spans="3:7" ht="13">
      <c r="C146" s="127"/>
      <c r="D146" s="127"/>
      <c r="G146" s="127"/>
    </row>
    <row r="147" spans="3:7" ht="13">
      <c r="C147" s="127"/>
      <c r="D147" s="127"/>
      <c r="G147" s="127"/>
    </row>
    <row r="148" spans="3:7" ht="13">
      <c r="C148" s="127"/>
      <c r="D148" s="127"/>
      <c r="G148" s="127"/>
    </row>
    <row r="149" spans="3:7" ht="13">
      <c r="C149" s="127"/>
      <c r="D149" s="127"/>
      <c r="G149" s="127"/>
    </row>
    <row r="150" spans="3:7" ht="13">
      <c r="C150" s="127"/>
      <c r="D150" s="127"/>
      <c r="G150" s="127"/>
    </row>
    <row r="151" spans="3:7" ht="13">
      <c r="C151" s="127"/>
      <c r="D151" s="127"/>
      <c r="G151" s="127"/>
    </row>
    <row r="152" spans="3:7" ht="13">
      <c r="C152" s="127"/>
      <c r="D152" s="127"/>
      <c r="G152" s="127"/>
    </row>
    <row r="153" spans="3:7" ht="13">
      <c r="C153" s="127"/>
      <c r="D153" s="127"/>
      <c r="G153" s="127"/>
    </row>
    <row r="154" spans="3:7" ht="13">
      <c r="C154" s="127"/>
      <c r="D154" s="127"/>
      <c r="G154" s="127"/>
    </row>
    <row r="155" spans="3:7" ht="13">
      <c r="C155" s="127"/>
      <c r="D155" s="127"/>
      <c r="G155" s="127"/>
    </row>
    <row r="156" spans="3:7" ht="13">
      <c r="C156" s="127"/>
      <c r="D156" s="127"/>
      <c r="G156" s="127"/>
    </row>
    <row r="157" spans="3:7" ht="13">
      <c r="C157" s="127"/>
      <c r="D157" s="127"/>
      <c r="G157" s="127"/>
    </row>
    <row r="158" spans="3:7" ht="13">
      <c r="C158" s="127"/>
      <c r="D158" s="127"/>
      <c r="G158" s="127"/>
    </row>
    <row r="159" spans="3:7" ht="13">
      <c r="C159" s="127"/>
      <c r="D159" s="127"/>
      <c r="G159" s="127"/>
    </row>
    <row r="160" spans="3:7" ht="13">
      <c r="C160" s="127"/>
      <c r="D160" s="127"/>
      <c r="G160" s="127"/>
    </row>
    <row r="161" spans="3:7" ht="13">
      <c r="C161" s="127"/>
      <c r="D161" s="127"/>
      <c r="G161" s="127"/>
    </row>
    <row r="162" spans="3:7" ht="13">
      <c r="C162" s="127"/>
      <c r="D162" s="127"/>
      <c r="G162" s="127"/>
    </row>
    <row r="163" spans="3:7" ht="13">
      <c r="C163" s="127"/>
      <c r="D163" s="127"/>
      <c r="G163" s="127"/>
    </row>
    <row r="164" spans="3:7" ht="13">
      <c r="C164" s="127"/>
      <c r="D164" s="127"/>
      <c r="G164" s="127"/>
    </row>
    <row r="165" spans="3:7" ht="13">
      <c r="C165" s="127"/>
      <c r="D165" s="127"/>
      <c r="G165" s="127"/>
    </row>
    <row r="166" spans="3:7" ht="13">
      <c r="C166" s="127"/>
      <c r="D166" s="127"/>
      <c r="G166" s="127"/>
    </row>
    <row r="167" spans="3:7" ht="13">
      <c r="C167" s="127"/>
      <c r="D167" s="127"/>
      <c r="G167" s="127"/>
    </row>
    <row r="168" spans="3:7" ht="13">
      <c r="C168" s="127"/>
      <c r="D168" s="127"/>
      <c r="G168" s="127"/>
    </row>
    <row r="169" spans="3:7" ht="13">
      <c r="C169" s="127"/>
      <c r="D169" s="127"/>
      <c r="G169" s="127"/>
    </row>
    <row r="170" spans="3:7" ht="13">
      <c r="C170" s="127"/>
      <c r="D170" s="127"/>
      <c r="G170" s="127"/>
    </row>
    <row r="171" spans="3:7" ht="13">
      <c r="C171" s="127"/>
      <c r="D171" s="127"/>
      <c r="G171" s="127"/>
    </row>
    <row r="172" spans="3:7" ht="13">
      <c r="C172" s="127"/>
      <c r="D172" s="127"/>
      <c r="G172" s="127"/>
    </row>
    <row r="173" spans="3:7" ht="13">
      <c r="C173" s="127"/>
      <c r="D173" s="127"/>
      <c r="G173" s="127"/>
    </row>
    <row r="174" spans="3:7" ht="13">
      <c r="C174" s="127"/>
      <c r="D174" s="127"/>
      <c r="G174" s="127"/>
    </row>
    <row r="175" spans="3:7" ht="13">
      <c r="C175" s="127"/>
      <c r="D175" s="127"/>
      <c r="G175" s="127"/>
    </row>
    <row r="176" spans="3:7" ht="13">
      <c r="C176" s="127"/>
      <c r="D176" s="127"/>
      <c r="G176" s="127"/>
    </row>
    <row r="177" spans="3:7" ht="13">
      <c r="C177" s="127"/>
      <c r="D177" s="127"/>
      <c r="G177" s="127"/>
    </row>
    <row r="178" spans="3:7" ht="13">
      <c r="C178" s="127"/>
      <c r="D178" s="127"/>
      <c r="G178" s="127"/>
    </row>
    <row r="179" spans="3:7" ht="13">
      <c r="C179" s="127"/>
      <c r="D179" s="127"/>
      <c r="G179" s="127"/>
    </row>
    <row r="180" spans="3:7" ht="13">
      <c r="C180" s="127"/>
      <c r="D180" s="127"/>
      <c r="G180" s="127"/>
    </row>
    <row r="181" spans="3:7" ht="13">
      <c r="C181" s="127"/>
      <c r="D181" s="127"/>
      <c r="G181" s="127"/>
    </row>
    <row r="182" spans="3:7" ht="13">
      <c r="C182" s="127"/>
      <c r="D182" s="127"/>
      <c r="G182" s="127"/>
    </row>
    <row r="183" spans="3:7" ht="13">
      <c r="C183" s="127"/>
      <c r="D183" s="127"/>
      <c r="G183" s="127"/>
    </row>
    <row r="184" spans="3:7" ht="13">
      <c r="C184" s="127"/>
      <c r="D184" s="127"/>
      <c r="G184" s="127"/>
    </row>
    <row r="185" spans="3:7" ht="13">
      <c r="C185" s="127"/>
      <c r="D185" s="127"/>
      <c r="G185" s="127"/>
    </row>
    <row r="186" spans="3:7" ht="13">
      <c r="C186" s="127"/>
      <c r="D186" s="127"/>
      <c r="G186" s="127"/>
    </row>
    <row r="187" spans="3:7" ht="13">
      <c r="C187" s="127"/>
      <c r="D187" s="127"/>
      <c r="G187" s="127"/>
    </row>
    <row r="188" spans="3:7" ht="13">
      <c r="C188" s="127"/>
      <c r="D188" s="127"/>
      <c r="G188" s="127"/>
    </row>
    <row r="189" spans="3:7" ht="13">
      <c r="C189" s="127"/>
      <c r="D189" s="127"/>
      <c r="G189" s="127"/>
    </row>
    <row r="190" spans="3:7" ht="13">
      <c r="C190" s="127"/>
      <c r="D190" s="127"/>
      <c r="G190" s="127"/>
    </row>
    <row r="191" spans="3:7" ht="13">
      <c r="C191" s="127"/>
      <c r="D191" s="127"/>
      <c r="G191" s="127"/>
    </row>
    <row r="192" spans="3:7" ht="13">
      <c r="C192" s="127"/>
      <c r="D192" s="127"/>
      <c r="G192" s="127"/>
    </row>
    <row r="193" spans="3:7" ht="13">
      <c r="C193" s="127"/>
      <c r="D193" s="127"/>
      <c r="G193" s="127"/>
    </row>
    <row r="194" spans="3:7" ht="13">
      <c r="C194" s="127"/>
      <c r="D194" s="127"/>
      <c r="G194" s="127"/>
    </row>
    <row r="195" spans="3:7" ht="13">
      <c r="C195" s="127"/>
      <c r="D195" s="127"/>
      <c r="G195" s="127"/>
    </row>
    <row r="196" spans="3:7" ht="13">
      <c r="C196" s="127"/>
      <c r="D196" s="127"/>
      <c r="G196" s="127"/>
    </row>
    <row r="197" spans="3:7" ht="13">
      <c r="C197" s="127"/>
      <c r="D197" s="127"/>
      <c r="G197" s="127"/>
    </row>
    <row r="198" spans="3:7" ht="13">
      <c r="C198" s="127"/>
      <c r="D198" s="127"/>
      <c r="G198" s="127"/>
    </row>
    <row r="199" spans="3:7" ht="13">
      <c r="C199" s="127"/>
      <c r="D199" s="127"/>
      <c r="G199" s="127"/>
    </row>
    <row r="200" spans="3:7" ht="13">
      <c r="C200" s="127"/>
      <c r="D200" s="127"/>
      <c r="G200" s="127"/>
    </row>
    <row r="201" spans="3:7" ht="13">
      <c r="C201" s="127"/>
      <c r="D201" s="127"/>
      <c r="G201" s="127"/>
    </row>
    <row r="202" spans="3:7" ht="13">
      <c r="C202" s="127"/>
      <c r="D202" s="127"/>
      <c r="G202" s="127"/>
    </row>
    <row r="203" spans="3:7" ht="13">
      <c r="C203" s="127"/>
      <c r="D203" s="127"/>
      <c r="G203" s="127"/>
    </row>
    <row r="204" spans="3:7" ht="13">
      <c r="C204" s="127"/>
      <c r="D204" s="127"/>
      <c r="G204" s="127"/>
    </row>
    <row r="205" spans="3:7" ht="13">
      <c r="C205" s="127"/>
      <c r="D205" s="127"/>
      <c r="G205" s="127"/>
    </row>
    <row r="206" spans="3:7" ht="13">
      <c r="C206" s="127"/>
      <c r="D206" s="127"/>
      <c r="G206" s="127"/>
    </row>
    <row r="207" spans="3:7" ht="13">
      <c r="C207" s="127"/>
      <c r="D207" s="127"/>
      <c r="G207" s="127"/>
    </row>
    <row r="208" spans="3:7" ht="13">
      <c r="C208" s="127"/>
      <c r="D208" s="127"/>
      <c r="G208" s="127"/>
    </row>
    <row r="209" spans="3:7" ht="13">
      <c r="C209" s="127"/>
      <c r="D209" s="127"/>
      <c r="G209" s="127"/>
    </row>
    <row r="210" spans="3:7" ht="13">
      <c r="C210" s="127"/>
      <c r="D210" s="127"/>
      <c r="G210" s="127"/>
    </row>
    <row r="211" spans="3:7" ht="13">
      <c r="C211" s="127"/>
      <c r="D211" s="127"/>
      <c r="G211" s="127"/>
    </row>
    <row r="212" spans="3:7" ht="13">
      <c r="C212" s="127"/>
      <c r="D212" s="127"/>
      <c r="G212" s="127"/>
    </row>
    <row r="213" spans="3:7" ht="13">
      <c r="C213" s="127"/>
      <c r="D213" s="127"/>
      <c r="G213" s="127"/>
    </row>
    <row r="214" spans="3:7" ht="13">
      <c r="C214" s="127"/>
      <c r="D214" s="127"/>
      <c r="G214" s="127"/>
    </row>
    <row r="215" spans="3:7" ht="13">
      <c r="C215" s="127"/>
      <c r="D215" s="127"/>
      <c r="G215" s="127"/>
    </row>
    <row r="216" spans="3:7" ht="13">
      <c r="C216" s="127"/>
      <c r="D216" s="127"/>
      <c r="G216" s="127"/>
    </row>
    <row r="217" spans="3:7" ht="13">
      <c r="C217" s="127"/>
      <c r="D217" s="127"/>
      <c r="G217" s="127"/>
    </row>
    <row r="218" spans="3:7" ht="13">
      <c r="C218" s="127"/>
      <c r="D218" s="127"/>
      <c r="G218" s="127"/>
    </row>
    <row r="219" spans="3:7" ht="13">
      <c r="C219" s="127"/>
      <c r="D219" s="127"/>
      <c r="G219" s="127"/>
    </row>
    <row r="220" spans="3:7" ht="13">
      <c r="C220" s="127"/>
      <c r="D220" s="127"/>
      <c r="G220" s="127"/>
    </row>
    <row r="221" spans="3:7" ht="13">
      <c r="C221" s="127"/>
      <c r="D221" s="127"/>
      <c r="G221" s="127"/>
    </row>
    <row r="222" spans="3:7" ht="13">
      <c r="C222" s="127"/>
      <c r="D222" s="127"/>
      <c r="G222" s="127"/>
    </row>
    <row r="223" spans="3:7" ht="13">
      <c r="C223" s="127"/>
      <c r="D223" s="127"/>
      <c r="G223" s="127"/>
    </row>
    <row r="224" spans="3:7" ht="13">
      <c r="C224" s="127"/>
      <c r="D224" s="127"/>
      <c r="G224" s="127"/>
    </row>
    <row r="225" spans="3:7" ht="13">
      <c r="C225" s="127"/>
      <c r="D225" s="127"/>
      <c r="G225" s="127"/>
    </row>
    <row r="226" spans="3:7" ht="13">
      <c r="C226" s="127"/>
      <c r="D226" s="127"/>
      <c r="G226" s="127"/>
    </row>
    <row r="227" spans="3:7" ht="13">
      <c r="C227" s="127"/>
      <c r="D227" s="127"/>
      <c r="G227" s="127"/>
    </row>
    <row r="228" spans="3:7" ht="13">
      <c r="C228" s="127"/>
      <c r="D228" s="127"/>
      <c r="G228" s="127"/>
    </row>
    <row r="229" spans="3:7" ht="13">
      <c r="C229" s="127"/>
      <c r="D229" s="127"/>
      <c r="G229" s="127"/>
    </row>
    <row r="230" spans="3:7" ht="13">
      <c r="C230" s="127"/>
      <c r="D230" s="127"/>
      <c r="G230" s="127"/>
    </row>
    <row r="231" spans="3:7" ht="13">
      <c r="C231" s="127"/>
      <c r="D231" s="127"/>
      <c r="G231" s="127"/>
    </row>
    <row r="232" spans="3:7" ht="13">
      <c r="C232" s="127"/>
      <c r="D232" s="127"/>
      <c r="G232" s="127"/>
    </row>
    <row r="233" spans="3:7" ht="13">
      <c r="C233" s="127"/>
      <c r="D233" s="127"/>
      <c r="G233" s="127"/>
    </row>
    <row r="234" spans="3:7" ht="13">
      <c r="C234" s="127"/>
      <c r="D234" s="127"/>
      <c r="G234" s="127"/>
    </row>
    <row r="235" spans="3:7" ht="13">
      <c r="C235" s="127"/>
      <c r="D235" s="127"/>
      <c r="G235" s="127"/>
    </row>
    <row r="236" spans="3:7" ht="13">
      <c r="C236" s="127"/>
      <c r="D236" s="127"/>
      <c r="G236" s="127"/>
    </row>
    <row r="237" spans="3:7" ht="13">
      <c r="C237" s="127"/>
      <c r="D237" s="127"/>
      <c r="G237" s="127"/>
    </row>
    <row r="238" spans="3:7" ht="13">
      <c r="C238" s="127"/>
      <c r="D238" s="127"/>
      <c r="G238" s="127"/>
    </row>
    <row r="239" spans="3:7" ht="13">
      <c r="C239" s="127"/>
      <c r="D239" s="127"/>
      <c r="G239" s="127"/>
    </row>
    <row r="240" spans="3:7" ht="13">
      <c r="C240" s="127"/>
      <c r="D240" s="127"/>
      <c r="G240" s="127"/>
    </row>
    <row r="241" spans="3:7" ht="13">
      <c r="C241" s="127"/>
      <c r="D241" s="127"/>
      <c r="G241" s="127"/>
    </row>
    <row r="242" spans="3:7" ht="13">
      <c r="C242" s="127"/>
      <c r="D242" s="127"/>
      <c r="G242" s="127"/>
    </row>
    <row r="243" spans="3:7" ht="13">
      <c r="C243" s="127"/>
      <c r="D243" s="127"/>
      <c r="G243" s="127"/>
    </row>
    <row r="244" spans="3:7" ht="13">
      <c r="C244" s="127"/>
      <c r="D244" s="127"/>
      <c r="G244" s="127"/>
    </row>
    <row r="245" spans="3:7" ht="13">
      <c r="C245" s="127"/>
      <c r="D245" s="127"/>
      <c r="G245" s="127"/>
    </row>
    <row r="246" spans="3:7" ht="13">
      <c r="C246" s="127"/>
      <c r="D246" s="127"/>
      <c r="G246" s="127"/>
    </row>
    <row r="247" spans="3:7" ht="13">
      <c r="C247" s="127"/>
      <c r="D247" s="127"/>
      <c r="G247" s="127"/>
    </row>
    <row r="248" spans="3:7" ht="13">
      <c r="C248" s="127"/>
      <c r="D248" s="127"/>
      <c r="G248" s="127"/>
    </row>
    <row r="249" spans="3:7" ht="13">
      <c r="C249" s="127"/>
      <c r="D249" s="127"/>
      <c r="G249" s="127"/>
    </row>
    <row r="250" spans="3:7" ht="13">
      <c r="C250" s="127"/>
      <c r="D250" s="127"/>
      <c r="G250" s="127"/>
    </row>
    <row r="251" spans="3:7" ht="13">
      <c r="C251" s="127"/>
      <c r="D251" s="127"/>
      <c r="G251" s="127"/>
    </row>
    <row r="252" spans="3:7" ht="13">
      <c r="C252" s="127"/>
      <c r="D252" s="127"/>
      <c r="G252" s="127"/>
    </row>
    <row r="253" spans="3:7" ht="13">
      <c r="C253" s="127"/>
      <c r="D253" s="127"/>
      <c r="G253" s="127"/>
    </row>
    <row r="254" spans="3:7" ht="13">
      <c r="C254" s="127"/>
      <c r="D254" s="127"/>
      <c r="G254" s="127"/>
    </row>
    <row r="255" spans="3:7" ht="13">
      <c r="C255" s="127"/>
      <c r="D255" s="127"/>
      <c r="G255" s="127"/>
    </row>
    <row r="256" spans="3:7" ht="13">
      <c r="C256" s="127"/>
      <c r="D256" s="127"/>
      <c r="G256" s="127"/>
    </row>
    <row r="257" spans="3:7" ht="13">
      <c r="C257" s="127"/>
      <c r="D257" s="127"/>
      <c r="G257" s="127"/>
    </row>
    <row r="258" spans="3:7" ht="13">
      <c r="C258" s="127"/>
      <c r="D258" s="127"/>
      <c r="G258" s="127"/>
    </row>
    <row r="259" spans="3:7" ht="13">
      <c r="C259" s="127"/>
      <c r="D259" s="127"/>
      <c r="G259" s="127"/>
    </row>
    <row r="260" spans="3:7" ht="13">
      <c r="C260" s="127"/>
      <c r="D260" s="127"/>
      <c r="G260" s="127"/>
    </row>
    <row r="261" spans="3:7" ht="13">
      <c r="C261" s="127"/>
      <c r="D261" s="127"/>
      <c r="G261" s="127"/>
    </row>
    <row r="262" spans="3:7" ht="13">
      <c r="C262" s="127"/>
      <c r="D262" s="127"/>
      <c r="G262" s="127"/>
    </row>
    <row r="263" spans="3:7" ht="13">
      <c r="C263" s="127"/>
      <c r="D263" s="127"/>
      <c r="G263" s="127"/>
    </row>
    <row r="264" spans="3:7" ht="13">
      <c r="C264" s="127"/>
      <c r="D264" s="127"/>
      <c r="G264" s="127"/>
    </row>
    <row r="265" spans="3:7" ht="13">
      <c r="C265" s="127"/>
      <c r="D265" s="127"/>
      <c r="G265" s="127"/>
    </row>
    <row r="266" spans="3:7" ht="13">
      <c r="C266" s="127"/>
      <c r="D266" s="127"/>
      <c r="G266" s="127"/>
    </row>
    <row r="267" spans="3:7" ht="13">
      <c r="C267" s="127"/>
      <c r="D267" s="127"/>
      <c r="G267" s="127"/>
    </row>
    <row r="268" spans="3:7" ht="13">
      <c r="C268" s="127"/>
      <c r="D268" s="127"/>
      <c r="G268" s="127"/>
    </row>
    <row r="269" spans="3:7" ht="13">
      <c r="C269" s="127"/>
      <c r="D269" s="127"/>
      <c r="G269" s="127"/>
    </row>
    <row r="270" spans="3:7" ht="13">
      <c r="C270" s="127"/>
      <c r="D270" s="127"/>
      <c r="G270" s="127"/>
    </row>
    <row r="271" spans="3:7" ht="13">
      <c r="C271" s="127"/>
      <c r="D271" s="127"/>
      <c r="G271" s="127"/>
    </row>
    <row r="272" spans="3:7" ht="13">
      <c r="C272" s="127"/>
      <c r="D272" s="127"/>
      <c r="G272" s="127"/>
    </row>
    <row r="273" spans="3:7" ht="13">
      <c r="C273" s="127"/>
      <c r="D273" s="127"/>
      <c r="G273" s="127"/>
    </row>
    <row r="274" spans="3:7" ht="13">
      <c r="C274" s="127"/>
      <c r="D274" s="127"/>
      <c r="G274" s="127"/>
    </row>
    <row r="275" spans="3:7" ht="13">
      <c r="C275" s="127"/>
      <c r="D275" s="127"/>
      <c r="G275" s="127"/>
    </row>
    <row r="276" spans="3:7" ht="13">
      <c r="C276" s="127"/>
      <c r="D276" s="127"/>
      <c r="G276" s="127"/>
    </row>
    <row r="277" spans="3:7" ht="13">
      <c r="C277" s="127"/>
      <c r="D277" s="127"/>
      <c r="G277" s="127"/>
    </row>
    <row r="278" spans="3:7" ht="13">
      <c r="C278" s="127"/>
      <c r="D278" s="127"/>
      <c r="G278" s="127"/>
    </row>
    <row r="279" spans="3:7" ht="13">
      <c r="C279" s="127"/>
      <c r="D279" s="127"/>
      <c r="G279" s="127"/>
    </row>
    <row r="280" spans="3:7" ht="13">
      <c r="C280" s="127"/>
      <c r="D280" s="127"/>
      <c r="G280" s="127"/>
    </row>
    <row r="281" spans="3:7" ht="13">
      <c r="C281" s="127"/>
      <c r="D281" s="127"/>
      <c r="G281" s="127"/>
    </row>
    <row r="282" spans="3:7" ht="13">
      <c r="C282" s="127"/>
      <c r="D282" s="127"/>
      <c r="G282" s="127"/>
    </row>
    <row r="283" spans="3:7" ht="13">
      <c r="C283" s="127"/>
      <c r="D283" s="127"/>
      <c r="G283" s="127"/>
    </row>
    <row r="284" spans="3:7" ht="13">
      <c r="C284" s="127"/>
      <c r="D284" s="127"/>
      <c r="G284" s="127"/>
    </row>
    <row r="285" spans="3:7" ht="13">
      <c r="C285" s="127"/>
      <c r="D285" s="127"/>
      <c r="G285" s="127"/>
    </row>
    <row r="286" spans="3:7" ht="13">
      <c r="C286" s="127"/>
      <c r="D286" s="127"/>
      <c r="G286" s="127"/>
    </row>
    <row r="287" spans="3:7" ht="13">
      <c r="C287" s="127"/>
      <c r="D287" s="127"/>
      <c r="G287" s="127"/>
    </row>
    <row r="288" spans="3:7" ht="13">
      <c r="C288" s="127"/>
      <c r="D288" s="127"/>
      <c r="G288" s="127"/>
    </row>
    <row r="289" spans="3:7" ht="13">
      <c r="C289" s="127"/>
      <c r="D289" s="127"/>
      <c r="G289" s="127"/>
    </row>
    <row r="290" spans="3:7" ht="13">
      <c r="C290" s="127"/>
      <c r="D290" s="127"/>
      <c r="G290" s="127"/>
    </row>
    <row r="291" spans="3:7" ht="13">
      <c r="C291" s="127"/>
      <c r="D291" s="127"/>
      <c r="G291" s="127"/>
    </row>
    <row r="292" spans="3:7" ht="13">
      <c r="C292" s="127"/>
      <c r="D292" s="127"/>
      <c r="G292" s="127"/>
    </row>
    <row r="293" spans="3:7" ht="13">
      <c r="C293" s="127"/>
      <c r="D293" s="127"/>
      <c r="G293" s="127"/>
    </row>
    <row r="294" spans="3:7" ht="13">
      <c r="C294" s="127"/>
      <c r="D294" s="127"/>
      <c r="G294" s="127"/>
    </row>
    <row r="295" spans="3:7" ht="13">
      <c r="C295" s="127"/>
      <c r="D295" s="127"/>
      <c r="G295" s="127"/>
    </row>
    <row r="296" spans="3:7" ht="13">
      <c r="C296" s="127"/>
      <c r="D296" s="127"/>
      <c r="G296" s="127"/>
    </row>
    <row r="297" spans="3:7" ht="13">
      <c r="C297" s="127"/>
      <c r="D297" s="127"/>
      <c r="G297" s="127"/>
    </row>
    <row r="298" spans="3:7" ht="13">
      <c r="C298" s="127"/>
      <c r="D298" s="127"/>
      <c r="G298" s="127"/>
    </row>
    <row r="299" spans="3:7" ht="13">
      <c r="C299" s="127"/>
      <c r="D299" s="127"/>
      <c r="G299" s="127"/>
    </row>
    <row r="300" spans="3:7" ht="13">
      <c r="C300" s="127"/>
      <c r="D300" s="127"/>
      <c r="G300" s="127"/>
    </row>
    <row r="301" spans="3:7" ht="13">
      <c r="C301" s="127"/>
      <c r="D301" s="127"/>
      <c r="G301" s="127"/>
    </row>
    <row r="302" spans="3:7" ht="13">
      <c r="C302" s="127"/>
      <c r="D302" s="127"/>
      <c r="G302" s="127"/>
    </row>
    <row r="303" spans="3:7" ht="13">
      <c r="C303" s="127"/>
      <c r="D303" s="127"/>
      <c r="G303" s="127"/>
    </row>
    <row r="304" spans="3:7" ht="13">
      <c r="C304" s="127"/>
      <c r="D304" s="127"/>
      <c r="G304" s="127"/>
    </row>
    <row r="305" spans="3:7" ht="13">
      <c r="C305" s="127"/>
      <c r="D305" s="127"/>
      <c r="G305" s="127"/>
    </row>
    <row r="306" spans="3:7" ht="13">
      <c r="C306" s="127"/>
      <c r="D306" s="127"/>
      <c r="G306" s="127"/>
    </row>
    <row r="307" spans="3:7" ht="13">
      <c r="C307" s="127"/>
      <c r="D307" s="127"/>
      <c r="G307" s="127"/>
    </row>
    <row r="308" spans="3:7" ht="13">
      <c r="C308" s="127"/>
      <c r="D308" s="127"/>
      <c r="G308" s="127"/>
    </row>
    <row r="309" spans="3:7" ht="13">
      <c r="C309" s="127"/>
      <c r="D309" s="127"/>
      <c r="G309" s="127"/>
    </row>
    <row r="310" spans="3:7" ht="13">
      <c r="C310" s="127"/>
      <c r="D310" s="127"/>
      <c r="G310" s="127"/>
    </row>
    <row r="311" spans="3:7" ht="13">
      <c r="C311" s="127"/>
      <c r="D311" s="127"/>
      <c r="G311" s="127"/>
    </row>
    <row r="312" spans="3:7" ht="13">
      <c r="C312" s="127"/>
      <c r="D312" s="127"/>
      <c r="G312" s="127"/>
    </row>
    <row r="313" spans="3:7" ht="13">
      <c r="C313" s="127"/>
      <c r="D313" s="127"/>
      <c r="G313" s="127"/>
    </row>
    <row r="314" spans="3:7" ht="13">
      <c r="C314" s="127"/>
      <c r="D314" s="127"/>
      <c r="G314" s="127"/>
    </row>
    <row r="315" spans="3:7" ht="13">
      <c r="C315" s="127"/>
      <c r="D315" s="127"/>
      <c r="G315" s="127"/>
    </row>
    <row r="316" spans="3:7" ht="13">
      <c r="C316" s="127"/>
      <c r="D316" s="127"/>
      <c r="G316" s="127"/>
    </row>
    <row r="317" spans="3:7" ht="13">
      <c r="C317" s="127"/>
      <c r="D317" s="127"/>
      <c r="G317" s="127"/>
    </row>
    <row r="318" spans="3:7" ht="13">
      <c r="C318" s="127"/>
      <c r="D318" s="127"/>
      <c r="G318" s="127"/>
    </row>
    <row r="319" spans="3:7" ht="13">
      <c r="C319" s="127"/>
      <c r="D319" s="127"/>
      <c r="G319" s="127"/>
    </row>
    <row r="320" spans="3:7" ht="13">
      <c r="C320" s="127"/>
      <c r="D320" s="127"/>
      <c r="G320" s="127"/>
    </row>
    <row r="321" spans="3:7" ht="13">
      <c r="C321" s="127"/>
      <c r="D321" s="127"/>
      <c r="G321" s="127"/>
    </row>
    <row r="322" spans="3:7" ht="13">
      <c r="C322" s="127"/>
      <c r="D322" s="127"/>
      <c r="G322" s="127"/>
    </row>
    <row r="323" spans="3:7" ht="13">
      <c r="C323" s="127"/>
      <c r="D323" s="127"/>
      <c r="G323" s="127"/>
    </row>
    <row r="324" spans="3:7" ht="13">
      <c r="C324" s="127"/>
      <c r="D324" s="127"/>
      <c r="G324" s="127"/>
    </row>
    <row r="325" spans="3:7" ht="13">
      <c r="C325" s="127"/>
      <c r="D325" s="127"/>
      <c r="G325" s="127"/>
    </row>
    <row r="326" spans="3:7" ht="13">
      <c r="C326" s="127"/>
      <c r="D326" s="127"/>
      <c r="G326" s="127"/>
    </row>
    <row r="327" spans="3:7" ht="13">
      <c r="C327" s="127"/>
      <c r="D327" s="127"/>
      <c r="G327" s="127"/>
    </row>
    <row r="328" spans="3:7" ht="13">
      <c r="C328" s="127"/>
      <c r="D328" s="127"/>
      <c r="G328" s="127"/>
    </row>
    <row r="329" spans="3:7" ht="13">
      <c r="C329" s="127"/>
      <c r="D329" s="127"/>
      <c r="G329" s="127"/>
    </row>
    <row r="330" spans="3:7" ht="13">
      <c r="C330" s="127"/>
      <c r="D330" s="127"/>
      <c r="G330" s="127"/>
    </row>
    <row r="331" spans="3:7" ht="13">
      <c r="C331" s="127"/>
      <c r="D331" s="127"/>
      <c r="G331" s="127"/>
    </row>
    <row r="332" spans="3:7" ht="13">
      <c r="C332" s="127"/>
      <c r="D332" s="127"/>
      <c r="G332" s="127"/>
    </row>
    <row r="333" spans="3:7" ht="13">
      <c r="C333" s="127"/>
      <c r="D333" s="127"/>
      <c r="G333" s="127"/>
    </row>
    <row r="334" spans="3:7" ht="13">
      <c r="C334" s="127"/>
      <c r="D334" s="127"/>
      <c r="G334" s="127"/>
    </row>
    <row r="335" spans="3:7" ht="13">
      <c r="C335" s="127"/>
      <c r="D335" s="127"/>
      <c r="G335" s="127"/>
    </row>
    <row r="336" spans="3:7" ht="13">
      <c r="C336" s="127"/>
      <c r="D336" s="127"/>
      <c r="G336" s="127"/>
    </row>
    <row r="337" spans="3:7" ht="13">
      <c r="C337" s="127"/>
      <c r="D337" s="127"/>
      <c r="G337" s="127"/>
    </row>
    <row r="338" spans="3:7" ht="13">
      <c r="C338" s="127"/>
      <c r="D338" s="127"/>
      <c r="G338" s="127"/>
    </row>
    <row r="339" spans="3:7" ht="13">
      <c r="C339" s="127"/>
      <c r="D339" s="127"/>
      <c r="G339" s="127"/>
    </row>
    <row r="340" spans="3:7" ht="13">
      <c r="C340" s="127"/>
      <c r="D340" s="127"/>
      <c r="G340" s="127"/>
    </row>
    <row r="341" spans="3:7" ht="13">
      <c r="C341" s="127"/>
      <c r="D341" s="127"/>
      <c r="G341" s="127"/>
    </row>
    <row r="342" spans="3:7" ht="13">
      <c r="C342" s="127"/>
      <c r="D342" s="127"/>
      <c r="G342" s="127"/>
    </row>
    <row r="343" spans="3:7" ht="13">
      <c r="C343" s="127"/>
      <c r="D343" s="127"/>
      <c r="G343" s="127"/>
    </row>
    <row r="344" spans="3:7" ht="13">
      <c r="C344" s="127"/>
      <c r="D344" s="127"/>
      <c r="G344" s="127"/>
    </row>
    <row r="345" spans="3:7" ht="13">
      <c r="C345" s="127"/>
      <c r="D345" s="127"/>
      <c r="G345" s="127"/>
    </row>
    <row r="346" spans="3:7" ht="13">
      <c r="C346" s="127"/>
      <c r="D346" s="127"/>
      <c r="G346" s="127"/>
    </row>
    <row r="347" spans="3:7" ht="13">
      <c r="C347" s="127"/>
      <c r="D347" s="127"/>
      <c r="G347" s="127"/>
    </row>
    <row r="348" spans="3:7" ht="13">
      <c r="C348" s="127"/>
      <c r="D348" s="127"/>
      <c r="G348" s="127"/>
    </row>
    <row r="349" spans="3:7" ht="13">
      <c r="C349" s="127"/>
      <c r="D349" s="127"/>
      <c r="G349" s="127"/>
    </row>
    <row r="350" spans="3:7" ht="13">
      <c r="C350" s="127"/>
      <c r="D350" s="127"/>
      <c r="G350" s="127"/>
    </row>
    <row r="351" spans="3:7" ht="13">
      <c r="C351" s="127"/>
      <c r="D351" s="127"/>
      <c r="G351" s="127"/>
    </row>
    <row r="352" spans="3:7" ht="13">
      <c r="C352" s="127"/>
      <c r="D352" s="127"/>
      <c r="G352" s="127"/>
    </row>
    <row r="353" spans="3:7" ht="13">
      <c r="C353" s="127"/>
      <c r="D353" s="127"/>
      <c r="G353" s="127"/>
    </row>
    <row r="354" spans="3:7" ht="13">
      <c r="C354" s="127"/>
      <c r="D354" s="127"/>
      <c r="G354" s="127"/>
    </row>
    <row r="355" spans="3:7" ht="13">
      <c r="C355" s="127"/>
      <c r="D355" s="127"/>
      <c r="G355" s="127"/>
    </row>
    <row r="356" spans="3:7" ht="13">
      <c r="C356" s="127"/>
      <c r="D356" s="127"/>
      <c r="G356" s="127"/>
    </row>
    <row r="357" spans="3:7" ht="13">
      <c r="C357" s="127"/>
      <c r="D357" s="127"/>
      <c r="G357" s="127"/>
    </row>
    <row r="358" spans="3:7" ht="13">
      <c r="C358" s="127"/>
      <c r="D358" s="127"/>
      <c r="G358" s="127"/>
    </row>
    <row r="359" spans="3:7" ht="13">
      <c r="C359" s="127"/>
      <c r="D359" s="127"/>
      <c r="G359" s="127"/>
    </row>
    <row r="360" spans="3:7" ht="13">
      <c r="C360" s="127"/>
      <c r="D360" s="127"/>
      <c r="G360" s="127"/>
    </row>
    <row r="361" spans="3:7" ht="13">
      <c r="C361" s="127"/>
      <c r="D361" s="127"/>
      <c r="G361" s="127"/>
    </row>
    <row r="362" spans="3:7" ht="13">
      <c r="C362" s="127"/>
      <c r="D362" s="127"/>
      <c r="G362" s="127"/>
    </row>
    <row r="363" spans="3:7" ht="13">
      <c r="C363" s="127"/>
      <c r="D363" s="127"/>
      <c r="G363" s="127"/>
    </row>
    <row r="364" spans="3:7" ht="13">
      <c r="C364" s="127"/>
      <c r="D364" s="127"/>
      <c r="G364" s="127"/>
    </row>
    <row r="365" spans="3:7" ht="13">
      <c r="C365" s="127"/>
      <c r="D365" s="127"/>
      <c r="G365" s="127"/>
    </row>
    <row r="366" spans="3:7" ht="13">
      <c r="C366" s="127"/>
      <c r="D366" s="127"/>
      <c r="G366" s="127"/>
    </row>
    <row r="367" spans="3:7" ht="13">
      <c r="C367" s="127"/>
      <c r="D367" s="127"/>
      <c r="G367" s="127"/>
    </row>
    <row r="368" spans="3:7" ht="13">
      <c r="C368" s="127"/>
      <c r="D368" s="127"/>
      <c r="G368" s="127"/>
    </row>
    <row r="369" spans="3:7" ht="13">
      <c r="C369" s="127"/>
      <c r="D369" s="127"/>
      <c r="G369" s="127"/>
    </row>
    <row r="370" spans="3:7" ht="13">
      <c r="C370" s="127"/>
      <c r="D370" s="127"/>
      <c r="G370" s="127"/>
    </row>
    <row r="371" spans="3:7" ht="13">
      <c r="C371" s="127"/>
      <c r="D371" s="127"/>
      <c r="G371" s="127"/>
    </row>
    <row r="372" spans="3:7" ht="13">
      <c r="C372" s="127"/>
      <c r="D372" s="127"/>
      <c r="G372" s="127"/>
    </row>
    <row r="373" spans="3:7" ht="13">
      <c r="C373" s="127"/>
      <c r="D373" s="127"/>
      <c r="G373" s="127"/>
    </row>
    <row r="374" spans="3:7" ht="13">
      <c r="C374" s="127"/>
      <c r="D374" s="127"/>
      <c r="G374" s="127"/>
    </row>
    <row r="375" spans="3:7" ht="13">
      <c r="C375" s="127"/>
      <c r="D375" s="127"/>
      <c r="G375" s="127"/>
    </row>
    <row r="376" spans="3:7" ht="13">
      <c r="C376" s="127"/>
      <c r="D376" s="127"/>
      <c r="G376" s="127"/>
    </row>
    <row r="377" spans="3:7" ht="13">
      <c r="C377" s="127"/>
      <c r="D377" s="127"/>
      <c r="G377" s="127"/>
    </row>
    <row r="378" spans="3:7" ht="13">
      <c r="C378" s="127"/>
      <c r="D378" s="127"/>
      <c r="G378" s="127"/>
    </row>
    <row r="379" spans="3:7" ht="13">
      <c r="C379" s="127"/>
      <c r="D379" s="127"/>
      <c r="G379" s="127"/>
    </row>
    <row r="380" spans="3:7" ht="13">
      <c r="C380" s="127"/>
      <c r="D380" s="127"/>
      <c r="G380" s="127"/>
    </row>
    <row r="381" spans="3:7" ht="13">
      <c r="C381" s="127"/>
      <c r="D381" s="127"/>
      <c r="G381" s="127"/>
    </row>
    <row r="382" spans="3:7" ht="13">
      <c r="C382" s="127"/>
      <c r="D382" s="127"/>
      <c r="G382" s="127"/>
    </row>
    <row r="383" spans="3:7" ht="13">
      <c r="C383" s="127"/>
      <c r="D383" s="127"/>
      <c r="G383" s="127"/>
    </row>
    <row r="384" spans="3:7" ht="13">
      <c r="C384" s="127"/>
      <c r="D384" s="127"/>
      <c r="G384" s="127"/>
    </row>
    <row r="385" spans="3:7" ht="13">
      <c r="C385" s="127"/>
      <c r="D385" s="127"/>
      <c r="G385" s="127"/>
    </row>
    <row r="386" spans="3:7" ht="13">
      <c r="C386" s="127"/>
      <c r="D386" s="127"/>
      <c r="G386" s="127"/>
    </row>
    <row r="387" spans="3:7" ht="13">
      <c r="C387" s="127"/>
      <c r="D387" s="127"/>
      <c r="G387" s="127"/>
    </row>
    <row r="388" spans="3:7" ht="13">
      <c r="C388" s="127"/>
      <c r="D388" s="127"/>
      <c r="G388" s="127"/>
    </row>
    <row r="389" spans="3:7" ht="13">
      <c r="C389" s="127"/>
      <c r="D389" s="127"/>
      <c r="G389" s="127"/>
    </row>
    <row r="390" spans="3:7" ht="13">
      <c r="C390" s="127"/>
      <c r="D390" s="127"/>
      <c r="G390" s="127"/>
    </row>
    <row r="391" spans="3:7" ht="13">
      <c r="C391" s="127"/>
      <c r="D391" s="127"/>
      <c r="G391" s="127"/>
    </row>
    <row r="392" spans="3:7" ht="13">
      <c r="C392" s="127"/>
      <c r="D392" s="127"/>
      <c r="G392" s="127"/>
    </row>
    <row r="393" spans="3:7" ht="13">
      <c r="C393" s="127"/>
      <c r="D393" s="127"/>
      <c r="G393" s="127"/>
    </row>
    <row r="394" spans="3:7" ht="13">
      <c r="C394" s="127"/>
      <c r="D394" s="127"/>
      <c r="G394" s="127"/>
    </row>
    <row r="395" spans="3:7" ht="13">
      <c r="C395" s="127"/>
      <c r="D395" s="127"/>
      <c r="G395" s="127"/>
    </row>
    <row r="396" spans="3:7" ht="13">
      <c r="C396" s="127"/>
      <c r="D396" s="127"/>
      <c r="G396" s="127"/>
    </row>
    <row r="397" spans="3:7" ht="13">
      <c r="C397" s="127"/>
      <c r="D397" s="127"/>
      <c r="G397" s="127"/>
    </row>
    <row r="398" spans="3:7" ht="13">
      <c r="C398" s="127"/>
      <c r="D398" s="127"/>
      <c r="G398" s="127"/>
    </row>
    <row r="399" spans="3:7" ht="13">
      <c r="C399" s="127"/>
      <c r="D399" s="127"/>
      <c r="G399" s="127"/>
    </row>
    <row r="400" spans="3:7" ht="13">
      <c r="C400" s="127"/>
      <c r="D400" s="127"/>
      <c r="G400" s="127"/>
    </row>
    <row r="401" spans="3:7" ht="13">
      <c r="C401" s="127"/>
      <c r="D401" s="127"/>
      <c r="G401" s="127"/>
    </row>
    <row r="402" spans="3:7" ht="13">
      <c r="C402" s="127"/>
      <c r="D402" s="127"/>
      <c r="G402" s="127"/>
    </row>
    <row r="403" spans="3:7" ht="13">
      <c r="C403" s="127"/>
      <c r="D403" s="127"/>
      <c r="G403" s="127"/>
    </row>
    <row r="404" spans="3:7" ht="13">
      <c r="C404" s="127"/>
      <c r="D404" s="127"/>
      <c r="G404" s="127"/>
    </row>
    <row r="405" spans="3:7" ht="13">
      <c r="C405" s="127"/>
      <c r="D405" s="127"/>
      <c r="G405" s="127"/>
    </row>
    <row r="406" spans="3:7" ht="13">
      <c r="C406" s="127"/>
      <c r="D406" s="127"/>
      <c r="G406" s="127"/>
    </row>
    <row r="407" spans="3:7" ht="13">
      <c r="C407" s="127"/>
      <c r="D407" s="127"/>
      <c r="G407" s="127"/>
    </row>
    <row r="408" spans="3:7" ht="13">
      <c r="C408" s="127"/>
      <c r="D408" s="127"/>
      <c r="G408" s="127"/>
    </row>
    <row r="409" spans="3:7" ht="13">
      <c r="C409" s="127"/>
      <c r="D409" s="127"/>
      <c r="G409" s="127"/>
    </row>
    <row r="410" spans="3:7" ht="13">
      <c r="C410" s="127"/>
      <c r="D410" s="127"/>
      <c r="G410" s="127"/>
    </row>
    <row r="411" spans="3:7" ht="13">
      <c r="C411" s="127"/>
      <c r="D411" s="127"/>
      <c r="G411" s="127"/>
    </row>
    <row r="412" spans="3:7" ht="13">
      <c r="C412" s="127"/>
      <c r="D412" s="127"/>
      <c r="G412" s="127"/>
    </row>
    <row r="413" spans="3:7" ht="13">
      <c r="C413" s="127"/>
      <c r="D413" s="127"/>
      <c r="G413" s="127"/>
    </row>
    <row r="414" spans="3:7" ht="13">
      <c r="C414" s="127"/>
      <c r="D414" s="127"/>
      <c r="G414" s="127"/>
    </row>
    <row r="415" spans="3:7" ht="13">
      <c r="C415" s="127"/>
      <c r="D415" s="127"/>
      <c r="G415" s="127"/>
    </row>
    <row r="416" spans="3:7" ht="13">
      <c r="C416" s="127"/>
      <c r="D416" s="127"/>
      <c r="G416" s="127"/>
    </row>
    <row r="417" spans="3:7" ht="13">
      <c r="C417" s="127"/>
      <c r="D417" s="127"/>
      <c r="G417" s="127"/>
    </row>
    <row r="418" spans="3:7" ht="13">
      <c r="C418" s="127"/>
      <c r="D418" s="127"/>
      <c r="G418" s="127"/>
    </row>
    <row r="419" spans="3:7" ht="13">
      <c r="C419" s="127"/>
      <c r="D419" s="127"/>
      <c r="G419" s="127"/>
    </row>
    <row r="420" spans="3:7" ht="13">
      <c r="C420" s="127"/>
      <c r="D420" s="127"/>
      <c r="G420" s="127"/>
    </row>
    <row r="421" spans="3:7" ht="13">
      <c r="C421" s="127"/>
      <c r="D421" s="127"/>
      <c r="G421" s="127"/>
    </row>
    <row r="422" spans="3:7" ht="13">
      <c r="C422" s="127"/>
      <c r="D422" s="127"/>
      <c r="G422" s="127"/>
    </row>
    <row r="423" spans="3:7" ht="13">
      <c r="C423" s="127"/>
      <c r="D423" s="127"/>
      <c r="G423" s="127"/>
    </row>
    <row r="424" spans="3:7" ht="13">
      <c r="C424" s="127"/>
      <c r="D424" s="127"/>
      <c r="G424" s="127"/>
    </row>
    <row r="425" spans="3:7" ht="13">
      <c r="C425" s="127"/>
      <c r="D425" s="127"/>
      <c r="G425" s="127"/>
    </row>
    <row r="426" spans="3:7" ht="13">
      <c r="C426" s="127"/>
      <c r="D426" s="127"/>
      <c r="G426" s="127"/>
    </row>
    <row r="427" spans="3:7" ht="13">
      <c r="C427" s="127"/>
      <c r="D427" s="127"/>
      <c r="G427" s="127"/>
    </row>
    <row r="428" spans="3:7" ht="13">
      <c r="C428" s="127"/>
      <c r="D428" s="127"/>
      <c r="G428" s="127"/>
    </row>
    <row r="429" spans="3:7" ht="13">
      <c r="C429" s="127"/>
      <c r="D429" s="127"/>
      <c r="G429" s="127"/>
    </row>
    <row r="430" spans="3:7" ht="13">
      <c r="C430" s="127"/>
      <c r="D430" s="127"/>
      <c r="G430" s="127"/>
    </row>
    <row r="431" spans="3:7" ht="13">
      <c r="C431" s="127"/>
      <c r="D431" s="127"/>
      <c r="G431" s="127"/>
    </row>
    <row r="432" spans="3:7" ht="13">
      <c r="C432" s="127"/>
      <c r="D432" s="127"/>
      <c r="G432" s="127"/>
    </row>
    <row r="433" spans="3:7" ht="13">
      <c r="C433" s="127"/>
      <c r="D433" s="127"/>
      <c r="G433" s="127"/>
    </row>
    <row r="434" spans="3:7" ht="13">
      <c r="C434" s="127"/>
      <c r="D434" s="127"/>
      <c r="G434" s="127"/>
    </row>
    <row r="435" spans="3:7" ht="13">
      <c r="C435" s="127"/>
      <c r="D435" s="127"/>
      <c r="G435" s="127"/>
    </row>
    <row r="436" spans="3:7" ht="13">
      <c r="C436" s="127"/>
      <c r="D436" s="127"/>
      <c r="G436" s="127"/>
    </row>
    <row r="437" spans="3:7" ht="13">
      <c r="C437" s="127"/>
      <c r="D437" s="127"/>
      <c r="G437" s="127"/>
    </row>
    <row r="438" spans="3:7" ht="13">
      <c r="C438" s="127"/>
      <c r="D438" s="127"/>
      <c r="G438" s="127"/>
    </row>
    <row r="439" spans="3:7" ht="13">
      <c r="C439" s="127"/>
      <c r="D439" s="127"/>
      <c r="G439" s="127"/>
    </row>
    <row r="440" spans="3:7" ht="13">
      <c r="C440" s="127"/>
      <c r="D440" s="127"/>
      <c r="G440" s="127"/>
    </row>
    <row r="441" spans="3:7" ht="13">
      <c r="C441" s="127"/>
      <c r="D441" s="127"/>
      <c r="G441" s="127"/>
    </row>
    <row r="442" spans="3:7" ht="13">
      <c r="C442" s="127"/>
      <c r="D442" s="127"/>
      <c r="G442" s="127"/>
    </row>
    <row r="443" spans="3:7" ht="13">
      <c r="C443" s="127"/>
      <c r="D443" s="127"/>
      <c r="G443" s="127"/>
    </row>
    <row r="444" spans="3:7" ht="13">
      <c r="C444" s="127"/>
      <c r="D444" s="127"/>
      <c r="G444" s="127"/>
    </row>
    <row r="445" spans="3:7" ht="13">
      <c r="C445" s="127"/>
      <c r="D445" s="127"/>
      <c r="G445" s="127"/>
    </row>
    <row r="446" spans="3:7" ht="13">
      <c r="C446" s="127"/>
      <c r="D446" s="127"/>
      <c r="G446" s="127"/>
    </row>
    <row r="447" spans="3:7" ht="13">
      <c r="C447" s="127"/>
      <c r="D447" s="127"/>
      <c r="G447" s="127"/>
    </row>
    <row r="448" spans="3:7" ht="13">
      <c r="C448" s="127"/>
      <c r="D448" s="127"/>
      <c r="G448" s="127"/>
    </row>
    <row r="449" spans="3:7" ht="13">
      <c r="C449" s="127"/>
      <c r="D449" s="127"/>
      <c r="G449" s="127"/>
    </row>
    <row r="450" spans="3:7" ht="13">
      <c r="C450" s="127"/>
      <c r="D450" s="127"/>
      <c r="G450" s="127"/>
    </row>
    <row r="451" spans="3:7" ht="13">
      <c r="C451" s="127"/>
      <c r="D451" s="127"/>
      <c r="G451" s="127"/>
    </row>
    <row r="452" spans="3:7" ht="13">
      <c r="C452" s="127"/>
      <c r="D452" s="127"/>
      <c r="G452" s="127"/>
    </row>
    <row r="453" spans="3:7" ht="13">
      <c r="C453" s="127"/>
      <c r="D453" s="127"/>
      <c r="G453" s="127"/>
    </row>
    <row r="454" spans="3:7" ht="13">
      <c r="C454" s="127"/>
      <c r="D454" s="127"/>
      <c r="G454" s="127"/>
    </row>
    <row r="455" spans="3:7" ht="13">
      <c r="C455" s="127"/>
      <c r="D455" s="127"/>
      <c r="G455" s="127"/>
    </row>
    <row r="456" spans="3:7" ht="13">
      <c r="C456" s="127"/>
      <c r="D456" s="127"/>
      <c r="G456" s="127"/>
    </row>
    <row r="457" spans="3:7" ht="13">
      <c r="C457" s="127"/>
      <c r="D457" s="127"/>
      <c r="G457" s="127"/>
    </row>
    <row r="458" spans="3:7" ht="13">
      <c r="C458" s="127"/>
      <c r="D458" s="127"/>
      <c r="G458" s="127"/>
    </row>
    <row r="459" spans="3:7" ht="13">
      <c r="C459" s="127"/>
      <c r="D459" s="127"/>
      <c r="G459" s="127"/>
    </row>
    <row r="460" spans="3:7" ht="13">
      <c r="C460" s="127"/>
      <c r="D460" s="127"/>
      <c r="G460" s="127"/>
    </row>
    <row r="461" spans="3:7" ht="13">
      <c r="C461" s="127"/>
      <c r="D461" s="127"/>
      <c r="G461" s="127"/>
    </row>
    <row r="462" spans="3:7" ht="13">
      <c r="C462" s="127"/>
      <c r="D462" s="127"/>
      <c r="G462" s="127"/>
    </row>
    <row r="463" spans="3:7" ht="13">
      <c r="C463" s="127"/>
      <c r="D463" s="127"/>
      <c r="G463" s="127"/>
    </row>
    <row r="464" spans="3:7" ht="13">
      <c r="C464" s="127"/>
      <c r="D464" s="127"/>
      <c r="G464" s="127"/>
    </row>
    <row r="465" spans="3:7" ht="13">
      <c r="C465" s="127"/>
      <c r="D465" s="127"/>
      <c r="G465" s="127"/>
    </row>
    <row r="466" spans="3:7" ht="13">
      <c r="C466" s="127"/>
      <c r="D466" s="127"/>
      <c r="G466" s="127"/>
    </row>
    <row r="467" spans="3:7" ht="13">
      <c r="C467" s="127"/>
      <c r="D467" s="127"/>
      <c r="G467" s="127"/>
    </row>
    <row r="468" spans="3:7" ht="13">
      <c r="C468" s="127"/>
      <c r="D468" s="127"/>
      <c r="G468" s="127"/>
    </row>
    <row r="469" spans="3:7" ht="13">
      <c r="C469" s="127"/>
      <c r="D469" s="127"/>
      <c r="G469" s="127"/>
    </row>
    <row r="470" spans="3:7" ht="13">
      <c r="C470" s="127"/>
      <c r="D470" s="127"/>
      <c r="G470" s="127"/>
    </row>
    <row r="471" spans="3:7" ht="13">
      <c r="C471" s="127"/>
      <c r="D471" s="127"/>
      <c r="G471" s="127"/>
    </row>
    <row r="472" spans="3:7" ht="13">
      <c r="C472" s="127"/>
      <c r="D472" s="127"/>
      <c r="G472" s="127"/>
    </row>
    <row r="473" spans="3:7" ht="13">
      <c r="C473" s="127"/>
      <c r="D473" s="127"/>
      <c r="G473" s="127"/>
    </row>
    <row r="474" spans="3:7" ht="13">
      <c r="C474" s="127"/>
      <c r="D474" s="127"/>
      <c r="G474" s="127"/>
    </row>
    <row r="475" spans="3:7" ht="13">
      <c r="C475" s="127"/>
      <c r="D475" s="127"/>
      <c r="G475" s="127"/>
    </row>
    <row r="476" spans="3:7" ht="13">
      <c r="C476" s="127"/>
      <c r="D476" s="127"/>
      <c r="G476" s="127"/>
    </row>
    <row r="477" spans="3:7" ht="13">
      <c r="C477" s="127"/>
      <c r="D477" s="127"/>
      <c r="G477" s="127"/>
    </row>
    <row r="478" spans="3:7" ht="13">
      <c r="C478" s="127"/>
      <c r="D478" s="127"/>
      <c r="G478" s="127"/>
    </row>
    <row r="479" spans="3:7" ht="13">
      <c r="C479" s="127"/>
      <c r="D479" s="127"/>
      <c r="G479" s="127"/>
    </row>
    <row r="480" spans="3:7" ht="13">
      <c r="C480" s="127"/>
      <c r="D480" s="127"/>
      <c r="G480" s="127"/>
    </row>
    <row r="481" spans="3:7" ht="13">
      <c r="C481" s="127"/>
      <c r="D481" s="127"/>
      <c r="G481" s="127"/>
    </row>
    <row r="482" spans="3:7" ht="13">
      <c r="C482" s="127"/>
      <c r="D482" s="127"/>
      <c r="G482" s="127"/>
    </row>
    <row r="483" spans="3:7" ht="13">
      <c r="C483" s="127"/>
      <c r="D483" s="127"/>
      <c r="G483" s="127"/>
    </row>
    <row r="484" spans="3:7" ht="13">
      <c r="C484" s="127"/>
      <c r="D484" s="127"/>
      <c r="G484" s="127"/>
    </row>
    <row r="485" spans="3:7" ht="13">
      <c r="C485" s="127"/>
      <c r="D485" s="127"/>
      <c r="G485" s="127"/>
    </row>
    <row r="486" spans="3:7" ht="13">
      <c r="C486" s="127"/>
      <c r="D486" s="127"/>
      <c r="G486" s="127"/>
    </row>
    <row r="487" spans="3:7" ht="13">
      <c r="C487" s="127"/>
      <c r="D487" s="127"/>
      <c r="G487" s="127"/>
    </row>
    <row r="488" spans="3:7" ht="13">
      <c r="C488" s="127"/>
      <c r="D488" s="127"/>
      <c r="G488" s="127"/>
    </row>
    <row r="489" spans="3:7" ht="13">
      <c r="C489" s="127"/>
      <c r="D489" s="127"/>
      <c r="G489" s="127"/>
    </row>
    <row r="490" spans="3:7" ht="13">
      <c r="C490" s="127"/>
      <c r="D490" s="127"/>
      <c r="G490" s="127"/>
    </row>
    <row r="491" spans="3:7" ht="13">
      <c r="C491" s="127"/>
      <c r="D491" s="127"/>
      <c r="G491" s="127"/>
    </row>
    <row r="492" spans="3:7" ht="13">
      <c r="C492" s="127"/>
      <c r="D492" s="127"/>
      <c r="G492" s="127"/>
    </row>
    <row r="493" spans="3:7" ht="13">
      <c r="C493" s="127"/>
      <c r="D493" s="127"/>
      <c r="G493" s="127"/>
    </row>
    <row r="494" spans="3:7" ht="13">
      <c r="C494" s="127"/>
      <c r="D494" s="127"/>
      <c r="G494" s="127"/>
    </row>
    <row r="495" spans="3:7" ht="13">
      <c r="C495" s="127"/>
      <c r="D495" s="127"/>
      <c r="G495" s="127"/>
    </row>
    <row r="496" spans="3:7" ht="13">
      <c r="C496" s="127"/>
      <c r="D496" s="127"/>
      <c r="G496" s="127"/>
    </row>
    <row r="497" spans="3:7" ht="13">
      <c r="C497" s="127"/>
      <c r="D497" s="127"/>
      <c r="G497" s="127"/>
    </row>
    <row r="498" spans="3:7" ht="13">
      <c r="C498" s="127"/>
      <c r="D498" s="127"/>
      <c r="G498" s="127"/>
    </row>
    <row r="499" spans="3:7" ht="13">
      <c r="C499" s="127"/>
      <c r="D499" s="127"/>
      <c r="G499" s="127"/>
    </row>
    <row r="500" spans="3:7" ht="13">
      <c r="C500" s="127"/>
      <c r="D500" s="127"/>
      <c r="G500" s="127"/>
    </row>
    <row r="501" spans="3:7" ht="13">
      <c r="C501" s="127"/>
      <c r="D501" s="127"/>
      <c r="G501" s="127"/>
    </row>
    <row r="502" spans="3:7" ht="13">
      <c r="C502" s="127"/>
      <c r="D502" s="127"/>
      <c r="G502" s="127"/>
    </row>
    <row r="503" spans="3:7" ht="13">
      <c r="C503" s="127"/>
      <c r="D503" s="127"/>
      <c r="G503" s="127"/>
    </row>
    <row r="504" spans="3:7" ht="13">
      <c r="C504" s="127"/>
      <c r="D504" s="127"/>
      <c r="G504" s="127"/>
    </row>
    <row r="505" spans="3:7" ht="13">
      <c r="C505" s="127"/>
      <c r="D505" s="127"/>
      <c r="G505" s="127"/>
    </row>
    <row r="506" spans="3:7" ht="13">
      <c r="C506" s="127"/>
      <c r="D506" s="127"/>
      <c r="G506" s="127"/>
    </row>
    <row r="507" spans="3:7" ht="13">
      <c r="C507" s="127"/>
      <c r="D507" s="127"/>
      <c r="G507" s="127"/>
    </row>
    <row r="508" spans="3:7" ht="13">
      <c r="C508" s="127"/>
      <c r="D508" s="127"/>
      <c r="G508" s="127"/>
    </row>
    <row r="509" spans="3:7" ht="13">
      <c r="C509" s="127"/>
      <c r="D509" s="127"/>
      <c r="G509" s="127"/>
    </row>
    <row r="510" spans="3:7" ht="13">
      <c r="C510" s="127"/>
      <c r="D510" s="127"/>
      <c r="G510" s="127"/>
    </row>
    <row r="511" spans="3:7" ht="13">
      <c r="C511" s="127"/>
      <c r="D511" s="127"/>
      <c r="G511" s="127"/>
    </row>
    <row r="512" spans="3:7" ht="13">
      <c r="C512" s="127"/>
      <c r="D512" s="127"/>
      <c r="G512" s="127"/>
    </row>
    <row r="513" spans="3:7" ht="13">
      <c r="C513" s="127"/>
      <c r="D513" s="127"/>
      <c r="G513" s="127"/>
    </row>
    <row r="514" spans="3:7" ht="13">
      <c r="C514" s="127"/>
      <c r="D514" s="127"/>
      <c r="G514" s="127"/>
    </row>
    <row r="515" spans="3:7" ht="13">
      <c r="C515" s="127"/>
      <c r="D515" s="127"/>
      <c r="G515" s="127"/>
    </row>
    <row r="516" spans="3:7" ht="13">
      <c r="C516" s="127"/>
      <c r="D516" s="127"/>
      <c r="G516" s="127"/>
    </row>
    <row r="517" spans="3:7" ht="13">
      <c r="C517" s="127"/>
      <c r="D517" s="127"/>
      <c r="G517" s="127"/>
    </row>
    <row r="518" spans="3:7" ht="13">
      <c r="C518" s="127"/>
      <c r="D518" s="127"/>
      <c r="G518" s="127"/>
    </row>
    <row r="519" spans="3:7" ht="13">
      <c r="C519" s="127"/>
      <c r="D519" s="127"/>
      <c r="G519" s="127"/>
    </row>
    <row r="520" spans="3:7" ht="13">
      <c r="C520" s="127"/>
      <c r="D520" s="127"/>
      <c r="G520" s="127"/>
    </row>
    <row r="521" spans="3:7" ht="13">
      <c r="C521" s="127"/>
      <c r="D521" s="127"/>
      <c r="G521" s="127"/>
    </row>
    <row r="522" spans="3:7" ht="13">
      <c r="C522" s="127"/>
      <c r="D522" s="127"/>
      <c r="G522" s="127"/>
    </row>
    <row r="523" spans="3:7" ht="13">
      <c r="C523" s="127"/>
      <c r="D523" s="127"/>
      <c r="G523" s="127"/>
    </row>
    <row r="524" spans="3:7" ht="13">
      <c r="C524" s="127"/>
      <c r="D524" s="127"/>
      <c r="G524" s="127"/>
    </row>
    <row r="525" spans="3:7" ht="13">
      <c r="C525" s="127"/>
      <c r="D525" s="127"/>
      <c r="G525" s="127"/>
    </row>
    <row r="526" spans="3:7" ht="13">
      <c r="C526" s="127"/>
      <c r="D526" s="127"/>
      <c r="G526" s="127"/>
    </row>
    <row r="527" spans="3:7" ht="13">
      <c r="C527" s="127"/>
      <c r="D527" s="127"/>
      <c r="G527" s="127"/>
    </row>
    <row r="528" spans="3:7" ht="13">
      <c r="C528" s="127"/>
      <c r="D528" s="127"/>
      <c r="G528" s="127"/>
    </row>
    <row r="529" spans="3:7" ht="13">
      <c r="C529" s="127"/>
      <c r="D529" s="127"/>
      <c r="G529" s="127"/>
    </row>
    <row r="530" spans="3:7" ht="13">
      <c r="C530" s="127"/>
      <c r="D530" s="127"/>
      <c r="G530" s="127"/>
    </row>
    <row r="531" spans="3:7" ht="13">
      <c r="C531" s="127"/>
      <c r="D531" s="127"/>
      <c r="G531" s="127"/>
    </row>
    <row r="532" spans="3:7" ht="13">
      <c r="C532" s="127"/>
      <c r="D532" s="127"/>
      <c r="G532" s="127"/>
    </row>
    <row r="533" spans="3:7" ht="13">
      <c r="C533" s="127"/>
      <c r="D533" s="127"/>
      <c r="G533" s="127"/>
    </row>
    <row r="534" spans="3:7" ht="13">
      <c r="C534" s="127"/>
      <c r="D534" s="127"/>
      <c r="G534" s="127"/>
    </row>
    <row r="535" spans="3:7" ht="13">
      <c r="C535" s="127"/>
      <c r="D535" s="127"/>
      <c r="G535" s="127"/>
    </row>
    <row r="536" spans="3:7" ht="13">
      <c r="C536" s="127"/>
      <c r="D536" s="127"/>
      <c r="G536" s="127"/>
    </row>
    <row r="537" spans="3:7" ht="13">
      <c r="C537" s="127"/>
      <c r="D537" s="127"/>
      <c r="G537" s="127"/>
    </row>
    <row r="538" spans="3:7" ht="13">
      <c r="C538" s="127"/>
      <c r="D538" s="127"/>
      <c r="G538" s="127"/>
    </row>
    <row r="539" spans="3:7" ht="13">
      <c r="C539" s="127"/>
      <c r="D539" s="127"/>
      <c r="G539" s="127"/>
    </row>
    <row r="540" spans="3:7" ht="13">
      <c r="C540" s="127"/>
      <c r="D540" s="127"/>
      <c r="G540" s="127"/>
    </row>
    <row r="541" spans="3:7" ht="13">
      <c r="C541" s="127"/>
      <c r="D541" s="127"/>
      <c r="G541" s="127"/>
    </row>
    <row r="542" spans="3:7" ht="13">
      <c r="C542" s="127"/>
      <c r="D542" s="127"/>
      <c r="G542" s="127"/>
    </row>
    <row r="543" spans="3:7" ht="13">
      <c r="C543" s="127"/>
      <c r="D543" s="127"/>
      <c r="G543" s="127"/>
    </row>
    <row r="544" spans="3:7" ht="13">
      <c r="C544" s="127"/>
      <c r="D544" s="127"/>
      <c r="G544" s="127"/>
    </row>
    <row r="545" spans="3:7" ht="13">
      <c r="C545" s="127"/>
      <c r="D545" s="127"/>
      <c r="G545" s="127"/>
    </row>
    <row r="546" spans="3:7" ht="13">
      <c r="C546" s="127"/>
      <c r="D546" s="127"/>
      <c r="G546" s="127"/>
    </row>
    <row r="547" spans="3:7" ht="13">
      <c r="C547" s="127"/>
      <c r="D547" s="127"/>
      <c r="G547" s="127"/>
    </row>
    <row r="548" spans="3:7" ht="13">
      <c r="C548" s="127"/>
      <c r="D548" s="127"/>
      <c r="G548" s="127"/>
    </row>
    <row r="549" spans="3:7" ht="13">
      <c r="C549" s="127"/>
      <c r="D549" s="127"/>
      <c r="G549" s="127"/>
    </row>
    <row r="550" spans="3:7" ht="13">
      <c r="C550" s="127"/>
      <c r="D550" s="127"/>
      <c r="G550" s="127"/>
    </row>
    <row r="551" spans="3:7" ht="13">
      <c r="C551" s="127"/>
      <c r="D551" s="127"/>
      <c r="G551" s="127"/>
    </row>
    <row r="552" spans="3:7" ht="13">
      <c r="C552" s="127"/>
      <c r="D552" s="127"/>
      <c r="G552" s="127"/>
    </row>
    <row r="553" spans="3:7" ht="13">
      <c r="C553" s="127"/>
      <c r="D553" s="127"/>
      <c r="G553" s="127"/>
    </row>
    <row r="554" spans="3:7" ht="13">
      <c r="C554" s="127"/>
      <c r="D554" s="127"/>
      <c r="G554" s="127"/>
    </row>
    <row r="555" spans="3:7" ht="13">
      <c r="C555" s="127"/>
      <c r="D555" s="127"/>
      <c r="G555" s="127"/>
    </row>
    <row r="556" spans="3:7" ht="13">
      <c r="C556" s="127"/>
      <c r="D556" s="127"/>
      <c r="G556" s="127"/>
    </row>
    <row r="557" spans="3:7" ht="13">
      <c r="C557" s="127"/>
      <c r="D557" s="127"/>
      <c r="G557" s="127"/>
    </row>
    <row r="558" spans="3:7" ht="13">
      <c r="C558" s="127"/>
      <c r="D558" s="127"/>
      <c r="G558" s="127"/>
    </row>
    <row r="559" spans="3:7" ht="13">
      <c r="C559" s="127"/>
      <c r="D559" s="127"/>
      <c r="G559" s="127"/>
    </row>
    <row r="560" spans="3:7" ht="13">
      <c r="C560" s="127"/>
      <c r="D560" s="127"/>
      <c r="G560" s="127"/>
    </row>
    <row r="561" spans="3:7" ht="13">
      <c r="C561" s="127"/>
      <c r="D561" s="127"/>
      <c r="G561" s="127"/>
    </row>
    <row r="562" spans="3:7" ht="13">
      <c r="C562" s="127"/>
      <c r="D562" s="127"/>
      <c r="G562" s="127"/>
    </row>
    <row r="563" spans="3:7" ht="13">
      <c r="C563" s="127"/>
      <c r="D563" s="127"/>
      <c r="G563" s="127"/>
    </row>
    <row r="564" spans="3:7" ht="13">
      <c r="C564" s="127"/>
      <c r="D564" s="127"/>
      <c r="G564" s="127"/>
    </row>
    <row r="565" spans="3:7" ht="13">
      <c r="C565" s="127"/>
      <c r="D565" s="127"/>
      <c r="G565" s="127"/>
    </row>
    <row r="566" spans="3:7" ht="13">
      <c r="C566" s="127"/>
      <c r="D566" s="127"/>
      <c r="G566" s="127"/>
    </row>
    <row r="567" spans="3:7" ht="13">
      <c r="C567" s="127"/>
      <c r="D567" s="127"/>
      <c r="G567" s="127"/>
    </row>
    <row r="568" spans="3:7" ht="13">
      <c r="C568" s="127"/>
      <c r="D568" s="127"/>
      <c r="G568" s="127"/>
    </row>
    <row r="569" spans="3:7" ht="13">
      <c r="C569" s="127"/>
      <c r="D569" s="127"/>
      <c r="G569" s="127"/>
    </row>
    <row r="570" spans="3:7" ht="13">
      <c r="C570" s="127"/>
      <c r="D570" s="127"/>
      <c r="G570" s="127"/>
    </row>
    <row r="571" spans="3:7" ht="13">
      <c r="C571" s="127"/>
      <c r="D571" s="127"/>
      <c r="G571" s="127"/>
    </row>
    <row r="572" spans="3:7" ht="13">
      <c r="C572" s="127"/>
      <c r="D572" s="127"/>
      <c r="G572" s="127"/>
    </row>
    <row r="573" spans="3:7" ht="13">
      <c r="C573" s="127"/>
      <c r="D573" s="127"/>
      <c r="G573" s="127"/>
    </row>
    <row r="574" spans="3:7" ht="13">
      <c r="C574" s="127"/>
      <c r="D574" s="127"/>
      <c r="G574" s="127"/>
    </row>
    <row r="575" spans="3:7" ht="13">
      <c r="C575" s="127"/>
      <c r="D575" s="127"/>
      <c r="G575" s="127"/>
    </row>
    <row r="576" spans="3:7" ht="13">
      <c r="C576" s="127"/>
      <c r="D576" s="127"/>
      <c r="G576" s="127"/>
    </row>
    <row r="577" spans="3:7" ht="13">
      <c r="C577" s="127"/>
      <c r="D577" s="127"/>
      <c r="G577" s="127"/>
    </row>
    <row r="578" spans="3:7" ht="13">
      <c r="C578" s="127"/>
      <c r="D578" s="127"/>
      <c r="G578" s="127"/>
    </row>
    <row r="579" spans="3:7" ht="13">
      <c r="C579" s="127"/>
      <c r="D579" s="127"/>
      <c r="G579" s="127"/>
    </row>
    <row r="580" spans="3:7" ht="13">
      <c r="C580" s="127"/>
      <c r="D580" s="127"/>
      <c r="G580" s="127"/>
    </row>
    <row r="581" spans="3:7" ht="13">
      <c r="C581" s="127"/>
      <c r="D581" s="127"/>
      <c r="G581" s="127"/>
    </row>
    <row r="582" spans="3:7" ht="13">
      <c r="C582" s="127"/>
      <c r="D582" s="127"/>
      <c r="G582" s="127"/>
    </row>
    <row r="583" spans="3:7" ht="13">
      <c r="C583" s="127"/>
      <c r="D583" s="127"/>
      <c r="G583" s="127"/>
    </row>
    <row r="584" spans="3:7" ht="13">
      <c r="C584" s="127"/>
      <c r="D584" s="127"/>
      <c r="G584" s="127"/>
    </row>
    <row r="585" spans="3:7" ht="13">
      <c r="C585" s="127"/>
      <c r="D585" s="127"/>
      <c r="G585" s="127"/>
    </row>
    <row r="586" spans="3:7" ht="13">
      <c r="C586" s="127"/>
      <c r="D586" s="127"/>
      <c r="G586" s="127"/>
    </row>
    <row r="587" spans="3:7" ht="13">
      <c r="C587" s="127"/>
      <c r="D587" s="127"/>
      <c r="G587" s="127"/>
    </row>
    <row r="588" spans="3:7" ht="13">
      <c r="C588" s="127"/>
      <c r="D588" s="127"/>
      <c r="G588" s="127"/>
    </row>
    <row r="589" spans="3:7" ht="13">
      <c r="C589" s="127"/>
      <c r="D589" s="127"/>
      <c r="G589" s="127"/>
    </row>
    <row r="590" spans="3:7" ht="13">
      <c r="C590" s="127"/>
      <c r="D590" s="127"/>
      <c r="G590" s="127"/>
    </row>
    <row r="591" spans="3:7" ht="13">
      <c r="C591" s="127"/>
      <c r="D591" s="127"/>
      <c r="G591" s="127"/>
    </row>
    <row r="592" spans="3:7" ht="13">
      <c r="C592" s="127"/>
      <c r="D592" s="127"/>
      <c r="G592" s="127"/>
    </row>
    <row r="593" spans="3:7" ht="13">
      <c r="C593" s="127"/>
      <c r="D593" s="127"/>
      <c r="G593" s="127"/>
    </row>
    <row r="594" spans="3:7" ht="13">
      <c r="C594" s="127"/>
      <c r="D594" s="127"/>
      <c r="G594" s="127"/>
    </row>
    <row r="595" spans="3:7" ht="13">
      <c r="C595" s="127"/>
      <c r="D595" s="127"/>
      <c r="G595" s="127"/>
    </row>
    <row r="596" spans="3:7" ht="13">
      <c r="C596" s="127"/>
      <c r="D596" s="127"/>
      <c r="G596" s="127"/>
    </row>
    <row r="597" spans="3:7" ht="13">
      <c r="C597" s="127"/>
      <c r="D597" s="127"/>
      <c r="G597" s="127"/>
    </row>
    <row r="598" spans="3:7" ht="13">
      <c r="C598" s="127"/>
      <c r="D598" s="127"/>
      <c r="G598" s="127"/>
    </row>
    <row r="599" spans="3:7" ht="13">
      <c r="C599" s="127"/>
      <c r="D599" s="127"/>
      <c r="G599" s="127"/>
    </row>
    <row r="600" spans="3:7" ht="13">
      <c r="C600" s="127"/>
      <c r="D600" s="127"/>
      <c r="G600" s="127"/>
    </row>
    <row r="601" spans="3:7" ht="13">
      <c r="C601" s="127"/>
      <c r="D601" s="127"/>
      <c r="G601" s="127"/>
    </row>
    <row r="602" spans="3:7" ht="13">
      <c r="C602" s="127"/>
      <c r="D602" s="127"/>
      <c r="G602" s="127"/>
    </row>
    <row r="603" spans="3:7" ht="13">
      <c r="C603" s="127"/>
      <c r="D603" s="127"/>
      <c r="G603" s="127"/>
    </row>
    <row r="604" spans="3:7" ht="13">
      <c r="C604" s="127"/>
      <c r="D604" s="127"/>
      <c r="G604" s="127"/>
    </row>
    <row r="605" spans="3:7" ht="13">
      <c r="C605" s="127"/>
      <c r="D605" s="127"/>
      <c r="G605" s="127"/>
    </row>
    <row r="606" spans="3:7" ht="13">
      <c r="C606" s="127"/>
      <c r="D606" s="127"/>
      <c r="G606" s="127"/>
    </row>
    <row r="607" spans="3:7" ht="13">
      <c r="C607" s="127"/>
      <c r="D607" s="127"/>
      <c r="G607" s="127"/>
    </row>
    <row r="608" spans="3:7" ht="13">
      <c r="C608" s="127"/>
      <c r="D608" s="127"/>
      <c r="G608" s="127"/>
    </row>
    <row r="609" spans="3:7" ht="13">
      <c r="C609" s="127"/>
      <c r="D609" s="127"/>
      <c r="G609" s="127"/>
    </row>
    <row r="610" spans="3:7" ht="13">
      <c r="C610" s="127"/>
      <c r="D610" s="127"/>
      <c r="G610" s="127"/>
    </row>
    <row r="611" spans="3:7" ht="13">
      <c r="C611" s="127"/>
      <c r="D611" s="127"/>
      <c r="G611" s="127"/>
    </row>
    <row r="612" spans="3:7" ht="13">
      <c r="C612" s="127"/>
      <c r="D612" s="127"/>
      <c r="G612" s="127"/>
    </row>
    <row r="613" spans="3:7" ht="13">
      <c r="C613" s="127"/>
      <c r="D613" s="127"/>
      <c r="G613" s="127"/>
    </row>
    <row r="614" spans="3:7" ht="13">
      <c r="C614" s="127"/>
      <c r="D614" s="127"/>
      <c r="G614" s="127"/>
    </row>
    <row r="615" spans="3:7" ht="13">
      <c r="C615" s="127"/>
      <c r="D615" s="127"/>
      <c r="G615" s="127"/>
    </row>
    <row r="616" spans="3:7" ht="13">
      <c r="C616" s="127"/>
      <c r="D616" s="127"/>
      <c r="G616" s="127"/>
    </row>
    <row r="617" spans="3:7" ht="13">
      <c r="C617" s="127"/>
      <c r="D617" s="127"/>
      <c r="G617" s="127"/>
    </row>
    <row r="618" spans="3:7" ht="13">
      <c r="C618" s="127"/>
      <c r="D618" s="127"/>
      <c r="G618" s="127"/>
    </row>
    <row r="619" spans="3:7" ht="13">
      <c r="C619" s="127"/>
      <c r="D619" s="127"/>
      <c r="G619" s="127"/>
    </row>
    <row r="620" spans="3:7" ht="13">
      <c r="C620" s="127"/>
      <c r="D620" s="127"/>
      <c r="G620" s="127"/>
    </row>
    <row r="621" spans="3:7" ht="13">
      <c r="C621" s="127"/>
      <c r="D621" s="127"/>
      <c r="G621" s="127"/>
    </row>
    <row r="622" spans="3:7" ht="13">
      <c r="C622" s="127"/>
      <c r="D622" s="127"/>
      <c r="G622" s="127"/>
    </row>
    <row r="623" spans="3:7" ht="13">
      <c r="C623" s="127"/>
      <c r="D623" s="127"/>
      <c r="G623" s="127"/>
    </row>
    <row r="624" spans="3:7" ht="13">
      <c r="C624" s="127"/>
      <c r="D624" s="127"/>
      <c r="G624" s="127"/>
    </row>
    <row r="625" spans="3:7" ht="13">
      <c r="C625" s="127"/>
      <c r="D625" s="127"/>
      <c r="G625" s="127"/>
    </row>
    <row r="626" spans="3:7" ht="13">
      <c r="C626" s="127"/>
      <c r="D626" s="127"/>
      <c r="G626" s="127"/>
    </row>
    <row r="627" spans="3:7" ht="13">
      <c r="C627" s="127"/>
      <c r="D627" s="127"/>
      <c r="G627" s="127"/>
    </row>
    <row r="628" spans="3:7" ht="13">
      <c r="C628" s="127"/>
      <c r="D628" s="127"/>
      <c r="G628" s="127"/>
    </row>
    <row r="629" spans="3:7" ht="13">
      <c r="C629" s="127"/>
      <c r="D629" s="127"/>
      <c r="G629" s="127"/>
    </row>
    <row r="630" spans="3:7" ht="13">
      <c r="C630" s="127"/>
      <c r="D630" s="127"/>
      <c r="G630" s="127"/>
    </row>
    <row r="631" spans="3:7" ht="13">
      <c r="C631" s="127"/>
      <c r="D631" s="127"/>
      <c r="G631" s="127"/>
    </row>
    <row r="632" spans="3:7" ht="13">
      <c r="C632" s="127"/>
      <c r="D632" s="127"/>
      <c r="G632" s="127"/>
    </row>
    <row r="633" spans="3:7" ht="13">
      <c r="C633" s="127"/>
      <c r="D633" s="127"/>
      <c r="G633" s="127"/>
    </row>
    <row r="634" spans="3:7" ht="13">
      <c r="C634" s="127"/>
      <c r="D634" s="127"/>
      <c r="G634" s="127"/>
    </row>
    <row r="635" spans="3:7" ht="13">
      <c r="C635" s="127"/>
      <c r="D635" s="127"/>
      <c r="G635" s="127"/>
    </row>
    <row r="636" spans="3:7" ht="13">
      <c r="C636" s="127"/>
      <c r="D636" s="127"/>
      <c r="G636" s="127"/>
    </row>
    <row r="637" spans="3:7" ht="13">
      <c r="C637" s="127"/>
      <c r="D637" s="127"/>
      <c r="G637" s="127"/>
    </row>
    <row r="638" spans="3:7" ht="13">
      <c r="C638" s="127"/>
      <c r="D638" s="127"/>
      <c r="G638" s="127"/>
    </row>
    <row r="639" spans="3:7" ht="13">
      <c r="C639" s="127"/>
      <c r="D639" s="127"/>
      <c r="G639" s="127"/>
    </row>
    <row r="640" spans="3:7" ht="13">
      <c r="C640" s="127"/>
      <c r="D640" s="127"/>
      <c r="G640" s="127"/>
    </row>
    <row r="641" spans="3:7" ht="13">
      <c r="C641" s="127"/>
      <c r="D641" s="127"/>
      <c r="G641" s="127"/>
    </row>
    <row r="642" spans="3:7" ht="13">
      <c r="C642" s="127"/>
      <c r="D642" s="127"/>
      <c r="G642" s="127"/>
    </row>
    <row r="643" spans="3:7" ht="13">
      <c r="C643" s="127"/>
      <c r="D643" s="127"/>
      <c r="G643" s="127"/>
    </row>
    <row r="644" spans="3:7" ht="13">
      <c r="C644" s="127"/>
      <c r="D644" s="127"/>
      <c r="G644" s="127"/>
    </row>
    <row r="645" spans="3:7" ht="13">
      <c r="C645" s="127"/>
      <c r="D645" s="127"/>
      <c r="G645" s="127"/>
    </row>
    <row r="646" spans="3:7" ht="13">
      <c r="C646" s="127"/>
      <c r="D646" s="127"/>
      <c r="G646" s="127"/>
    </row>
    <row r="647" spans="3:7" ht="13">
      <c r="C647" s="127"/>
      <c r="D647" s="127"/>
      <c r="G647" s="127"/>
    </row>
    <row r="648" spans="3:7" ht="13">
      <c r="C648" s="127"/>
      <c r="D648" s="127"/>
      <c r="G648" s="127"/>
    </row>
    <row r="649" spans="3:7" ht="13">
      <c r="C649" s="127"/>
      <c r="D649" s="127"/>
      <c r="G649" s="127"/>
    </row>
    <row r="650" spans="3:7" ht="13">
      <c r="C650" s="127"/>
      <c r="D650" s="127"/>
      <c r="G650" s="127"/>
    </row>
    <row r="651" spans="3:7" ht="13">
      <c r="C651" s="127"/>
      <c r="D651" s="127"/>
      <c r="G651" s="127"/>
    </row>
    <row r="652" spans="3:7" ht="13">
      <c r="C652" s="127"/>
      <c r="D652" s="127"/>
      <c r="G652" s="127"/>
    </row>
    <row r="653" spans="3:7" ht="13">
      <c r="C653" s="127"/>
      <c r="D653" s="127"/>
      <c r="G653" s="127"/>
    </row>
    <row r="654" spans="3:7" ht="13">
      <c r="C654" s="127"/>
      <c r="D654" s="127"/>
      <c r="G654" s="127"/>
    </row>
    <row r="655" spans="3:7" ht="13">
      <c r="C655" s="127"/>
      <c r="D655" s="127"/>
      <c r="G655" s="127"/>
    </row>
    <row r="656" spans="3:7" ht="13">
      <c r="C656" s="127"/>
      <c r="D656" s="127"/>
      <c r="G656" s="127"/>
    </row>
    <row r="657" spans="3:7" ht="13">
      <c r="C657" s="127"/>
      <c r="D657" s="127"/>
      <c r="G657" s="127"/>
    </row>
    <row r="658" spans="3:7" ht="13">
      <c r="C658" s="127"/>
      <c r="D658" s="127"/>
      <c r="G658" s="127"/>
    </row>
    <row r="659" spans="3:7" ht="13">
      <c r="C659" s="127"/>
      <c r="D659" s="127"/>
      <c r="G659" s="127"/>
    </row>
    <row r="660" spans="3:7" ht="13">
      <c r="C660" s="127"/>
      <c r="D660" s="127"/>
      <c r="G660" s="127"/>
    </row>
    <row r="661" spans="3:7" ht="13">
      <c r="C661" s="127"/>
      <c r="D661" s="127"/>
      <c r="G661" s="127"/>
    </row>
    <row r="662" spans="3:7" ht="13">
      <c r="C662" s="127"/>
      <c r="D662" s="127"/>
      <c r="G662" s="127"/>
    </row>
    <row r="663" spans="3:7" ht="13">
      <c r="C663" s="127"/>
      <c r="D663" s="127"/>
      <c r="G663" s="127"/>
    </row>
    <row r="664" spans="3:7" ht="13">
      <c r="C664" s="127"/>
      <c r="D664" s="127"/>
      <c r="G664" s="127"/>
    </row>
    <row r="665" spans="3:7" ht="13">
      <c r="C665" s="127"/>
      <c r="D665" s="127"/>
      <c r="G665" s="127"/>
    </row>
    <row r="666" spans="3:7" ht="13">
      <c r="C666" s="127"/>
      <c r="D666" s="127"/>
      <c r="G666" s="127"/>
    </row>
    <row r="667" spans="3:7" ht="13">
      <c r="C667" s="127"/>
      <c r="D667" s="127"/>
      <c r="G667" s="127"/>
    </row>
    <row r="668" spans="3:7" ht="13">
      <c r="C668" s="127"/>
      <c r="D668" s="127"/>
      <c r="G668" s="127"/>
    </row>
    <row r="669" spans="3:7" ht="13">
      <c r="C669" s="127"/>
      <c r="D669" s="127"/>
      <c r="G669" s="127"/>
    </row>
    <row r="670" spans="3:7" ht="13">
      <c r="C670" s="127"/>
      <c r="D670" s="127"/>
      <c r="G670" s="127"/>
    </row>
    <row r="671" spans="3:7" ht="13">
      <c r="C671" s="127"/>
      <c r="D671" s="127"/>
      <c r="G671" s="127"/>
    </row>
    <row r="672" spans="3:7" ht="13">
      <c r="C672" s="127"/>
      <c r="D672" s="127"/>
      <c r="G672" s="127"/>
    </row>
    <row r="673" spans="3:7" ht="13">
      <c r="C673" s="127"/>
      <c r="D673" s="127"/>
      <c r="G673" s="127"/>
    </row>
    <row r="674" spans="3:7" ht="13">
      <c r="C674" s="127"/>
      <c r="D674" s="127"/>
      <c r="G674" s="127"/>
    </row>
    <row r="675" spans="3:7" ht="13">
      <c r="C675" s="127"/>
      <c r="D675" s="127"/>
      <c r="G675" s="127"/>
    </row>
    <row r="676" spans="3:7" ht="13">
      <c r="C676" s="127"/>
      <c r="D676" s="127"/>
      <c r="G676" s="127"/>
    </row>
    <row r="677" spans="3:7" ht="13">
      <c r="C677" s="127"/>
      <c r="D677" s="127"/>
      <c r="G677" s="127"/>
    </row>
    <row r="678" spans="3:7" ht="13">
      <c r="C678" s="127"/>
      <c r="D678" s="127"/>
      <c r="G678" s="127"/>
    </row>
    <row r="679" spans="3:7" ht="13">
      <c r="C679" s="127"/>
      <c r="D679" s="127"/>
      <c r="G679" s="127"/>
    </row>
    <row r="680" spans="3:7" ht="13">
      <c r="C680" s="127"/>
      <c r="D680" s="127"/>
      <c r="G680" s="127"/>
    </row>
    <row r="681" spans="3:7" ht="13">
      <c r="C681" s="127"/>
      <c r="D681" s="127"/>
      <c r="G681" s="127"/>
    </row>
    <row r="682" spans="3:7" ht="13">
      <c r="C682" s="127"/>
      <c r="D682" s="127"/>
      <c r="G682" s="127"/>
    </row>
    <row r="683" spans="3:7" ht="13">
      <c r="C683" s="127"/>
      <c r="D683" s="127"/>
      <c r="G683" s="127"/>
    </row>
    <row r="684" spans="3:7" ht="13">
      <c r="C684" s="127"/>
      <c r="D684" s="127"/>
      <c r="G684" s="127"/>
    </row>
    <row r="685" spans="3:7" ht="13">
      <c r="C685" s="127"/>
      <c r="D685" s="127"/>
      <c r="G685" s="127"/>
    </row>
    <row r="686" spans="3:7" ht="13">
      <c r="C686" s="127"/>
      <c r="D686" s="127"/>
      <c r="G686" s="127"/>
    </row>
    <row r="687" spans="3:7" ht="13">
      <c r="C687" s="127"/>
      <c r="D687" s="127"/>
      <c r="G687" s="127"/>
    </row>
    <row r="688" spans="3:7" ht="13">
      <c r="C688" s="127"/>
      <c r="D688" s="127"/>
      <c r="G688" s="127"/>
    </row>
    <row r="689" spans="3:7" ht="13">
      <c r="C689" s="127"/>
      <c r="D689" s="127"/>
      <c r="G689" s="127"/>
    </row>
    <row r="690" spans="3:7" ht="13">
      <c r="C690" s="127"/>
      <c r="D690" s="127"/>
      <c r="G690" s="127"/>
    </row>
    <row r="691" spans="3:7" ht="13">
      <c r="C691" s="127"/>
      <c r="D691" s="127"/>
      <c r="G691" s="127"/>
    </row>
    <row r="692" spans="3:7" ht="13">
      <c r="C692" s="127"/>
      <c r="D692" s="127"/>
      <c r="G692" s="127"/>
    </row>
    <row r="693" spans="3:7" ht="13">
      <c r="C693" s="127"/>
      <c r="D693" s="127"/>
      <c r="G693" s="127"/>
    </row>
    <row r="694" spans="3:7" ht="13">
      <c r="C694" s="127"/>
      <c r="D694" s="127"/>
      <c r="G694" s="127"/>
    </row>
    <row r="695" spans="3:7" ht="13">
      <c r="C695" s="127"/>
      <c r="D695" s="127"/>
      <c r="G695" s="127"/>
    </row>
    <row r="696" spans="3:7" ht="13">
      <c r="C696" s="127"/>
      <c r="D696" s="127"/>
      <c r="G696" s="127"/>
    </row>
    <row r="697" spans="3:7" ht="13">
      <c r="C697" s="127"/>
      <c r="D697" s="127"/>
      <c r="G697" s="127"/>
    </row>
    <row r="698" spans="3:7" ht="13">
      <c r="C698" s="127"/>
      <c r="D698" s="127"/>
      <c r="G698" s="127"/>
    </row>
    <row r="699" spans="3:7" ht="13">
      <c r="C699" s="127"/>
      <c r="D699" s="127"/>
      <c r="G699" s="127"/>
    </row>
    <row r="700" spans="3:7" ht="13">
      <c r="C700" s="127"/>
      <c r="D700" s="127"/>
      <c r="G700" s="127"/>
    </row>
    <row r="701" spans="3:7" ht="13">
      <c r="C701" s="127"/>
      <c r="D701" s="127"/>
      <c r="G701" s="127"/>
    </row>
    <row r="702" spans="3:7" ht="13">
      <c r="C702" s="127"/>
      <c r="D702" s="127"/>
      <c r="G702" s="127"/>
    </row>
    <row r="703" spans="3:7" ht="13">
      <c r="C703" s="127"/>
      <c r="D703" s="127"/>
      <c r="G703" s="127"/>
    </row>
    <row r="704" spans="3:7" ht="13">
      <c r="C704" s="127"/>
      <c r="D704" s="127"/>
      <c r="G704" s="127"/>
    </row>
    <row r="705" spans="3:7" ht="13">
      <c r="C705" s="127"/>
      <c r="D705" s="127"/>
      <c r="G705" s="127"/>
    </row>
    <row r="706" spans="3:7" ht="13">
      <c r="C706" s="127"/>
      <c r="D706" s="127"/>
      <c r="G706" s="127"/>
    </row>
    <row r="707" spans="3:7" ht="13">
      <c r="C707" s="127"/>
      <c r="D707" s="127"/>
      <c r="G707" s="127"/>
    </row>
    <row r="708" spans="3:7" ht="13">
      <c r="C708" s="127"/>
      <c r="D708" s="127"/>
      <c r="G708" s="127"/>
    </row>
    <row r="709" spans="3:7" ht="13">
      <c r="C709" s="127"/>
      <c r="D709" s="127"/>
      <c r="G709" s="127"/>
    </row>
    <row r="710" spans="3:7" ht="13">
      <c r="C710" s="127"/>
      <c r="D710" s="127"/>
      <c r="G710" s="127"/>
    </row>
    <row r="711" spans="3:7" ht="13">
      <c r="C711" s="127"/>
      <c r="D711" s="127"/>
      <c r="G711" s="127"/>
    </row>
    <row r="712" spans="3:7" ht="13">
      <c r="C712" s="127"/>
      <c r="D712" s="127"/>
      <c r="G712" s="127"/>
    </row>
    <row r="713" spans="3:7" ht="13">
      <c r="C713" s="127"/>
      <c r="D713" s="127"/>
      <c r="G713" s="127"/>
    </row>
    <row r="714" spans="3:7" ht="13">
      <c r="C714" s="127"/>
      <c r="D714" s="127"/>
      <c r="G714" s="127"/>
    </row>
    <row r="715" spans="3:7" ht="13">
      <c r="C715" s="127"/>
      <c r="D715" s="127"/>
      <c r="G715" s="127"/>
    </row>
    <row r="716" spans="3:7" ht="13">
      <c r="C716" s="127"/>
      <c r="D716" s="127"/>
      <c r="G716" s="127"/>
    </row>
    <row r="717" spans="3:7" ht="13">
      <c r="C717" s="127"/>
      <c r="D717" s="127"/>
      <c r="G717" s="127"/>
    </row>
    <row r="718" spans="3:7" ht="13">
      <c r="C718" s="127"/>
      <c r="D718" s="127"/>
      <c r="G718" s="127"/>
    </row>
    <row r="719" spans="3:7" ht="13">
      <c r="C719" s="127"/>
      <c r="D719" s="127"/>
      <c r="G719" s="127"/>
    </row>
    <row r="720" spans="3:7" ht="13">
      <c r="C720" s="127"/>
      <c r="D720" s="127"/>
      <c r="G720" s="127"/>
    </row>
    <row r="721" spans="3:7" ht="13">
      <c r="C721" s="127"/>
      <c r="D721" s="127"/>
      <c r="G721" s="127"/>
    </row>
    <row r="722" spans="3:7" ht="13">
      <c r="C722" s="127"/>
      <c r="D722" s="127"/>
      <c r="G722" s="127"/>
    </row>
    <row r="723" spans="3:7" ht="13">
      <c r="C723" s="127"/>
      <c r="D723" s="127"/>
      <c r="G723" s="127"/>
    </row>
    <row r="724" spans="3:7" ht="13">
      <c r="C724" s="127"/>
      <c r="D724" s="127"/>
      <c r="G724" s="127"/>
    </row>
    <row r="725" spans="3:7" ht="13">
      <c r="C725" s="127"/>
      <c r="D725" s="127"/>
      <c r="G725" s="127"/>
    </row>
    <row r="726" spans="3:7" ht="13">
      <c r="C726" s="127"/>
      <c r="D726" s="127"/>
      <c r="G726" s="127"/>
    </row>
    <row r="727" spans="3:7" ht="13">
      <c r="C727" s="127"/>
      <c r="D727" s="127"/>
      <c r="G727" s="127"/>
    </row>
    <row r="728" spans="3:7" ht="13">
      <c r="C728" s="127"/>
      <c r="D728" s="127"/>
      <c r="G728" s="127"/>
    </row>
    <row r="729" spans="3:7" ht="13">
      <c r="C729" s="127"/>
      <c r="D729" s="127"/>
      <c r="G729" s="127"/>
    </row>
    <row r="730" spans="3:7" ht="13">
      <c r="C730" s="127"/>
      <c r="D730" s="127"/>
      <c r="G730" s="127"/>
    </row>
    <row r="731" spans="3:7" ht="13">
      <c r="C731" s="127"/>
      <c r="D731" s="127"/>
      <c r="G731" s="127"/>
    </row>
    <row r="732" spans="3:7" ht="13">
      <c r="C732" s="127"/>
      <c r="D732" s="127"/>
      <c r="G732" s="127"/>
    </row>
    <row r="733" spans="3:7" ht="13">
      <c r="C733" s="127"/>
      <c r="D733" s="127"/>
      <c r="G733" s="127"/>
    </row>
    <row r="734" spans="3:7" ht="13">
      <c r="C734" s="127"/>
      <c r="D734" s="127"/>
      <c r="G734" s="127"/>
    </row>
    <row r="735" spans="3:7" ht="13">
      <c r="C735" s="127"/>
      <c r="D735" s="127"/>
      <c r="G735" s="127"/>
    </row>
    <row r="736" spans="3:7" ht="13">
      <c r="C736" s="127"/>
      <c r="D736" s="127"/>
      <c r="G736" s="127"/>
    </row>
    <row r="737" spans="3:7" ht="13">
      <c r="C737" s="127"/>
      <c r="D737" s="127"/>
      <c r="G737" s="127"/>
    </row>
    <row r="738" spans="3:7" ht="13">
      <c r="C738" s="127"/>
      <c r="D738" s="127"/>
      <c r="G738" s="127"/>
    </row>
    <row r="739" spans="3:7" ht="13">
      <c r="C739" s="127"/>
      <c r="D739" s="127"/>
      <c r="G739" s="127"/>
    </row>
    <row r="740" spans="3:7" ht="13">
      <c r="C740" s="127"/>
      <c r="D740" s="127"/>
      <c r="G740" s="127"/>
    </row>
    <row r="741" spans="3:7" ht="13">
      <c r="C741" s="127"/>
      <c r="D741" s="127"/>
      <c r="G741" s="127"/>
    </row>
    <row r="742" spans="3:7" ht="13">
      <c r="C742" s="127"/>
      <c r="D742" s="127"/>
      <c r="G742" s="127"/>
    </row>
    <row r="743" spans="3:7" ht="13">
      <c r="C743" s="127"/>
      <c r="D743" s="127"/>
      <c r="G743" s="127"/>
    </row>
    <row r="744" spans="3:7" ht="13">
      <c r="C744" s="127"/>
      <c r="D744" s="127"/>
      <c r="G744" s="127"/>
    </row>
    <row r="745" spans="3:7" ht="13">
      <c r="C745" s="127"/>
      <c r="D745" s="127"/>
      <c r="G745" s="127"/>
    </row>
    <row r="746" spans="3:7" ht="13">
      <c r="C746" s="127"/>
      <c r="D746" s="127"/>
      <c r="G746" s="127"/>
    </row>
    <row r="747" spans="3:7" ht="13">
      <c r="C747" s="127"/>
      <c r="D747" s="127"/>
      <c r="G747" s="127"/>
    </row>
    <row r="748" spans="3:7" ht="13">
      <c r="C748" s="127"/>
      <c r="D748" s="127"/>
      <c r="G748" s="127"/>
    </row>
    <row r="749" spans="3:7" ht="13">
      <c r="C749" s="127"/>
      <c r="D749" s="127"/>
      <c r="G749" s="127"/>
    </row>
    <row r="750" spans="3:7" ht="13">
      <c r="C750" s="127"/>
      <c r="D750" s="127"/>
      <c r="G750" s="127"/>
    </row>
    <row r="751" spans="3:7" ht="13">
      <c r="C751" s="127"/>
      <c r="D751" s="127"/>
      <c r="G751" s="127"/>
    </row>
    <row r="752" spans="3:7" ht="13">
      <c r="C752" s="127"/>
      <c r="D752" s="127"/>
      <c r="G752" s="127"/>
    </row>
    <row r="753" spans="3:7" ht="13">
      <c r="C753" s="127"/>
      <c r="D753" s="127"/>
      <c r="G753" s="127"/>
    </row>
    <row r="754" spans="3:7" ht="13">
      <c r="C754" s="127"/>
      <c r="D754" s="127"/>
      <c r="G754" s="127"/>
    </row>
    <row r="755" spans="3:7" ht="13">
      <c r="C755" s="127"/>
      <c r="D755" s="127"/>
      <c r="G755" s="127"/>
    </row>
    <row r="756" spans="3:7" ht="13">
      <c r="C756" s="127"/>
      <c r="D756" s="127"/>
      <c r="G756" s="127"/>
    </row>
    <row r="757" spans="3:7" ht="13">
      <c r="C757" s="127"/>
      <c r="D757" s="127"/>
      <c r="G757" s="127"/>
    </row>
    <row r="758" spans="3:7" ht="13">
      <c r="C758" s="127"/>
      <c r="D758" s="127"/>
      <c r="G758" s="127"/>
    </row>
    <row r="759" spans="3:7" ht="13">
      <c r="C759" s="127"/>
      <c r="D759" s="127"/>
      <c r="G759" s="127"/>
    </row>
    <row r="760" spans="3:7" ht="13">
      <c r="C760" s="127"/>
      <c r="D760" s="127"/>
      <c r="G760" s="127"/>
    </row>
    <row r="761" spans="3:7" ht="13">
      <c r="C761" s="127"/>
      <c r="D761" s="127"/>
      <c r="G761" s="127"/>
    </row>
    <row r="762" spans="3:7" ht="13">
      <c r="C762" s="127"/>
      <c r="D762" s="127"/>
      <c r="G762" s="127"/>
    </row>
    <row r="763" spans="3:7" ht="13">
      <c r="C763" s="127"/>
      <c r="D763" s="127"/>
      <c r="G763" s="127"/>
    </row>
    <row r="764" spans="3:7" ht="13">
      <c r="C764" s="127"/>
      <c r="D764" s="127"/>
      <c r="G764" s="127"/>
    </row>
    <row r="765" spans="3:7" ht="13">
      <c r="C765" s="127"/>
      <c r="D765" s="127"/>
      <c r="G765" s="127"/>
    </row>
    <row r="766" spans="3:7" ht="13">
      <c r="C766" s="127"/>
      <c r="D766" s="127"/>
      <c r="G766" s="127"/>
    </row>
    <row r="767" spans="3:7" ht="13">
      <c r="C767" s="127"/>
      <c r="D767" s="127"/>
      <c r="G767" s="127"/>
    </row>
    <row r="768" spans="3:7" ht="13">
      <c r="C768" s="127"/>
      <c r="D768" s="127"/>
      <c r="G768" s="127"/>
    </row>
    <row r="769" spans="3:7" ht="13">
      <c r="C769" s="127"/>
      <c r="D769" s="127"/>
      <c r="G769" s="127"/>
    </row>
    <row r="770" spans="3:7" ht="13">
      <c r="C770" s="127"/>
      <c r="D770" s="127"/>
      <c r="G770" s="127"/>
    </row>
    <row r="771" spans="3:7" ht="13">
      <c r="C771" s="127"/>
      <c r="D771" s="127"/>
      <c r="G771" s="127"/>
    </row>
    <row r="772" spans="3:7" ht="13">
      <c r="C772" s="127"/>
      <c r="D772" s="127"/>
      <c r="G772" s="127"/>
    </row>
    <row r="773" spans="3:7" ht="13">
      <c r="C773" s="127"/>
      <c r="D773" s="127"/>
      <c r="G773" s="127"/>
    </row>
    <row r="774" spans="3:7" ht="13">
      <c r="C774" s="127"/>
      <c r="D774" s="127"/>
      <c r="G774" s="127"/>
    </row>
    <row r="775" spans="3:7" ht="13">
      <c r="C775" s="127"/>
      <c r="D775" s="127"/>
      <c r="G775" s="127"/>
    </row>
    <row r="776" spans="3:7" ht="13">
      <c r="C776" s="127"/>
      <c r="D776" s="127"/>
      <c r="G776" s="127"/>
    </row>
    <row r="777" spans="3:7" ht="13">
      <c r="C777" s="127"/>
      <c r="D777" s="127"/>
      <c r="G777" s="127"/>
    </row>
    <row r="778" spans="3:7" ht="13">
      <c r="C778" s="127"/>
      <c r="D778" s="127"/>
      <c r="G778" s="127"/>
    </row>
    <row r="779" spans="3:7" ht="13">
      <c r="C779" s="127"/>
      <c r="D779" s="127"/>
      <c r="G779" s="127"/>
    </row>
    <row r="780" spans="3:7" ht="13">
      <c r="C780" s="127"/>
      <c r="D780" s="127"/>
      <c r="G780" s="127"/>
    </row>
    <row r="781" spans="3:7" ht="13">
      <c r="C781" s="127"/>
      <c r="D781" s="127"/>
      <c r="G781" s="127"/>
    </row>
    <row r="782" spans="3:7" ht="13">
      <c r="C782" s="127"/>
      <c r="D782" s="127"/>
      <c r="G782" s="127"/>
    </row>
    <row r="783" spans="3:7" ht="13">
      <c r="C783" s="127"/>
      <c r="D783" s="127"/>
      <c r="G783" s="127"/>
    </row>
    <row r="784" spans="3:7" ht="13">
      <c r="C784" s="127"/>
      <c r="D784" s="127"/>
      <c r="G784" s="127"/>
    </row>
    <row r="785" spans="3:7" ht="13">
      <c r="C785" s="127"/>
      <c r="D785" s="127"/>
      <c r="G785" s="127"/>
    </row>
    <row r="786" spans="3:7" ht="13">
      <c r="C786" s="127"/>
      <c r="D786" s="127"/>
      <c r="G786" s="127"/>
    </row>
    <row r="787" spans="3:7" ht="13">
      <c r="C787" s="127"/>
      <c r="D787" s="127"/>
      <c r="G787" s="127"/>
    </row>
    <row r="788" spans="3:7" ht="13">
      <c r="C788" s="127"/>
      <c r="D788" s="127"/>
      <c r="G788" s="127"/>
    </row>
    <row r="789" spans="3:7" ht="13">
      <c r="C789" s="127"/>
      <c r="D789" s="127"/>
      <c r="G789" s="127"/>
    </row>
    <row r="790" spans="3:7" ht="13">
      <c r="C790" s="127"/>
      <c r="D790" s="127"/>
      <c r="G790" s="127"/>
    </row>
    <row r="791" spans="3:7" ht="13">
      <c r="C791" s="127"/>
      <c r="D791" s="127"/>
      <c r="G791" s="127"/>
    </row>
    <row r="792" spans="3:7" ht="13">
      <c r="C792" s="127"/>
      <c r="D792" s="127"/>
      <c r="G792" s="127"/>
    </row>
    <row r="793" spans="3:7" ht="13">
      <c r="C793" s="127"/>
      <c r="D793" s="127"/>
      <c r="G793" s="127"/>
    </row>
    <row r="794" spans="3:7" ht="13">
      <c r="C794" s="127"/>
      <c r="D794" s="127"/>
      <c r="G794" s="127"/>
    </row>
    <row r="795" spans="3:7" ht="13">
      <c r="C795" s="127"/>
      <c r="D795" s="127"/>
      <c r="G795" s="127"/>
    </row>
    <row r="796" spans="3:7" ht="13">
      <c r="C796" s="127"/>
      <c r="D796" s="127"/>
      <c r="G796" s="127"/>
    </row>
    <row r="797" spans="3:7" ht="13">
      <c r="C797" s="127"/>
      <c r="D797" s="127"/>
      <c r="G797" s="127"/>
    </row>
    <row r="798" spans="3:7" ht="13">
      <c r="C798" s="127"/>
      <c r="D798" s="127"/>
      <c r="G798" s="127"/>
    </row>
    <row r="799" spans="3:7" ht="13">
      <c r="C799" s="127"/>
      <c r="D799" s="127"/>
      <c r="G799" s="127"/>
    </row>
    <row r="800" spans="3:7" ht="13">
      <c r="C800" s="127"/>
      <c r="D800" s="127"/>
      <c r="G800" s="127"/>
    </row>
    <row r="801" spans="3:7" ht="13">
      <c r="C801" s="127"/>
      <c r="D801" s="127"/>
      <c r="G801" s="127"/>
    </row>
    <row r="802" spans="3:7" ht="13">
      <c r="C802" s="127"/>
      <c r="D802" s="127"/>
      <c r="G802" s="127"/>
    </row>
    <row r="803" spans="3:7" ht="13">
      <c r="C803" s="127"/>
      <c r="D803" s="127"/>
      <c r="G803" s="127"/>
    </row>
    <row r="804" spans="3:7" ht="13">
      <c r="C804" s="127"/>
      <c r="D804" s="127"/>
      <c r="G804" s="127"/>
    </row>
    <row r="805" spans="3:7" ht="13">
      <c r="C805" s="127"/>
      <c r="D805" s="127"/>
      <c r="G805" s="127"/>
    </row>
    <row r="806" spans="3:7" ht="13">
      <c r="C806" s="127"/>
      <c r="D806" s="127"/>
      <c r="G806" s="127"/>
    </row>
    <row r="807" spans="3:7" ht="13">
      <c r="C807" s="127"/>
      <c r="D807" s="127"/>
      <c r="G807" s="127"/>
    </row>
    <row r="808" spans="3:7" ht="13">
      <c r="C808" s="127"/>
      <c r="D808" s="127"/>
      <c r="G808" s="127"/>
    </row>
    <row r="809" spans="3:7" ht="13">
      <c r="C809" s="127"/>
      <c r="D809" s="127"/>
      <c r="G809" s="127"/>
    </row>
    <row r="810" spans="3:7" ht="13">
      <c r="C810" s="127"/>
      <c r="D810" s="127"/>
      <c r="G810" s="127"/>
    </row>
    <row r="811" spans="3:7" ht="13">
      <c r="C811" s="127"/>
      <c r="D811" s="127"/>
      <c r="G811" s="127"/>
    </row>
    <row r="812" spans="3:7" ht="13">
      <c r="C812" s="127"/>
      <c r="D812" s="127"/>
      <c r="G812" s="127"/>
    </row>
    <row r="813" spans="3:7" ht="13">
      <c r="C813" s="127"/>
      <c r="D813" s="127"/>
      <c r="G813" s="127"/>
    </row>
    <row r="814" spans="3:7" ht="13">
      <c r="C814" s="127"/>
      <c r="D814" s="127"/>
      <c r="G814" s="127"/>
    </row>
    <row r="815" spans="3:7" ht="13">
      <c r="C815" s="127"/>
      <c r="D815" s="127"/>
      <c r="G815" s="127"/>
    </row>
    <row r="816" spans="3:7" ht="13">
      <c r="C816" s="127"/>
      <c r="D816" s="127"/>
      <c r="G816" s="127"/>
    </row>
    <row r="817" spans="3:7" ht="13">
      <c r="C817" s="127"/>
      <c r="D817" s="127"/>
      <c r="G817" s="127"/>
    </row>
    <row r="818" spans="3:7" ht="13">
      <c r="C818" s="127"/>
      <c r="D818" s="127"/>
      <c r="G818" s="127"/>
    </row>
    <row r="819" spans="3:7" ht="13">
      <c r="C819" s="127"/>
      <c r="D819" s="127"/>
      <c r="G819" s="127"/>
    </row>
    <row r="820" spans="3:7" ht="13">
      <c r="C820" s="127"/>
      <c r="D820" s="127"/>
      <c r="G820" s="127"/>
    </row>
    <row r="821" spans="3:7" ht="13">
      <c r="C821" s="127"/>
      <c r="D821" s="127"/>
      <c r="G821" s="127"/>
    </row>
    <row r="822" spans="3:7" ht="13">
      <c r="C822" s="127"/>
      <c r="D822" s="127"/>
      <c r="G822" s="127"/>
    </row>
    <row r="823" spans="3:7" ht="13">
      <c r="C823" s="127"/>
      <c r="D823" s="127"/>
      <c r="G823" s="127"/>
    </row>
    <row r="824" spans="3:7" ht="13">
      <c r="C824" s="127"/>
      <c r="D824" s="127"/>
      <c r="G824" s="127"/>
    </row>
    <row r="825" spans="3:7" ht="13">
      <c r="C825" s="127"/>
      <c r="D825" s="127"/>
      <c r="G825" s="127"/>
    </row>
    <row r="826" spans="3:7" ht="13">
      <c r="C826" s="127"/>
      <c r="D826" s="127"/>
      <c r="G826" s="127"/>
    </row>
    <row r="827" spans="3:7" ht="13">
      <c r="C827" s="127"/>
      <c r="D827" s="127"/>
      <c r="G827" s="127"/>
    </row>
    <row r="828" spans="3:7" ht="13">
      <c r="C828" s="127"/>
      <c r="D828" s="127"/>
      <c r="G828" s="127"/>
    </row>
    <row r="829" spans="3:7" ht="13">
      <c r="C829" s="127"/>
      <c r="D829" s="127"/>
      <c r="G829" s="127"/>
    </row>
    <row r="830" spans="3:7" ht="13">
      <c r="C830" s="127"/>
      <c r="D830" s="127"/>
      <c r="G830" s="127"/>
    </row>
    <row r="831" spans="3:7" ht="13">
      <c r="C831" s="127"/>
      <c r="D831" s="127"/>
      <c r="G831" s="127"/>
    </row>
    <row r="832" spans="3:7" ht="13">
      <c r="C832" s="127"/>
      <c r="D832" s="127"/>
      <c r="G832" s="127"/>
    </row>
    <row r="833" spans="3:7" ht="13">
      <c r="C833" s="127"/>
      <c r="D833" s="127"/>
      <c r="G833" s="127"/>
    </row>
    <row r="834" spans="3:7" ht="13">
      <c r="C834" s="127"/>
      <c r="D834" s="127"/>
      <c r="G834" s="127"/>
    </row>
    <row r="835" spans="3:7" ht="13">
      <c r="C835" s="127"/>
      <c r="D835" s="127"/>
      <c r="G835" s="127"/>
    </row>
    <row r="836" spans="3:7" ht="13">
      <c r="C836" s="127"/>
      <c r="D836" s="127"/>
      <c r="G836" s="127"/>
    </row>
    <row r="837" spans="3:7" ht="13">
      <c r="C837" s="127"/>
      <c r="D837" s="127"/>
      <c r="G837" s="127"/>
    </row>
    <row r="838" spans="3:7" ht="13">
      <c r="C838" s="127"/>
      <c r="D838" s="127"/>
      <c r="G838" s="127"/>
    </row>
    <row r="839" spans="3:7" ht="13">
      <c r="C839" s="127"/>
      <c r="D839" s="127"/>
      <c r="G839" s="127"/>
    </row>
    <row r="840" spans="3:7" ht="13">
      <c r="C840" s="127"/>
      <c r="D840" s="127"/>
      <c r="G840" s="127"/>
    </row>
    <row r="841" spans="3:7" ht="13">
      <c r="C841" s="127"/>
      <c r="D841" s="127"/>
      <c r="G841" s="127"/>
    </row>
    <row r="842" spans="3:7" ht="13">
      <c r="C842" s="127"/>
      <c r="D842" s="127"/>
      <c r="G842" s="127"/>
    </row>
    <row r="843" spans="3:7" ht="13">
      <c r="C843" s="127"/>
      <c r="D843" s="127"/>
      <c r="G843" s="127"/>
    </row>
    <row r="844" spans="3:7" ht="13">
      <c r="C844" s="127"/>
      <c r="D844" s="127"/>
      <c r="G844" s="127"/>
    </row>
    <row r="845" spans="3:7" ht="13">
      <c r="C845" s="127"/>
      <c r="D845" s="127"/>
      <c r="G845" s="127"/>
    </row>
    <row r="846" spans="3:7" ht="13">
      <c r="C846" s="127"/>
      <c r="D846" s="127"/>
      <c r="G846" s="127"/>
    </row>
    <row r="847" spans="3:7" ht="13">
      <c r="C847" s="127"/>
      <c r="D847" s="127"/>
      <c r="G847" s="127"/>
    </row>
    <row r="848" spans="3:7" ht="13">
      <c r="C848" s="127"/>
      <c r="D848" s="127"/>
      <c r="G848" s="127"/>
    </row>
    <row r="849" spans="3:7" ht="13">
      <c r="C849" s="127"/>
      <c r="D849" s="127"/>
      <c r="G849" s="127"/>
    </row>
    <row r="850" spans="3:7" ht="13">
      <c r="C850" s="127"/>
      <c r="D850" s="127"/>
      <c r="G850" s="127"/>
    </row>
    <row r="851" spans="3:7" ht="13">
      <c r="C851" s="127"/>
      <c r="D851" s="127"/>
      <c r="G851" s="127"/>
    </row>
    <row r="852" spans="3:7" ht="13">
      <c r="C852" s="127"/>
      <c r="D852" s="127"/>
      <c r="G852" s="127"/>
    </row>
    <row r="853" spans="3:7" ht="13">
      <c r="C853" s="127"/>
      <c r="D853" s="127"/>
      <c r="G853" s="127"/>
    </row>
    <row r="854" spans="3:7" ht="13">
      <c r="C854" s="127"/>
      <c r="D854" s="127"/>
      <c r="G854" s="127"/>
    </row>
    <row r="855" spans="3:7" ht="13">
      <c r="C855" s="127"/>
      <c r="D855" s="127"/>
      <c r="G855" s="127"/>
    </row>
    <row r="856" spans="3:7" ht="13">
      <c r="C856" s="127"/>
      <c r="D856" s="127"/>
      <c r="G856" s="127"/>
    </row>
    <row r="857" spans="3:7" ht="13">
      <c r="C857" s="127"/>
      <c r="D857" s="127"/>
      <c r="G857" s="127"/>
    </row>
    <row r="858" spans="3:7" ht="13">
      <c r="C858" s="127"/>
      <c r="D858" s="127"/>
      <c r="G858" s="127"/>
    </row>
    <row r="859" spans="3:7" ht="13">
      <c r="C859" s="127"/>
      <c r="D859" s="127"/>
      <c r="G859" s="127"/>
    </row>
    <row r="860" spans="3:7" ht="13">
      <c r="C860" s="127"/>
      <c r="D860" s="127"/>
      <c r="G860" s="127"/>
    </row>
    <row r="861" spans="3:7" ht="13">
      <c r="C861" s="127"/>
      <c r="D861" s="127"/>
      <c r="G861" s="127"/>
    </row>
    <row r="862" spans="3:7" ht="13">
      <c r="C862" s="127"/>
      <c r="D862" s="127"/>
      <c r="G862" s="127"/>
    </row>
    <row r="863" spans="3:7" ht="13">
      <c r="C863" s="127"/>
      <c r="D863" s="127"/>
      <c r="G863" s="127"/>
    </row>
    <row r="864" spans="3:7" ht="13">
      <c r="C864" s="127"/>
      <c r="D864" s="127"/>
      <c r="G864" s="127"/>
    </row>
    <row r="865" spans="3:7" ht="13">
      <c r="C865" s="127"/>
      <c r="D865" s="127"/>
      <c r="G865" s="127"/>
    </row>
    <row r="866" spans="3:7" ht="13">
      <c r="C866" s="127"/>
      <c r="D866" s="127"/>
      <c r="G866" s="127"/>
    </row>
    <row r="867" spans="3:7" ht="13">
      <c r="C867" s="127"/>
      <c r="D867" s="127"/>
      <c r="G867" s="127"/>
    </row>
    <row r="868" spans="3:7" ht="13">
      <c r="C868" s="127"/>
      <c r="D868" s="127"/>
      <c r="G868" s="127"/>
    </row>
    <row r="869" spans="3:7" ht="13">
      <c r="C869" s="127"/>
      <c r="D869" s="127"/>
      <c r="G869" s="127"/>
    </row>
    <row r="870" spans="3:7" ht="13">
      <c r="C870" s="127"/>
      <c r="D870" s="127"/>
      <c r="G870" s="127"/>
    </row>
    <row r="871" spans="3:7" ht="13">
      <c r="C871" s="127"/>
      <c r="D871" s="127"/>
      <c r="G871" s="127"/>
    </row>
    <row r="872" spans="3:7" ht="13">
      <c r="C872" s="127"/>
      <c r="D872" s="127"/>
      <c r="G872" s="127"/>
    </row>
    <row r="873" spans="3:7" ht="13">
      <c r="C873" s="127"/>
      <c r="D873" s="127"/>
      <c r="G873" s="127"/>
    </row>
    <row r="874" spans="3:7" ht="13">
      <c r="C874" s="127"/>
      <c r="D874" s="127"/>
      <c r="G874" s="127"/>
    </row>
    <row r="875" spans="3:7" ht="13">
      <c r="C875" s="127"/>
      <c r="D875" s="127"/>
      <c r="G875" s="127"/>
    </row>
    <row r="876" spans="3:7" ht="13">
      <c r="C876" s="127"/>
      <c r="D876" s="127"/>
      <c r="G876" s="127"/>
    </row>
    <row r="877" spans="3:7" ht="13">
      <c r="C877" s="127"/>
      <c r="D877" s="127"/>
      <c r="G877" s="127"/>
    </row>
    <row r="878" spans="3:7" ht="13">
      <c r="C878" s="127"/>
      <c r="D878" s="127"/>
      <c r="G878" s="127"/>
    </row>
    <row r="879" spans="3:7" ht="13">
      <c r="C879" s="127"/>
      <c r="D879" s="127"/>
      <c r="G879" s="127"/>
    </row>
    <row r="880" spans="3:7" ht="13">
      <c r="C880" s="127"/>
      <c r="D880" s="127"/>
      <c r="G880" s="127"/>
    </row>
    <row r="881" spans="3:7" ht="13">
      <c r="C881" s="127"/>
      <c r="D881" s="127"/>
      <c r="G881" s="127"/>
    </row>
    <row r="882" spans="3:7" ht="13">
      <c r="C882" s="127"/>
      <c r="D882" s="127"/>
      <c r="G882" s="127"/>
    </row>
    <row r="883" spans="3:7" ht="13">
      <c r="C883" s="127"/>
      <c r="D883" s="127"/>
      <c r="G883" s="127"/>
    </row>
    <row r="884" spans="3:7" ht="13">
      <c r="C884" s="127"/>
      <c r="D884" s="127"/>
      <c r="G884" s="127"/>
    </row>
    <row r="885" spans="3:7" ht="13">
      <c r="C885" s="127"/>
      <c r="D885" s="127"/>
      <c r="G885" s="127"/>
    </row>
    <row r="886" spans="3:7" ht="13">
      <c r="C886" s="127"/>
      <c r="D886" s="127"/>
      <c r="G886" s="127"/>
    </row>
    <row r="887" spans="3:7" ht="13">
      <c r="C887" s="127"/>
      <c r="D887" s="127"/>
      <c r="G887" s="127"/>
    </row>
    <row r="888" spans="3:7" ht="13">
      <c r="C888" s="127"/>
      <c r="D888" s="127"/>
      <c r="G888" s="127"/>
    </row>
    <row r="889" spans="3:7" ht="13">
      <c r="C889" s="127"/>
      <c r="D889" s="127"/>
      <c r="G889" s="127"/>
    </row>
    <row r="890" spans="3:7" ht="13">
      <c r="C890" s="127"/>
      <c r="D890" s="127"/>
      <c r="G890" s="127"/>
    </row>
    <row r="891" spans="3:7" ht="13">
      <c r="C891" s="127"/>
      <c r="D891" s="127"/>
      <c r="G891" s="127"/>
    </row>
    <row r="892" spans="3:7" ht="13">
      <c r="C892" s="127"/>
      <c r="D892" s="127"/>
      <c r="G892" s="127"/>
    </row>
    <row r="893" spans="3:7" ht="13">
      <c r="C893" s="127"/>
      <c r="D893" s="127"/>
      <c r="G893" s="127"/>
    </row>
    <row r="894" spans="3:7" ht="13">
      <c r="C894" s="127"/>
      <c r="D894" s="127"/>
      <c r="G894" s="127"/>
    </row>
    <row r="895" spans="3:7" ht="13">
      <c r="C895" s="127"/>
      <c r="D895" s="127"/>
      <c r="G895" s="127"/>
    </row>
    <row r="896" spans="3:7" ht="13">
      <c r="C896" s="127"/>
      <c r="D896" s="127"/>
      <c r="G896" s="127"/>
    </row>
    <row r="897" spans="3:7" ht="13">
      <c r="C897" s="127"/>
      <c r="D897" s="127"/>
      <c r="G897" s="127"/>
    </row>
    <row r="898" spans="3:7" ht="13">
      <c r="C898" s="127"/>
      <c r="D898" s="127"/>
      <c r="G898" s="127"/>
    </row>
    <row r="899" spans="3:7" ht="13">
      <c r="C899" s="127"/>
      <c r="D899" s="127"/>
      <c r="G899" s="127"/>
    </row>
    <row r="900" spans="3:7" ht="13">
      <c r="C900" s="127"/>
      <c r="D900" s="127"/>
      <c r="G900" s="127"/>
    </row>
    <row r="901" spans="3:7" ht="13">
      <c r="C901" s="127"/>
      <c r="D901" s="127"/>
      <c r="G901" s="127"/>
    </row>
    <row r="902" spans="3:7" ht="13">
      <c r="C902" s="127"/>
      <c r="D902" s="127"/>
      <c r="G902" s="127"/>
    </row>
    <row r="903" spans="3:7" ht="13">
      <c r="C903" s="127"/>
      <c r="D903" s="127"/>
      <c r="G903" s="127"/>
    </row>
    <row r="904" spans="3:7" ht="13">
      <c r="C904" s="127"/>
      <c r="D904" s="127"/>
      <c r="G904" s="127"/>
    </row>
    <row r="905" spans="3:7" ht="13">
      <c r="C905" s="127"/>
      <c r="D905" s="127"/>
      <c r="G905" s="127"/>
    </row>
    <row r="906" spans="3:7" ht="13">
      <c r="C906" s="127"/>
      <c r="D906" s="127"/>
      <c r="G906" s="127"/>
    </row>
    <row r="907" spans="3:7" ht="13">
      <c r="C907" s="127"/>
      <c r="D907" s="127"/>
      <c r="G907" s="127"/>
    </row>
    <row r="908" spans="3:7" ht="13">
      <c r="C908" s="127"/>
      <c r="D908" s="127"/>
      <c r="G908" s="127"/>
    </row>
    <row r="909" spans="3:7" ht="13">
      <c r="C909" s="127"/>
      <c r="D909" s="127"/>
      <c r="G909" s="127"/>
    </row>
    <row r="910" spans="3:7" ht="13">
      <c r="C910" s="127"/>
      <c r="D910" s="127"/>
      <c r="G910" s="127"/>
    </row>
    <row r="911" spans="3:7" ht="13">
      <c r="C911" s="127"/>
      <c r="D911" s="127"/>
      <c r="G911" s="127"/>
    </row>
    <row r="912" spans="3:7" ht="13">
      <c r="C912" s="127"/>
      <c r="D912" s="127"/>
      <c r="G912" s="127"/>
    </row>
    <row r="913" spans="3:7" ht="13">
      <c r="C913" s="127"/>
      <c r="D913" s="127"/>
      <c r="G913" s="127"/>
    </row>
    <row r="914" spans="3:7" ht="13">
      <c r="C914" s="127"/>
      <c r="D914" s="127"/>
      <c r="G914" s="127"/>
    </row>
    <row r="915" spans="3:7" ht="13">
      <c r="C915" s="127"/>
      <c r="D915" s="127"/>
      <c r="G915" s="127"/>
    </row>
    <row r="916" spans="3:7" ht="13">
      <c r="C916" s="127"/>
      <c r="D916" s="127"/>
      <c r="G916" s="127"/>
    </row>
    <row r="917" spans="3:7" ht="13">
      <c r="C917" s="127"/>
      <c r="D917" s="127"/>
      <c r="G917" s="127"/>
    </row>
    <row r="918" spans="3:7" ht="13">
      <c r="C918" s="127"/>
      <c r="D918" s="127"/>
      <c r="G918" s="127"/>
    </row>
    <row r="919" spans="3:7" ht="13">
      <c r="C919" s="127"/>
      <c r="D919" s="127"/>
      <c r="G919" s="127"/>
    </row>
    <row r="920" spans="3:7" ht="13">
      <c r="C920" s="127"/>
      <c r="D920" s="127"/>
      <c r="G920" s="127"/>
    </row>
    <row r="921" spans="3:7" ht="13">
      <c r="C921" s="127"/>
      <c r="D921" s="127"/>
      <c r="G921" s="127"/>
    </row>
    <row r="922" spans="3:7" ht="13">
      <c r="C922" s="127"/>
      <c r="D922" s="127"/>
      <c r="G922" s="127"/>
    </row>
    <row r="923" spans="3:7" ht="13">
      <c r="C923" s="127"/>
      <c r="D923" s="127"/>
      <c r="G923" s="127"/>
    </row>
    <row r="924" spans="3:7" ht="13">
      <c r="C924" s="127"/>
      <c r="D924" s="127"/>
      <c r="G924" s="127"/>
    </row>
    <row r="925" spans="3:7" ht="13">
      <c r="C925" s="127"/>
      <c r="D925" s="127"/>
      <c r="G925" s="127"/>
    </row>
    <row r="926" spans="3:7" ht="13">
      <c r="C926" s="127"/>
      <c r="D926" s="127"/>
      <c r="G926" s="127"/>
    </row>
    <row r="927" spans="3:7" ht="13">
      <c r="C927" s="127"/>
      <c r="D927" s="127"/>
      <c r="G927" s="127"/>
    </row>
    <row r="928" spans="3:7" ht="13">
      <c r="C928" s="127"/>
      <c r="D928" s="127"/>
      <c r="G928" s="127"/>
    </row>
    <row r="929" spans="3:7" ht="13">
      <c r="C929" s="127"/>
      <c r="D929" s="127"/>
      <c r="G929" s="127"/>
    </row>
    <row r="930" spans="3:7" ht="13">
      <c r="C930" s="127"/>
      <c r="D930" s="127"/>
      <c r="G930" s="127"/>
    </row>
    <row r="931" spans="3:7" ht="13">
      <c r="C931" s="127"/>
      <c r="D931" s="127"/>
      <c r="G931" s="127"/>
    </row>
    <row r="932" spans="3:7" ht="13">
      <c r="C932" s="127"/>
      <c r="D932" s="127"/>
      <c r="G932" s="127"/>
    </row>
    <row r="933" spans="3:7" ht="13">
      <c r="C933" s="127"/>
      <c r="D933" s="127"/>
      <c r="G933" s="127"/>
    </row>
    <row r="934" spans="3:7" ht="13">
      <c r="C934" s="127"/>
      <c r="D934" s="127"/>
      <c r="G934" s="127"/>
    </row>
    <row r="935" spans="3:7" ht="13">
      <c r="C935" s="127"/>
      <c r="D935" s="127"/>
      <c r="G935" s="127"/>
    </row>
    <row r="936" spans="3:7" ht="13">
      <c r="C936" s="127"/>
      <c r="D936" s="127"/>
      <c r="G936" s="127"/>
    </row>
    <row r="937" spans="3:7" ht="13">
      <c r="C937" s="127"/>
      <c r="D937" s="127"/>
      <c r="G937" s="127"/>
    </row>
    <row r="938" spans="3:7" ht="13">
      <c r="C938" s="127"/>
      <c r="D938" s="127"/>
      <c r="G938" s="127"/>
    </row>
    <row r="939" spans="3:7" ht="13">
      <c r="C939" s="127"/>
      <c r="D939" s="127"/>
      <c r="G939" s="127"/>
    </row>
    <row r="940" spans="3:7" ht="13">
      <c r="C940" s="127"/>
      <c r="D940" s="127"/>
      <c r="G940" s="127"/>
    </row>
    <row r="941" spans="3:7" ht="13">
      <c r="C941" s="127"/>
      <c r="D941" s="127"/>
      <c r="G941" s="127"/>
    </row>
    <row r="942" spans="3:7" ht="13">
      <c r="C942" s="127"/>
      <c r="D942" s="127"/>
      <c r="G942" s="127"/>
    </row>
    <row r="943" spans="3:7" ht="13">
      <c r="C943" s="127"/>
      <c r="D943" s="127"/>
      <c r="G943" s="127"/>
    </row>
    <row r="944" spans="3:7" ht="13">
      <c r="C944" s="127"/>
      <c r="D944" s="127"/>
      <c r="G944" s="127"/>
    </row>
    <row r="945" spans="3:7" ht="13">
      <c r="C945" s="127"/>
      <c r="D945" s="127"/>
      <c r="G945" s="127"/>
    </row>
    <row r="946" spans="3:7" ht="13">
      <c r="C946" s="127"/>
      <c r="D946" s="127"/>
      <c r="G946" s="127"/>
    </row>
    <row r="947" spans="3:7" ht="13">
      <c r="C947" s="127"/>
      <c r="D947" s="127"/>
      <c r="G947" s="127"/>
    </row>
    <row r="948" spans="3:7" ht="13">
      <c r="C948" s="127"/>
      <c r="D948" s="127"/>
      <c r="G948" s="127"/>
    </row>
    <row r="949" spans="3:7" ht="13">
      <c r="C949" s="127"/>
      <c r="D949" s="127"/>
      <c r="G949" s="127"/>
    </row>
    <row r="950" spans="3:7" ht="13">
      <c r="C950" s="127"/>
      <c r="D950" s="127"/>
      <c r="G950" s="127"/>
    </row>
    <row r="951" spans="3:7" ht="13">
      <c r="C951" s="127"/>
      <c r="D951" s="127"/>
      <c r="G951" s="127"/>
    </row>
    <row r="952" spans="3:7" ht="13">
      <c r="C952" s="127"/>
      <c r="D952" s="127"/>
      <c r="G952" s="127"/>
    </row>
    <row r="953" spans="3:7" ht="13">
      <c r="C953" s="127"/>
      <c r="D953" s="127"/>
      <c r="G953" s="127"/>
    </row>
    <row r="954" spans="3:7" ht="13">
      <c r="C954" s="127"/>
      <c r="D954" s="127"/>
      <c r="G954" s="127"/>
    </row>
    <row r="955" spans="3:7" ht="13">
      <c r="C955" s="127"/>
      <c r="D955" s="127"/>
      <c r="G955" s="127"/>
    </row>
    <row r="956" spans="3:7" ht="13">
      <c r="C956" s="127"/>
      <c r="D956" s="127"/>
      <c r="G956" s="127"/>
    </row>
    <row r="957" spans="3:7" ht="13">
      <c r="C957" s="127"/>
      <c r="D957" s="127"/>
      <c r="G957" s="127"/>
    </row>
    <row r="958" spans="3:7" ht="13">
      <c r="C958" s="127"/>
      <c r="D958" s="127"/>
      <c r="G958" s="127"/>
    </row>
    <row r="959" spans="3:7" ht="13">
      <c r="C959" s="127"/>
      <c r="D959" s="127"/>
      <c r="G959" s="127"/>
    </row>
    <row r="960" spans="3:7" ht="13">
      <c r="C960" s="127"/>
      <c r="D960" s="127"/>
      <c r="G960" s="127"/>
    </row>
    <row r="961" spans="3:7" ht="13">
      <c r="C961" s="127"/>
      <c r="D961" s="127"/>
      <c r="G961" s="127"/>
    </row>
    <row r="962" spans="3:7" ht="13">
      <c r="C962" s="127"/>
      <c r="D962" s="127"/>
      <c r="G962" s="127"/>
    </row>
    <row r="963" spans="3:7" ht="13">
      <c r="C963" s="127"/>
      <c r="D963" s="127"/>
      <c r="G963" s="127"/>
    </row>
    <row r="964" spans="3:7" ht="13">
      <c r="C964" s="127"/>
      <c r="D964" s="127"/>
      <c r="G964" s="127"/>
    </row>
    <row r="965" spans="3:7" ht="13">
      <c r="C965" s="127"/>
      <c r="D965" s="127"/>
      <c r="G965" s="127"/>
    </row>
    <row r="966" spans="3:7" ht="13">
      <c r="C966" s="127"/>
      <c r="D966" s="127"/>
      <c r="G966" s="127"/>
    </row>
    <row r="967" spans="3:7" ht="13">
      <c r="C967" s="127"/>
      <c r="D967" s="127"/>
      <c r="G967" s="127"/>
    </row>
    <row r="968" spans="3:7" ht="13">
      <c r="C968" s="127"/>
      <c r="D968" s="127"/>
      <c r="G968" s="127"/>
    </row>
    <row r="969" spans="3:7" ht="13">
      <c r="C969" s="127"/>
      <c r="D969" s="127"/>
      <c r="G969" s="127"/>
    </row>
    <row r="970" spans="3:7" ht="13">
      <c r="C970" s="127"/>
      <c r="D970" s="127"/>
      <c r="G970" s="127"/>
    </row>
    <row r="971" spans="3:7" ht="13">
      <c r="C971" s="127"/>
      <c r="D971" s="127"/>
      <c r="G971" s="127"/>
    </row>
    <row r="972" spans="3:7" ht="13">
      <c r="C972" s="127"/>
      <c r="D972" s="127"/>
      <c r="G972" s="127"/>
    </row>
    <row r="973" spans="3:7" ht="13">
      <c r="C973" s="127"/>
      <c r="D973" s="127"/>
      <c r="G973" s="127"/>
    </row>
    <row r="974" spans="3:7" ht="13">
      <c r="C974" s="127"/>
      <c r="D974" s="127"/>
      <c r="G974" s="127"/>
    </row>
    <row r="975" spans="3:7" ht="13">
      <c r="C975" s="127"/>
      <c r="D975" s="127"/>
      <c r="G975" s="127"/>
    </row>
    <row r="976" spans="3:7" ht="13">
      <c r="C976" s="127"/>
      <c r="D976" s="127"/>
      <c r="G976" s="127"/>
    </row>
    <row r="977" spans="3:7" ht="13">
      <c r="C977" s="127"/>
      <c r="D977" s="127"/>
      <c r="G977" s="127"/>
    </row>
    <row r="978" spans="3:7" ht="13">
      <c r="C978" s="127"/>
      <c r="D978" s="127"/>
      <c r="G978" s="127"/>
    </row>
    <row r="979" spans="3:7" ht="13">
      <c r="C979" s="127"/>
      <c r="D979" s="127"/>
      <c r="G979" s="127"/>
    </row>
    <row r="980" spans="3:7" ht="13">
      <c r="C980" s="127"/>
      <c r="D980" s="127"/>
      <c r="G980" s="127"/>
    </row>
    <row r="981" spans="3:7" ht="13">
      <c r="C981" s="127"/>
      <c r="D981" s="127"/>
      <c r="G981" s="127"/>
    </row>
    <row r="982" spans="3:7" ht="13">
      <c r="C982" s="127"/>
      <c r="D982" s="127"/>
      <c r="G982" s="127"/>
    </row>
    <row r="983" spans="3:7" ht="13">
      <c r="C983" s="127"/>
      <c r="D983" s="127"/>
      <c r="G983" s="127"/>
    </row>
    <row r="984" spans="3:7" ht="13">
      <c r="C984" s="127"/>
      <c r="D984" s="127"/>
      <c r="G984" s="127"/>
    </row>
    <row r="985" spans="3:7" ht="13">
      <c r="C985" s="127"/>
      <c r="D985" s="127"/>
      <c r="G985" s="127"/>
    </row>
    <row r="986" spans="3:7" ht="13">
      <c r="C986" s="127"/>
      <c r="D986" s="127"/>
      <c r="G986" s="127"/>
    </row>
    <row r="987" spans="3:7" ht="13">
      <c r="C987" s="127"/>
      <c r="D987" s="127"/>
      <c r="G987" s="127"/>
    </row>
    <row r="988" spans="3:7" ht="13">
      <c r="C988" s="127"/>
      <c r="D988" s="127"/>
      <c r="G988" s="127"/>
    </row>
    <row r="989" spans="3:7" ht="13">
      <c r="C989" s="127"/>
      <c r="D989" s="127"/>
      <c r="G989" s="127"/>
    </row>
    <row r="990" spans="3:7" ht="13">
      <c r="C990" s="127"/>
      <c r="D990" s="127"/>
      <c r="G990" s="127"/>
    </row>
    <row r="991" spans="3:7" ht="13">
      <c r="C991" s="127"/>
      <c r="D991" s="127"/>
      <c r="G991" s="127"/>
    </row>
    <row r="992" spans="3:7" ht="13">
      <c r="C992" s="127"/>
      <c r="D992" s="127"/>
      <c r="G992" s="127"/>
    </row>
    <row r="993" spans="3:7" ht="13">
      <c r="C993" s="127"/>
      <c r="D993" s="127"/>
      <c r="G993" s="127"/>
    </row>
    <row r="994" spans="3:7" ht="13">
      <c r="C994" s="127"/>
      <c r="D994" s="127"/>
      <c r="G994" s="127"/>
    </row>
    <row r="995" spans="3:7" ht="13">
      <c r="C995" s="127"/>
      <c r="D995" s="127"/>
      <c r="G995" s="127"/>
    </row>
    <row r="996" spans="3:7" ht="13">
      <c r="C996" s="127"/>
      <c r="D996" s="127"/>
      <c r="G996" s="127"/>
    </row>
    <row r="997" spans="3:7" ht="13">
      <c r="C997" s="127"/>
      <c r="D997" s="127"/>
      <c r="G997" s="127"/>
    </row>
    <row r="998" spans="3:7" ht="13">
      <c r="C998" s="127"/>
      <c r="D998" s="127"/>
      <c r="G998" s="127"/>
    </row>
    <row r="999" spans="3:7" ht="13">
      <c r="C999" s="127"/>
      <c r="D999" s="127"/>
      <c r="G999" s="127"/>
    </row>
    <row r="1000" spans="3:7" ht="13">
      <c r="C1000" s="127"/>
      <c r="D1000" s="127"/>
      <c r="G1000" s="127"/>
    </row>
    <row r="1001" spans="3:7" ht="13">
      <c r="C1001" s="127"/>
      <c r="D1001" s="127"/>
      <c r="G1001" s="127"/>
    </row>
    <row r="1002" spans="3:7" ht="13">
      <c r="C1002" s="127"/>
      <c r="D1002" s="127"/>
      <c r="G1002" s="127"/>
    </row>
    <row r="1003" spans="3:7" ht="13">
      <c r="C1003" s="127"/>
      <c r="D1003" s="127"/>
      <c r="G1003" s="127"/>
    </row>
    <row r="1004" spans="3:7" ht="13">
      <c r="C1004" s="127"/>
      <c r="D1004" s="127"/>
      <c r="G1004" s="127"/>
    </row>
    <row r="1005" spans="3:7" ht="13">
      <c r="C1005" s="127"/>
      <c r="D1005" s="127"/>
      <c r="G1005" s="127"/>
    </row>
    <row r="1006" spans="3:7" ht="13">
      <c r="C1006" s="127"/>
      <c r="D1006" s="127"/>
      <c r="G1006" s="127"/>
    </row>
    <row r="1007" spans="3:7" ht="13">
      <c r="C1007" s="127"/>
      <c r="D1007" s="127"/>
      <c r="G1007" s="127"/>
    </row>
    <row r="1008" spans="3:7" ht="13">
      <c r="C1008" s="127"/>
      <c r="D1008" s="127"/>
      <c r="G1008" s="127"/>
    </row>
    <row r="1009" spans="3:7" ht="13">
      <c r="C1009" s="127"/>
      <c r="D1009" s="127"/>
      <c r="G1009" s="127"/>
    </row>
    <row r="1010" spans="3:7" ht="13">
      <c r="C1010" s="127"/>
      <c r="D1010" s="127"/>
      <c r="G1010" s="127"/>
    </row>
    <row r="1011" spans="3:7" ht="13">
      <c r="C1011" s="127"/>
      <c r="D1011" s="127"/>
      <c r="G1011" s="127"/>
    </row>
    <row r="1012" spans="3:7" ht="13">
      <c r="C1012" s="127"/>
      <c r="D1012" s="127"/>
      <c r="G1012" s="127"/>
    </row>
  </sheetData>
  <mergeCells count="1">
    <mergeCell ref="E45:G45"/>
  </mergeCells>
  <hyperlinks>
    <hyperlink ref="A2" r:id="rId1" xr:uid="{00000000-0004-0000-0A00-000000000000}"/>
    <hyperlink ref="C2" r:id="rId2" xr:uid="{00000000-0004-0000-0A00-000001000000}"/>
    <hyperlink ref="D2" r:id="rId3" xr:uid="{00000000-0004-0000-0A00-000002000000}"/>
    <hyperlink ref="A3" r:id="rId4" xr:uid="{00000000-0004-0000-0A00-000003000000}"/>
    <hyperlink ref="C3" r:id="rId5" xr:uid="{00000000-0004-0000-0A00-000004000000}"/>
    <hyperlink ref="D3" r:id="rId6" xr:uid="{00000000-0004-0000-0A00-000005000000}"/>
    <hyperlink ref="N3" r:id="rId7" xr:uid="{00000000-0004-0000-0A00-000006000000}"/>
    <hyperlink ref="C4" r:id="rId8" xr:uid="{00000000-0004-0000-0A00-000007000000}"/>
    <hyperlink ref="D4" r:id="rId9" xr:uid="{00000000-0004-0000-0A00-000008000000}"/>
    <hyperlink ref="N4" r:id="rId10" xr:uid="{00000000-0004-0000-0A00-000009000000}"/>
    <hyperlink ref="A5" r:id="rId11" xr:uid="{00000000-0004-0000-0A00-00000A000000}"/>
    <hyperlink ref="C5" r:id="rId12" xr:uid="{00000000-0004-0000-0A00-00000B000000}"/>
    <hyperlink ref="D5" r:id="rId13" xr:uid="{00000000-0004-0000-0A00-00000C000000}"/>
    <hyperlink ref="A6" r:id="rId14" xr:uid="{00000000-0004-0000-0A00-00000D000000}"/>
    <hyperlink ref="C6" r:id="rId15" xr:uid="{00000000-0004-0000-0A00-00000E000000}"/>
    <hyperlink ref="D6" r:id="rId16" xr:uid="{00000000-0004-0000-0A00-00000F000000}"/>
    <hyperlink ref="A7" r:id="rId17" xr:uid="{00000000-0004-0000-0A00-000010000000}"/>
    <hyperlink ref="C7" r:id="rId18" xr:uid="{00000000-0004-0000-0A00-000011000000}"/>
    <hyperlink ref="D7" r:id="rId19" xr:uid="{00000000-0004-0000-0A00-000012000000}"/>
    <hyperlink ref="C8" r:id="rId20" xr:uid="{00000000-0004-0000-0A00-000013000000}"/>
    <hyperlink ref="D8" r:id="rId21" xr:uid="{00000000-0004-0000-0A00-000014000000}"/>
    <hyperlink ref="C9" r:id="rId22" xr:uid="{00000000-0004-0000-0A00-000015000000}"/>
    <hyperlink ref="D9" r:id="rId23" xr:uid="{00000000-0004-0000-0A00-000016000000}"/>
    <hyperlink ref="A10" r:id="rId24" xr:uid="{00000000-0004-0000-0A00-000017000000}"/>
    <hyperlink ref="C10" r:id="rId25" xr:uid="{00000000-0004-0000-0A00-000018000000}"/>
    <hyperlink ref="D10" r:id="rId26" xr:uid="{00000000-0004-0000-0A00-000019000000}"/>
    <hyperlink ref="C11" r:id="rId27" xr:uid="{00000000-0004-0000-0A00-00001A000000}"/>
    <hyperlink ref="D11" r:id="rId28" xr:uid="{00000000-0004-0000-0A00-00001B000000}"/>
    <hyperlink ref="C12" r:id="rId29" xr:uid="{00000000-0004-0000-0A00-00001C000000}"/>
    <hyperlink ref="D12" r:id="rId30" xr:uid="{00000000-0004-0000-0A00-00001D000000}"/>
    <hyperlink ref="C13" r:id="rId31" xr:uid="{00000000-0004-0000-0A00-00001E000000}"/>
    <hyperlink ref="D13" r:id="rId32" xr:uid="{00000000-0004-0000-0A00-00001F000000}"/>
    <hyperlink ref="C14" r:id="rId33" xr:uid="{00000000-0004-0000-0A00-000020000000}"/>
    <hyperlink ref="D14" r:id="rId34" xr:uid="{00000000-0004-0000-0A00-000021000000}"/>
    <hyperlink ref="C15" r:id="rId35" xr:uid="{00000000-0004-0000-0A00-000022000000}"/>
    <hyperlink ref="D15" r:id="rId36" xr:uid="{00000000-0004-0000-0A00-000023000000}"/>
    <hyperlink ref="N15" r:id="rId37" xr:uid="{00000000-0004-0000-0A00-000024000000}"/>
    <hyperlink ref="C16" r:id="rId38" xr:uid="{00000000-0004-0000-0A00-000025000000}"/>
    <hyperlink ref="N16" r:id="rId39" xr:uid="{00000000-0004-0000-0A00-000026000000}"/>
    <hyperlink ref="C17" r:id="rId40" xr:uid="{00000000-0004-0000-0A00-000027000000}"/>
    <hyperlink ref="D17" r:id="rId41" xr:uid="{00000000-0004-0000-0A00-000028000000}"/>
    <hyperlink ref="C18" r:id="rId42" xr:uid="{00000000-0004-0000-0A00-000029000000}"/>
    <hyperlink ref="D18" r:id="rId43" xr:uid="{00000000-0004-0000-0A00-00002A000000}"/>
    <hyperlink ref="N18" r:id="rId44" xr:uid="{00000000-0004-0000-0A00-00002B000000}"/>
    <hyperlink ref="C19" r:id="rId45" xr:uid="{00000000-0004-0000-0A00-00002C000000}"/>
    <hyperlink ref="D19" r:id="rId46" xr:uid="{00000000-0004-0000-0A00-00002D000000}"/>
    <hyperlink ref="N19" r:id="rId47" xr:uid="{00000000-0004-0000-0A00-00002E000000}"/>
    <hyperlink ref="C20" r:id="rId48" xr:uid="{00000000-0004-0000-0A00-00002F000000}"/>
    <hyperlink ref="D20" r:id="rId49" xr:uid="{00000000-0004-0000-0A00-000030000000}"/>
    <hyperlink ref="C21" r:id="rId50" xr:uid="{00000000-0004-0000-0A00-000031000000}"/>
    <hyperlink ref="D21" r:id="rId51" xr:uid="{00000000-0004-0000-0A00-000032000000}"/>
    <hyperlink ref="N21" r:id="rId52" xr:uid="{00000000-0004-0000-0A00-000033000000}"/>
    <hyperlink ref="C22" r:id="rId53" xr:uid="{00000000-0004-0000-0A00-000034000000}"/>
    <hyperlink ref="D22" r:id="rId54" xr:uid="{00000000-0004-0000-0A00-000035000000}"/>
    <hyperlink ref="N22" r:id="rId55" xr:uid="{00000000-0004-0000-0A00-000036000000}"/>
    <hyperlink ref="A23" r:id="rId56" xr:uid="{00000000-0004-0000-0A00-000037000000}"/>
    <hyperlink ref="C23" r:id="rId57" xr:uid="{00000000-0004-0000-0A00-000038000000}"/>
    <hyperlink ref="D23" r:id="rId58" xr:uid="{00000000-0004-0000-0A00-000039000000}"/>
    <hyperlink ref="C24" r:id="rId59" xr:uid="{00000000-0004-0000-0A00-00003A000000}"/>
    <hyperlink ref="D24" r:id="rId60" xr:uid="{00000000-0004-0000-0A00-00003B000000}"/>
    <hyperlink ref="N24" r:id="rId61" xr:uid="{00000000-0004-0000-0A00-00003C000000}"/>
    <hyperlink ref="A25" r:id="rId62" xr:uid="{00000000-0004-0000-0A00-00003D000000}"/>
    <hyperlink ref="C25" r:id="rId63" xr:uid="{00000000-0004-0000-0A00-00003E000000}"/>
    <hyperlink ref="D25" r:id="rId64" xr:uid="{00000000-0004-0000-0A00-00003F000000}"/>
    <hyperlink ref="C26" r:id="rId65" xr:uid="{00000000-0004-0000-0A00-000040000000}"/>
    <hyperlink ref="D26" r:id="rId66" xr:uid="{00000000-0004-0000-0A00-000041000000}"/>
    <hyperlink ref="C27" r:id="rId67" xr:uid="{00000000-0004-0000-0A00-000042000000}"/>
    <hyperlink ref="D27" r:id="rId68" xr:uid="{00000000-0004-0000-0A00-000043000000}"/>
    <hyperlink ref="N27" r:id="rId69" xr:uid="{00000000-0004-0000-0A00-000044000000}"/>
    <hyperlink ref="C28" r:id="rId70" xr:uid="{00000000-0004-0000-0A00-000045000000}"/>
    <hyperlink ref="D28" r:id="rId71" xr:uid="{00000000-0004-0000-0A00-000046000000}"/>
    <hyperlink ref="C29" r:id="rId72" xr:uid="{00000000-0004-0000-0A00-000047000000}"/>
    <hyperlink ref="D29" r:id="rId73" xr:uid="{00000000-0004-0000-0A00-000048000000}"/>
    <hyperlink ref="N29" r:id="rId74" xr:uid="{00000000-0004-0000-0A00-000049000000}"/>
    <hyperlink ref="C30" r:id="rId75" xr:uid="{00000000-0004-0000-0A00-00004A000000}"/>
    <hyperlink ref="D30" r:id="rId76" xr:uid="{00000000-0004-0000-0A00-00004B000000}"/>
    <hyperlink ref="C31" r:id="rId77" xr:uid="{00000000-0004-0000-0A00-00004C000000}"/>
    <hyperlink ref="D31" r:id="rId78" xr:uid="{00000000-0004-0000-0A00-00004D000000}"/>
    <hyperlink ref="N31" r:id="rId79" xr:uid="{00000000-0004-0000-0A00-00004E000000}"/>
    <hyperlink ref="C32" r:id="rId80" xr:uid="{00000000-0004-0000-0A00-00004F000000}"/>
    <hyperlink ref="D32" r:id="rId81" xr:uid="{00000000-0004-0000-0A00-000050000000}"/>
  </hyperlinks>
  <pageMargins left="0.7" right="0.7" top="0.75" bottom="0.75" header="0.3" footer="0.3"/>
  <legacyDrawing r:id="rId82"/>
  <tableParts count="1">
    <tablePart r:id="rId8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H102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5.33203125" customWidth="1"/>
    <col min="2" max="2" width="5.6640625" customWidth="1"/>
    <col min="3" max="3" width="12.83203125" customWidth="1"/>
    <col min="6" max="6" width="7.6640625" customWidth="1"/>
    <col min="7" max="7" width="9.5" customWidth="1"/>
    <col min="8" max="8" width="7.5" customWidth="1"/>
    <col min="9" max="10" width="8.5" customWidth="1"/>
    <col min="11" max="13" width="7.5" customWidth="1"/>
    <col min="28" max="28" width="9.33203125" customWidth="1"/>
    <col min="29" max="29" width="8.5" customWidth="1"/>
    <col min="30" max="30" width="5.33203125" customWidth="1"/>
  </cols>
  <sheetData>
    <row r="1" spans="1:60" ht="13">
      <c r="A1" s="193"/>
      <c r="B1" s="193" t="s">
        <v>6</v>
      </c>
      <c r="C1" s="194" t="s">
        <v>7</v>
      </c>
      <c r="D1" s="194" t="s">
        <v>14</v>
      </c>
      <c r="E1" s="194" t="s">
        <v>15</v>
      </c>
      <c r="F1" s="193" t="s">
        <v>16</v>
      </c>
      <c r="G1" s="194" t="s">
        <v>17</v>
      </c>
      <c r="H1" s="193" t="s">
        <v>18</v>
      </c>
      <c r="I1" s="195" t="s">
        <v>19</v>
      </c>
      <c r="J1" s="195" t="s">
        <v>20</v>
      </c>
      <c r="K1" s="195" t="s">
        <v>21</v>
      </c>
      <c r="L1" s="195" t="s">
        <v>22</v>
      </c>
      <c r="M1" s="196" t="s">
        <v>142</v>
      </c>
      <c r="N1" s="193" t="s">
        <v>23</v>
      </c>
      <c r="O1" s="193" t="s">
        <v>24</v>
      </c>
      <c r="P1" s="193" t="s">
        <v>25</v>
      </c>
      <c r="Q1" s="193" t="s">
        <v>26</v>
      </c>
      <c r="R1" s="193" t="s">
        <v>27</v>
      </c>
      <c r="S1" s="193" t="s">
        <v>28</v>
      </c>
      <c r="T1" s="193" t="s">
        <v>29</v>
      </c>
      <c r="U1" s="193" t="s">
        <v>30</v>
      </c>
      <c r="V1" s="193" t="s">
        <v>31</v>
      </c>
      <c r="W1" s="193" t="s">
        <v>32</v>
      </c>
      <c r="X1" s="193" t="s">
        <v>33</v>
      </c>
      <c r="Y1" s="193" t="s">
        <v>34</v>
      </c>
      <c r="Z1" s="193" t="s">
        <v>35</v>
      </c>
      <c r="AA1" s="193" t="s">
        <v>36</v>
      </c>
      <c r="AB1" s="195" t="s">
        <v>37</v>
      </c>
      <c r="AC1" s="195" t="s">
        <v>38</v>
      </c>
      <c r="AD1" s="197" t="s">
        <v>39</v>
      </c>
      <c r="AE1" s="193" t="s">
        <v>40</v>
      </c>
      <c r="AF1" s="193" t="s">
        <v>41</v>
      </c>
      <c r="AG1" s="193" t="s">
        <v>42</v>
      </c>
      <c r="AH1" s="193" t="s">
        <v>43</v>
      </c>
      <c r="AI1" s="198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  <c r="AZ1" s="199"/>
      <c r="BA1" s="199"/>
      <c r="BB1" s="199"/>
      <c r="BC1" s="199"/>
      <c r="BD1" s="199"/>
      <c r="BE1" s="199"/>
      <c r="BF1" s="199"/>
      <c r="BG1" s="199"/>
      <c r="BH1" s="199"/>
    </row>
    <row r="2" spans="1:60" ht="13">
      <c r="A2" s="26" t="s">
        <v>63</v>
      </c>
      <c r="B2" s="8" t="s">
        <v>9</v>
      </c>
      <c r="C2" s="140" t="s">
        <v>64</v>
      </c>
      <c r="D2" s="140" t="s">
        <v>65</v>
      </c>
      <c r="E2" t="str">
        <f t="shared" ref="E2:E20" si="0">TRIM(LEFT(D2,LEN(D2)-4))</f>
        <v>Kevin Biggio</v>
      </c>
      <c r="F2" t="s">
        <v>67</v>
      </c>
      <c r="G2" s="127" t="s">
        <v>68</v>
      </c>
      <c r="H2" s="4">
        <v>1673</v>
      </c>
      <c r="I2" s="98">
        <v>10</v>
      </c>
      <c r="J2" s="99"/>
      <c r="K2" s="99"/>
      <c r="L2" s="99"/>
      <c r="M2" s="99"/>
      <c r="N2" s="9" t="s">
        <v>69</v>
      </c>
      <c r="O2" t="s">
        <v>70</v>
      </c>
      <c r="P2">
        <v>10</v>
      </c>
      <c r="Q2" t="s">
        <v>70</v>
      </c>
      <c r="V2">
        <v>3.5</v>
      </c>
      <c r="W2">
        <v>6</v>
      </c>
      <c r="X2">
        <v>6</v>
      </c>
      <c r="Y2">
        <v>10</v>
      </c>
      <c r="Z2">
        <v>8</v>
      </c>
      <c r="AA2">
        <v>8.25</v>
      </c>
      <c r="AB2" s="98">
        <v>5</v>
      </c>
      <c r="AC2" s="98">
        <v>10</v>
      </c>
      <c r="AD2" s="8">
        <v>1793</v>
      </c>
      <c r="AE2">
        <v>625</v>
      </c>
      <c r="AF2">
        <v>602</v>
      </c>
      <c r="AG2">
        <v>593</v>
      </c>
      <c r="AH2">
        <v>569</v>
      </c>
    </row>
    <row r="3" spans="1:60" ht="12.75" customHeight="1">
      <c r="A3" s="94" t="s">
        <v>105</v>
      </c>
      <c r="B3" s="8" t="s">
        <v>9</v>
      </c>
      <c r="C3" s="96" t="s">
        <v>106</v>
      </c>
      <c r="D3" s="96" t="s">
        <v>107</v>
      </c>
      <c r="E3" t="str">
        <f t="shared" si="0"/>
        <v>Penny Kowers</v>
      </c>
      <c r="F3" s="8" t="s">
        <v>90</v>
      </c>
      <c r="G3" s="97" t="s">
        <v>109</v>
      </c>
      <c r="H3" s="4">
        <v>1561</v>
      </c>
      <c r="I3" s="200">
        <v>10</v>
      </c>
      <c r="J3" s="99"/>
      <c r="K3" s="99"/>
      <c r="L3" s="99"/>
      <c r="M3" s="99"/>
      <c r="N3" s="8" t="s">
        <v>110</v>
      </c>
      <c r="O3" s="8" t="s">
        <v>70</v>
      </c>
      <c r="P3" s="8">
        <v>48</v>
      </c>
      <c r="Q3" s="8" t="s">
        <v>70</v>
      </c>
      <c r="R3" s="8"/>
      <c r="S3" s="8"/>
      <c r="T3" s="8"/>
      <c r="V3" s="8">
        <v>12</v>
      </c>
      <c r="W3" s="8">
        <v>1.5</v>
      </c>
      <c r="X3" s="8">
        <v>10</v>
      </c>
      <c r="Y3" s="8">
        <v>8</v>
      </c>
      <c r="Z3" s="8">
        <v>9</v>
      </c>
      <c r="AA3" s="8">
        <v>586</v>
      </c>
      <c r="AB3" s="99">
        <v>26.5</v>
      </c>
      <c r="AC3" s="201">
        <v>10</v>
      </c>
      <c r="AD3" s="8">
        <v>1673</v>
      </c>
      <c r="AE3" s="8">
        <v>10</v>
      </c>
      <c r="AF3" s="8">
        <v>572</v>
      </c>
      <c r="AG3" s="8">
        <v>558</v>
      </c>
      <c r="AH3" s="8">
        <v>534</v>
      </c>
    </row>
    <row r="4" spans="1:60" ht="12.75" customHeight="1">
      <c r="A4" s="94" t="s">
        <v>122</v>
      </c>
      <c r="B4" s="8" t="s">
        <v>9</v>
      </c>
      <c r="C4" s="96" t="s">
        <v>123</v>
      </c>
      <c r="D4" s="96" t="s">
        <v>124</v>
      </c>
      <c r="E4" t="str">
        <f t="shared" si="0"/>
        <v>D'Aroldis Borkman</v>
      </c>
      <c r="F4" s="8" t="s">
        <v>90</v>
      </c>
      <c r="G4" s="97" t="s">
        <v>55</v>
      </c>
      <c r="H4" s="4">
        <v>1531</v>
      </c>
      <c r="I4" s="98">
        <v>10</v>
      </c>
      <c r="J4" s="99"/>
      <c r="K4" s="99"/>
      <c r="L4" s="99"/>
      <c r="M4" s="99"/>
      <c r="N4" s="8"/>
      <c r="O4" s="8" t="s">
        <v>126</v>
      </c>
      <c r="P4" s="8">
        <v>3</v>
      </c>
      <c r="Q4" s="8" t="s">
        <v>78</v>
      </c>
      <c r="R4" s="8"/>
      <c r="S4" s="8"/>
      <c r="T4" s="8"/>
      <c r="V4" s="8">
        <v>3</v>
      </c>
      <c r="W4" s="8">
        <v>3</v>
      </c>
      <c r="X4" s="8">
        <v>3</v>
      </c>
      <c r="Y4" s="8">
        <v>6.5</v>
      </c>
      <c r="Z4" s="8">
        <v>354</v>
      </c>
      <c r="AA4" s="8">
        <v>12</v>
      </c>
      <c r="AB4" s="99">
        <v>9.25</v>
      </c>
      <c r="AC4" s="98">
        <v>9.75</v>
      </c>
      <c r="AD4" s="8">
        <v>1408</v>
      </c>
      <c r="AE4" s="8">
        <v>15</v>
      </c>
      <c r="AF4" s="8">
        <v>306</v>
      </c>
      <c r="AG4" s="8">
        <v>306</v>
      </c>
      <c r="AH4" s="8">
        <v>270</v>
      </c>
    </row>
    <row r="5" spans="1:60" ht="18" customHeight="1">
      <c r="A5" s="202" t="s">
        <v>146</v>
      </c>
      <c r="B5" s="8" t="s">
        <v>304</v>
      </c>
      <c r="C5" s="96" t="s">
        <v>147</v>
      </c>
      <c r="D5" s="96" t="s">
        <v>148</v>
      </c>
      <c r="E5" t="str">
        <f t="shared" si="0"/>
        <v>Johnny Runakiwi</v>
      </c>
      <c r="F5" s="8" t="str">
        <f t="shared" ref="F5:F9" si="1">TRIM(RIGHT(D5,2))</f>
        <v>SS</v>
      </c>
      <c r="G5" s="97" t="s">
        <v>151</v>
      </c>
      <c r="H5" s="4">
        <v>1386</v>
      </c>
      <c r="I5" s="203">
        <v>9.5</v>
      </c>
      <c r="J5" s="204"/>
      <c r="K5" s="205"/>
      <c r="L5" s="205"/>
      <c r="M5" s="205"/>
      <c r="N5" s="206" t="s">
        <v>152</v>
      </c>
      <c r="O5" s="207" t="s">
        <v>70</v>
      </c>
      <c r="P5" s="208">
        <v>58</v>
      </c>
      <c r="Q5" s="207" t="s">
        <v>70</v>
      </c>
      <c r="R5" s="207"/>
      <c r="S5" s="207"/>
      <c r="T5" s="207"/>
      <c r="U5" s="206"/>
      <c r="V5" s="208">
        <v>4</v>
      </c>
      <c r="W5" s="208">
        <v>5</v>
      </c>
      <c r="X5" s="208">
        <v>6.5</v>
      </c>
      <c r="Y5" s="208">
        <v>7.25</v>
      </c>
      <c r="Z5" s="208">
        <v>9</v>
      </c>
      <c r="AA5" s="208">
        <v>9.5</v>
      </c>
      <c r="AB5" s="209">
        <v>9.75</v>
      </c>
      <c r="AC5" s="203">
        <v>9.75</v>
      </c>
      <c r="AD5" s="208">
        <v>1564</v>
      </c>
      <c r="AE5" s="209">
        <v>599</v>
      </c>
      <c r="AF5" s="208">
        <v>585</v>
      </c>
      <c r="AG5" s="208">
        <v>571</v>
      </c>
      <c r="AH5" s="208">
        <v>547</v>
      </c>
      <c r="AI5" s="206"/>
      <c r="AJ5" s="153" t="str">
        <f>VLOOKUP(B5,Analysis!$A$24:$B$32,2,FALSE)</f>
        <v>:bulldogs:</v>
      </c>
      <c r="AK5" s="154" t="str">
        <f t="shared" ref="AK5:AK6" si="2">AJ5&amp;" [b][url="&amp;A5&amp;"]"&amp;D5&amp;"[/url][/b] TPE: "&amp;AD5&amp;", Regression Class: "&amp;Q5</f>
        <v>:bulldogs: [b][url=http://probaseballexperience.jcink.net/index.php?showtopic=211]Johnny Runakiwi - SS[/url][/b] TPE: 1564, Regression Class: S1</v>
      </c>
      <c r="AL5" s="206"/>
      <c r="AM5" s="206"/>
      <c r="AN5" s="206"/>
      <c r="AO5" s="206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6"/>
      <c r="BA5" s="206"/>
      <c r="BB5" s="206"/>
      <c r="BC5" s="206"/>
      <c r="BD5" s="206"/>
      <c r="BE5" s="206"/>
      <c r="BF5" s="206"/>
      <c r="BG5" s="206"/>
      <c r="BH5" s="206"/>
    </row>
    <row r="6" spans="1:60" ht="13">
      <c r="A6" s="93" t="s">
        <v>135</v>
      </c>
      <c r="B6" s="8" t="s">
        <v>9</v>
      </c>
      <c r="C6" s="140" t="s">
        <v>136</v>
      </c>
      <c r="D6" s="140" t="s">
        <v>138</v>
      </c>
      <c r="E6" t="str">
        <f t="shared" si="0"/>
        <v>Esteban Rodriguez</v>
      </c>
      <c r="F6" t="str">
        <f t="shared" si="1"/>
        <v>SP</v>
      </c>
      <c r="G6" s="127" t="s">
        <v>55</v>
      </c>
      <c r="H6" s="4">
        <v>1483</v>
      </c>
      <c r="I6" s="108">
        <v>8</v>
      </c>
      <c r="J6" s="43"/>
      <c r="K6" s="43"/>
      <c r="L6" s="43"/>
      <c r="M6" s="43"/>
      <c r="N6" s="40"/>
      <c r="O6" s="40" t="s">
        <v>70</v>
      </c>
      <c r="P6" s="40" t="s">
        <v>141</v>
      </c>
      <c r="Q6" s="40" t="s">
        <v>70</v>
      </c>
      <c r="R6" s="40"/>
      <c r="S6" s="40"/>
      <c r="T6" s="40"/>
      <c r="U6" s="40"/>
      <c r="V6" s="42">
        <v>2</v>
      </c>
      <c r="W6" s="42">
        <v>5</v>
      </c>
      <c r="X6" s="42">
        <v>6.5</v>
      </c>
      <c r="Y6" s="109">
        <v>10.75</v>
      </c>
      <c r="Z6" s="42">
        <v>9</v>
      </c>
      <c r="AA6" s="109">
        <v>4.75</v>
      </c>
      <c r="AB6" s="44">
        <v>9.75</v>
      </c>
      <c r="AC6" s="108">
        <v>11.5</v>
      </c>
      <c r="AD6" s="109">
        <v>1612</v>
      </c>
      <c r="AE6" s="44">
        <v>606</v>
      </c>
      <c r="AF6" s="42">
        <v>588</v>
      </c>
      <c r="AG6" s="42">
        <v>564</v>
      </c>
      <c r="AH6" s="42">
        <v>544</v>
      </c>
      <c r="AI6" s="40"/>
      <c r="AJ6" s="93" t="str">
        <f>VLOOKUP(B6,Analysis!$A$24:$B$32,2,FALSE)</f>
        <v>:rangers:</v>
      </c>
      <c r="AK6" s="93" t="str">
        <f t="shared" si="2"/>
        <v>:rangers: [b][url=http://probaseballexperience.jcink.net/index.php?showtopic=122]Esteban Rodriguez - SP[/url][/b] TPE: 1612, Regression Class: S1</v>
      </c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</row>
    <row r="7" spans="1:60" ht="12.75" customHeight="1">
      <c r="A7" s="94" t="s">
        <v>353</v>
      </c>
      <c r="B7" s="8" t="s">
        <v>9</v>
      </c>
      <c r="C7" s="96" t="s">
        <v>354</v>
      </c>
      <c r="D7" s="96" t="s">
        <v>355</v>
      </c>
      <c r="E7" s="8" t="str">
        <f t="shared" si="0"/>
        <v>Sebastian Musgrave-Smythe</v>
      </c>
      <c r="F7" s="8" t="str">
        <f t="shared" si="1"/>
        <v>CL</v>
      </c>
      <c r="G7" s="97" t="s">
        <v>114</v>
      </c>
      <c r="H7" s="4">
        <v>845</v>
      </c>
      <c r="I7" s="98">
        <v>8</v>
      </c>
      <c r="J7" s="99"/>
      <c r="K7" s="99"/>
      <c r="L7" s="99"/>
      <c r="M7" s="99"/>
      <c r="N7" s="8"/>
      <c r="O7" s="8" t="s">
        <v>70</v>
      </c>
      <c r="P7" s="8">
        <v>52</v>
      </c>
      <c r="Q7" s="8" t="s">
        <v>70</v>
      </c>
      <c r="V7" s="8">
        <v>3.5</v>
      </c>
      <c r="W7" s="8">
        <v>3.5</v>
      </c>
      <c r="X7" s="8">
        <v>3.5</v>
      </c>
      <c r="Y7" s="8">
        <v>5</v>
      </c>
      <c r="Z7" s="8">
        <v>5</v>
      </c>
      <c r="AA7" s="8">
        <v>6.25</v>
      </c>
      <c r="AB7" s="99">
        <v>6.5</v>
      </c>
      <c r="AC7" s="200">
        <v>8</v>
      </c>
      <c r="AD7" s="8">
        <v>918</v>
      </c>
      <c r="AE7" s="8">
        <v>304</v>
      </c>
      <c r="AF7" s="8">
        <v>304</v>
      </c>
      <c r="AG7" s="8">
        <v>289</v>
      </c>
      <c r="AH7">
        <v>289</v>
      </c>
    </row>
    <row r="8" spans="1:60" ht="12.75" customHeight="1">
      <c r="A8" s="94" t="s">
        <v>403</v>
      </c>
      <c r="B8" s="8" t="s">
        <v>9</v>
      </c>
      <c r="C8" s="96" t="s">
        <v>404</v>
      </c>
      <c r="D8" s="96" t="s">
        <v>405</v>
      </c>
      <c r="E8" s="8" t="str">
        <f t="shared" si="0"/>
        <v>Nate Piazza</v>
      </c>
      <c r="F8" s="8" t="str">
        <f t="shared" si="1"/>
        <v>C</v>
      </c>
      <c r="G8" s="97" t="s">
        <v>46</v>
      </c>
      <c r="H8" s="4">
        <v>739</v>
      </c>
      <c r="I8" s="90">
        <v>6.5</v>
      </c>
      <c r="J8" s="99"/>
      <c r="K8" s="99"/>
      <c r="L8" s="99"/>
      <c r="M8" s="99"/>
      <c r="N8" s="9" t="s">
        <v>407</v>
      </c>
      <c r="O8" s="8" t="s">
        <v>33</v>
      </c>
      <c r="P8" s="8">
        <v>5</v>
      </c>
      <c r="Q8" s="8" t="s">
        <v>33</v>
      </c>
      <c r="V8" s="8"/>
      <c r="W8" s="8"/>
      <c r="X8" s="8"/>
      <c r="Y8" s="8">
        <v>5</v>
      </c>
      <c r="Z8" s="8">
        <v>5</v>
      </c>
      <c r="AA8" s="8">
        <v>12</v>
      </c>
      <c r="AB8" s="99">
        <v>5.75</v>
      </c>
      <c r="AC8" s="98">
        <v>5.75</v>
      </c>
      <c r="AD8" s="8">
        <v>616</v>
      </c>
      <c r="AE8" s="8">
        <v>6.5</v>
      </c>
      <c r="AF8" s="8"/>
      <c r="AG8" s="8"/>
    </row>
    <row r="9" spans="1:60" ht="12.75" customHeight="1">
      <c r="A9" s="93" t="s">
        <v>408</v>
      </c>
      <c r="B9" s="8" t="s">
        <v>9</v>
      </c>
      <c r="C9" s="96" t="s">
        <v>409</v>
      </c>
      <c r="D9" s="96" t="s">
        <v>410</v>
      </c>
      <c r="E9" t="str">
        <f t="shared" si="0"/>
        <v>Hawk Russell</v>
      </c>
      <c r="F9" s="8" t="str">
        <f t="shared" si="1"/>
        <v>LF</v>
      </c>
      <c r="G9" s="97" t="s">
        <v>192</v>
      </c>
      <c r="H9" s="4">
        <v>769</v>
      </c>
      <c r="I9" s="203">
        <v>6.5</v>
      </c>
      <c r="J9" s="204"/>
      <c r="K9" s="43"/>
      <c r="L9" s="43"/>
      <c r="M9" s="43"/>
      <c r="N9" s="40"/>
      <c r="O9" s="152" t="s">
        <v>32</v>
      </c>
      <c r="P9" s="109">
        <v>7</v>
      </c>
      <c r="Q9" s="152" t="s">
        <v>32</v>
      </c>
      <c r="R9" s="152"/>
      <c r="S9" s="152"/>
      <c r="T9" s="152"/>
      <c r="U9" s="40"/>
      <c r="V9" s="152"/>
      <c r="W9" s="152"/>
      <c r="X9" s="109">
        <v>4</v>
      </c>
      <c r="Y9" s="109">
        <v>3</v>
      </c>
      <c r="Z9" s="109">
        <v>8.5</v>
      </c>
      <c r="AA9" s="109">
        <v>10</v>
      </c>
      <c r="AB9" s="44">
        <v>5.75</v>
      </c>
      <c r="AC9" s="203">
        <v>6.5</v>
      </c>
      <c r="AD9" s="109">
        <v>684</v>
      </c>
      <c r="AE9" s="44">
        <v>5</v>
      </c>
      <c r="AF9" s="109">
        <v>100</v>
      </c>
      <c r="AG9" s="210" t="e">
        <f>$AD9-#REF!</f>
        <v>#REF!</v>
      </c>
      <c r="AH9" s="152"/>
      <c r="AI9" s="40"/>
      <c r="AJ9" s="153" t="str">
        <f>VLOOKUP(B9,Analysis!$A$24:$B$32,2,FALSE)</f>
        <v>:rangers:</v>
      </c>
      <c r="AK9" s="154" t="str">
        <f>AJ9&amp;" [b][url="&amp;A9&amp;"]"&amp;D9&amp;"[/url][/b] TPE: "&amp;AD9&amp;", Regression Class: "&amp;Q9</f>
        <v>:rangers: [b][url=http://probaseballexperience.jcink.net/index.php?showtopic=2165]Hawk Russell - LF[/url][/b] TPE: 684, Regression Class: S4</v>
      </c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</row>
    <row r="10" spans="1:60" ht="12.75" customHeight="1">
      <c r="A10" s="94" t="s">
        <v>446</v>
      </c>
      <c r="B10" s="8" t="s">
        <v>9</v>
      </c>
      <c r="C10" s="96" t="s">
        <v>447</v>
      </c>
      <c r="D10" s="96" t="s">
        <v>448</v>
      </c>
      <c r="E10" t="str">
        <f t="shared" si="0"/>
        <v>Jax Hunter</v>
      </c>
      <c r="F10" s="8" t="s">
        <v>336</v>
      </c>
      <c r="G10" s="97" t="s">
        <v>55</v>
      </c>
      <c r="H10" s="4">
        <v>724</v>
      </c>
      <c r="I10" s="98">
        <v>5.75</v>
      </c>
      <c r="J10" s="98">
        <v>7.25</v>
      </c>
      <c r="K10" s="99"/>
      <c r="L10" s="99"/>
      <c r="M10" s="99"/>
      <c r="O10" s="8" t="s">
        <v>34</v>
      </c>
      <c r="P10" s="8">
        <v>31</v>
      </c>
      <c r="Q10" s="8" t="s">
        <v>34</v>
      </c>
      <c r="R10" s="8" t="s">
        <v>266</v>
      </c>
      <c r="S10" s="8">
        <v>6</v>
      </c>
      <c r="T10" s="8">
        <v>5</v>
      </c>
      <c r="U10" t="s">
        <v>375</v>
      </c>
      <c r="V10" s="8"/>
      <c r="W10" s="8"/>
      <c r="X10" s="8"/>
      <c r="Y10" s="8"/>
      <c r="Z10" s="8">
        <v>1.5</v>
      </c>
      <c r="AA10" s="8">
        <v>7</v>
      </c>
      <c r="AB10" s="99">
        <v>8</v>
      </c>
      <c r="AC10" s="99">
        <v>5</v>
      </c>
      <c r="AD10" s="8">
        <v>565</v>
      </c>
      <c r="AE10" s="8">
        <v>0.75</v>
      </c>
      <c r="AF10" s="8"/>
      <c r="AG10" s="8"/>
      <c r="AH10" s="8"/>
    </row>
    <row r="11" spans="1:60" ht="12.75" customHeight="1">
      <c r="A11" s="100" t="s">
        <v>472</v>
      </c>
      <c r="B11" s="8" t="s">
        <v>9</v>
      </c>
      <c r="C11" s="140" t="s">
        <v>473</v>
      </c>
      <c r="D11" s="140" t="s">
        <v>474</v>
      </c>
      <c r="E11" t="str">
        <f t="shared" si="0"/>
        <v>George McBash</v>
      </c>
      <c r="F11" t="str">
        <f>TRIM(RIGHT(D11,2))</f>
        <v>3B</v>
      </c>
      <c r="G11" s="127" t="s">
        <v>132</v>
      </c>
      <c r="H11" s="4">
        <v>786</v>
      </c>
      <c r="I11" s="99">
        <v>6</v>
      </c>
      <c r="J11" s="99">
        <v>7.5</v>
      </c>
      <c r="K11" s="36"/>
      <c r="L11" s="36"/>
      <c r="M11" s="36"/>
      <c r="N11" s="33"/>
      <c r="O11" s="33" t="s">
        <v>34</v>
      </c>
      <c r="P11" s="35">
        <v>8</v>
      </c>
      <c r="Q11" s="33" t="s">
        <v>34</v>
      </c>
      <c r="R11" s="33"/>
      <c r="S11" s="33"/>
      <c r="T11" s="33"/>
      <c r="U11" s="33"/>
      <c r="V11" s="33"/>
      <c r="W11" s="33"/>
      <c r="X11" s="33"/>
      <c r="Y11" s="220"/>
      <c r="Z11" s="35">
        <v>3.5</v>
      </c>
      <c r="AA11" s="222">
        <v>3.5</v>
      </c>
      <c r="AB11" s="45">
        <v>3.5</v>
      </c>
      <c r="AC11" s="99">
        <v>6</v>
      </c>
      <c r="AD11" s="222">
        <v>508</v>
      </c>
      <c r="AE11" s="45">
        <v>10</v>
      </c>
      <c r="AF11" s="33"/>
      <c r="AG11" s="33"/>
      <c r="AH11" s="33"/>
      <c r="AI11" s="33"/>
      <c r="AJ11" s="93" t="str">
        <f>VLOOKUP(B11,Analysis!$A$24:$B$32,2,FALSE)</f>
        <v>:rangers:</v>
      </c>
      <c r="AK11" s="223" t="str">
        <f>AJ11&amp;" [b][url="&amp;A11&amp;"]"&amp;D11&amp;"[/url][/b] TPE: "&amp;AD11&amp;", Regression Class: "&amp;Q11</f>
        <v>:rangers: [b][url=http://probaseballexperience.jcink.net/index.php?showtopic=3018]George McBash - 3B[/url][/b] TPE: 508, Regression Class: S6</v>
      </c>
      <c r="AL11" s="170"/>
      <c r="AM11" s="170"/>
      <c r="AN11" s="170"/>
      <c r="AO11" s="170"/>
      <c r="AP11" s="170"/>
      <c r="AQ11" s="170"/>
      <c r="AR11" s="170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</row>
    <row r="12" spans="1:60" ht="12.75" customHeight="1">
      <c r="A12" s="94" t="s">
        <v>530</v>
      </c>
      <c r="B12" s="8" t="s">
        <v>9</v>
      </c>
      <c r="C12" s="96" t="s">
        <v>532</v>
      </c>
      <c r="D12" s="96" t="s">
        <v>533</v>
      </c>
      <c r="E12" s="8" t="str">
        <f t="shared" si="0"/>
        <v>Trent Boult</v>
      </c>
      <c r="F12" s="8" t="s">
        <v>90</v>
      </c>
      <c r="G12" s="97" t="s">
        <v>55</v>
      </c>
      <c r="H12" s="4">
        <v>548</v>
      </c>
      <c r="I12" s="98">
        <v>4</v>
      </c>
      <c r="J12" s="99"/>
      <c r="K12" s="99"/>
      <c r="L12" s="99"/>
      <c r="M12" s="99"/>
      <c r="N12" s="9" t="s">
        <v>535</v>
      </c>
      <c r="O12" s="8" t="s">
        <v>32</v>
      </c>
      <c r="P12" s="8">
        <v>13</v>
      </c>
      <c r="Q12" s="8" t="s">
        <v>32</v>
      </c>
      <c r="R12" s="8"/>
      <c r="S12" s="8"/>
      <c r="T12" s="8"/>
      <c r="U12" s="8"/>
      <c r="W12" s="8"/>
      <c r="X12" s="8">
        <v>3</v>
      </c>
      <c r="Y12" s="8">
        <v>3</v>
      </c>
      <c r="Z12" s="8">
        <v>3</v>
      </c>
      <c r="AA12" s="8">
        <v>2</v>
      </c>
      <c r="AB12" s="99">
        <v>5</v>
      </c>
      <c r="AC12" s="98">
        <v>4</v>
      </c>
      <c r="AD12" s="8">
        <v>454</v>
      </c>
      <c r="AE12" s="8">
        <v>4</v>
      </c>
      <c r="AF12" s="8">
        <v>100</v>
      </c>
      <c r="AG12" s="8"/>
      <c r="AH12" s="8"/>
      <c r="AI12" s="8"/>
      <c r="AK12" s="229"/>
      <c r="AL12" s="229"/>
      <c r="AM12" s="229"/>
      <c r="AN12" s="229"/>
      <c r="AO12" s="229"/>
      <c r="AP12" s="229"/>
      <c r="AQ12" s="229"/>
      <c r="AR12" s="229"/>
    </row>
    <row r="13" spans="1:60" ht="12.75" customHeight="1">
      <c r="A13" s="94" t="s">
        <v>559</v>
      </c>
      <c r="B13" s="8" t="s">
        <v>9</v>
      </c>
      <c r="C13" s="96" t="s">
        <v>560</v>
      </c>
      <c r="D13" s="96" t="s">
        <v>561</v>
      </c>
      <c r="E13" t="str">
        <f t="shared" si="0"/>
        <v>Alexander Blitz</v>
      </c>
      <c r="F13" s="8" t="str">
        <f t="shared" ref="F13:F17" si="3">TRIM(RIGHT(D13,2))</f>
        <v>SS</v>
      </c>
      <c r="G13" s="97" t="s">
        <v>84</v>
      </c>
      <c r="H13" s="4">
        <v>630</v>
      </c>
      <c r="I13" s="98">
        <v>8</v>
      </c>
      <c r="J13" s="90">
        <v>8.5</v>
      </c>
      <c r="K13" s="99"/>
      <c r="L13" s="99"/>
      <c r="M13" s="99"/>
      <c r="N13" s="8" t="s">
        <v>417</v>
      </c>
      <c r="O13" s="8" t="s">
        <v>35</v>
      </c>
      <c r="P13" s="8">
        <v>30</v>
      </c>
      <c r="Q13" s="8" t="s">
        <v>35</v>
      </c>
      <c r="R13" s="8"/>
      <c r="S13" s="8"/>
      <c r="T13" s="8"/>
      <c r="U13" s="8"/>
      <c r="W13" s="8"/>
      <c r="X13" s="8"/>
      <c r="Y13" s="8"/>
      <c r="Z13" s="8"/>
      <c r="AA13" s="8" t="s">
        <v>257</v>
      </c>
      <c r="AB13" s="99">
        <v>4</v>
      </c>
      <c r="AC13" s="102">
        <v>4</v>
      </c>
      <c r="AD13" s="8">
        <v>375</v>
      </c>
      <c r="AE13" s="8">
        <v>3</v>
      </c>
      <c r="AF13" s="8"/>
      <c r="AG13" s="8"/>
      <c r="AH13" s="8"/>
      <c r="AI13" s="8"/>
      <c r="AK13" s="229"/>
      <c r="AL13" s="229"/>
      <c r="AM13" s="229"/>
      <c r="AN13" s="229"/>
      <c r="AO13" s="229"/>
      <c r="AP13" s="229"/>
      <c r="AQ13" s="229"/>
      <c r="AR13" s="229"/>
    </row>
    <row r="14" spans="1:60" ht="13">
      <c r="B14" s="8" t="s">
        <v>9</v>
      </c>
      <c r="C14" s="96" t="s">
        <v>563</v>
      </c>
      <c r="D14" s="96" t="s">
        <v>564</v>
      </c>
      <c r="E14" s="8" t="str">
        <f t="shared" si="0"/>
        <v>John DeMars</v>
      </c>
      <c r="F14" s="8" t="str">
        <f t="shared" si="3"/>
        <v>RF</v>
      </c>
      <c r="G14" s="97" t="s">
        <v>565</v>
      </c>
      <c r="H14" s="4">
        <v>626</v>
      </c>
      <c r="I14" s="87">
        <v>6</v>
      </c>
      <c r="J14" s="99"/>
      <c r="K14" s="99"/>
      <c r="L14" s="99"/>
      <c r="M14" s="99"/>
      <c r="N14" s="9" t="s">
        <v>566</v>
      </c>
      <c r="AB14" s="99">
        <v>3</v>
      </c>
      <c r="AC14" s="99">
        <v>6</v>
      </c>
      <c r="AD14" s="8">
        <v>323</v>
      </c>
    </row>
    <row r="15" spans="1:60" ht="13">
      <c r="A15" s="8"/>
      <c r="B15" s="8" t="s">
        <v>9</v>
      </c>
      <c r="C15" s="96" t="s">
        <v>673</v>
      </c>
      <c r="D15" s="96" t="s">
        <v>675</v>
      </c>
      <c r="E15" s="8" t="str">
        <f t="shared" si="0"/>
        <v>J.A. Jabs</v>
      </c>
      <c r="F15" s="8" t="str">
        <f t="shared" si="3"/>
        <v>SP</v>
      </c>
      <c r="G15" s="97" t="s">
        <v>109</v>
      </c>
      <c r="H15" s="4">
        <v>502</v>
      </c>
      <c r="I15" s="102">
        <v>4</v>
      </c>
      <c r="J15" s="99"/>
      <c r="K15" s="99"/>
      <c r="L15" s="99"/>
      <c r="M15" s="99"/>
      <c r="N15" s="9" t="s">
        <v>566</v>
      </c>
      <c r="O15" s="8" t="s">
        <v>37</v>
      </c>
      <c r="P15" s="8">
        <v>3</v>
      </c>
      <c r="Q15" s="8" t="s">
        <v>37</v>
      </c>
      <c r="AB15" s="99">
        <v>0.499</v>
      </c>
      <c r="AC15" s="99">
        <v>6</v>
      </c>
      <c r="AD15" s="4">
        <v>196</v>
      </c>
    </row>
    <row r="16" spans="1:60" ht="13">
      <c r="B16" s="8" t="s">
        <v>9</v>
      </c>
      <c r="C16" s="140" t="s">
        <v>687</v>
      </c>
      <c r="D16" s="140" t="s">
        <v>688</v>
      </c>
      <c r="E16" t="str">
        <f t="shared" si="0"/>
        <v>Chanandler Bong</v>
      </c>
      <c r="F16" t="str">
        <f t="shared" si="3"/>
        <v>1B</v>
      </c>
      <c r="G16" s="127" t="s">
        <v>691</v>
      </c>
      <c r="H16" s="4">
        <v>405</v>
      </c>
      <c r="I16" s="99">
        <v>5</v>
      </c>
      <c r="J16" s="102">
        <v>5</v>
      </c>
      <c r="K16" s="99"/>
      <c r="L16" s="99"/>
      <c r="M16" s="99"/>
      <c r="N16" s="9" t="s">
        <v>566</v>
      </c>
      <c r="O16" t="s">
        <v>37</v>
      </c>
      <c r="P16">
        <v>19</v>
      </c>
      <c r="Q16" t="s">
        <v>37</v>
      </c>
      <c r="AB16" s="99" t="s">
        <v>274</v>
      </c>
      <c r="AC16" s="99">
        <v>5</v>
      </c>
      <c r="AD16" s="4">
        <v>174</v>
      </c>
    </row>
    <row r="17" spans="1:60" ht="13">
      <c r="B17" s="8" t="s">
        <v>9</v>
      </c>
      <c r="C17" s="96" t="s">
        <v>1021</v>
      </c>
      <c r="D17" s="96" t="s">
        <v>1022</v>
      </c>
      <c r="E17" s="8" t="str">
        <f t="shared" si="0"/>
        <v>Speedy Gonzales</v>
      </c>
      <c r="F17" s="8" t="str">
        <f t="shared" si="3"/>
        <v>2B</v>
      </c>
      <c r="G17" s="97" t="s">
        <v>1024</v>
      </c>
      <c r="H17" s="4">
        <v>341</v>
      </c>
      <c r="I17" s="98">
        <v>3</v>
      </c>
      <c r="J17" s="98">
        <v>3</v>
      </c>
      <c r="K17" s="90">
        <v>3</v>
      </c>
      <c r="N17" s="94" t="s">
        <v>1025</v>
      </c>
      <c r="O17" s="8" t="s">
        <v>38</v>
      </c>
      <c r="P17" s="8">
        <v>7</v>
      </c>
      <c r="Q17" s="8" t="s">
        <v>38</v>
      </c>
      <c r="AC17" s="4" t="s">
        <v>274</v>
      </c>
      <c r="AD17" s="8">
        <v>100</v>
      </c>
    </row>
    <row r="18" spans="1:60" ht="13">
      <c r="B18" s="8" t="s">
        <v>9</v>
      </c>
      <c r="C18" s="96" t="s">
        <v>1134</v>
      </c>
      <c r="D18" s="96" t="s">
        <v>1136</v>
      </c>
      <c r="E18" s="8" t="str">
        <f t="shared" si="0"/>
        <v>Manto Rune</v>
      </c>
      <c r="F18" s="8" t="s">
        <v>215</v>
      </c>
      <c r="G18" s="97" t="s">
        <v>97</v>
      </c>
      <c r="H18" s="4">
        <v>228</v>
      </c>
      <c r="I18" s="98">
        <v>2</v>
      </c>
      <c r="J18" s="98">
        <v>2</v>
      </c>
      <c r="K18" s="90">
        <v>2</v>
      </c>
      <c r="N18" s="94" t="s">
        <v>1025</v>
      </c>
      <c r="O18" s="8" t="s">
        <v>38</v>
      </c>
      <c r="P18" s="8">
        <v>28</v>
      </c>
      <c r="Q18" s="8" t="s">
        <v>38</v>
      </c>
      <c r="AC18" s="4" t="s">
        <v>274</v>
      </c>
      <c r="AD18" s="8">
        <v>100</v>
      </c>
    </row>
    <row r="19" spans="1:60" ht="13">
      <c r="A19" s="53" t="s">
        <v>297</v>
      </c>
      <c r="B19" s="82" t="s">
        <v>9</v>
      </c>
      <c r="C19" s="84" t="s">
        <v>299</v>
      </c>
      <c r="D19" s="84" t="s">
        <v>301</v>
      </c>
      <c r="E19" s="12" t="str">
        <f t="shared" si="0"/>
        <v>Toshihiro Ishikawa</v>
      </c>
      <c r="F19" s="11" t="str">
        <f t="shared" ref="F19:F24" si="4">TRIM(RIGHT(D19,2))</f>
        <v>C</v>
      </c>
      <c r="G19" s="81" t="s">
        <v>294</v>
      </c>
      <c r="H19" s="4">
        <v>867</v>
      </c>
      <c r="I19" s="59">
        <v>9</v>
      </c>
      <c r="J19" s="86"/>
      <c r="K19" s="86"/>
      <c r="L19" s="86"/>
      <c r="M19" s="86"/>
      <c r="N19" s="82" t="s">
        <v>115</v>
      </c>
      <c r="O19" s="11" t="s">
        <v>70</v>
      </c>
      <c r="P19" s="11">
        <v>38</v>
      </c>
      <c r="Q19" s="11" t="s">
        <v>70</v>
      </c>
      <c r="R19" s="11"/>
      <c r="S19" s="11"/>
      <c r="T19" s="11"/>
      <c r="U19" s="12"/>
      <c r="V19" s="11">
        <v>3</v>
      </c>
      <c r="W19" s="11">
        <v>8</v>
      </c>
      <c r="X19" s="11">
        <v>7</v>
      </c>
      <c r="Y19" s="11">
        <v>3.75</v>
      </c>
      <c r="Z19" s="11">
        <v>12</v>
      </c>
      <c r="AA19" s="11">
        <v>12</v>
      </c>
      <c r="AB19" s="85">
        <v>9</v>
      </c>
      <c r="AC19" s="59">
        <v>9</v>
      </c>
      <c r="AD19" s="82">
        <v>1107</v>
      </c>
      <c r="AE19" s="11">
        <v>505</v>
      </c>
      <c r="AF19" s="11">
        <v>505</v>
      </c>
      <c r="AG19" s="11">
        <v>492</v>
      </c>
      <c r="AH19" s="11">
        <v>468</v>
      </c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</row>
    <row r="20" spans="1:60" ht="13">
      <c r="A20" s="94" t="s">
        <v>1138</v>
      </c>
      <c r="B20" s="4" t="s">
        <v>9</v>
      </c>
      <c r="C20" s="95" t="s">
        <v>1139</v>
      </c>
      <c r="D20" s="96" t="s">
        <v>1140</v>
      </c>
      <c r="E20" s="8" t="str">
        <f t="shared" si="0"/>
        <v>Curtis Kane</v>
      </c>
      <c r="F20" s="8" t="str">
        <f t="shared" si="4"/>
        <v>SP</v>
      </c>
      <c r="G20" s="97" t="s">
        <v>114</v>
      </c>
      <c r="H20" s="4">
        <v>146</v>
      </c>
      <c r="I20" s="98">
        <v>0.5</v>
      </c>
      <c r="O20" s="8" t="s">
        <v>32</v>
      </c>
      <c r="P20" s="8" t="s">
        <v>1142</v>
      </c>
      <c r="Q20" s="8" t="s">
        <v>126</v>
      </c>
      <c r="R20" s="8"/>
      <c r="S20" s="8"/>
      <c r="T20" s="8"/>
      <c r="W20" s="8">
        <v>1</v>
      </c>
      <c r="AB20" s="98">
        <v>0.5</v>
      </c>
      <c r="AC20" s="98">
        <v>0.5</v>
      </c>
      <c r="AD20" s="8">
        <v>147</v>
      </c>
      <c r="AF20" s="8">
        <v>146</v>
      </c>
      <c r="AG20" s="8">
        <v>146</v>
      </c>
      <c r="AH20" s="8">
        <v>133</v>
      </c>
      <c r="AI20" s="8">
        <v>113</v>
      </c>
      <c r="AJ20" t="str">
        <f>F20&amp;" - "&amp;E20</f>
        <v>SP - Curtis Kane</v>
      </c>
    </row>
    <row r="21" spans="1:60" ht="13">
      <c r="A21" s="50"/>
      <c r="B21" s="50" t="s">
        <v>9</v>
      </c>
      <c r="C21" s="144" t="s">
        <v>1143</v>
      </c>
      <c r="D21" s="112" t="s">
        <v>1144</v>
      </c>
      <c r="E21" s="50" t="str">
        <f t="shared" ref="E21:E22" si="5">IFERROR(TRIM(LEFT(D21,LEN(D21)-4)),"")</f>
        <v>Mark Taylor</v>
      </c>
      <c r="F21" s="50" t="str">
        <f t="shared" si="4"/>
        <v>SP</v>
      </c>
      <c r="G21" s="161" t="s">
        <v>114</v>
      </c>
      <c r="H21" s="123">
        <v>130</v>
      </c>
      <c r="I21" s="7" t="s">
        <v>274</v>
      </c>
      <c r="J21" s="145">
        <v>1.5</v>
      </c>
      <c r="K21" s="145">
        <v>1.5</v>
      </c>
      <c r="L21" s="145">
        <v>1.5</v>
      </c>
      <c r="M21" s="146"/>
      <c r="N21" s="51" t="s">
        <v>750</v>
      </c>
      <c r="O21" s="50" t="s">
        <v>19</v>
      </c>
      <c r="P21" s="174">
        <v>24</v>
      </c>
      <c r="Q21" s="50" t="s">
        <v>19</v>
      </c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146"/>
      <c r="AC21" s="146"/>
      <c r="AD21" s="50" t="s">
        <v>47</v>
      </c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12"/>
      <c r="BH21" s="12"/>
    </row>
    <row r="22" spans="1:60" ht="13">
      <c r="A22" s="47"/>
      <c r="B22" s="47" t="s">
        <v>9</v>
      </c>
      <c r="C22" s="111" t="s">
        <v>1146</v>
      </c>
      <c r="D22" s="112" t="s">
        <v>1148</v>
      </c>
      <c r="E22" s="47" t="str">
        <f t="shared" si="5"/>
        <v>Drennifer Tarbington</v>
      </c>
      <c r="F22" s="47" t="str">
        <f t="shared" si="4"/>
        <v>CL</v>
      </c>
      <c r="G22" s="47" t="s">
        <v>290</v>
      </c>
      <c r="H22" s="113">
        <v>108</v>
      </c>
      <c r="I22" s="7" t="s">
        <v>274</v>
      </c>
      <c r="J22" s="114">
        <v>2</v>
      </c>
      <c r="K22" s="114">
        <v>2</v>
      </c>
      <c r="L22" s="114">
        <v>2</v>
      </c>
      <c r="M22" s="115"/>
      <c r="N22" s="116" t="s">
        <v>1150</v>
      </c>
      <c r="O22" s="47" t="s">
        <v>19</v>
      </c>
      <c r="P22" s="162">
        <v>34</v>
      </c>
      <c r="Q22" s="47" t="s">
        <v>19</v>
      </c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115"/>
      <c r="AC22" s="115"/>
      <c r="AD22" s="47" t="s">
        <v>47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12"/>
      <c r="BH22" s="12"/>
    </row>
    <row r="23" spans="1:60" ht="13">
      <c r="A23" s="12"/>
      <c r="B23" s="7" t="s">
        <v>9</v>
      </c>
      <c r="C23" s="189" t="s">
        <v>1151</v>
      </c>
      <c r="D23" s="25" t="s">
        <v>1152</v>
      </c>
      <c r="E23" s="11" t="str">
        <f>IFERROR(TRIM(LEFT(D23,LEN(D23)-4)),"")</f>
        <v>Mountain Quick</v>
      </c>
      <c r="F23" s="11" t="str">
        <f t="shared" si="4"/>
        <v>C</v>
      </c>
      <c r="G23" s="7" t="s">
        <v>265</v>
      </c>
      <c r="H23" s="7">
        <v>147</v>
      </c>
      <c r="I23" s="7" t="s">
        <v>274</v>
      </c>
      <c r="J23" s="114">
        <v>3</v>
      </c>
      <c r="K23" s="114">
        <v>3</v>
      </c>
      <c r="L23" s="114">
        <v>6</v>
      </c>
      <c r="M23" s="2"/>
      <c r="N23" s="122" t="s">
        <v>1150</v>
      </c>
      <c r="O23" s="7" t="s">
        <v>19</v>
      </c>
      <c r="P23" s="19">
        <v>8</v>
      </c>
      <c r="Q23" s="7" t="s">
        <v>19</v>
      </c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2"/>
      <c r="AD23" s="4" t="s">
        <v>47</v>
      </c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</row>
    <row r="24" spans="1:60" ht="12.75" customHeight="1">
      <c r="A24" s="94" t="s">
        <v>1154</v>
      </c>
      <c r="B24" s="4" t="s">
        <v>9</v>
      </c>
      <c r="C24" s="96" t="s">
        <v>1155</v>
      </c>
      <c r="D24" s="96" t="s">
        <v>1157</v>
      </c>
      <c r="E24" t="str">
        <f>TRIM(LEFT(D24,LEN(D24)-5))</f>
        <v>Michael O'Dowd</v>
      </c>
      <c r="F24" t="str">
        <f t="shared" si="4"/>
        <v>CL</v>
      </c>
      <c r="G24" s="97" t="s">
        <v>55</v>
      </c>
      <c r="H24" s="4">
        <v>141</v>
      </c>
      <c r="I24" s="98">
        <v>0.5</v>
      </c>
      <c r="J24" s="99"/>
      <c r="K24" s="99"/>
      <c r="L24" s="99"/>
      <c r="M24" s="99"/>
      <c r="O24" s="8" t="s">
        <v>33</v>
      </c>
      <c r="P24" s="8">
        <v>26</v>
      </c>
      <c r="Q24" s="8" t="s">
        <v>32</v>
      </c>
      <c r="W24" s="8"/>
      <c r="X24" s="8">
        <v>2</v>
      </c>
      <c r="Y24" s="8">
        <v>3</v>
      </c>
      <c r="Z24" s="8">
        <v>1.5</v>
      </c>
      <c r="AB24" s="99">
        <v>0.5</v>
      </c>
      <c r="AC24" s="99"/>
      <c r="AD24" s="99">
        <v>0.5</v>
      </c>
      <c r="AE24" s="8">
        <v>141</v>
      </c>
      <c r="AF24" s="8"/>
      <c r="AG24" s="8"/>
      <c r="AH24" s="8"/>
      <c r="AI24" s="8"/>
      <c r="AJ24" s="8" t="str">
        <f>VLOOKUP(B24,Analysis!$A$24:$B$32,2,FALSE)</f>
        <v>:rangers:</v>
      </c>
      <c r="AK24" s="8" t="str">
        <f>AJ24&amp;" [b][url="&amp;A24&amp;"]"&amp;D24&amp;"[/url][/b] TPE: "&amp;AE24&amp;", Regression Class: "&amp;Q24</f>
        <v>:rangers: [b][url=http://probaseballexperience.jcink.net/index.php?showtopic=2502]Michael O'Dowd - CL[/url][/b] TPE: 141, Regression Class: S4</v>
      </c>
    </row>
    <row r="25" spans="1:60" ht="13">
      <c r="C25" s="127"/>
      <c r="D25" s="127"/>
      <c r="E25" s="127"/>
      <c r="G25" s="127"/>
      <c r="I25" s="99"/>
      <c r="J25" s="99"/>
      <c r="K25" s="99"/>
      <c r="L25" s="99"/>
      <c r="M25" s="99"/>
      <c r="N25" s="4" t="s">
        <v>1158</v>
      </c>
      <c r="AB25" s="98">
        <v>1.5</v>
      </c>
      <c r="AC25" s="99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</row>
    <row r="26" spans="1:60" ht="13">
      <c r="C26" s="127"/>
      <c r="D26" s="127"/>
      <c r="E26" s="127"/>
      <c r="G26" s="127"/>
      <c r="I26" s="98">
        <v>1.63</v>
      </c>
      <c r="J26" s="99"/>
      <c r="K26" s="99"/>
      <c r="L26" s="99"/>
      <c r="M26" s="99"/>
      <c r="N26" t="s">
        <v>340</v>
      </c>
      <c r="O26" s="9" t="s">
        <v>1159</v>
      </c>
      <c r="Z26">
        <v>18</v>
      </c>
      <c r="AA26">
        <v>1</v>
      </c>
      <c r="AB26" s="99"/>
      <c r="AC26" s="99"/>
      <c r="AE26">
        <v>1.74</v>
      </c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</row>
    <row r="27" spans="1:60" ht="13">
      <c r="A27" s="198"/>
      <c r="B27" s="198"/>
      <c r="C27" s="247"/>
      <c r="D27" s="247"/>
      <c r="E27" s="247"/>
      <c r="F27" s="198"/>
      <c r="G27" s="247"/>
      <c r="H27" s="198"/>
      <c r="I27" s="195">
        <f t="shared" ref="I27:L27" si="6">SUM(I2:I26)</f>
        <v>123.88</v>
      </c>
      <c r="J27" s="195">
        <f t="shared" si="6"/>
        <v>39.75</v>
      </c>
      <c r="K27" s="195">
        <f t="shared" si="6"/>
        <v>11.5</v>
      </c>
      <c r="L27" s="195">
        <f t="shared" si="6"/>
        <v>9.5</v>
      </c>
      <c r="M27" s="195"/>
      <c r="N27" s="198"/>
      <c r="O27" s="198"/>
      <c r="P27" s="198"/>
      <c r="Q27" s="198"/>
      <c r="R27" s="198"/>
      <c r="S27" s="198"/>
      <c r="T27" s="198"/>
      <c r="U27" s="198"/>
      <c r="V27" s="198"/>
      <c r="W27" s="198"/>
      <c r="X27" s="198"/>
      <c r="Y27" s="198"/>
      <c r="Z27" s="198"/>
      <c r="AA27" s="198"/>
      <c r="AB27" s="195">
        <f t="shared" ref="AB27:AC27" si="7">SUM(AB2:AB26)</f>
        <v>113.749</v>
      </c>
      <c r="AC27" s="195">
        <f t="shared" si="7"/>
        <v>116.75</v>
      </c>
      <c r="AD27" s="198"/>
      <c r="AE27" s="198"/>
      <c r="AF27" s="198"/>
      <c r="AG27" s="198"/>
      <c r="AH27" s="198"/>
      <c r="AI27" s="198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</row>
    <row r="28" spans="1:60" ht="13">
      <c r="C28" s="127"/>
      <c r="D28" s="127"/>
      <c r="E28" s="127"/>
      <c r="G28" s="127"/>
      <c r="I28" s="99"/>
      <c r="J28" s="99"/>
      <c r="K28" s="99"/>
      <c r="L28" s="99"/>
      <c r="M28" s="99"/>
      <c r="AB28" s="99"/>
      <c r="AC28" s="99"/>
    </row>
    <row r="29" spans="1:60" ht="13">
      <c r="C29" s="127"/>
      <c r="D29" s="127"/>
      <c r="E29" s="248" t="s">
        <v>343</v>
      </c>
      <c r="F29" s="99"/>
      <c r="G29" s="129"/>
      <c r="K29" s="99"/>
      <c r="L29" s="99"/>
      <c r="M29" s="99"/>
      <c r="AB29" s="99"/>
    </row>
    <row r="30" spans="1:60" ht="13">
      <c r="C30" s="127"/>
      <c r="D30" s="127"/>
      <c r="E30" s="249" t="s">
        <v>344</v>
      </c>
      <c r="F30" s="99"/>
      <c r="G30" s="129"/>
      <c r="K30" s="99"/>
      <c r="L30" s="99"/>
      <c r="M30" s="99"/>
      <c r="AB30" s="99"/>
    </row>
    <row r="31" spans="1:60" ht="13">
      <c r="C31" s="127"/>
      <c r="D31" s="127"/>
      <c r="E31" s="250" t="s">
        <v>345</v>
      </c>
      <c r="F31" s="150"/>
      <c r="G31" s="151"/>
      <c r="K31" s="99"/>
      <c r="L31" s="99"/>
      <c r="M31" s="99"/>
      <c r="AB31" s="99"/>
    </row>
    <row r="32" spans="1:60" ht="13">
      <c r="C32" s="127"/>
      <c r="D32" s="127"/>
      <c r="E32" s="251" t="s">
        <v>347</v>
      </c>
      <c r="F32" s="102"/>
      <c r="G32" s="133"/>
      <c r="K32" s="99"/>
      <c r="L32" s="99"/>
      <c r="M32" s="99"/>
      <c r="AB32" s="99"/>
    </row>
    <row r="33" spans="3:29" ht="13">
      <c r="C33" s="127"/>
      <c r="D33" s="127"/>
      <c r="E33" s="252" t="s">
        <v>348</v>
      </c>
      <c r="F33" s="87"/>
      <c r="G33" s="134"/>
      <c r="K33" s="99"/>
      <c r="L33" s="99"/>
      <c r="M33" s="99"/>
      <c r="AB33" s="99"/>
    </row>
    <row r="34" spans="3:29" ht="13">
      <c r="C34" s="127"/>
      <c r="D34" s="127"/>
      <c r="E34" s="419" t="s">
        <v>350</v>
      </c>
      <c r="F34" s="417"/>
      <c r="G34" s="418"/>
      <c r="I34" s="99"/>
      <c r="J34" s="99"/>
      <c r="K34" s="99"/>
      <c r="L34" s="99"/>
      <c r="M34" s="99"/>
      <c r="AB34" s="99"/>
      <c r="AC34" s="99"/>
    </row>
    <row r="35" spans="3:29" ht="13">
      <c r="C35" s="127"/>
      <c r="D35" s="127"/>
      <c r="E35" s="127"/>
      <c r="G35" s="127"/>
      <c r="I35" s="99"/>
      <c r="J35" s="99"/>
      <c r="K35" s="99"/>
      <c r="L35" s="99"/>
      <c r="M35" s="99"/>
      <c r="AB35" s="99"/>
      <c r="AC35" s="99"/>
    </row>
    <row r="36" spans="3:29" ht="13">
      <c r="C36" s="127"/>
      <c r="D36" s="127"/>
      <c r="E36" s="127"/>
      <c r="G36" s="127"/>
      <c r="I36" s="99"/>
      <c r="J36" s="99"/>
      <c r="K36" s="99"/>
      <c r="L36" s="99"/>
      <c r="M36" s="99"/>
      <c r="AB36" s="99"/>
      <c r="AC36" s="99"/>
    </row>
    <row r="37" spans="3:29" ht="13">
      <c r="C37" s="127"/>
      <c r="D37" s="127"/>
      <c r="E37" s="127"/>
      <c r="G37" s="127"/>
      <c r="I37" s="99"/>
      <c r="J37" s="99"/>
      <c r="K37" s="99"/>
      <c r="L37" s="99"/>
      <c r="M37" s="99"/>
      <c r="AB37" s="99"/>
      <c r="AC37" s="99"/>
    </row>
    <row r="38" spans="3:29" ht="13">
      <c r="C38" s="127"/>
      <c r="D38" s="127"/>
      <c r="E38" s="127"/>
      <c r="G38" s="127"/>
      <c r="I38" s="99"/>
      <c r="J38" s="99"/>
      <c r="K38" s="99"/>
      <c r="L38" s="99"/>
      <c r="M38" s="99"/>
      <c r="AB38" s="99"/>
      <c r="AC38" s="99"/>
    </row>
    <row r="39" spans="3:29" ht="13">
      <c r="C39" s="127"/>
      <c r="D39" s="127"/>
      <c r="E39" s="127"/>
      <c r="G39" s="127"/>
      <c r="I39" s="99"/>
      <c r="J39" s="99"/>
      <c r="K39" s="99"/>
      <c r="L39" s="99"/>
      <c r="M39" s="99"/>
      <c r="AB39" s="99"/>
      <c r="AC39" s="99"/>
    </row>
    <row r="40" spans="3:29" ht="13">
      <c r="C40" s="127"/>
      <c r="D40" s="127"/>
      <c r="E40" s="127"/>
      <c r="G40" s="127"/>
      <c r="I40" s="99"/>
      <c r="J40" s="99"/>
      <c r="K40" s="99"/>
      <c r="L40" s="99"/>
      <c r="M40" s="99"/>
      <c r="AB40" s="99"/>
      <c r="AC40" s="99"/>
    </row>
    <row r="41" spans="3:29" ht="13">
      <c r="C41" s="127"/>
      <c r="D41" s="127"/>
      <c r="E41" s="127"/>
      <c r="G41" s="127"/>
      <c r="I41" s="99"/>
      <c r="J41" s="99"/>
      <c r="K41" s="99"/>
      <c r="L41" s="99"/>
      <c r="M41" s="99"/>
      <c r="AB41" s="99"/>
      <c r="AC41" s="99"/>
    </row>
    <row r="42" spans="3:29" ht="13">
      <c r="C42" s="127"/>
      <c r="D42" s="127"/>
      <c r="E42" s="127"/>
      <c r="G42" s="127"/>
      <c r="I42" s="99"/>
      <c r="J42" s="99"/>
      <c r="K42" s="99"/>
      <c r="L42" s="99"/>
      <c r="M42" s="99"/>
      <c r="AB42" s="99"/>
      <c r="AC42" s="99"/>
    </row>
    <row r="43" spans="3:29" ht="13">
      <c r="C43" s="127"/>
      <c r="D43" s="127"/>
      <c r="E43" s="127"/>
      <c r="G43" s="127"/>
      <c r="I43" s="99"/>
      <c r="J43" s="99"/>
      <c r="K43" s="99"/>
      <c r="L43" s="99"/>
      <c r="M43" s="99"/>
      <c r="AB43" s="99"/>
      <c r="AC43" s="99"/>
    </row>
    <row r="44" spans="3:29" ht="13">
      <c r="C44" s="127"/>
      <c r="D44" s="127"/>
      <c r="E44" s="127"/>
      <c r="G44" s="127"/>
      <c r="I44" s="99"/>
      <c r="J44" s="99"/>
      <c r="K44" s="99"/>
      <c r="L44" s="99"/>
      <c r="M44" s="99"/>
      <c r="AB44" s="99"/>
      <c r="AC44" s="99"/>
    </row>
    <row r="45" spans="3:29" ht="13">
      <c r="C45" s="127"/>
      <c r="D45" s="127"/>
      <c r="E45" s="127"/>
      <c r="G45" s="127"/>
      <c r="I45" s="99"/>
      <c r="J45" s="99"/>
      <c r="K45" s="99"/>
      <c r="L45" s="99"/>
      <c r="M45" s="99"/>
      <c r="AB45" s="99"/>
      <c r="AC45" s="99"/>
    </row>
    <row r="46" spans="3:29" ht="13">
      <c r="C46" s="127"/>
      <c r="D46" s="127"/>
      <c r="E46" s="127"/>
      <c r="G46" s="127"/>
      <c r="I46" s="99"/>
      <c r="J46" s="99"/>
      <c r="K46" s="99"/>
      <c r="L46" s="99"/>
      <c r="M46" s="99"/>
      <c r="AB46" s="99"/>
      <c r="AC46" s="99"/>
    </row>
    <row r="47" spans="3:29" ht="13">
      <c r="C47" s="127"/>
      <c r="D47" s="127"/>
      <c r="E47" s="127"/>
      <c r="G47" s="127"/>
      <c r="I47" s="99"/>
      <c r="J47" s="99"/>
      <c r="K47" s="99"/>
      <c r="L47" s="99"/>
      <c r="M47" s="99"/>
      <c r="AB47" s="99"/>
      <c r="AC47" s="99"/>
    </row>
    <row r="48" spans="3:29" ht="13">
      <c r="C48" s="127"/>
      <c r="D48" s="127"/>
      <c r="E48" s="127"/>
      <c r="G48" s="127"/>
      <c r="I48" s="99"/>
      <c r="J48" s="99"/>
      <c r="K48" s="99"/>
      <c r="L48" s="99"/>
      <c r="M48" s="99"/>
      <c r="AB48" s="99"/>
      <c r="AC48" s="99"/>
    </row>
    <row r="49" spans="3:29" ht="13">
      <c r="C49" s="127"/>
      <c r="D49" s="127"/>
      <c r="E49" s="127"/>
      <c r="G49" s="127"/>
      <c r="I49" s="99"/>
      <c r="J49" s="99"/>
      <c r="K49" s="99"/>
      <c r="L49" s="99"/>
      <c r="M49" s="99"/>
      <c r="AB49" s="99"/>
      <c r="AC49" s="99"/>
    </row>
    <row r="50" spans="3:29" ht="13">
      <c r="C50" s="127"/>
      <c r="D50" s="127"/>
      <c r="E50" s="127"/>
      <c r="G50" s="127"/>
      <c r="I50" s="99"/>
      <c r="J50" s="99"/>
      <c r="K50" s="99"/>
      <c r="L50" s="99"/>
      <c r="M50" s="99"/>
      <c r="AB50" s="99"/>
      <c r="AC50" s="99"/>
    </row>
    <row r="51" spans="3:29" ht="13">
      <c r="C51" s="127"/>
      <c r="D51" s="127"/>
      <c r="E51" s="127"/>
      <c r="G51" s="127"/>
      <c r="I51" s="99"/>
      <c r="J51" s="99"/>
      <c r="K51" s="99"/>
      <c r="L51" s="99"/>
      <c r="M51" s="99"/>
      <c r="AB51" s="99"/>
      <c r="AC51" s="99"/>
    </row>
    <row r="52" spans="3:29" ht="13">
      <c r="C52" s="127"/>
      <c r="D52" s="127"/>
      <c r="E52" s="127"/>
      <c r="G52" s="127"/>
      <c r="I52" s="99"/>
      <c r="J52" s="99"/>
      <c r="K52" s="99"/>
      <c r="L52" s="99"/>
      <c r="M52" s="99"/>
      <c r="AB52" s="99"/>
      <c r="AC52" s="99"/>
    </row>
    <row r="53" spans="3:29" ht="13">
      <c r="C53" s="127"/>
      <c r="D53" s="127"/>
      <c r="E53" s="127"/>
      <c r="G53" s="127"/>
      <c r="I53" s="99"/>
      <c r="J53" s="99"/>
      <c r="K53" s="99"/>
      <c r="L53" s="99"/>
      <c r="M53" s="99"/>
      <c r="AB53" s="99"/>
      <c r="AC53" s="99"/>
    </row>
    <row r="54" spans="3:29" ht="13">
      <c r="C54" s="127"/>
      <c r="D54" s="127"/>
      <c r="E54" s="127"/>
      <c r="G54" s="127"/>
      <c r="I54" s="99"/>
      <c r="J54" s="99"/>
      <c r="K54" s="99"/>
      <c r="L54" s="99"/>
      <c r="M54" s="99"/>
      <c r="AB54" s="99"/>
      <c r="AC54" s="99"/>
    </row>
    <row r="55" spans="3:29" ht="13">
      <c r="C55" s="127"/>
      <c r="D55" s="127"/>
      <c r="E55" s="127"/>
      <c r="G55" s="127"/>
      <c r="I55" s="99"/>
      <c r="J55" s="99"/>
      <c r="K55" s="99"/>
      <c r="L55" s="99"/>
      <c r="M55" s="99"/>
      <c r="AB55" s="99"/>
      <c r="AC55" s="99"/>
    </row>
    <row r="56" spans="3:29" ht="13">
      <c r="C56" s="127"/>
      <c r="D56" s="127"/>
      <c r="E56" s="127"/>
      <c r="G56" s="127"/>
      <c r="I56" s="99"/>
      <c r="J56" s="99"/>
      <c r="K56" s="99"/>
      <c r="L56" s="99"/>
      <c r="M56" s="99"/>
      <c r="AB56" s="99"/>
      <c r="AC56" s="99"/>
    </row>
    <row r="57" spans="3:29" ht="13">
      <c r="C57" s="127"/>
      <c r="D57" s="127"/>
      <c r="E57" s="127"/>
      <c r="G57" s="127"/>
      <c r="I57" s="99"/>
      <c r="J57" s="99"/>
      <c r="K57" s="99"/>
      <c r="L57" s="99"/>
      <c r="M57" s="99"/>
      <c r="AB57" s="99"/>
      <c r="AC57" s="99"/>
    </row>
    <row r="58" spans="3:29" ht="13">
      <c r="C58" s="127"/>
      <c r="D58" s="127"/>
      <c r="E58" s="127"/>
      <c r="G58" s="127"/>
      <c r="I58" s="99"/>
      <c r="J58" s="99"/>
      <c r="K58" s="99"/>
      <c r="L58" s="99"/>
      <c r="M58" s="99"/>
      <c r="AB58" s="99"/>
      <c r="AC58" s="99"/>
    </row>
    <row r="59" spans="3:29" ht="13">
      <c r="C59" s="127"/>
      <c r="D59" s="127"/>
      <c r="E59" s="127"/>
      <c r="G59" s="127"/>
      <c r="I59" s="99"/>
      <c r="J59" s="99"/>
      <c r="K59" s="99"/>
      <c r="L59" s="99"/>
      <c r="M59" s="99"/>
      <c r="AB59" s="99"/>
      <c r="AC59" s="99"/>
    </row>
    <row r="60" spans="3:29" ht="13">
      <c r="C60" s="127"/>
      <c r="D60" s="127"/>
      <c r="E60" s="127"/>
      <c r="G60" s="127"/>
      <c r="I60" s="99"/>
      <c r="J60" s="99"/>
      <c r="K60" s="99"/>
      <c r="L60" s="99"/>
      <c r="M60" s="99"/>
      <c r="AB60" s="99"/>
      <c r="AC60" s="99"/>
    </row>
    <row r="61" spans="3:29" ht="13">
      <c r="C61" s="127"/>
      <c r="D61" s="127"/>
      <c r="E61" s="127"/>
      <c r="G61" s="127"/>
      <c r="I61" s="99"/>
      <c r="J61" s="99"/>
      <c r="K61" s="99"/>
      <c r="L61" s="99"/>
      <c r="M61" s="99"/>
      <c r="AB61" s="99"/>
      <c r="AC61" s="99"/>
    </row>
    <row r="62" spans="3:29" ht="13">
      <c r="C62" s="127"/>
      <c r="D62" s="127"/>
      <c r="E62" s="127"/>
      <c r="G62" s="127"/>
      <c r="I62" s="99"/>
      <c r="J62" s="99"/>
      <c r="K62" s="99"/>
      <c r="L62" s="99"/>
      <c r="M62" s="99"/>
      <c r="AB62" s="99"/>
      <c r="AC62" s="99"/>
    </row>
    <row r="63" spans="3:29" ht="13">
      <c r="C63" s="127"/>
      <c r="D63" s="127"/>
      <c r="E63" s="127"/>
      <c r="G63" s="127"/>
      <c r="I63" s="99"/>
      <c r="J63" s="99"/>
      <c r="K63" s="99"/>
      <c r="L63" s="99"/>
      <c r="M63" s="99"/>
      <c r="AB63" s="99"/>
      <c r="AC63" s="99"/>
    </row>
    <row r="64" spans="3:29" ht="13">
      <c r="C64" s="127"/>
      <c r="D64" s="127"/>
      <c r="E64" s="127"/>
      <c r="G64" s="127"/>
      <c r="I64" s="99"/>
      <c r="J64" s="99"/>
      <c r="K64" s="99"/>
      <c r="L64" s="99"/>
      <c r="M64" s="99"/>
      <c r="AB64" s="99"/>
      <c r="AC64" s="99"/>
    </row>
    <row r="65" spans="3:29" ht="13">
      <c r="C65" s="127"/>
      <c r="D65" s="127"/>
      <c r="E65" s="127"/>
      <c r="G65" s="127"/>
      <c r="I65" s="99"/>
      <c r="J65" s="99"/>
      <c r="K65" s="99"/>
      <c r="L65" s="99"/>
      <c r="M65" s="99"/>
      <c r="AB65" s="99"/>
      <c r="AC65" s="99"/>
    </row>
    <row r="66" spans="3:29" ht="13">
      <c r="C66" s="127"/>
      <c r="D66" s="127"/>
      <c r="E66" s="127"/>
      <c r="G66" s="127"/>
      <c r="I66" s="99"/>
      <c r="J66" s="99"/>
      <c r="K66" s="99"/>
      <c r="L66" s="99"/>
      <c r="M66" s="99"/>
      <c r="AB66" s="99"/>
      <c r="AC66" s="99"/>
    </row>
    <row r="67" spans="3:29" ht="13">
      <c r="C67" s="127"/>
      <c r="D67" s="127"/>
      <c r="E67" s="127"/>
      <c r="G67" s="127"/>
      <c r="I67" s="99"/>
      <c r="J67" s="99"/>
      <c r="K67" s="99"/>
      <c r="L67" s="99"/>
      <c r="M67" s="99"/>
      <c r="AB67" s="99"/>
      <c r="AC67" s="99"/>
    </row>
    <row r="68" spans="3:29" ht="13">
      <c r="C68" s="127"/>
      <c r="D68" s="127"/>
      <c r="E68" s="127"/>
      <c r="G68" s="127"/>
      <c r="I68" s="99"/>
      <c r="J68" s="99"/>
      <c r="K68" s="99"/>
      <c r="L68" s="99"/>
      <c r="M68" s="99"/>
      <c r="AB68" s="99"/>
      <c r="AC68" s="99"/>
    </row>
    <row r="69" spans="3:29" ht="13">
      <c r="C69" s="127"/>
      <c r="D69" s="127"/>
      <c r="E69" s="127"/>
      <c r="G69" s="127"/>
      <c r="I69" s="99"/>
      <c r="J69" s="99"/>
      <c r="K69" s="99"/>
      <c r="L69" s="99"/>
      <c r="M69" s="99"/>
      <c r="AB69" s="99"/>
      <c r="AC69" s="99"/>
    </row>
    <row r="70" spans="3:29" ht="13">
      <c r="C70" s="127"/>
      <c r="D70" s="127"/>
      <c r="E70" s="127"/>
      <c r="G70" s="127"/>
      <c r="I70" s="99"/>
      <c r="J70" s="99"/>
      <c r="K70" s="99"/>
      <c r="L70" s="99"/>
      <c r="M70" s="99"/>
      <c r="AB70" s="99"/>
      <c r="AC70" s="99"/>
    </row>
    <row r="71" spans="3:29" ht="13">
      <c r="C71" s="127"/>
      <c r="D71" s="127"/>
      <c r="E71" s="127"/>
      <c r="G71" s="127"/>
      <c r="I71" s="99"/>
      <c r="J71" s="99"/>
      <c r="K71" s="99"/>
      <c r="L71" s="99"/>
      <c r="M71" s="99"/>
      <c r="AB71" s="99"/>
      <c r="AC71" s="99"/>
    </row>
    <row r="72" spans="3:29" ht="13">
      <c r="C72" s="127"/>
      <c r="D72" s="127"/>
      <c r="E72" s="127"/>
      <c r="G72" s="127"/>
      <c r="I72" s="99"/>
      <c r="J72" s="99"/>
      <c r="K72" s="99"/>
      <c r="L72" s="99"/>
      <c r="M72" s="99"/>
      <c r="AB72" s="99"/>
      <c r="AC72" s="99"/>
    </row>
    <row r="73" spans="3:29" ht="13">
      <c r="C73" s="127"/>
      <c r="D73" s="127"/>
      <c r="E73" s="127"/>
      <c r="G73" s="127"/>
      <c r="I73" s="99"/>
      <c r="J73" s="99"/>
      <c r="K73" s="99"/>
      <c r="L73" s="99"/>
      <c r="M73" s="99"/>
      <c r="AB73" s="99"/>
      <c r="AC73" s="99"/>
    </row>
    <row r="74" spans="3:29" ht="13">
      <c r="C74" s="127"/>
      <c r="D74" s="127"/>
      <c r="E74" s="127"/>
      <c r="G74" s="127"/>
      <c r="I74" s="99"/>
      <c r="J74" s="99"/>
      <c r="K74" s="99"/>
      <c r="L74" s="99"/>
      <c r="M74" s="99"/>
      <c r="AB74" s="99"/>
      <c r="AC74" s="99"/>
    </row>
    <row r="75" spans="3:29" ht="13">
      <c r="C75" s="127"/>
      <c r="D75" s="127"/>
      <c r="E75" s="127"/>
      <c r="G75" s="127"/>
      <c r="I75" s="99"/>
      <c r="J75" s="99"/>
      <c r="K75" s="99"/>
      <c r="L75" s="99"/>
      <c r="M75" s="99"/>
      <c r="AB75" s="99"/>
      <c r="AC75" s="99"/>
    </row>
    <row r="76" spans="3:29" ht="13">
      <c r="C76" s="127"/>
      <c r="D76" s="127"/>
      <c r="E76" s="127"/>
      <c r="G76" s="127"/>
      <c r="I76" s="99"/>
      <c r="J76" s="99"/>
      <c r="K76" s="99"/>
      <c r="L76" s="99"/>
      <c r="M76" s="99"/>
      <c r="AB76" s="99"/>
      <c r="AC76" s="99"/>
    </row>
    <row r="77" spans="3:29" ht="13">
      <c r="C77" s="127"/>
      <c r="D77" s="127"/>
      <c r="E77" s="127"/>
      <c r="G77" s="127"/>
      <c r="I77" s="99"/>
      <c r="J77" s="99"/>
      <c r="K77" s="99"/>
      <c r="L77" s="99"/>
      <c r="M77" s="99"/>
      <c r="AB77" s="99"/>
      <c r="AC77" s="99"/>
    </row>
    <row r="78" spans="3:29" ht="13">
      <c r="C78" s="127"/>
      <c r="D78" s="127"/>
      <c r="E78" s="127"/>
      <c r="G78" s="127"/>
      <c r="I78" s="99"/>
      <c r="J78" s="99"/>
      <c r="K78" s="99"/>
      <c r="L78" s="99"/>
      <c r="M78" s="99"/>
      <c r="AB78" s="99"/>
      <c r="AC78" s="99"/>
    </row>
    <row r="79" spans="3:29" ht="13">
      <c r="C79" s="127"/>
      <c r="D79" s="127"/>
      <c r="E79" s="127"/>
      <c r="G79" s="127"/>
      <c r="I79" s="99"/>
      <c r="J79" s="99"/>
      <c r="K79" s="99"/>
      <c r="L79" s="99"/>
      <c r="M79" s="99"/>
      <c r="AB79" s="99"/>
      <c r="AC79" s="99"/>
    </row>
    <row r="80" spans="3:29" ht="13">
      <c r="C80" s="127"/>
      <c r="D80" s="127"/>
      <c r="E80" s="127"/>
      <c r="G80" s="127"/>
      <c r="I80" s="99"/>
      <c r="J80" s="99"/>
      <c r="K80" s="99"/>
      <c r="L80" s="99"/>
      <c r="M80" s="99"/>
      <c r="AB80" s="99"/>
      <c r="AC80" s="99"/>
    </row>
    <row r="81" spans="3:29" ht="13">
      <c r="C81" s="127"/>
      <c r="D81" s="127"/>
      <c r="E81" s="127"/>
      <c r="G81" s="127"/>
      <c r="I81" s="99"/>
      <c r="J81" s="99"/>
      <c r="K81" s="99"/>
      <c r="L81" s="99"/>
      <c r="M81" s="99"/>
      <c r="AB81" s="99"/>
      <c r="AC81" s="99"/>
    </row>
    <row r="82" spans="3:29" ht="13">
      <c r="C82" s="127"/>
      <c r="D82" s="127"/>
      <c r="E82" s="127"/>
      <c r="G82" s="127"/>
      <c r="I82" s="99"/>
      <c r="J82" s="99"/>
      <c r="K82" s="99"/>
      <c r="L82" s="99"/>
      <c r="M82" s="99"/>
      <c r="AB82" s="99"/>
      <c r="AC82" s="99"/>
    </row>
    <row r="83" spans="3:29" ht="13">
      <c r="C83" s="127"/>
      <c r="D83" s="127"/>
      <c r="E83" s="127"/>
      <c r="G83" s="127"/>
      <c r="I83" s="99"/>
      <c r="J83" s="99"/>
      <c r="K83" s="99"/>
      <c r="L83" s="99"/>
      <c r="M83" s="99"/>
      <c r="AB83" s="99"/>
      <c r="AC83" s="99"/>
    </row>
    <row r="84" spans="3:29" ht="13">
      <c r="C84" s="127"/>
      <c r="D84" s="127"/>
      <c r="E84" s="127"/>
      <c r="G84" s="127"/>
      <c r="I84" s="99"/>
      <c r="J84" s="99"/>
      <c r="K84" s="99"/>
      <c r="L84" s="99"/>
      <c r="M84" s="99"/>
      <c r="AB84" s="99"/>
      <c r="AC84" s="99"/>
    </row>
    <row r="85" spans="3:29" ht="13">
      <c r="C85" s="127"/>
      <c r="D85" s="127"/>
      <c r="E85" s="127"/>
      <c r="G85" s="127"/>
      <c r="I85" s="99"/>
      <c r="J85" s="99"/>
      <c r="K85" s="99"/>
      <c r="L85" s="99"/>
      <c r="M85" s="99"/>
      <c r="AB85" s="99"/>
      <c r="AC85" s="99"/>
    </row>
    <row r="86" spans="3:29" ht="13">
      <c r="C86" s="127"/>
      <c r="D86" s="127"/>
      <c r="E86" s="127"/>
      <c r="G86" s="127"/>
      <c r="I86" s="99"/>
      <c r="J86" s="99"/>
      <c r="K86" s="99"/>
      <c r="L86" s="99"/>
      <c r="M86" s="99"/>
      <c r="AB86" s="99"/>
      <c r="AC86" s="99"/>
    </row>
    <row r="87" spans="3:29" ht="13">
      <c r="C87" s="127"/>
      <c r="D87" s="127"/>
      <c r="E87" s="127"/>
      <c r="G87" s="127"/>
      <c r="I87" s="99"/>
      <c r="J87" s="99"/>
      <c r="K87" s="99"/>
      <c r="L87" s="99"/>
      <c r="M87" s="99"/>
      <c r="AB87" s="99"/>
      <c r="AC87" s="99"/>
    </row>
    <row r="88" spans="3:29" ht="13">
      <c r="C88" s="127"/>
      <c r="D88" s="127"/>
      <c r="E88" s="127"/>
      <c r="G88" s="127"/>
      <c r="I88" s="99"/>
      <c r="J88" s="99"/>
      <c r="K88" s="99"/>
      <c r="L88" s="99"/>
      <c r="M88" s="99"/>
      <c r="AB88" s="99"/>
      <c r="AC88" s="99"/>
    </row>
    <row r="89" spans="3:29" ht="13">
      <c r="C89" s="127"/>
      <c r="D89" s="127"/>
      <c r="E89" s="127"/>
      <c r="G89" s="127"/>
      <c r="I89" s="99"/>
      <c r="J89" s="99"/>
      <c r="K89" s="99"/>
      <c r="L89" s="99"/>
      <c r="M89" s="99"/>
      <c r="AB89" s="99"/>
      <c r="AC89" s="99"/>
    </row>
    <row r="90" spans="3:29" ht="13">
      <c r="C90" s="127"/>
      <c r="D90" s="127"/>
      <c r="E90" s="127"/>
      <c r="G90" s="127"/>
      <c r="I90" s="99"/>
      <c r="J90" s="99"/>
      <c r="K90" s="99"/>
      <c r="L90" s="99"/>
      <c r="M90" s="99"/>
      <c r="AB90" s="99"/>
      <c r="AC90" s="99"/>
    </row>
    <row r="91" spans="3:29" ht="13">
      <c r="C91" s="127"/>
      <c r="D91" s="127"/>
      <c r="E91" s="127"/>
      <c r="G91" s="127"/>
      <c r="I91" s="99"/>
      <c r="J91" s="99"/>
      <c r="K91" s="99"/>
      <c r="L91" s="99"/>
      <c r="M91" s="99"/>
      <c r="AB91" s="99"/>
      <c r="AC91" s="99"/>
    </row>
    <row r="92" spans="3:29" ht="13">
      <c r="C92" s="127"/>
      <c r="D92" s="127"/>
      <c r="E92" s="127"/>
      <c r="G92" s="127"/>
      <c r="I92" s="99"/>
      <c r="J92" s="99"/>
      <c r="K92" s="99"/>
      <c r="L92" s="99"/>
      <c r="M92" s="99"/>
      <c r="AB92" s="99"/>
      <c r="AC92" s="99"/>
    </row>
    <row r="93" spans="3:29" ht="13">
      <c r="C93" s="127"/>
      <c r="D93" s="127"/>
      <c r="E93" s="127"/>
      <c r="G93" s="127"/>
      <c r="I93" s="99"/>
      <c r="J93" s="99"/>
      <c r="K93" s="99"/>
      <c r="L93" s="99"/>
      <c r="M93" s="99"/>
      <c r="AB93" s="99"/>
      <c r="AC93" s="99"/>
    </row>
    <row r="94" spans="3:29" ht="13">
      <c r="C94" s="127"/>
      <c r="D94" s="127"/>
      <c r="E94" s="127"/>
      <c r="G94" s="127"/>
      <c r="I94" s="99"/>
      <c r="J94" s="99"/>
      <c r="K94" s="99"/>
      <c r="L94" s="99"/>
      <c r="M94" s="99"/>
      <c r="AB94" s="99"/>
      <c r="AC94" s="99"/>
    </row>
    <row r="95" spans="3:29" ht="13">
      <c r="C95" s="127"/>
      <c r="D95" s="127"/>
      <c r="E95" s="127"/>
      <c r="G95" s="127"/>
      <c r="I95" s="99"/>
      <c r="J95" s="99"/>
      <c r="K95" s="99"/>
      <c r="L95" s="99"/>
      <c r="M95" s="99"/>
      <c r="AB95" s="99"/>
      <c r="AC95" s="99"/>
    </row>
    <row r="96" spans="3:29" ht="13">
      <c r="C96" s="127"/>
      <c r="D96" s="127"/>
      <c r="E96" s="127"/>
      <c r="G96" s="127"/>
      <c r="I96" s="99"/>
      <c r="J96" s="99"/>
      <c r="K96" s="99"/>
      <c r="L96" s="99"/>
      <c r="M96" s="99"/>
      <c r="AB96" s="99"/>
      <c r="AC96" s="99"/>
    </row>
    <row r="97" spans="3:29" ht="13">
      <c r="C97" s="127"/>
      <c r="D97" s="127"/>
      <c r="E97" s="127"/>
      <c r="G97" s="127"/>
      <c r="I97" s="99"/>
      <c r="J97" s="99"/>
      <c r="K97" s="99"/>
      <c r="L97" s="99"/>
      <c r="M97" s="99"/>
      <c r="AB97" s="99"/>
      <c r="AC97" s="99"/>
    </row>
    <row r="98" spans="3:29" ht="13">
      <c r="C98" s="127"/>
      <c r="D98" s="127"/>
      <c r="E98" s="127"/>
      <c r="G98" s="127"/>
      <c r="I98" s="99"/>
      <c r="J98" s="99"/>
      <c r="K98" s="99"/>
      <c r="L98" s="99"/>
      <c r="M98" s="99"/>
      <c r="AB98" s="99"/>
      <c r="AC98" s="99"/>
    </row>
    <row r="99" spans="3:29" ht="13">
      <c r="C99" s="127"/>
      <c r="D99" s="127"/>
      <c r="E99" s="127"/>
      <c r="G99" s="127"/>
      <c r="I99" s="99"/>
      <c r="J99" s="99"/>
      <c r="K99" s="99"/>
      <c r="L99" s="99"/>
      <c r="M99" s="99"/>
      <c r="AB99" s="99"/>
      <c r="AC99" s="99"/>
    </row>
    <row r="100" spans="3:29" ht="13">
      <c r="C100" s="127"/>
      <c r="D100" s="127"/>
      <c r="E100" s="127"/>
      <c r="G100" s="127"/>
      <c r="I100" s="99"/>
      <c r="J100" s="99"/>
      <c r="K100" s="99"/>
      <c r="L100" s="99"/>
      <c r="M100" s="99"/>
      <c r="AB100" s="99"/>
      <c r="AC100" s="99"/>
    </row>
    <row r="101" spans="3:29" ht="13">
      <c r="C101" s="127"/>
      <c r="D101" s="127"/>
      <c r="E101" s="127"/>
      <c r="G101" s="127"/>
      <c r="I101" s="99"/>
      <c r="J101" s="99"/>
      <c r="K101" s="99"/>
      <c r="L101" s="99"/>
      <c r="M101" s="99"/>
      <c r="AB101" s="99"/>
      <c r="AC101" s="99"/>
    </row>
    <row r="102" spans="3:29" ht="13">
      <c r="C102" s="127"/>
      <c r="D102" s="127"/>
      <c r="E102" s="127"/>
      <c r="G102" s="127"/>
      <c r="I102" s="99"/>
      <c r="J102" s="99"/>
      <c r="K102" s="99"/>
      <c r="L102" s="99"/>
      <c r="M102" s="99"/>
      <c r="AB102" s="99"/>
      <c r="AC102" s="99"/>
    </row>
    <row r="103" spans="3:29" ht="13">
      <c r="C103" s="127"/>
      <c r="D103" s="127"/>
      <c r="E103" s="127"/>
      <c r="G103" s="127"/>
      <c r="I103" s="99"/>
      <c r="J103" s="99"/>
      <c r="K103" s="99"/>
      <c r="L103" s="99"/>
      <c r="M103" s="99"/>
      <c r="AB103" s="99"/>
      <c r="AC103" s="99"/>
    </row>
    <row r="104" spans="3:29" ht="13">
      <c r="C104" s="127"/>
      <c r="D104" s="127"/>
      <c r="E104" s="127"/>
      <c r="G104" s="127"/>
      <c r="I104" s="99"/>
      <c r="J104" s="99"/>
      <c r="K104" s="99"/>
      <c r="L104" s="99"/>
      <c r="M104" s="99"/>
      <c r="AB104" s="99"/>
      <c r="AC104" s="99"/>
    </row>
    <row r="105" spans="3:29" ht="13">
      <c r="C105" s="127"/>
      <c r="D105" s="127"/>
      <c r="E105" s="127"/>
      <c r="G105" s="127"/>
      <c r="I105" s="99"/>
      <c r="J105" s="99"/>
      <c r="K105" s="99"/>
      <c r="L105" s="99"/>
      <c r="M105" s="99"/>
      <c r="AB105" s="99"/>
      <c r="AC105" s="99"/>
    </row>
    <row r="106" spans="3:29" ht="13">
      <c r="C106" s="127"/>
      <c r="D106" s="127"/>
      <c r="E106" s="127"/>
      <c r="G106" s="127"/>
      <c r="I106" s="99"/>
      <c r="J106" s="99"/>
      <c r="K106" s="99"/>
      <c r="L106" s="99"/>
      <c r="M106" s="99"/>
      <c r="AB106" s="99"/>
      <c r="AC106" s="99"/>
    </row>
    <row r="107" spans="3:29" ht="13">
      <c r="C107" s="127"/>
      <c r="D107" s="127"/>
      <c r="E107" s="127"/>
      <c r="G107" s="127"/>
      <c r="I107" s="99"/>
      <c r="J107" s="99"/>
      <c r="K107" s="99"/>
      <c r="L107" s="99"/>
      <c r="M107" s="99"/>
      <c r="AB107" s="99"/>
      <c r="AC107" s="99"/>
    </row>
    <row r="108" spans="3:29" ht="13">
      <c r="C108" s="127"/>
      <c r="D108" s="127"/>
      <c r="E108" s="127"/>
      <c r="G108" s="127"/>
      <c r="I108" s="99"/>
      <c r="J108" s="99"/>
      <c r="K108" s="99"/>
      <c r="L108" s="99"/>
      <c r="M108" s="99"/>
      <c r="AB108" s="99"/>
      <c r="AC108" s="99"/>
    </row>
    <row r="109" spans="3:29" ht="13">
      <c r="C109" s="127"/>
      <c r="D109" s="127"/>
      <c r="E109" s="127"/>
      <c r="G109" s="127"/>
      <c r="I109" s="99"/>
      <c r="J109" s="99"/>
      <c r="K109" s="99"/>
      <c r="L109" s="99"/>
      <c r="M109" s="99"/>
      <c r="AB109" s="99"/>
      <c r="AC109" s="99"/>
    </row>
    <row r="110" spans="3:29" ht="13">
      <c r="C110" s="127"/>
      <c r="D110" s="127"/>
      <c r="E110" s="127"/>
      <c r="G110" s="127"/>
      <c r="I110" s="99"/>
      <c r="J110" s="99"/>
      <c r="K110" s="99"/>
      <c r="L110" s="99"/>
      <c r="M110" s="99"/>
      <c r="AB110" s="99"/>
      <c r="AC110" s="99"/>
    </row>
    <row r="111" spans="3:29" ht="13">
      <c r="C111" s="127"/>
      <c r="D111" s="127"/>
      <c r="E111" s="127"/>
      <c r="G111" s="127"/>
      <c r="I111" s="99"/>
      <c r="J111" s="99"/>
      <c r="K111" s="99"/>
      <c r="L111" s="99"/>
      <c r="M111" s="99"/>
      <c r="AB111" s="99"/>
      <c r="AC111" s="99"/>
    </row>
    <row r="112" spans="3:29" ht="13">
      <c r="C112" s="127"/>
      <c r="D112" s="127"/>
      <c r="E112" s="127"/>
      <c r="G112" s="127"/>
      <c r="I112" s="99"/>
      <c r="J112" s="99"/>
      <c r="K112" s="99"/>
      <c r="L112" s="99"/>
      <c r="M112" s="99"/>
      <c r="AB112" s="99"/>
      <c r="AC112" s="99"/>
    </row>
    <row r="113" spans="3:29" ht="13">
      <c r="C113" s="127"/>
      <c r="D113" s="127"/>
      <c r="E113" s="127"/>
      <c r="G113" s="127"/>
      <c r="I113" s="99"/>
      <c r="J113" s="99"/>
      <c r="K113" s="99"/>
      <c r="L113" s="99"/>
      <c r="M113" s="99"/>
      <c r="AB113" s="99"/>
      <c r="AC113" s="99"/>
    </row>
    <row r="114" spans="3:29" ht="13">
      <c r="C114" s="127"/>
      <c r="D114" s="127"/>
      <c r="E114" s="127"/>
      <c r="G114" s="127"/>
      <c r="I114" s="99"/>
      <c r="J114" s="99"/>
      <c r="K114" s="99"/>
      <c r="L114" s="99"/>
      <c r="M114" s="99"/>
      <c r="AB114" s="99"/>
      <c r="AC114" s="99"/>
    </row>
    <row r="115" spans="3:29" ht="13">
      <c r="C115" s="127"/>
      <c r="D115" s="127"/>
      <c r="E115" s="127"/>
      <c r="G115" s="127"/>
      <c r="I115" s="99"/>
      <c r="J115" s="99"/>
      <c r="K115" s="99"/>
      <c r="L115" s="99"/>
      <c r="M115" s="99"/>
      <c r="AB115" s="99"/>
      <c r="AC115" s="99"/>
    </row>
    <row r="116" spans="3:29" ht="13">
      <c r="C116" s="127"/>
      <c r="D116" s="127"/>
      <c r="E116" s="127"/>
      <c r="G116" s="127"/>
      <c r="I116" s="99"/>
      <c r="J116" s="99"/>
      <c r="K116" s="99"/>
      <c r="L116" s="99"/>
      <c r="M116" s="99"/>
      <c r="AB116" s="99"/>
      <c r="AC116" s="99"/>
    </row>
    <row r="117" spans="3:29" ht="13">
      <c r="C117" s="127"/>
      <c r="D117" s="127"/>
      <c r="E117" s="127"/>
      <c r="G117" s="127"/>
      <c r="I117" s="99"/>
      <c r="J117" s="99"/>
      <c r="K117" s="99"/>
      <c r="L117" s="99"/>
      <c r="M117" s="99"/>
      <c r="AB117" s="99"/>
      <c r="AC117" s="99"/>
    </row>
    <row r="118" spans="3:29" ht="13">
      <c r="C118" s="127"/>
      <c r="D118" s="127"/>
      <c r="E118" s="127"/>
      <c r="G118" s="127"/>
      <c r="I118" s="99"/>
      <c r="J118" s="99"/>
      <c r="K118" s="99"/>
      <c r="L118" s="99"/>
      <c r="M118" s="99"/>
      <c r="AB118" s="99"/>
      <c r="AC118" s="99"/>
    </row>
    <row r="119" spans="3:29" ht="13">
      <c r="C119" s="127"/>
      <c r="D119" s="127"/>
      <c r="E119" s="127"/>
      <c r="G119" s="127"/>
      <c r="I119" s="99"/>
      <c r="J119" s="99"/>
      <c r="K119" s="99"/>
      <c r="L119" s="99"/>
      <c r="M119" s="99"/>
      <c r="AB119" s="99"/>
      <c r="AC119" s="99"/>
    </row>
    <row r="120" spans="3:29" ht="13">
      <c r="C120" s="127"/>
      <c r="D120" s="127"/>
      <c r="E120" s="127"/>
      <c r="G120" s="127"/>
      <c r="I120" s="99"/>
      <c r="J120" s="99"/>
      <c r="K120" s="99"/>
      <c r="L120" s="99"/>
      <c r="M120" s="99"/>
      <c r="AB120" s="99"/>
      <c r="AC120" s="99"/>
    </row>
    <row r="121" spans="3:29" ht="13">
      <c r="C121" s="127"/>
      <c r="D121" s="127"/>
      <c r="E121" s="127"/>
      <c r="G121" s="127"/>
      <c r="I121" s="99"/>
      <c r="J121" s="99"/>
      <c r="K121" s="99"/>
      <c r="L121" s="99"/>
      <c r="M121" s="99"/>
      <c r="AB121" s="99"/>
      <c r="AC121" s="99"/>
    </row>
    <row r="122" spans="3:29" ht="13">
      <c r="C122" s="127"/>
      <c r="D122" s="127"/>
      <c r="E122" s="127"/>
      <c r="G122" s="127"/>
      <c r="I122" s="99"/>
      <c r="J122" s="99"/>
      <c r="K122" s="99"/>
      <c r="L122" s="99"/>
      <c r="M122" s="99"/>
      <c r="AB122" s="99"/>
      <c r="AC122" s="99"/>
    </row>
    <row r="123" spans="3:29" ht="13">
      <c r="C123" s="127"/>
      <c r="D123" s="127"/>
      <c r="E123" s="127"/>
      <c r="G123" s="127"/>
      <c r="I123" s="99"/>
      <c r="J123" s="99"/>
      <c r="K123" s="99"/>
      <c r="L123" s="99"/>
      <c r="M123" s="99"/>
      <c r="AB123" s="99"/>
      <c r="AC123" s="99"/>
    </row>
    <row r="124" spans="3:29" ht="13">
      <c r="C124" s="127"/>
      <c r="D124" s="127"/>
      <c r="E124" s="127"/>
      <c r="G124" s="127"/>
      <c r="I124" s="99"/>
      <c r="J124" s="99"/>
      <c r="K124" s="99"/>
      <c r="L124" s="99"/>
      <c r="M124" s="99"/>
      <c r="AB124" s="99"/>
      <c r="AC124" s="99"/>
    </row>
    <row r="125" spans="3:29" ht="13">
      <c r="C125" s="127"/>
      <c r="D125" s="127"/>
      <c r="E125" s="127"/>
      <c r="G125" s="127"/>
      <c r="I125" s="99"/>
      <c r="J125" s="99"/>
      <c r="K125" s="99"/>
      <c r="L125" s="99"/>
      <c r="M125" s="99"/>
      <c r="AB125" s="99"/>
      <c r="AC125" s="99"/>
    </row>
    <row r="126" spans="3:29" ht="13">
      <c r="C126" s="127"/>
      <c r="D126" s="127"/>
      <c r="E126" s="127"/>
      <c r="G126" s="127"/>
      <c r="I126" s="99"/>
      <c r="J126" s="99"/>
      <c r="K126" s="99"/>
      <c r="L126" s="99"/>
      <c r="M126" s="99"/>
      <c r="AB126" s="99"/>
      <c r="AC126" s="99"/>
    </row>
    <row r="127" spans="3:29" ht="13">
      <c r="C127" s="127"/>
      <c r="D127" s="127"/>
      <c r="E127" s="127"/>
      <c r="G127" s="127"/>
      <c r="I127" s="99"/>
      <c r="J127" s="99"/>
      <c r="K127" s="99"/>
      <c r="L127" s="99"/>
      <c r="M127" s="99"/>
      <c r="AB127" s="99"/>
      <c r="AC127" s="99"/>
    </row>
    <row r="128" spans="3:29" ht="13">
      <c r="C128" s="127"/>
      <c r="D128" s="127"/>
      <c r="E128" s="127"/>
      <c r="G128" s="127"/>
      <c r="I128" s="99"/>
      <c r="J128" s="99"/>
      <c r="K128" s="99"/>
      <c r="L128" s="99"/>
      <c r="M128" s="99"/>
      <c r="AB128" s="99"/>
      <c r="AC128" s="99"/>
    </row>
    <row r="129" spans="3:29" ht="13">
      <c r="C129" s="127"/>
      <c r="D129" s="127"/>
      <c r="E129" s="127"/>
      <c r="G129" s="127"/>
      <c r="I129" s="99"/>
      <c r="J129" s="99"/>
      <c r="K129" s="99"/>
      <c r="L129" s="99"/>
      <c r="M129" s="99"/>
      <c r="AB129" s="99"/>
      <c r="AC129" s="99"/>
    </row>
    <row r="130" spans="3:29" ht="13">
      <c r="C130" s="127"/>
      <c r="D130" s="127"/>
      <c r="E130" s="127"/>
      <c r="G130" s="127"/>
      <c r="I130" s="99"/>
      <c r="J130" s="99"/>
      <c r="K130" s="99"/>
      <c r="L130" s="99"/>
      <c r="M130" s="99"/>
      <c r="AB130" s="99"/>
      <c r="AC130" s="99"/>
    </row>
    <row r="131" spans="3:29" ht="13">
      <c r="C131" s="127"/>
      <c r="D131" s="127"/>
      <c r="E131" s="127"/>
      <c r="G131" s="127"/>
      <c r="I131" s="99"/>
      <c r="J131" s="99"/>
      <c r="K131" s="99"/>
      <c r="L131" s="99"/>
      <c r="M131" s="99"/>
      <c r="AB131" s="99"/>
      <c r="AC131" s="99"/>
    </row>
    <row r="132" spans="3:29" ht="13">
      <c r="C132" s="127"/>
      <c r="D132" s="127"/>
      <c r="E132" s="127"/>
      <c r="G132" s="127"/>
      <c r="I132" s="99"/>
      <c r="J132" s="99"/>
      <c r="K132" s="99"/>
      <c r="L132" s="99"/>
      <c r="M132" s="99"/>
      <c r="AB132" s="99"/>
      <c r="AC132" s="99"/>
    </row>
    <row r="133" spans="3:29" ht="13">
      <c r="C133" s="127"/>
      <c r="D133" s="127"/>
      <c r="E133" s="127"/>
      <c r="G133" s="127"/>
      <c r="I133" s="99"/>
      <c r="J133" s="99"/>
      <c r="K133" s="99"/>
      <c r="L133" s="99"/>
      <c r="M133" s="99"/>
      <c r="AB133" s="99"/>
      <c r="AC133" s="99"/>
    </row>
    <row r="134" spans="3:29" ht="13">
      <c r="C134" s="127"/>
      <c r="D134" s="127"/>
      <c r="E134" s="127"/>
      <c r="G134" s="127"/>
      <c r="I134" s="99"/>
      <c r="J134" s="99"/>
      <c r="K134" s="99"/>
      <c r="L134" s="99"/>
      <c r="M134" s="99"/>
      <c r="AB134" s="99"/>
      <c r="AC134" s="99"/>
    </row>
    <row r="135" spans="3:29" ht="13">
      <c r="C135" s="127"/>
      <c r="D135" s="127"/>
      <c r="E135" s="127"/>
      <c r="G135" s="127"/>
      <c r="I135" s="99"/>
      <c r="J135" s="99"/>
      <c r="K135" s="99"/>
      <c r="L135" s="99"/>
      <c r="M135" s="99"/>
      <c r="AB135" s="99"/>
      <c r="AC135" s="99"/>
    </row>
    <row r="136" spans="3:29" ht="13">
      <c r="C136" s="127"/>
      <c r="D136" s="127"/>
      <c r="E136" s="127"/>
      <c r="G136" s="127"/>
      <c r="I136" s="99"/>
      <c r="J136" s="99"/>
      <c r="K136" s="99"/>
      <c r="L136" s="99"/>
      <c r="M136" s="99"/>
      <c r="AB136" s="99"/>
      <c r="AC136" s="99"/>
    </row>
    <row r="137" spans="3:29" ht="13">
      <c r="C137" s="127"/>
      <c r="D137" s="127"/>
      <c r="E137" s="127"/>
      <c r="G137" s="127"/>
      <c r="I137" s="99"/>
      <c r="J137" s="99"/>
      <c r="K137" s="99"/>
      <c r="L137" s="99"/>
      <c r="M137" s="99"/>
      <c r="AB137" s="99"/>
      <c r="AC137" s="99"/>
    </row>
    <row r="138" spans="3:29" ht="13">
      <c r="C138" s="127"/>
      <c r="D138" s="127"/>
      <c r="E138" s="127"/>
      <c r="G138" s="127"/>
      <c r="I138" s="99"/>
      <c r="J138" s="99"/>
      <c r="K138" s="99"/>
      <c r="L138" s="99"/>
      <c r="M138" s="99"/>
      <c r="AB138" s="99"/>
      <c r="AC138" s="99"/>
    </row>
    <row r="139" spans="3:29" ht="13">
      <c r="C139" s="127"/>
      <c r="D139" s="127"/>
      <c r="E139" s="127"/>
      <c r="G139" s="127"/>
      <c r="I139" s="99"/>
      <c r="J139" s="99"/>
      <c r="K139" s="99"/>
      <c r="L139" s="99"/>
      <c r="M139" s="99"/>
      <c r="AB139" s="99"/>
      <c r="AC139" s="99"/>
    </row>
    <row r="140" spans="3:29" ht="13">
      <c r="C140" s="127"/>
      <c r="D140" s="127"/>
      <c r="E140" s="127"/>
      <c r="G140" s="127"/>
      <c r="I140" s="99"/>
      <c r="J140" s="99"/>
      <c r="K140" s="99"/>
      <c r="L140" s="99"/>
      <c r="M140" s="99"/>
      <c r="AB140" s="99"/>
      <c r="AC140" s="99"/>
    </row>
    <row r="141" spans="3:29" ht="13">
      <c r="C141" s="127"/>
      <c r="D141" s="127"/>
      <c r="E141" s="127"/>
      <c r="G141" s="127"/>
      <c r="I141" s="99"/>
      <c r="J141" s="99"/>
      <c r="K141" s="99"/>
      <c r="L141" s="99"/>
      <c r="M141" s="99"/>
      <c r="AB141" s="99"/>
      <c r="AC141" s="99"/>
    </row>
    <row r="142" spans="3:29" ht="13">
      <c r="C142" s="127"/>
      <c r="D142" s="127"/>
      <c r="E142" s="127"/>
      <c r="G142" s="127"/>
      <c r="I142" s="99"/>
      <c r="J142" s="99"/>
      <c r="K142" s="99"/>
      <c r="L142" s="99"/>
      <c r="M142" s="99"/>
      <c r="AB142" s="99"/>
      <c r="AC142" s="99"/>
    </row>
    <row r="143" spans="3:29" ht="13">
      <c r="C143" s="127"/>
      <c r="D143" s="127"/>
      <c r="E143" s="127"/>
      <c r="G143" s="127"/>
      <c r="I143" s="99"/>
      <c r="J143" s="99"/>
      <c r="K143" s="99"/>
      <c r="L143" s="99"/>
      <c r="M143" s="99"/>
      <c r="AB143" s="99"/>
      <c r="AC143" s="99"/>
    </row>
    <row r="144" spans="3:29" ht="13">
      <c r="C144" s="127"/>
      <c r="D144" s="127"/>
      <c r="E144" s="127"/>
      <c r="G144" s="127"/>
      <c r="I144" s="99"/>
      <c r="J144" s="99"/>
      <c r="K144" s="99"/>
      <c r="L144" s="99"/>
      <c r="M144" s="99"/>
      <c r="AB144" s="99"/>
      <c r="AC144" s="99"/>
    </row>
    <row r="145" spans="3:29" ht="13">
      <c r="C145" s="127"/>
      <c r="D145" s="127"/>
      <c r="E145" s="127"/>
      <c r="G145" s="127"/>
      <c r="I145" s="99"/>
      <c r="J145" s="99"/>
      <c r="K145" s="99"/>
      <c r="L145" s="99"/>
      <c r="M145" s="99"/>
      <c r="AB145" s="99"/>
      <c r="AC145" s="99"/>
    </row>
    <row r="146" spans="3:29" ht="13">
      <c r="C146" s="127"/>
      <c r="D146" s="127"/>
      <c r="E146" s="127"/>
      <c r="G146" s="127"/>
      <c r="I146" s="99"/>
      <c r="J146" s="99"/>
      <c r="K146" s="99"/>
      <c r="L146" s="99"/>
      <c r="M146" s="99"/>
      <c r="AB146" s="99"/>
      <c r="AC146" s="99"/>
    </row>
    <row r="147" spans="3:29" ht="13">
      <c r="C147" s="127"/>
      <c r="D147" s="127"/>
      <c r="E147" s="127"/>
      <c r="G147" s="127"/>
      <c r="I147" s="99"/>
      <c r="J147" s="99"/>
      <c r="K147" s="99"/>
      <c r="L147" s="99"/>
      <c r="M147" s="99"/>
      <c r="AB147" s="99"/>
      <c r="AC147" s="99"/>
    </row>
    <row r="148" spans="3:29" ht="13">
      <c r="C148" s="127"/>
      <c r="D148" s="127"/>
      <c r="E148" s="127"/>
      <c r="G148" s="127"/>
      <c r="I148" s="99"/>
      <c r="J148" s="99"/>
      <c r="K148" s="99"/>
      <c r="L148" s="99"/>
      <c r="M148" s="99"/>
      <c r="AB148" s="99"/>
      <c r="AC148" s="99"/>
    </row>
    <row r="149" spans="3:29" ht="13">
      <c r="C149" s="127"/>
      <c r="D149" s="127"/>
      <c r="E149" s="127"/>
      <c r="G149" s="127"/>
      <c r="I149" s="99"/>
      <c r="J149" s="99"/>
      <c r="K149" s="99"/>
      <c r="L149" s="99"/>
      <c r="M149" s="99"/>
      <c r="AB149" s="99"/>
      <c r="AC149" s="99"/>
    </row>
    <row r="150" spans="3:29" ht="13">
      <c r="C150" s="127"/>
      <c r="D150" s="127"/>
      <c r="E150" s="127"/>
      <c r="G150" s="127"/>
      <c r="I150" s="99"/>
      <c r="J150" s="99"/>
      <c r="K150" s="99"/>
      <c r="L150" s="99"/>
      <c r="M150" s="99"/>
      <c r="AB150" s="99"/>
      <c r="AC150" s="99"/>
    </row>
    <row r="151" spans="3:29" ht="13">
      <c r="C151" s="127"/>
      <c r="D151" s="127"/>
      <c r="E151" s="127"/>
      <c r="G151" s="127"/>
      <c r="I151" s="99"/>
      <c r="J151" s="99"/>
      <c r="K151" s="99"/>
      <c r="L151" s="99"/>
      <c r="M151" s="99"/>
      <c r="AB151" s="99"/>
      <c r="AC151" s="99"/>
    </row>
    <row r="152" spans="3:29" ht="13">
      <c r="C152" s="127"/>
      <c r="D152" s="127"/>
      <c r="E152" s="127"/>
      <c r="G152" s="127"/>
      <c r="I152" s="99"/>
      <c r="J152" s="99"/>
      <c r="K152" s="99"/>
      <c r="L152" s="99"/>
      <c r="M152" s="99"/>
      <c r="AB152" s="99"/>
      <c r="AC152" s="99"/>
    </row>
    <row r="153" spans="3:29" ht="13">
      <c r="C153" s="127"/>
      <c r="D153" s="127"/>
      <c r="E153" s="127"/>
      <c r="G153" s="127"/>
      <c r="I153" s="99"/>
      <c r="J153" s="99"/>
      <c r="K153" s="99"/>
      <c r="L153" s="99"/>
      <c r="M153" s="99"/>
      <c r="AB153" s="99"/>
      <c r="AC153" s="99"/>
    </row>
    <row r="154" spans="3:29" ht="13">
      <c r="C154" s="127"/>
      <c r="D154" s="127"/>
      <c r="E154" s="127"/>
      <c r="G154" s="127"/>
      <c r="I154" s="99"/>
      <c r="J154" s="99"/>
      <c r="K154" s="99"/>
      <c r="L154" s="99"/>
      <c r="M154" s="99"/>
      <c r="AB154" s="99"/>
      <c r="AC154" s="99"/>
    </row>
    <row r="155" spans="3:29" ht="13">
      <c r="C155" s="127"/>
      <c r="D155" s="127"/>
      <c r="E155" s="127"/>
      <c r="G155" s="127"/>
      <c r="I155" s="99"/>
      <c r="J155" s="99"/>
      <c r="K155" s="99"/>
      <c r="L155" s="99"/>
      <c r="M155" s="99"/>
      <c r="AB155" s="99"/>
      <c r="AC155" s="99"/>
    </row>
    <row r="156" spans="3:29" ht="13">
      <c r="C156" s="127"/>
      <c r="D156" s="127"/>
      <c r="E156" s="127"/>
      <c r="G156" s="127"/>
      <c r="I156" s="99"/>
      <c r="J156" s="99"/>
      <c r="K156" s="99"/>
      <c r="L156" s="99"/>
      <c r="M156" s="99"/>
      <c r="AB156" s="99"/>
      <c r="AC156" s="99"/>
    </row>
    <row r="157" spans="3:29" ht="13">
      <c r="C157" s="127"/>
      <c r="D157" s="127"/>
      <c r="E157" s="127"/>
      <c r="G157" s="127"/>
      <c r="I157" s="99"/>
      <c r="J157" s="99"/>
      <c r="K157" s="99"/>
      <c r="L157" s="99"/>
      <c r="M157" s="99"/>
      <c r="AB157" s="99"/>
      <c r="AC157" s="99"/>
    </row>
    <row r="158" spans="3:29" ht="13">
      <c r="C158" s="127"/>
      <c r="D158" s="127"/>
      <c r="E158" s="127"/>
      <c r="G158" s="127"/>
      <c r="I158" s="99"/>
      <c r="J158" s="99"/>
      <c r="K158" s="99"/>
      <c r="L158" s="99"/>
      <c r="M158" s="99"/>
      <c r="AB158" s="99"/>
      <c r="AC158" s="99"/>
    </row>
    <row r="159" spans="3:29" ht="13">
      <c r="C159" s="127"/>
      <c r="D159" s="127"/>
      <c r="E159" s="127"/>
      <c r="G159" s="127"/>
      <c r="I159" s="99"/>
      <c r="J159" s="99"/>
      <c r="K159" s="99"/>
      <c r="L159" s="99"/>
      <c r="M159" s="99"/>
      <c r="AB159" s="99"/>
      <c r="AC159" s="99"/>
    </row>
    <row r="160" spans="3:29" ht="13">
      <c r="C160" s="127"/>
      <c r="D160" s="127"/>
      <c r="E160" s="127"/>
      <c r="G160" s="127"/>
      <c r="I160" s="99"/>
      <c r="J160" s="99"/>
      <c r="K160" s="99"/>
      <c r="L160" s="99"/>
      <c r="M160" s="99"/>
      <c r="AB160" s="99"/>
      <c r="AC160" s="99"/>
    </row>
    <row r="161" spans="3:29" ht="13">
      <c r="C161" s="127"/>
      <c r="D161" s="127"/>
      <c r="E161" s="127"/>
      <c r="G161" s="127"/>
      <c r="I161" s="99"/>
      <c r="J161" s="99"/>
      <c r="K161" s="99"/>
      <c r="L161" s="99"/>
      <c r="M161" s="99"/>
      <c r="AB161" s="99"/>
      <c r="AC161" s="99"/>
    </row>
    <row r="162" spans="3:29" ht="13">
      <c r="C162" s="127"/>
      <c r="D162" s="127"/>
      <c r="E162" s="127"/>
      <c r="G162" s="127"/>
      <c r="I162" s="99"/>
      <c r="J162" s="99"/>
      <c r="K162" s="99"/>
      <c r="L162" s="99"/>
      <c r="M162" s="99"/>
      <c r="AB162" s="99"/>
      <c r="AC162" s="99"/>
    </row>
    <row r="163" spans="3:29" ht="13">
      <c r="C163" s="127"/>
      <c r="D163" s="127"/>
      <c r="E163" s="127"/>
      <c r="G163" s="127"/>
      <c r="I163" s="99"/>
      <c r="J163" s="99"/>
      <c r="K163" s="99"/>
      <c r="L163" s="99"/>
      <c r="M163" s="99"/>
      <c r="AB163" s="99"/>
      <c r="AC163" s="99"/>
    </row>
    <row r="164" spans="3:29" ht="13">
      <c r="C164" s="127"/>
      <c r="D164" s="127"/>
      <c r="E164" s="127"/>
      <c r="G164" s="127"/>
      <c r="I164" s="99"/>
      <c r="J164" s="99"/>
      <c r="K164" s="99"/>
      <c r="L164" s="99"/>
      <c r="M164" s="99"/>
      <c r="AB164" s="99"/>
      <c r="AC164" s="99"/>
    </row>
    <row r="165" spans="3:29" ht="13">
      <c r="C165" s="127"/>
      <c r="D165" s="127"/>
      <c r="E165" s="127"/>
      <c r="G165" s="127"/>
      <c r="I165" s="99"/>
      <c r="J165" s="99"/>
      <c r="K165" s="99"/>
      <c r="L165" s="99"/>
      <c r="M165" s="99"/>
      <c r="AB165" s="99"/>
      <c r="AC165" s="99"/>
    </row>
    <row r="166" spans="3:29" ht="13">
      <c r="C166" s="127"/>
      <c r="D166" s="127"/>
      <c r="E166" s="127"/>
      <c r="G166" s="127"/>
      <c r="I166" s="99"/>
      <c r="J166" s="99"/>
      <c r="K166" s="99"/>
      <c r="L166" s="99"/>
      <c r="M166" s="99"/>
      <c r="AB166" s="99"/>
      <c r="AC166" s="99"/>
    </row>
    <row r="167" spans="3:29" ht="13">
      <c r="C167" s="127"/>
      <c r="D167" s="127"/>
      <c r="E167" s="127"/>
      <c r="G167" s="127"/>
      <c r="I167" s="99"/>
      <c r="J167" s="99"/>
      <c r="K167" s="99"/>
      <c r="L167" s="99"/>
      <c r="M167" s="99"/>
      <c r="AB167" s="99"/>
      <c r="AC167" s="99"/>
    </row>
    <row r="168" spans="3:29" ht="13">
      <c r="C168" s="127"/>
      <c r="D168" s="127"/>
      <c r="E168" s="127"/>
      <c r="G168" s="127"/>
      <c r="I168" s="99"/>
      <c r="J168" s="99"/>
      <c r="K168" s="99"/>
      <c r="L168" s="99"/>
      <c r="M168" s="99"/>
      <c r="AB168" s="99"/>
      <c r="AC168" s="99"/>
    </row>
    <row r="169" spans="3:29" ht="13">
      <c r="C169" s="127"/>
      <c r="D169" s="127"/>
      <c r="E169" s="127"/>
      <c r="G169" s="127"/>
      <c r="I169" s="99"/>
      <c r="J169" s="99"/>
      <c r="K169" s="99"/>
      <c r="L169" s="99"/>
      <c r="M169" s="99"/>
      <c r="AB169" s="99"/>
      <c r="AC169" s="99"/>
    </row>
    <row r="170" spans="3:29" ht="13">
      <c r="C170" s="127"/>
      <c r="D170" s="127"/>
      <c r="E170" s="127"/>
      <c r="G170" s="127"/>
      <c r="I170" s="99"/>
      <c r="J170" s="99"/>
      <c r="K170" s="99"/>
      <c r="L170" s="99"/>
      <c r="M170" s="99"/>
      <c r="AB170" s="99"/>
      <c r="AC170" s="99"/>
    </row>
    <row r="171" spans="3:29" ht="13">
      <c r="C171" s="127"/>
      <c r="D171" s="127"/>
      <c r="E171" s="127"/>
      <c r="G171" s="127"/>
      <c r="I171" s="99"/>
      <c r="J171" s="99"/>
      <c r="K171" s="99"/>
      <c r="L171" s="99"/>
      <c r="M171" s="99"/>
      <c r="AB171" s="99"/>
      <c r="AC171" s="99"/>
    </row>
    <row r="172" spans="3:29" ht="13">
      <c r="C172" s="127"/>
      <c r="D172" s="127"/>
      <c r="E172" s="127"/>
      <c r="G172" s="127"/>
      <c r="I172" s="99"/>
      <c r="J172" s="99"/>
      <c r="K172" s="99"/>
      <c r="L172" s="99"/>
      <c r="M172" s="99"/>
      <c r="AB172" s="99"/>
      <c r="AC172" s="99"/>
    </row>
    <row r="173" spans="3:29" ht="13">
      <c r="C173" s="127"/>
      <c r="D173" s="127"/>
      <c r="E173" s="127"/>
      <c r="G173" s="127"/>
      <c r="I173" s="99"/>
      <c r="J173" s="99"/>
      <c r="K173" s="99"/>
      <c r="L173" s="99"/>
      <c r="M173" s="99"/>
      <c r="AB173" s="99"/>
      <c r="AC173" s="99"/>
    </row>
    <row r="174" spans="3:29" ht="13">
      <c r="C174" s="127"/>
      <c r="D174" s="127"/>
      <c r="E174" s="127"/>
      <c r="G174" s="127"/>
      <c r="I174" s="99"/>
      <c r="J174" s="99"/>
      <c r="K174" s="99"/>
      <c r="L174" s="99"/>
      <c r="M174" s="99"/>
      <c r="AB174" s="99"/>
      <c r="AC174" s="99"/>
    </row>
    <row r="175" spans="3:29" ht="13">
      <c r="C175" s="127"/>
      <c r="D175" s="127"/>
      <c r="E175" s="127"/>
      <c r="G175" s="127"/>
      <c r="I175" s="99"/>
      <c r="J175" s="99"/>
      <c r="K175" s="99"/>
      <c r="L175" s="99"/>
      <c r="M175" s="99"/>
      <c r="AB175" s="99"/>
      <c r="AC175" s="99"/>
    </row>
    <row r="176" spans="3:29" ht="13">
      <c r="C176" s="127"/>
      <c r="D176" s="127"/>
      <c r="E176" s="127"/>
      <c r="G176" s="127"/>
      <c r="I176" s="99"/>
      <c r="J176" s="99"/>
      <c r="K176" s="99"/>
      <c r="L176" s="99"/>
      <c r="M176" s="99"/>
      <c r="AB176" s="99"/>
      <c r="AC176" s="99"/>
    </row>
    <row r="177" spans="3:29" ht="13">
      <c r="C177" s="127"/>
      <c r="D177" s="127"/>
      <c r="E177" s="127"/>
      <c r="G177" s="127"/>
      <c r="I177" s="99"/>
      <c r="J177" s="99"/>
      <c r="K177" s="99"/>
      <c r="L177" s="99"/>
      <c r="M177" s="99"/>
      <c r="AB177" s="99"/>
      <c r="AC177" s="99"/>
    </row>
    <row r="178" spans="3:29" ht="13">
      <c r="C178" s="127"/>
      <c r="D178" s="127"/>
      <c r="E178" s="127"/>
      <c r="G178" s="127"/>
      <c r="I178" s="99"/>
      <c r="J178" s="99"/>
      <c r="K178" s="99"/>
      <c r="L178" s="99"/>
      <c r="M178" s="99"/>
      <c r="AB178" s="99"/>
      <c r="AC178" s="99"/>
    </row>
    <row r="179" spans="3:29" ht="13">
      <c r="C179" s="127"/>
      <c r="D179" s="127"/>
      <c r="E179" s="127"/>
      <c r="G179" s="127"/>
      <c r="I179" s="99"/>
      <c r="J179" s="99"/>
      <c r="K179" s="99"/>
      <c r="L179" s="99"/>
      <c r="M179" s="99"/>
      <c r="AB179" s="99"/>
      <c r="AC179" s="99"/>
    </row>
    <row r="180" spans="3:29" ht="13">
      <c r="C180" s="127"/>
      <c r="D180" s="127"/>
      <c r="E180" s="127"/>
      <c r="G180" s="127"/>
      <c r="I180" s="99"/>
      <c r="J180" s="99"/>
      <c r="K180" s="99"/>
      <c r="L180" s="99"/>
      <c r="M180" s="99"/>
      <c r="AB180" s="99"/>
      <c r="AC180" s="99"/>
    </row>
    <row r="181" spans="3:29" ht="13">
      <c r="C181" s="127"/>
      <c r="D181" s="127"/>
      <c r="E181" s="127"/>
      <c r="G181" s="127"/>
      <c r="I181" s="99"/>
      <c r="J181" s="99"/>
      <c r="K181" s="99"/>
      <c r="L181" s="99"/>
      <c r="M181" s="99"/>
      <c r="AB181" s="99"/>
      <c r="AC181" s="99"/>
    </row>
    <row r="182" spans="3:29" ht="13">
      <c r="C182" s="127"/>
      <c r="D182" s="127"/>
      <c r="E182" s="127"/>
      <c r="G182" s="127"/>
      <c r="I182" s="99"/>
      <c r="J182" s="99"/>
      <c r="K182" s="99"/>
      <c r="L182" s="99"/>
      <c r="M182" s="99"/>
      <c r="AB182" s="99"/>
      <c r="AC182" s="99"/>
    </row>
    <row r="183" spans="3:29" ht="13">
      <c r="C183" s="127"/>
      <c r="D183" s="127"/>
      <c r="E183" s="127"/>
      <c r="G183" s="127"/>
      <c r="I183" s="99"/>
      <c r="J183" s="99"/>
      <c r="K183" s="99"/>
      <c r="L183" s="99"/>
      <c r="M183" s="99"/>
      <c r="AB183" s="99"/>
      <c r="AC183" s="99"/>
    </row>
    <row r="184" spans="3:29" ht="13">
      <c r="C184" s="127"/>
      <c r="D184" s="127"/>
      <c r="E184" s="127"/>
      <c r="G184" s="127"/>
      <c r="I184" s="99"/>
      <c r="J184" s="99"/>
      <c r="K184" s="99"/>
      <c r="L184" s="99"/>
      <c r="M184" s="99"/>
      <c r="AB184" s="99"/>
      <c r="AC184" s="99"/>
    </row>
    <row r="185" spans="3:29" ht="13">
      <c r="C185" s="127"/>
      <c r="D185" s="127"/>
      <c r="E185" s="127"/>
      <c r="G185" s="127"/>
      <c r="I185" s="99"/>
      <c r="J185" s="99"/>
      <c r="K185" s="99"/>
      <c r="L185" s="99"/>
      <c r="M185" s="99"/>
      <c r="AB185" s="99"/>
      <c r="AC185" s="99"/>
    </row>
    <row r="186" spans="3:29" ht="13">
      <c r="C186" s="127"/>
      <c r="D186" s="127"/>
      <c r="E186" s="127"/>
      <c r="G186" s="127"/>
      <c r="I186" s="99"/>
      <c r="J186" s="99"/>
      <c r="K186" s="99"/>
      <c r="L186" s="99"/>
      <c r="M186" s="99"/>
      <c r="AB186" s="99"/>
      <c r="AC186" s="99"/>
    </row>
    <row r="187" spans="3:29" ht="13">
      <c r="C187" s="127"/>
      <c r="D187" s="127"/>
      <c r="E187" s="127"/>
      <c r="G187" s="127"/>
      <c r="I187" s="99"/>
      <c r="J187" s="99"/>
      <c r="K187" s="99"/>
      <c r="L187" s="99"/>
      <c r="M187" s="99"/>
      <c r="AB187" s="99"/>
      <c r="AC187" s="99"/>
    </row>
    <row r="188" spans="3:29" ht="13">
      <c r="C188" s="127"/>
      <c r="D188" s="127"/>
      <c r="E188" s="127"/>
      <c r="G188" s="127"/>
      <c r="I188" s="99"/>
      <c r="J188" s="99"/>
      <c r="K188" s="99"/>
      <c r="L188" s="99"/>
      <c r="M188" s="99"/>
      <c r="AB188" s="99"/>
      <c r="AC188" s="99"/>
    </row>
    <row r="189" spans="3:29" ht="13">
      <c r="C189" s="127"/>
      <c r="D189" s="127"/>
      <c r="E189" s="127"/>
      <c r="G189" s="127"/>
      <c r="I189" s="99"/>
      <c r="J189" s="99"/>
      <c r="K189" s="99"/>
      <c r="L189" s="99"/>
      <c r="M189" s="99"/>
      <c r="AB189" s="99"/>
      <c r="AC189" s="99"/>
    </row>
    <row r="190" spans="3:29" ht="13">
      <c r="C190" s="127"/>
      <c r="D190" s="127"/>
      <c r="E190" s="127"/>
      <c r="G190" s="127"/>
      <c r="I190" s="99"/>
      <c r="J190" s="99"/>
      <c r="K190" s="99"/>
      <c r="L190" s="99"/>
      <c r="M190" s="99"/>
      <c r="AB190" s="99"/>
      <c r="AC190" s="99"/>
    </row>
    <row r="191" spans="3:29" ht="13">
      <c r="C191" s="127"/>
      <c r="D191" s="127"/>
      <c r="E191" s="127"/>
      <c r="G191" s="127"/>
      <c r="I191" s="99"/>
      <c r="J191" s="99"/>
      <c r="K191" s="99"/>
      <c r="L191" s="99"/>
      <c r="M191" s="99"/>
      <c r="AB191" s="99"/>
      <c r="AC191" s="99"/>
    </row>
    <row r="192" spans="3:29" ht="13">
      <c r="C192" s="127"/>
      <c r="D192" s="127"/>
      <c r="E192" s="127"/>
      <c r="G192" s="127"/>
      <c r="I192" s="99"/>
      <c r="J192" s="99"/>
      <c r="K192" s="99"/>
      <c r="L192" s="99"/>
      <c r="M192" s="99"/>
      <c r="AB192" s="99"/>
      <c r="AC192" s="99"/>
    </row>
    <row r="193" spans="3:29" ht="13">
      <c r="C193" s="127"/>
      <c r="D193" s="127"/>
      <c r="E193" s="127"/>
      <c r="G193" s="127"/>
      <c r="I193" s="99"/>
      <c r="J193" s="99"/>
      <c r="K193" s="99"/>
      <c r="L193" s="99"/>
      <c r="M193" s="99"/>
      <c r="AB193" s="99"/>
      <c r="AC193" s="99"/>
    </row>
    <row r="194" spans="3:29" ht="13">
      <c r="C194" s="127"/>
      <c r="D194" s="127"/>
      <c r="E194" s="127"/>
      <c r="G194" s="127"/>
      <c r="I194" s="99"/>
      <c r="J194" s="99"/>
      <c r="K194" s="99"/>
      <c r="L194" s="99"/>
      <c r="M194" s="99"/>
      <c r="AB194" s="99"/>
      <c r="AC194" s="99"/>
    </row>
    <row r="195" spans="3:29" ht="13">
      <c r="C195" s="127"/>
      <c r="D195" s="127"/>
      <c r="E195" s="127"/>
      <c r="G195" s="127"/>
      <c r="I195" s="99"/>
      <c r="J195" s="99"/>
      <c r="K195" s="99"/>
      <c r="L195" s="99"/>
      <c r="M195" s="99"/>
      <c r="AB195" s="99"/>
      <c r="AC195" s="99"/>
    </row>
    <row r="196" spans="3:29" ht="13">
      <c r="C196" s="127"/>
      <c r="D196" s="127"/>
      <c r="E196" s="127"/>
      <c r="G196" s="127"/>
      <c r="I196" s="99"/>
      <c r="J196" s="99"/>
      <c r="K196" s="99"/>
      <c r="L196" s="99"/>
      <c r="M196" s="99"/>
      <c r="AB196" s="99"/>
      <c r="AC196" s="99"/>
    </row>
    <row r="197" spans="3:29" ht="13">
      <c r="C197" s="127"/>
      <c r="D197" s="127"/>
      <c r="E197" s="127"/>
      <c r="G197" s="127"/>
      <c r="I197" s="99"/>
      <c r="J197" s="99"/>
      <c r="K197" s="99"/>
      <c r="L197" s="99"/>
      <c r="M197" s="99"/>
      <c r="AB197" s="99"/>
      <c r="AC197" s="99"/>
    </row>
    <row r="198" spans="3:29" ht="13">
      <c r="C198" s="127"/>
      <c r="D198" s="127"/>
      <c r="E198" s="127"/>
      <c r="G198" s="127"/>
      <c r="I198" s="99"/>
      <c r="J198" s="99"/>
      <c r="K198" s="99"/>
      <c r="L198" s="99"/>
      <c r="M198" s="99"/>
      <c r="AB198" s="99"/>
      <c r="AC198" s="99"/>
    </row>
    <row r="199" spans="3:29" ht="13">
      <c r="C199" s="127"/>
      <c r="D199" s="127"/>
      <c r="E199" s="127"/>
      <c r="G199" s="127"/>
      <c r="I199" s="99"/>
      <c r="J199" s="99"/>
      <c r="K199" s="99"/>
      <c r="L199" s="99"/>
      <c r="M199" s="99"/>
      <c r="AB199" s="99"/>
      <c r="AC199" s="99"/>
    </row>
    <row r="200" spans="3:29" ht="13">
      <c r="C200" s="127"/>
      <c r="D200" s="127"/>
      <c r="E200" s="127"/>
      <c r="G200" s="127"/>
      <c r="I200" s="99"/>
      <c r="J200" s="99"/>
      <c r="K200" s="99"/>
      <c r="L200" s="99"/>
      <c r="M200" s="99"/>
      <c r="AB200" s="99"/>
      <c r="AC200" s="99"/>
    </row>
    <row r="201" spans="3:29" ht="13">
      <c r="C201" s="127"/>
      <c r="D201" s="127"/>
      <c r="E201" s="127"/>
      <c r="G201" s="127"/>
      <c r="I201" s="99"/>
      <c r="J201" s="99"/>
      <c r="K201" s="99"/>
      <c r="L201" s="99"/>
      <c r="M201" s="99"/>
      <c r="AB201" s="99"/>
      <c r="AC201" s="99"/>
    </row>
    <row r="202" spans="3:29" ht="13">
      <c r="C202" s="127"/>
      <c r="D202" s="127"/>
      <c r="E202" s="127"/>
      <c r="G202" s="127"/>
      <c r="I202" s="99"/>
      <c r="J202" s="99"/>
      <c r="K202" s="99"/>
      <c r="L202" s="99"/>
      <c r="M202" s="99"/>
      <c r="AB202" s="99"/>
      <c r="AC202" s="99"/>
    </row>
    <row r="203" spans="3:29" ht="13">
      <c r="C203" s="127"/>
      <c r="D203" s="127"/>
      <c r="E203" s="127"/>
      <c r="G203" s="127"/>
      <c r="I203" s="99"/>
      <c r="J203" s="99"/>
      <c r="K203" s="99"/>
      <c r="L203" s="99"/>
      <c r="M203" s="99"/>
      <c r="AB203" s="99"/>
      <c r="AC203" s="99"/>
    </row>
    <row r="204" spans="3:29" ht="13">
      <c r="C204" s="127"/>
      <c r="D204" s="127"/>
      <c r="E204" s="127"/>
      <c r="G204" s="127"/>
      <c r="I204" s="99"/>
      <c r="J204" s="99"/>
      <c r="K204" s="99"/>
      <c r="L204" s="99"/>
      <c r="M204" s="99"/>
      <c r="AB204" s="99"/>
      <c r="AC204" s="99"/>
    </row>
    <row r="205" spans="3:29" ht="13">
      <c r="C205" s="127"/>
      <c r="D205" s="127"/>
      <c r="E205" s="127"/>
      <c r="G205" s="127"/>
      <c r="I205" s="99"/>
      <c r="J205" s="99"/>
      <c r="K205" s="99"/>
      <c r="L205" s="99"/>
      <c r="M205" s="99"/>
      <c r="AB205" s="99"/>
      <c r="AC205" s="99"/>
    </row>
    <row r="206" spans="3:29" ht="13">
      <c r="C206" s="127"/>
      <c r="D206" s="127"/>
      <c r="E206" s="127"/>
      <c r="G206" s="127"/>
      <c r="I206" s="99"/>
      <c r="J206" s="99"/>
      <c r="K206" s="99"/>
      <c r="L206" s="99"/>
      <c r="M206" s="99"/>
      <c r="AB206" s="99"/>
      <c r="AC206" s="99"/>
    </row>
    <row r="207" spans="3:29" ht="13">
      <c r="C207" s="127"/>
      <c r="D207" s="127"/>
      <c r="E207" s="127"/>
      <c r="G207" s="127"/>
      <c r="I207" s="99"/>
      <c r="J207" s="99"/>
      <c r="K207" s="99"/>
      <c r="L207" s="99"/>
      <c r="M207" s="99"/>
      <c r="AB207" s="99"/>
      <c r="AC207" s="99"/>
    </row>
    <row r="208" spans="3:29" ht="13">
      <c r="C208" s="127"/>
      <c r="D208" s="127"/>
      <c r="E208" s="127"/>
      <c r="G208" s="127"/>
      <c r="I208" s="99"/>
      <c r="J208" s="99"/>
      <c r="K208" s="99"/>
      <c r="L208" s="99"/>
      <c r="M208" s="99"/>
      <c r="AB208" s="99"/>
      <c r="AC208" s="99"/>
    </row>
    <row r="209" spans="3:29" ht="13">
      <c r="C209" s="127"/>
      <c r="D209" s="127"/>
      <c r="E209" s="127"/>
      <c r="G209" s="127"/>
      <c r="I209" s="99"/>
      <c r="J209" s="99"/>
      <c r="K209" s="99"/>
      <c r="L209" s="99"/>
      <c r="M209" s="99"/>
      <c r="AB209" s="99"/>
      <c r="AC209" s="99"/>
    </row>
    <row r="210" spans="3:29" ht="13">
      <c r="C210" s="127"/>
      <c r="D210" s="127"/>
      <c r="E210" s="127"/>
      <c r="G210" s="127"/>
      <c r="I210" s="99"/>
      <c r="J210" s="99"/>
      <c r="K210" s="99"/>
      <c r="L210" s="99"/>
      <c r="M210" s="99"/>
      <c r="AB210" s="99"/>
      <c r="AC210" s="99"/>
    </row>
    <row r="211" spans="3:29" ht="13">
      <c r="C211" s="127"/>
      <c r="D211" s="127"/>
      <c r="E211" s="127"/>
      <c r="G211" s="127"/>
      <c r="I211" s="99"/>
      <c r="J211" s="99"/>
      <c r="K211" s="99"/>
      <c r="L211" s="99"/>
      <c r="M211" s="99"/>
      <c r="AB211" s="99"/>
      <c r="AC211" s="99"/>
    </row>
    <row r="212" spans="3:29" ht="13">
      <c r="C212" s="127"/>
      <c r="D212" s="127"/>
      <c r="E212" s="127"/>
      <c r="G212" s="127"/>
      <c r="I212" s="99"/>
      <c r="J212" s="99"/>
      <c r="K212" s="99"/>
      <c r="L212" s="99"/>
      <c r="M212" s="99"/>
      <c r="AB212" s="99"/>
      <c r="AC212" s="99"/>
    </row>
    <row r="213" spans="3:29" ht="13">
      <c r="C213" s="127"/>
      <c r="D213" s="127"/>
      <c r="E213" s="127"/>
      <c r="G213" s="127"/>
      <c r="I213" s="99"/>
      <c r="J213" s="99"/>
      <c r="K213" s="99"/>
      <c r="L213" s="99"/>
      <c r="M213" s="99"/>
      <c r="AB213" s="99"/>
      <c r="AC213" s="99"/>
    </row>
    <row r="214" spans="3:29" ht="13">
      <c r="C214" s="127"/>
      <c r="D214" s="127"/>
      <c r="E214" s="127"/>
      <c r="G214" s="127"/>
      <c r="I214" s="99"/>
      <c r="J214" s="99"/>
      <c r="K214" s="99"/>
      <c r="L214" s="99"/>
      <c r="M214" s="99"/>
      <c r="AB214" s="99"/>
      <c r="AC214" s="99"/>
    </row>
    <row r="215" spans="3:29" ht="13">
      <c r="C215" s="127"/>
      <c r="D215" s="127"/>
      <c r="E215" s="127"/>
      <c r="G215" s="127"/>
      <c r="I215" s="99"/>
      <c r="J215" s="99"/>
      <c r="K215" s="99"/>
      <c r="L215" s="99"/>
      <c r="M215" s="99"/>
      <c r="AB215" s="99"/>
      <c r="AC215" s="99"/>
    </row>
    <row r="216" spans="3:29" ht="13">
      <c r="C216" s="127"/>
      <c r="D216" s="127"/>
      <c r="E216" s="127"/>
      <c r="G216" s="127"/>
      <c r="I216" s="99"/>
      <c r="J216" s="99"/>
      <c r="K216" s="99"/>
      <c r="L216" s="99"/>
      <c r="M216" s="99"/>
      <c r="AB216" s="99"/>
      <c r="AC216" s="99"/>
    </row>
    <row r="217" spans="3:29" ht="13">
      <c r="C217" s="127"/>
      <c r="D217" s="127"/>
      <c r="E217" s="127"/>
      <c r="G217" s="127"/>
      <c r="I217" s="99"/>
      <c r="J217" s="99"/>
      <c r="K217" s="99"/>
      <c r="L217" s="99"/>
      <c r="M217" s="99"/>
      <c r="AB217" s="99"/>
      <c r="AC217" s="99"/>
    </row>
    <row r="218" spans="3:29" ht="13">
      <c r="C218" s="127"/>
      <c r="D218" s="127"/>
      <c r="E218" s="127"/>
      <c r="G218" s="127"/>
      <c r="I218" s="99"/>
      <c r="J218" s="99"/>
      <c r="K218" s="99"/>
      <c r="L218" s="99"/>
      <c r="M218" s="99"/>
      <c r="AB218" s="99"/>
      <c r="AC218" s="99"/>
    </row>
    <row r="219" spans="3:29" ht="13">
      <c r="C219" s="127"/>
      <c r="D219" s="127"/>
      <c r="E219" s="127"/>
      <c r="G219" s="127"/>
      <c r="I219" s="99"/>
      <c r="J219" s="99"/>
      <c r="K219" s="99"/>
      <c r="L219" s="99"/>
      <c r="M219" s="99"/>
      <c r="AB219" s="99"/>
      <c r="AC219" s="99"/>
    </row>
    <row r="220" spans="3:29" ht="13">
      <c r="C220" s="127"/>
      <c r="D220" s="127"/>
      <c r="E220" s="127"/>
      <c r="G220" s="127"/>
      <c r="I220" s="99"/>
      <c r="J220" s="99"/>
      <c r="K220" s="99"/>
      <c r="L220" s="99"/>
      <c r="M220" s="99"/>
      <c r="AB220" s="99"/>
      <c r="AC220" s="99"/>
    </row>
    <row r="221" spans="3:29" ht="13">
      <c r="C221" s="127"/>
      <c r="D221" s="127"/>
      <c r="E221" s="127"/>
      <c r="G221" s="127"/>
      <c r="I221" s="99"/>
      <c r="J221" s="99"/>
      <c r="K221" s="99"/>
      <c r="L221" s="99"/>
      <c r="M221" s="99"/>
      <c r="AB221" s="99"/>
      <c r="AC221" s="99"/>
    </row>
    <row r="222" spans="3:29" ht="13">
      <c r="C222" s="127"/>
      <c r="D222" s="127"/>
      <c r="E222" s="127"/>
      <c r="G222" s="127"/>
      <c r="I222" s="99"/>
      <c r="J222" s="99"/>
      <c r="K222" s="99"/>
      <c r="L222" s="99"/>
      <c r="M222" s="99"/>
      <c r="AB222" s="99"/>
      <c r="AC222" s="99"/>
    </row>
    <row r="223" spans="3:29" ht="13">
      <c r="C223" s="127"/>
      <c r="D223" s="127"/>
      <c r="E223" s="127"/>
      <c r="G223" s="127"/>
      <c r="I223" s="99"/>
      <c r="J223" s="99"/>
      <c r="K223" s="99"/>
      <c r="L223" s="99"/>
      <c r="M223" s="99"/>
      <c r="AB223" s="99"/>
      <c r="AC223" s="99"/>
    </row>
    <row r="224" spans="3:29" ht="13">
      <c r="C224" s="127"/>
      <c r="D224" s="127"/>
      <c r="E224" s="127"/>
      <c r="G224" s="127"/>
      <c r="I224" s="99"/>
      <c r="J224" s="99"/>
      <c r="K224" s="99"/>
      <c r="L224" s="99"/>
      <c r="M224" s="99"/>
      <c r="AB224" s="99"/>
      <c r="AC224" s="99"/>
    </row>
    <row r="225" spans="3:29" ht="13">
      <c r="C225" s="127"/>
      <c r="D225" s="127"/>
      <c r="E225" s="127"/>
      <c r="G225" s="127"/>
      <c r="I225" s="99"/>
      <c r="J225" s="99"/>
      <c r="K225" s="99"/>
      <c r="L225" s="99"/>
      <c r="M225" s="99"/>
      <c r="AB225" s="99"/>
      <c r="AC225" s="99"/>
    </row>
    <row r="226" spans="3:29" ht="13">
      <c r="C226" s="127"/>
      <c r="D226" s="127"/>
      <c r="E226" s="127"/>
      <c r="G226" s="127"/>
      <c r="I226" s="99"/>
      <c r="J226" s="99"/>
      <c r="K226" s="99"/>
      <c r="L226" s="99"/>
      <c r="M226" s="99"/>
      <c r="AB226" s="99"/>
      <c r="AC226" s="99"/>
    </row>
    <row r="227" spans="3:29" ht="13">
      <c r="C227" s="127"/>
      <c r="D227" s="127"/>
      <c r="E227" s="127"/>
      <c r="G227" s="127"/>
      <c r="I227" s="99"/>
      <c r="J227" s="99"/>
      <c r="K227" s="99"/>
      <c r="L227" s="99"/>
      <c r="M227" s="99"/>
      <c r="AB227" s="99"/>
      <c r="AC227" s="99"/>
    </row>
    <row r="228" spans="3:29" ht="13">
      <c r="C228" s="127"/>
      <c r="D228" s="127"/>
      <c r="E228" s="127"/>
      <c r="G228" s="127"/>
      <c r="I228" s="99"/>
      <c r="J228" s="99"/>
      <c r="K228" s="99"/>
      <c r="L228" s="99"/>
      <c r="M228" s="99"/>
      <c r="AB228" s="99"/>
      <c r="AC228" s="99"/>
    </row>
    <row r="229" spans="3:29" ht="13">
      <c r="C229" s="127"/>
      <c r="D229" s="127"/>
      <c r="E229" s="127"/>
      <c r="G229" s="127"/>
      <c r="I229" s="99"/>
      <c r="J229" s="99"/>
      <c r="K229" s="99"/>
      <c r="L229" s="99"/>
      <c r="M229" s="99"/>
      <c r="AB229" s="99"/>
      <c r="AC229" s="99"/>
    </row>
    <row r="230" spans="3:29" ht="13">
      <c r="C230" s="127"/>
      <c r="D230" s="127"/>
      <c r="E230" s="127"/>
      <c r="G230" s="127"/>
      <c r="I230" s="99"/>
      <c r="J230" s="99"/>
      <c r="K230" s="99"/>
      <c r="L230" s="99"/>
      <c r="M230" s="99"/>
      <c r="AB230" s="99"/>
      <c r="AC230" s="99"/>
    </row>
    <row r="231" spans="3:29" ht="13">
      <c r="C231" s="127"/>
      <c r="D231" s="127"/>
      <c r="E231" s="127"/>
      <c r="G231" s="127"/>
      <c r="I231" s="99"/>
      <c r="J231" s="99"/>
      <c r="K231" s="99"/>
      <c r="L231" s="99"/>
      <c r="M231" s="99"/>
      <c r="AB231" s="99"/>
      <c r="AC231" s="99"/>
    </row>
    <row r="232" spans="3:29" ht="13">
      <c r="C232" s="127"/>
      <c r="D232" s="127"/>
      <c r="E232" s="127"/>
      <c r="G232" s="127"/>
      <c r="I232" s="99"/>
      <c r="J232" s="99"/>
      <c r="K232" s="99"/>
      <c r="L232" s="99"/>
      <c r="M232" s="99"/>
      <c r="AB232" s="99"/>
      <c r="AC232" s="99"/>
    </row>
    <row r="233" spans="3:29" ht="13">
      <c r="C233" s="127"/>
      <c r="D233" s="127"/>
      <c r="E233" s="127"/>
      <c r="G233" s="127"/>
      <c r="I233" s="99"/>
      <c r="J233" s="99"/>
      <c r="K233" s="99"/>
      <c r="L233" s="99"/>
      <c r="M233" s="99"/>
      <c r="AB233" s="99"/>
      <c r="AC233" s="99"/>
    </row>
    <row r="234" spans="3:29" ht="13">
      <c r="C234" s="127"/>
      <c r="D234" s="127"/>
      <c r="E234" s="127"/>
      <c r="G234" s="127"/>
      <c r="I234" s="99"/>
      <c r="J234" s="99"/>
      <c r="K234" s="99"/>
      <c r="L234" s="99"/>
      <c r="M234" s="99"/>
      <c r="AB234" s="99"/>
      <c r="AC234" s="99"/>
    </row>
    <row r="235" spans="3:29" ht="13">
      <c r="C235" s="127"/>
      <c r="D235" s="127"/>
      <c r="E235" s="127"/>
      <c r="G235" s="127"/>
      <c r="I235" s="99"/>
      <c r="J235" s="99"/>
      <c r="K235" s="99"/>
      <c r="L235" s="99"/>
      <c r="M235" s="99"/>
      <c r="AB235" s="99"/>
      <c r="AC235" s="99"/>
    </row>
    <row r="236" spans="3:29" ht="13">
      <c r="C236" s="127"/>
      <c r="D236" s="127"/>
      <c r="E236" s="127"/>
      <c r="G236" s="127"/>
      <c r="I236" s="99"/>
      <c r="J236" s="99"/>
      <c r="K236" s="99"/>
      <c r="L236" s="99"/>
      <c r="M236" s="99"/>
      <c r="AB236" s="99"/>
      <c r="AC236" s="99"/>
    </row>
    <row r="237" spans="3:29" ht="13">
      <c r="C237" s="127"/>
      <c r="D237" s="127"/>
      <c r="E237" s="127"/>
      <c r="G237" s="127"/>
      <c r="I237" s="99"/>
      <c r="J237" s="99"/>
      <c r="K237" s="99"/>
      <c r="L237" s="99"/>
      <c r="M237" s="99"/>
      <c r="AB237" s="99"/>
      <c r="AC237" s="99"/>
    </row>
    <row r="238" spans="3:29" ht="13">
      <c r="C238" s="127"/>
      <c r="D238" s="127"/>
      <c r="E238" s="127"/>
      <c r="G238" s="127"/>
      <c r="I238" s="99"/>
      <c r="J238" s="99"/>
      <c r="K238" s="99"/>
      <c r="L238" s="99"/>
      <c r="M238" s="99"/>
      <c r="AB238" s="99"/>
      <c r="AC238" s="99"/>
    </row>
    <row r="239" spans="3:29" ht="13">
      <c r="C239" s="127"/>
      <c r="D239" s="127"/>
      <c r="E239" s="127"/>
      <c r="G239" s="127"/>
      <c r="I239" s="99"/>
      <c r="J239" s="99"/>
      <c r="K239" s="99"/>
      <c r="L239" s="99"/>
      <c r="M239" s="99"/>
      <c r="AB239" s="99"/>
      <c r="AC239" s="99"/>
    </row>
    <row r="240" spans="3:29" ht="13">
      <c r="C240" s="127"/>
      <c r="D240" s="127"/>
      <c r="E240" s="127"/>
      <c r="G240" s="127"/>
      <c r="I240" s="99"/>
      <c r="J240" s="99"/>
      <c r="K240" s="99"/>
      <c r="L240" s="99"/>
      <c r="M240" s="99"/>
      <c r="AB240" s="99"/>
      <c r="AC240" s="99"/>
    </row>
    <row r="241" spans="3:29" ht="13">
      <c r="C241" s="127"/>
      <c r="D241" s="127"/>
      <c r="E241" s="127"/>
      <c r="G241" s="127"/>
      <c r="I241" s="99"/>
      <c r="J241" s="99"/>
      <c r="K241" s="99"/>
      <c r="L241" s="99"/>
      <c r="M241" s="99"/>
      <c r="AB241" s="99"/>
      <c r="AC241" s="99"/>
    </row>
    <row r="242" spans="3:29" ht="13">
      <c r="C242" s="127"/>
      <c r="D242" s="127"/>
      <c r="E242" s="127"/>
      <c r="G242" s="127"/>
      <c r="I242" s="99"/>
      <c r="J242" s="99"/>
      <c r="K242" s="99"/>
      <c r="L242" s="99"/>
      <c r="M242" s="99"/>
      <c r="AB242" s="99"/>
      <c r="AC242" s="99"/>
    </row>
    <row r="243" spans="3:29" ht="13">
      <c r="C243" s="127"/>
      <c r="D243" s="127"/>
      <c r="E243" s="127"/>
      <c r="G243" s="127"/>
      <c r="I243" s="99"/>
      <c r="J243" s="99"/>
      <c r="K243" s="99"/>
      <c r="L243" s="99"/>
      <c r="M243" s="99"/>
      <c r="AB243" s="99"/>
      <c r="AC243" s="99"/>
    </row>
    <row r="244" spans="3:29" ht="13">
      <c r="C244" s="127"/>
      <c r="D244" s="127"/>
      <c r="E244" s="127"/>
      <c r="G244" s="127"/>
      <c r="I244" s="99"/>
      <c r="J244" s="99"/>
      <c r="K244" s="99"/>
      <c r="L244" s="99"/>
      <c r="M244" s="99"/>
      <c r="AB244" s="99"/>
      <c r="AC244" s="99"/>
    </row>
    <row r="245" spans="3:29" ht="13">
      <c r="C245" s="127"/>
      <c r="D245" s="127"/>
      <c r="E245" s="127"/>
      <c r="G245" s="127"/>
      <c r="I245" s="99"/>
      <c r="J245" s="99"/>
      <c r="K245" s="99"/>
      <c r="L245" s="99"/>
      <c r="M245" s="99"/>
      <c r="AB245" s="99"/>
      <c r="AC245" s="99"/>
    </row>
    <row r="246" spans="3:29" ht="13">
      <c r="C246" s="127"/>
      <c r="D246" s="127"/>
      <c r="E246" s="127"/>
      <c r="G246" s="127"/>
      <c r="I246" s="99"/>
      <c r="J246" s="99"/>
      <c r="K246" s="99"/>
      <c r="L246" s="99"/>
      <c r="M246" s="99"/>
      <c r="AB246" s="99"/>
      <c r="AC246" s="99"/>
    </row>
    <row r="247" spans="3:29" ht="13">
      <c r="C247" s="127"/>
      <c r="D247" s="127"/>
      <c r="E247" s="127"/>
      <c r="G247" s="127"/>
      <c r="I247" s="99"/>
      <c r="J247" s="99"/>
      <c r="K247" s="99"/>
      <c r="L247" s="99"/>
      <c r="M247" s="99"/>
      <c r="AB247" s="99"/>
      <c r="AC247" s="99"/>
    </row>
    <row r="248" spans="3:29" ht="13">
      <c r="C248" s="127"/>
      <c r="D248" s="127"/>
      <c r="E248" s="127"/>
      <c r="G248" s="127"/>
      <c r="I248" s="99"/>
      <c r="J248" s="99"/>
      <c r="K248" s="99"/>
      <c r="L248" s="99"/>
      <c r="M248" s="99"/>
      <c r="AB248" s="99"/>
      <c r="AC248" s="99"/>
    </row>
    <row r="249" spans="3:29" ht="13">
      <c r="C249" s="127"/>
      <c r="D249" s="127"/>
      <c r="E249" s="127"/>
      <c r="G249" s="127"/>
      <c r="I249" s="99"/>
      <c r="J249" s="99"/>
      <c r="K249" s="99"/>
      <c r="L249" s="99"/>
      <c r="M249" s="99"/>
      <c r="AB249" s="99"/>
      <c r="AC249" s="99"/>
    </row>
    <row r="250" spans="3:29" ht="13">
      <c r="C250" s="127"/>
      <c r="D250" s="127"/>
      <c r="E250" s="127"/>
      <c r="G250" s="127"/>
      <c r="I250" s="99"/>
      <c r="J250" s="99"/>
      <c r="K250" s="99"/>
      <c r="L250" s="99"/>
      <c r="M250" s="99"/>
      <c r="AB250" s="99"/>
      <c r="AC250" s="99"/>
    </row>
    <row r="251" spans="3:29" ht="13">
      <c r="C251" s="127"/>
      <c r="D251" s="127"/>
      <c r="E251" s="127"/>
      <c r="G251" s="127"/>
      <c r="I251" s="99"/>
      <c r="J251" s="99"/>
      <c r="K251" s="99"/>
      <c r="L251" s="99"/>
      <c r="M251" s="99"/>
      <c r="AB251" s="99"/>
      <c r="AC251" s="99"/>
    </row>
    <row r="252" spans="3:29" ht="13">
      <c r="C252" s="127"/>
      <c r="D252" s="127"/>
      <c r="E252" s="127"/>
      <c r="G252" s="127"/>
      <c r="I252" s="99"/>
      <c r="J252" s="99"/>
      <c r="K252" s="99"/>
      <c r="L252" s="99"/>
      <c r="M252" s="99"/>
      <c r="AB252" s="99"/>
      <c r="AC252" s="99"/>
    </row>
    <row r="253" spans="3:29" ht="13">
      <c r="C253" s="127"/>
      <c r="D253" s="127"/>
      <c r="E253" s="127"/>
      <c r="G253" s="127"/>
      <c r="I253" s="99"/>
      <c r="J253" s="99"/>
      <c r="K253" s="99"/>
      <c r="L253" s="99"/>
      <c r="M253" s="99"/>
      <c r="AB253" s="99"/>
      <c r="AC253" s="99"/>
    </row>
    <row r="254" spans="3:29" ht="13">
      <c r="C254" s="127"/>
      <c r="D254" s="127"/>
      <c r="E254" s="127"/>
      <c r="G254" s="127"/>
      <c r="I254" s="99"/>
      <c r="J254" s="99"/>
      <c r="K254" s="99"/>
      <c r="L254" s="99"/>
      <c r="M254" s="99"/>
      <c r="AB254" s="99"/>
      <c r="AC254" s="99"/>
    </row>
    <row r="255" spans="3:29" ht="13">
      <c r="C255" s="127"/>
      <c r="D255" s="127"/>
      <c r="E255" s="127"/>
      <c r="G255" s="127"/>
      <c r="I255" s="99"/>
      <c r="J255" s="99"/>
      <c r="K255" s="99"/>
      <c r="L255" s="99"/>
      <c r="M255" s="99"/>
      <c r="AB255" s="99"/>
      <c r="AC255" s="99"/>
    </row>
    <row r="256" spans="3:29" ht="13">
      <c r="C256" s="127"/>
      <c r="D256" s="127"/>
      <c r="E256" s="127"/>
      <c r="G256" s="127"/>
      <c r="I256" s="99"/>
      <c r="J256" s="99"/>
      <c r="K256" s="99"/>
      <c r="L256" s="99"/>
      <c r="M256" s="99"/>
      <c r="AB256" s="99"/>
      <c r="AC256" s="99"/>
    </row>
    <row r="257" spans="3:29" ht="13">
      <c r="C257" s="127"/>
      <c r="D257" s="127"/>
      <c r="E257" s="127"/>
      <c r="G257" s="127"/>
      <c r="I257" s="99"/>
      <c r="J257" s="99"/>
      <c r="K257" s="99"/>
      <c r="L257" s="99"/>
      <c r="M257" s="99"/>
      <c r="AB257" s="99"/>
      <c r="AC257" s="99"/>
    </row>
    <row r="258" spans="3:29" ht="13">
      <c r="C258" s="127"/>
      <c r="D258" s="127"/>
      <c r="E258" s="127"/>
      <c r="G258" s="127"/>
      <c r="I258" s="99"/>
      <c r="J258" s="99"/>
      <c r="K258" s="99"/>
      <c r="L258" s="99"/>
      <c r="M258" s="99"/>
      <c r="AB258" s="99"/>
      <c r="AC258" s="99"/>
    </row>
    <row r="259" spans="3:29" ht="13">
      <c r="C259" s="127"/>
      <c r="D259" s="127"/>
      <c r="E259" s="127"/>
      <c r="G259" s="127"/>
      <c r="I259" s="99"/>
      <c r="J259" s="99"/>
      <c r="K259" s="99"/>
      <c r="L259" s="99"/>
      <c r="M259" s="99"/>
      <c r="AB259" s="99"/>
      <c r="AC259" s="99"/>
    </row>
    <row r="260" spans="3:29" ht="13">
      <c r="C260" s="127"/>
      <c r="D260" s="127"/>
      <c r="E260" s="127"/>
      <c r="G260" s="127"/>
      <c r="I260" s="99"/>
      <c r="J260" s="99"/>
      <c r="K260" s="99"/>
      <c r="L260" s="99"/>
      <c r="M260" s="99"/>
      <c r="AB260" s="99"/>
      <c r="AC260" s="99"/>
    </row>
    <row r="261" spans="3:29" ht="13">
      <c r="C261" s="127"/>
      <c r="D261" s="127"/>
      <c r="E261" s="127"/>
      <c r="G261" s="127"/>
      <c r="I261" s="99"/>
      <c r="J261" s="99"/>
      <c r="K261" s="99"/>
      <c r="L261" s="99"/>
      <c r="M261" s="99"/>
      <c r="AB261" s="99"/>
      <c r="AC261" s="99"/>
    </row>
    <row r="262" spans="3:29" ht="13">
      <c r="C262" s="127"/>
      <c r="D262" s="127"/>
      <c r="E262" s="127"/>
      <c r="G262" s="127"/>
      <c r="I262" s="99"/>
      <c r="J262" s="99"/>
      <c r="K262" s="99"/>
      <c r="L262" s="99"/>
      <c r="M262" s="99"/>
      <c r="AB262" s="99"/>
      <c r="AC262" s="99"/>
    </row>
    <row r="263" spans="3:29" ht="13">
      <c r="C263" s="127"/>
      <c r="D263" s="127"/>
      <c r="E263" s="127"/>
      <c r="G263" s="127"/>
      <c r="I263" s="99"/>
      <c r="J263" s="99"/>
      <c r="K263" s="99"/>
      <c r="L263" s="99"/>
      <c r="M263" s="99"/>
      <c r="AB263" s="99"/>
      <c r="AC263" s="99"/>
    </row>
    <row r="264" spans="3:29" ht="13">
      <c r="C264" s="127"/>
      <c r="D264" s="127"/>
      <c r="E264" s="127"/>
      <c r="G264" s="127"/>
      <c r="I264" s="99"/>
      <c r="J264" s="99"/>
      <c r="K264" s="99"/>
      <c r="L264" s="99"/>
      <c r="M264" s="99"/>
      <c r="AB264" s="99"/>
      <c r="AC264" s="99"/>
    </row>
    <row r="265" spans="3:29" ht="13">
      <c r="C265" s="127"/>
      <c r="D265" s="127"/>
      <c r="E265" s="127"/>
      <c r="G265" s="127"/>
      <c r="I265" s="99"/>
      <c r="J265" s="99"/>
      <c r="K265" s="99"/>
      <c r="L265" s="99"/>
      <c r="M265" s="99"/>
      <c r="AB265" s="99"/>
      <c r="AC265" s="99"/>
    </row>
    <row r="266" spans="3:29" ht="13">
      <c r="C266" s="127"/>
      <c r="D266" s="127"/>
      <c r="E266" s="127"/>
      <c r="G266" s="127"/>
      <c r="I266" s="99"/>
      <c r="J266" s="99"/>
      <c r="K266" s="99"/>
      <c r="L266" s="99"/>
      <c r="M266" s="99"/>
      <c r="AB266" s="99"/>
      <c r="AC266" s="99"/>
    </row>
    <row r="267" spans="3:29" ht="13">
      <c r="C267" s="127"/>
      <c r="D267" s="127"/>
      <c r="E267" s="127"/>
      <c r="G267" s="127"/>
      <c r="I267" s="99"/>
      <c r="J267" s="99"/>
      <c r="K267" s="99"/>
      <c r="L267" s="99"/>
      <c r="M267" s="99"/>
      <c r="AB267" s="99"/>
      <c r="AC267" s="99"/>
    </row>
    <row r="268" spans="3:29" ht="13">
      <c r="C268" s="127"/>
      <c r="D268" s="127"/>
      <c r="E268" s="127"/>
      <c r="G268" s="127"/>
      <c r="I268" s="99"/>
      <c r="J268" s="99"/>
      <c r="K268" s="99"/>
      <c r="L268" s="99"/>
      <c r="M268" s="99"/>
      <c r="AB268" s="99"/>
      <c r="AC268" s="99"/>
    </row>
    <row r="269" spans="3:29" ht="13">
      <c r="C269" s="127"/>
      <c r="D269" s="127"/>
      <c r="E269" s="127"/>
      <c r="G269" s="127"/>
      <c r="I269" s="99"/>
      <c r="J269" s="99"/>
      <c r="K269" s="99"/>
      <c r="L269" s="99"/>
      <c r="M269" s="99"/>
      <c r="AB269" s="99"/>
      <c r="AC269" s="99"/>
    </row>
    <row r="270" spans="3:29" ht="13">
      <c r="C270" s="127"/>
      <c r="D270" s="127"/>
      <c r="E270" s="127"/>
      <c r="G270" s="127"/>
      <c r="I270" s="99"/>
      <c r="J270" s="99"/>
      <c r="K270" s="99"/>
      <c r="L270" s="99"/>
      <c r="M270" s="99"/>
      <c r="AB270" s="99"/>
      <c r="AC270" s="99"/>
    </row>
    <row r="271" spans="3:29" ht="13">
      <c r="C271" s="127"/>
      <c r="D271" s="127"/>
      <c r="E271" s="127"/>
      <c r="G271" s="127"/>
      <c r="I271" s="99"/>
      <c r="J271" s="99"/>
      <c r="K271" s="99"/>
      <c r="L271" s="99"/>
      <c r="M271" s="99"/>
      <c r="AB271" s="99"/>
      <c r="AC271" s="99"/>
    </row>
    <row r="272" spans="3:29" ht="13">
      <c r="C272" s="127"/>
      <c r="D272" s="127"/>
      <c r="E272" s="127"/>
      <c r="G272" s="127"/>
      <c r="I272" s="99"/>
      <c r="J272" s="99"/>
      <c r="K272" s="99"/>
      <c r="L272" s="99"/>
      <c r="M272" s="99"/>
      <c r="AB272" s="99"/>
      <c r="AC272" s="99"/>
    </row>
    <row r="273" spans="3:29" ht="13">
      <c r="C273" s="127"/>
      <c r="D273" s="127"/>
      <c r="E273" s="127"/>
      <c r="G273" s="127"/>
      <c r="I273" s="99"/>
      <c r="J273" s="99"/>
      <c r="K273" s="99"/>
      <c r="L273" s="99"/>
      <c r="M273" s="99"/>
      <c r="AB273" s="99"/>
      <c r="AC273" s="99"/>
    </row>
    <row r="274" spans="3:29" ht="13">
      <c r="C274" s="127"/>
      <c r="D274" s="127"/>
      <c r="E274" s="127"/>
      <c r="G274" s="127"/>
      <c r="I274" s="99"/>
      <c r="J274" s="99"/>
      <c r="K274" s="99"/>
      <c r="L274" s="99"/>
      <c r="M274" s="99"/>
      <c r="AB274" s="99"/>
      <c r="AC274" s="99"/>
    </row>
    <row r="275" spans="3:29" ht="13">
      <c r="C275" s="127"/>
      <c r="D275" s="127"/>
      <c r="E275" s="127"/>
      <c r="G275" s="127"/>
      <c r="I275" s="99"/>
      <c r="J275" s="99"/>
      <c r="K275" s="99"/>
      <c r="L275" s="99"/>
      <c r="M275" s="99"/>
      <c r="AB275" s="99"/>
      <c r="AC275" s="99"/>
    </row>
    <row r="276" spans="3:29" ht="13">
      <c r="C276" s="127"/>
      <c r="D276" s="127"/>
      <c r="E276" s="127"/>
      <c r="G276" s="127"/>
      <c r="I276" s="99"/>
      <c r="J276" s="99"/>
      <c r="K276" s="99"/>
      <c r="L276" s="99"/>
      <c r="M276" s="99"/>
      <c r="AB276" s="99"/>
      <c r="AC276" s="99"/>
    </row>
    <row r="277" spans="3:29" ht="13">
      <c r="C277" s="127"/>
      <c r="D277" s="127"/>
      <c r="E277" s="127"/>
      <c r="G277" s="127"/>
      <c r="I277" s="99"/>
      <c r="J277" s="99"/>
      <c r="K277" s="99"/>
      <c r="L277" s="99"/>
      <c r="M277" s="99"/>
      <c r="AB277" s="99"/>
      <c r="AC277" s="99"/>
    </row>
    <row r="278" spans="3:29" ht="13">
      <c r="C278" s="127"/>
      <c r="D278" s="127"/>
      <c r="E278" s="127"/>
      <c r="G278" s="127"/>
      <c r="I278" s="99"/>
      <c r="J278" s="99"/>
      <c r="K278" s="99"/>
      <c r="L278" s="99"/>
      <c r="M278" s="99"/>
      <c r="AB278" s="99"/>
      <c r="AC278" s="99"/>
    </row>
    <row r="279" spans="3:29" ht="13">
      <c r="C279" s="127"/>
      <c r="D279" s="127"/>
      <c r="E279" s="127"/>
      <c r="G279" s="127"/>
      <c r="I279" s="99"/>
      <c r="J279" s="99"/>
      <c r="K279" s="99"/>
      <c r="L279" s="99"/>
      <c r="M279" s="99"/>
      <c r="AB279" s="99"/>
      <c r="AC279" s="99"/>
    </row>
    <row r="280" spans="3:29" ht="13">
      <c r="C280" s="127"/>
      <c r="D280" s="127"/>
      <c r="E280" s="127"/>
      <c r="G280" s="127"/>
      <c r="I280" s="99"/>
      <c r="J280" s="99"/>
      <c r="K280" s="99"/>
      <c r="L280" s="99"/>
      <c r="M280" s="99"/>
      <c r="AB280" s="99"/>
      <c r="AC280" s="99"/>
    </row>
    <row r="281" spans="3:29" ht="13">
      <c r="C281" s="127"/>
      <c r="D281" s="127"/>
      <c r="E281" s="127"/>
      <c r="G281" s="127"/>
      <c r="I281" s="99"/>
      <c r="J281" s="99"/>
      <c r="K281" s="99"/>
      <c r="L281" s="99"/>
      <c r="M281" s="99"/>
      <c r="AB281" s="99"/>
      <c r="AC281" s="99"/>
    </row>
    <row r="282" spans="3:29" ht="13">
      <c r="C282" s="127"/>
      <c r="D282" s="127"/>
      <c r="E282" s="127"/>
      <c r="G282" s="127"/>
      <c r="I282" s="99"/>
      <c r="J282" s="99"/>
      <c r="K282" s="99"/>
      <c r="L282" s="99"/>
      <c r="M282" s="99"/>
      <c r="AB282" s="99"/>
      <c r="AC282" s="99"/>
    </row>
    <row r="283" spans="3:29" ht="13">
      <c r="C283" s="127"/>
      <c r="D283" s="127"/>
      <c r="E283" s="127"/>
      <c r="G283" s="127"/>
      <c r="I283" s="99"/>
      <c r="J283" s="99"/>
      <c r="K283" s="99"/>
      <c r="L283" s="99"/>
      <c r="M283" s="99"/>
      <c r="AB283" s="99"/>
      <c r="AC283" s="99"/>
    </row>
    <row r="284" spans="3:29" ht="13">
      <c r="C284" s="127"/>
      <c r="D284" s="127"/>
      <c r="E284" s="127"/>
      <c r="G284" s="127"/>
      <c r="I284" s="99"/>
      <c r="J284" s="99"/>
      <c r="K284" s="99"/>
      <c r="L284" s="99"/>
      <c r="M284" s="99"/>
      <c r="AB284" s="99"/>
      <c r="AC284" s="99"/>
    </row>
    <row r="285" spans="3:29" ht="13">
      <c r="C285" s="127"/>
      <c r="D285" s="127"/>
      <c r="E285" s="127"/>
      <c r="G285" s="127"/>
      <c r="I285" s="99"/>
      <c r="J285" s="99"/>
      <c r="K285" s="99"/>
      <c r="L285" s="99"/>
      <c r="M285" s="99"/>
      <c r="AB285" s="99"/>
      <c r="AC285" s="99"/>
    </row>
    <row r="286" spans="3:29" ht="13">
      <c r="C286" s="127"/>
      <c r="D286" s="127"/>
      <c r="E286" s="127"/>
      <c r="G286" s="127"/>
      <c r="I286" s="99"/>
      <c r="J286" s="99"/>
      <c r="K286" s="99"/>
      <c r="L286" s="99"/>
      <c r="M286" s="99"/>
      <c r="AB286" s="99"/>
      <c r="AC286" s="99"/>
    </row>
    <row r="287" spans="3:29" ht="13">
      <c r="C287" s="127"/>
      <c r="D287" s="127"/>
      <c r="E287" s="127"/>
      <c r="G287" s="127"/>
      <c r="I287" s="99"/>
      <c r="J287" s="99"/>
      <c r="K287" s="99"/>
      <c r="L287" s="99"/>
      <c r="M287" s="99"/>
      <c r="AB287" s="99"/>
      <c r="AC287" s="99"/>
    </row>
    <row r="288" spans="3:29" ht="13">
      <c r="C288" s="127"/>
      <c r="D288" s="127"/>
      <c r="E288" s="127"/>
      <c r="G288" s="127"/>
      <c r="I288" s="99"/>
      <c r="J288" s="99"/>
      <c r="K288" s="99"/>
      <c r="L288" s="99"/>
      <c r="M288" s="99"/>
      <c r="AB288" s="99"/>
      <c r="AC288" s="99"/>
    </row>
    <row r="289" spans="3:29" ht="13">
      <c r="C289" s="127"/>
      <c r="D289" s="127"/>
      <c r="E289" s="127"/>
      <c r="G289" s="127"/>
      <c r="I289" s="99"/>
      <c r="J289" s="99"/>
      <c r="K289" s="99"/>
      <c r="L289" s="99"/>
      <c r="M289" s="99"/>
      <c r="AB289" s="99"/>
      <c r="AC289" s="99"/>
    </row>
    <row r="290" spans="3:29" ht="13">
      <c r="C290" s="127"/>
      <c r="D290" s="127"/>
      <c r="E290" s="127"/>
      <c r="G290" s="127"/>
      <c r="I290" s="99"/>
      <c r="J290" s="99"/>
      <c r="K290" s="99"/>
      <c r="L290" s="99"/>
      <c r="M290" s="99"/>
      <c r="AB290" s="99"/>
      <c r="AC290" s="99"/>
    </row>
    <row r="291" spans="3:29" ht="13">
      <c r="C291" s="127"/>
      <c r="D291" s="127"/>
      <c r="E291" s="127"/>
      <c r="G291" s="127"/>
      <c r="I291" s="99"/>
      <c r="J291" s="99"/>
      <c r="K291" s="99"/>
      <c r="L291" s="99"/>
      <c r="M291" s="99"/>
      <c r="AB291" s="99"/>
      <c r="AC291" s="99"/>
    </row>
    <row r="292" spans="3:29" ht="13">
      <c r="C292" s="127"/>
      <c r="D292" s="127"/>
      <c r="E292" s="127"/>
      <c r="G292" s="127"/>
      <c r="I292" s="99"/>
      <c r="J292" s="99"/>
      <c r="K292" s="99"/>
      <c r="L292" s="99"/>
      <c r="M292" s="99"/>
      <c r="AB292" s="99"/>
      <c r="AC292" s="99"/>
    </row>
    <row r="293" spans="3:29" ht="13">
      <c r="C293" s="127"/>
      <c r="D293" s="127"/>
      <c r="E293" s="127"/>
      <c r="G293" s="127"/>
      <c r="I293" s="99"/>
      <c r="J293" s="99"/>
      <c r="K293" s="99"/>
      <c r="L293" s="99"/>
      <c r="M293" s="99"/>
      <c r="AB293" s="99"/>
      <c r="AC293" s="99"/>
    </row>
    <row r="294" spans="3:29" ht="13">
      <c r="C294" s="127"/>
      <c r="D294" s="127"/>
      <c r="E294" s="127"/>
      <c r="G294" s="127"/>
      <c r="I294" s="99"/>
      <c r="J294" s="99"/>
      <c r="K294" s="99"/>
      <c r="L294" s="99"/>
      <c r="M294" s="99"/>
      <c r="AB294" s="99"/>
      <c r="AC294" s="99"/>
    </row>
    <row r="295" spans="3:29" ht="13">
      <c r="C295" s="127"/>
      <c r="D295" s="127"/>
      <c r="E295" s="127"/>
      <c r="G295" s="127"/>
      <c r="I295" s="99"/>
      <c r="J295" s="99"/>
      <c r="K295" s="99"/>
      <c r="L295" s="99"/>
      <c r="M295" s="99"/>
      <c r="AB295" s="99"/>
      <c r="AC295" s="99"/>
    </row>
    <row r="296" spans="3:29" ht="13">
      <c r="C296" s="127"/>
      <c r="D296" s="127"/>
      <c r="E296" s="127"/>
      <c r="G296" s="127"/>
      <c r="I296" s="99"/>
      <c r="J296" s="99"/>
      <c r="K296" s="99"/>
      <c r="L296" s="99"/>
      <c r="M296" s="99"/>
      <c r="AB296" s="99"/>
      <c r="AC296" s="99"/>
    </row>
    <row r="297" spans="3:29" ht="13">
      <c r="C297" s="127"/>
      <c r="D297" s="127"/>
      <c r="E297" s="127"/>
      <c r="G297" s="127"/>
      <c r="I297" s="99"/>
      <c r="J297" s="99"/>
      <c r="K297" s="99"/>
      <c r="L297" s="99"/>
      <c r="M297" s="99"/>
      <c r="AB297" s="99"/>
      <c r="AC297" s="99"/>
    </row>
    <row r="298" spans="3:29" ht="13">
      <c r="C298" s="127"/>
      <c r="D298" s="127"/>
      <c r="E298" s="127"/>
      <c r="G298" s="127"/>
      <c r="I298" s="99"/>
      <c r="J298" s="99"/>
      <c r="K298" s="99"/>
      <c r="L298" s="99"/>
      <c r="M298" s="99"/>
      <c r="AB298" s="99"/>
      <c r="AC298" s="99"/>
    </row>
    <row r="299" spans="3:29" ht="13">
      <c r="C299" s="127"/>
      <c r="D299" s="127"/>
      <c r="E299" s="127"/>
      <c r="G299" s="127"/>
      <c r="I299" s="99"/>
      <c r="J299" s="99"/>
      <c r="K299" s="99"/>
      <c r="L299" s="99"/>
      <c r="M299" s="99"/>
      <c r="AB299" s="99"/>
      <c r="AC299" s="99"/>
    </row>
    <row r="300" spans="3:29" ht="13">
      <c r="C300" s="127"/>
      <c r="D300" s="127"/>
      <c r="E300" s="127"/>
      <c r="G300" s="127"/>
      <c r="I300" s="99"/>
      <c r="J300" s="99"/>
      <c r="K300" s="99"/>
      <c r="L300" s="99"/>
      <c r="M300" s="99"/>
      <c r="AB300" s="99"/>
      <c r="AC300" s="99"/>
    </row>
    <row r="301" spans="3:29" ht="13">
      <c r="C301" s="127"/>
      <c r="D301" s="127"/>
      <c r="E301" s="127"/>
      <c r="G301" s="127"/>
      <c r="I301" s="99"/>
      <c r="J301" s="99"/>
      <c r="K301" s="99"/>
      <c r="L301" s="99"/>
      <c r="M301" s="99"/>
      <c r="AB301" s="99"/>
      <c r="AC301" s="99"/>
    </row>
    <row r="302" spans="3:29" ht="13">
      <c r="C302" s="127"/>
      <c r="D302" s="127"/>
      <c r="E302" s="127"/>
      <c r="G302" s="127"/>
      <c r="I302" s="99"/>
      <c r="J302" s="99"/>
      <c r="K302" s="99"/>
      <c r="L302" s="99"/>
      <c r="M302" s="99"/>
      <c r="AB302" s="99"/>
      <c r="AC302" s="99"/>
    </row>
    <row r="303" spans="3:29" ht="13">
      <c r="C303" s="127"/>
      <c r="D303" s="127"/>
      <c r="E303" s="127"/>
      <c r="G303" s="127"/>
      <c r="I303" s="99"/>
      <c r="J303" s="99"/>
      <c r="K303" s="99"/>
      <c r="L303" s="99"/>
      <c r="M303" s="99"/>
      <c r="AB303" s="99"/>
      <c r="AC303" s="99"/>
    </row>
    <row r="304" spans="3:29" ht="13">
      <c r="C304" s="127"/>
      <c r="D304" s="127"/>
      <c r="E304" s="127"/>
      <c r="G304" s="127"/>
      <c r="I304" s="99"/>
      <c r="J304" s="99"/>
      <c r="K304" s="99"/>
      <c r="L304" s="99"/>
      <c r="M304" s="99"/>
      <c r="AB304" s="99"/>
      <c r="AC304" s="99"/>
    </row>
    <row r="305" spans="3:29" ht="13">
      <c r="C305" s="127"/>
      <c r="D305" s="127"/>
      <c r="E305" s="127"/>
      <c r="G305" s="127"/>
      <c r="I305" s="99"/>
      <c r="J305" s="99"/>
      <c r="K305" s="99"/>
      <c r="L305" s="99"/>
      <c r="M305" s="99"/>
      <c r="AB305" s="99"/>
      <c r="AC305" s="99"/>
    </row>
    <row r="306" spans="3:29" ht="13">
      <c r="C306" s="127"/>
      <c r="D306" s="127"/>
      <c r="E306" s="127"/>
      <c r="G306" s="127"/>
      <c r="I306" s="99"/>
      <c r="J306" s="99"/>
      <c r="K306" s="99"/>
      <c r="L306" s="99"/>
      <c r="M306" s="99"/>
      <c r="AB306" s="99"/>
      <c r="AC306" s="99"/>
    </row>
    <row r="307" spans="3:29" ht="13">
      <c r="C307" s="127"/>
      <c r="D307" s="127"/>
      <c r="E307" s="127"/>
      <c r="G307" s="127"/>
      <c r="I307" s="99"/>
      <c r="J307" s="99"/>
      <c r="K307" s="99"/>
      <c r="L307" s="99"/>
      <c r="M307" s="99"/>
      <c r="AB307" s="99"/>
      <c r="AC307" s="99"/>
    </row>
    <row r="308" spans="3:29" ht="13">
      <c r="C308" s="127"/>
      <c r="D308" s="127"/>
      <c r="E308" s="127"/>
      <c r="G308" s="127"/>
      <c r="I308" s="99"/>
      <c r="J308" s="99"/>
      <c r="K308" s="99"/>
      <c r="L308" s="99"/>
      <c r="M308" s="99"/>
      <c r="AB308" s="99"/>
      <c r="AC308" s="99"/>
    </row>
    <row r="309" spans="3:29" ht="13">
      <c r="C309" s="127"/>
      <c r="D309" s="127"/>
      <c r="E309" s="127"/>
      <c r="G309" s="127"/>
      <c r="I309" s="99"/>
      <c r="J309" s="99"/>
      <c r="K309" s="99"/>
      <c r="L309" s="99"/>
      <c r="M309" s="99"/>
      <c r="AB309" s="99"/>
      <c r="AC309" s="99"/>
    </row>
    <row r="310" spans="3:29" ht="13">
      <c r="C310" s="127"/>
      <c r="D310" s="127"/>
      <c r="E310" s="127"/>
      <c r="G310" s="127"/>
      <c r="I310" s="99"/>
      <c r="J310" s="99"/>
      <c r="K310" s="99"/>
      <c r="L310" s="99"/>
      <c r="M310" s="99"/>
      <c r="AB310" s="99"/>
      <c r="AC310" s="99"/>
    </row>
    <row r="311" spans="3:29" ht="13">
      <c r="C311" s="127"/>
      <c r="D311" s="127"/>
      <c r="E311" s="127"/>
      <c r="G311" s="127"/>
      <c r="I311" s="99"/>
      <c r="J311" s="99"/>
      <c r="K311" s="99"/>
      <c r="L311" s="99"/>
      <c r="M311" s="99"/>
      <c r="AB311" s="99"/>
      <c r="AC311" s="99"/>
    </row>
    <row r="312" spans="3:29" ht="13">
      <c r="C312" s="127"/>
      <c r="D312" s="127"/>
      <c r="E312" s="127"/>
      <c r="G312" s="127"/>
      <c r="I312" s="99"/>
      <c r="J312" s="99"/>
      <c r="K312" s="99"/>
      <c r="L312" s="99"/>
      <c r="M312" s="99"/>
      <c r="AB312" s="99"/>
      <c r="AC312" s="99"/>
    </row>
    <row r="313" spans="3:29" ht="13">
      <c r="C313" s="127"/>
      <c r="D313" s="127"/>
      <c r="E313" s="127"/>
      <c r="G313" s="127"/>
      <c r="I313" s="99"/>
      <c r="J313" s="99"/>
      <c r="K313" s="99"/>
      <c r="L313" s="99"/>
      <c r="M313" s="99"/>
      <c r="AB313" s="99"/>
      <c r="AC313" s="99"/>
    </row>
    <row r="314" spans="3:29" ht="13">
      <c r="C314" s="127"/>
      <c r="D314" s="127"/>
      <c r="E314" s="127"/>
      <c r="G314" s="127"/>
      <c r="I314" s="99"/>
      <c r="J314" s="99"/>
      <c r="K314" s="99"/>
      <c r="L314" s="99"/>
      <c r="M314" s="99"/>
      <c r="AB314" s="99"/>
      <c r="AC314" s="99"/>
    </row>
    <row r="315" spans="3:29" ht="13">
      <c r="C315" s="127"/>
      <c r="D315" s="127"/>
      <c r="E315" s="127"/>
      <c r="G315" s="127"/>
      <c r="I315" s="99"/>
      <c r="J315" s="99"/>
      <c r="K315" s="99"/>
      <c r="L315" s="99"/>
      <c r="M315" s="99"/>
      <c r="AB315" s="99"/>
      <c r="AC315" s="99"/>
    </row>
    <row r="316" spans="3:29" ht="13">
      <c r="C316" s="127"/>
      <c r="D316" s="127"/>
      <c r="E316" s="127"/>
      <c r="G316" s="127"/>
      <c r="I316" s="99"/>
      <c r="J316" s="99"/>
      <c r="K316" s="99"/>
      <c r="L316" s="99"/>
      <c r="M316" s="99"/>
      <c r="AB316" s="99"/>
      <c r="AC316" s="99"/>
    </row>
    <row r="317" spans="3:29" ht="13">
      <c r="C317" s="127"/>
      <c r="D317" s="127"/>
      <c r="E317" s="127"/>
      <c r="G317" s="127"/>
      <c r="I317" s="99"/>
      <c r="J317" s="99"/>
      <c r="K317" s="99"/>
      <c r="L317" s="99"/>
      <c r="M317" s="99"/>
      <c r="AB317" s="99"/>
      <c r="AC317" s="99"/>
    </row>
    <row r="318" spans="3:29" ht="13">
      <c r="C318" s="127"/>
      <c r="D318" s="127"/>
      <c r="E318" s="127"/>
      <c r="G318" s="127"/>
      <c r="I318" s="99"/>
      <c r="J318" s="99"/>
      <c r="K318" s="99"/>
      <c r="L318" s="99"/>
      <c r="M318" s="99"/>
      <c r="AB318" s="99"/>
      <c r="AC318" s="99"/>
    </row>
    <row r="319" spans="3:29" ht="13">
      <c r="C319" s="127"/>
      <c r="D319" s="127"/>
      <c r="E319" s="127"/>
      <c r="G319" s="127"/>
      <c r="I319" s="99"/>
      <c r="J319" s="99"/>
      <c r="K319" s="99"/>
      <c r="L319" s="99"/>
      <c r="M319" s="99"/>
      <c r="AB319" s="99"/>
      <c r="AC319" s="99"/>
    </row>
    <row r="320" spans="3:29" ht="13">
      <c r="C320" s="127"/>
      <c r="D320" s="127"/>
      <c r="E320" s="127"/>
      <c r="G320" s="127"/>
      <c r="I320" s="99"/>
      <c r="J320" s="99"/>
      <c r="K320" s="99"/>
      <c r="L320" s="99"/>
      <c r="M320" s="99"/>
      <c r="AB320" s="99"/>
      <c r="AC320" s="99"/>
    </row>
    <row r="321" spans="3:29" ht="13">
      <c r="C321" s="127"/>
      <c r="D321" s="127"/>
      <c r="E321" s="127"/>
      <c r="G321" s="127"/>
      <c r="I321" s="99"/>
      <c r="J321" s="99"/>
      <c r="K321" s="99"/>
      <c r="L321" s="99"/>
      <c r="M321" s="99"/>
      <c r="AB321" s="99"/>
      <c r="AC321" s="99"/>
    </row>
    <row r="322" spans="3:29" ht="13">
      <c r="C322" s="127"/>
      <c r="D322" s="127"/>
      <c r="E322" s="127"/>
      <c r="G322" s="127"/>
      <c r="I322" s="99"/>
      <c r="J322" s="99"/>
      <c r="K322" s="99"/>
      <c r="L322" s="99"/>
      <c r="M322" s="99"/>
      <c r="AB322" s="99"/>
      <c r="AC322" s="99"/>
    </row>
    <row r="323" spans="3:29" ht="13">
      <c r="C323" s="127"/>
      <c r="D323" s="127"/>
      <c r="E323" s="127"/>
      <c r="G323" s="127"/>
      <c r="I323" s="99"/>
      <c r="J323" s="99"/>
      <c r="K323" s="99"/>
      <c r="L323" s="99"/>
      <c r="M323" s="99"/>
      <c r="AB323" s="99"/>
      <c r="AC323" s="99"/>
    </row>
    <row r="324" spans="3:29" ht="13">
      <c r="C324" s="127"/>
      <c r="D324" s="127"/>
      <c r="E324" s="127"/>
      <c r="G324" s="127"/>
      <c r="I324" s="99"/>
      <c r="J324" s="99"/>
      <c r="K324" s="99"/>
      <c r="L324" s="99"/>
      <c r="M324" s="99"/>
      <c r="AB324" s="99"/>
      <c r="AC324" s="99"/>
    </row>
    <row r="325" spans="3:29" ht="13">
      <c r="C325" s="127"/>
      <c r="D325" s="127"/>
      <c r="E325" s="127"/>
      <c r="G325" s="127"/>
      <c r="I325" s="99"/>
      <c r="J325" s="99"/>
      <c r="K325" s="99"/>
      <c r="L325" s="99"/>
      <c r="M325" s="99"/>
      <c r="AB325" s="99"/>
      <c r="AC325" s="99"/>
    </row>
    <row r="326" spans="3:29" ht="13">
      <c r="C326" s="127"/>
      <c r="D326" s="127"/>
      <c r="E326" s="127"/>
      <c r="G326" s="127"/>
      <c r="I326" s="99"/>
      <c r="J326" s="99"/>
      <c r="K326" s="99"/>
      <c r="L326" s="99"/>
      <c r="M326" s="99"/>
      <c r="AB326" s="99"/>
      <c r="AC326" s="99"/>
    </row>
    <row r="327" spans="3:29" ht="13">
      <c r="C327" s="127"/>
      <c r="D327" s="127"/>
      <c r="E327" s="127"/>
      <c r="G327" s="127"/>
      <c r="I327" s="99"/>
      <c r="J327" s="99"/>
      <c r="K327" s="99"/>
      <c r="L327" s="99"/>
      <c r="M327" s="99"/>
      <c r="AB327" s="99"/>
      <c r="AC327" s="99"/>
    </row>
    <row r="328" spans="3:29" ht="13">
      <c r="C328" s="127"/>
      <c r="D328" s="127"/>
      <c r="E328" s="127"/>
      <c r="G328" s="127"/>
      <c r="I328" s="99"/>
      <c r="J328" s="99"/>
      <c r="K328" s="99"/>
      <c r="L328" s="99"/>
      <c r="M328" s="99"/>
      <c r="AB328" s="99"/>
      <c r="AC328" s="99"/>
    </row>
    <row r="329" spans="3:29" ht="13">
      <c r="C329" s="127"/>
      <c r="D329" s="127"/>
      <c r="E329" s="127"/>
      <c r="G329" s="127"/>
      <c r="I329" s="99"/>
      <c r="J329" s="99"/>
      <c r="K329" s="99"/>
      <c r="L329" s="99"/>
      <c r="M329" s="99"/>
      <c r="AB329" s="99"/>
      <c r="AC329" s="99"/>
    </row>
    <row r="330" spans="3:29" ht="13">
      <c r="C330" s="127"/>
      <c r="D330" s="127"/>
      <c r="E330" s="127"/>
      <c r="G330" s="127"/>
      <c r="I330" s="99"/>
      <c r="J330" s="99"/>
      <c r="K330" s="99"/>
      <c r="L330" s="99"/>
      <c r="M330" s="99"/>
      <c r="AB330" s="99"/>
      <c r="AC330" s="99"/>
    </row>
    <row r="331" spans="3:29" ht="13">
      <c r="C331" s="127"/>
      <c r="D331" s="127"/>
      <c r="E331" s="127"/>
      <c r="G331" s="127"/>
      <c r="I331" s="99"/>
      <c r="J331" s="99"/>
      <c r="K331" s="99"/>
      <c r="L331" s="99"/>
      <c r="M331" s="99"/>
      <c r="AB331" s="99"/>
      <c r="AC331" s="99"/>
    </row>
    <row r="332" spans="3:29" ht="13">
      <c r="C332" s="127"/>
      <c r="D332" s="127"/>
      <c r="E332" s="127"/>
      <c r="G332" s="127"/>
      <c r="I332" s="99"/>
      <c r="J332" s="99"/>
      <c r="K332" s="99"/>
      <c r="L332" s="99"/>
      <c r="M332" s="99"/>
      <c r="AB332" s="99"/>
      <c r="AC332" s="99"/>
    </row>
    <row r="333" spans="3:29" ht="13">
      <c r="C333" s="127"/>
      <c r="D333" s="127"/>
      <c r="E333" s="127"/>
      <c r="G333" s="127"/>
      <c r="I333" s="99"/>
      <c r="J333" s="99"/>
      <c r="K333" s="99"/>
      <c r="L333" s="99"/>
      <c r="M333" s="99"/>
      <c r="AB333" s="99"/>
      <c r="AC333" s="99"/>
    </row>
    <row r="334" spans="3:29" ht="13">
      <c r="C334" s="127"/>
      <c r="D334" s="127"/>
      <c r="E334" s="127"/>
      <c r="G334" s="127"/>
      <c r="I334" s="99"/>
      <c r="J334" s="99"/>
      <c r="K334" s="99"/>
      <c r="L334" s="99"/>
      <c r="M334" s="99"/>
      <c r="AB334" s="99"/>
      <c r="AC334" s="99"/>
    </row>
    <row r="335" spans="3:29" ht="13">
      <c r="C335" s="127"/>
      <c r="D335" s="127"/>
      <c r="E335" s="127"/>
      <c r="G335" s="127"/>
      <c r="I335" s="99"/>
      <c r="J335" s="99"/>
      <c r="K335" s="99"/>
      <c r="L335" s="99"/>
      <c r="M335" s="99"/>
      <c r="AB335" s="99"/>
      <c r="AC335" s="99"/>
    </row>
    <row r="336" spans="3:29" ht="13">
      <c r="C336" s="127"/>
      <c r="D336" s="127"/>
      <c r="E336" s="127"/>
      <c r="G336" s="127"/>
      <c r="I336" s="99"/>
      <c r="J336" s="99"/>
      <c r="K336" s="99"/>
      <c r="L336" s="99"/>
      <c r="M336" s="99"/>
      <c r="AB336" s="99"/>
      <c r="AC336" s="99"/>
    </row>
    <row r="337" spans="3:29" ht="13">
      <c r="C337" s="127"/>
      <c r="D337" s="127"/>
      <c r="E337" s="127"/>
      <c r="G337" s="127"/>
      <c r="I337" s="99"/>
      <c r="J337" s="99"/>
      <c r="K337" s="99"/>
      <c r="L337" s="99"/>
      <c r="M337" s="99"/>
      <c r="AB337" s="99"/>
      <c r="AC337" s="99"/>
    </row>
    <row r="338" spans="3:29" ht="13">
      <c r="C338" s="127"/>
      <c r="D338" s="127"/>
      <c r="E338" s="127"/>
      <c r="G338" s="127"/>
      <c r="I338" s="99"/>
      <c r="J338" s="99"/>
      <c r="K338" s="99"/>
      <c r="L338" s="99"/>
      <c r="M338" s="99"/>
      <c r="AB338" s="99"/>
      <c r="AC338" s="99"/>
    </row>
    <row r="339" spans="3:29" ht="13">
      <c r="C339" s="127"/>
      <c r="D339" s="127"/>
      <c r="E339" s="127"/>
      <c r="G339" s="127"/>
      <c r="I339" s="99"/>
      <c r="J339" s="99"/>
      <c r="K339" s="99"/>
      <c r="L339" s="99"/>
      <c r="M339" s="99"/>
      <c r="AB339" s="99"/>
      <c r="AC339" s="99"/>
    </row>
    <row r="340" spans="3:29" ht="13">
      <c r="C340" s="127"/>
      <c r="D340" s="127"/>
      <c r="E340" s="127"/>
      <c r="G340" s="127"/>
      <c r="I340" s="99"/>
      <c r="J340" s="99"/>
      <c r="K340" s="99"/>
      <c r="L340" s="99"/>
      <c r="M340" s="99"/>
      <c r="AB340" s="99"/>
      <c r="AC340" s="99"/>
    </row>
    <row r="341" spans="3:29" ht="13">
      <c r="C341" s="127"/>
      <c r="D341" s="127"/>
      <c r="E341" s="127"/>
      <c r="G341" s="127"/>
      <c r="I341" s="99"/>
      <c r="J341" s="99"/>
      <c r="K341" s="99"/>
      <c r="L341" s="99"/>
      <c r="M341" s="99"/>
      <c r="AB341" s="99"/>
      <c r="AC341" s="99"/>
    </row>
    <row r="342" spans="3:29" ht="13">
      <c r="C342" s="127"/>
      <c r="D342" s="127"/>
      <c r="E342" s="127"/>
      <c r="G342" s="127"/>
      <c r="I342" s="99"/>
      <c r="J342" s="99"/>
      <c r="K342" s="99"/>
      <c r="L342" s="99"/>
      <c r="M342" s="99"/>
      <c r="AB342" s="99"/>
      <c r="AC342" s="99"/>
    </row>
    <row r="343" spans="3:29" ht="13">
      <c r="C343" s="127"/>
      <c r="D343" s="127"/>
      <c r="E343" s="127"/>
      <c r="G343" s="127"/>
      <c r="I343" s="99"/>
      <c r="J343" s="99"/>
      <c r="K343" s="99"/>
      <c r="L343" s="99"/>
      <c r="M343" s="99"/>
      <c r="AB343" s="99"/>
      <c r="AC343" s="99"/>
    </row>
    <row r="344" spans="3:29" ht="13">
      <c r="C344" s="127"/>
      <c r="D344" s="127"/>
      <c r="E344" s="127"/>
      <c r="G344" s="127"/>
      <c r="I344" s="99"/>
      <c r="J344" s="99"/>
      <c r="K344" s="99"/>
      <c r="L344" s="99"/>
      <c r="M344" s="99"/>
      <c r="AB344" s="99"/>
      <c r="AC344" s="99"/>
    </row>
    <row r="345" spans="3:29" ht="13">
      <c r="C345" s="127"/>
      <c r="D345" s="127"/>
      <c r="E345" s="127"/>
      <c r="G345" s="127"/>
      <c r="I345" s="99"/>
      <c r="J345" s="99"/>
      <c r="K345" s="99"/>
      <c r="L345" s="99"/>
      <c r="M345" s="99"/>
      <c r="AB345" s="99"/>
      <c r="AC345" s="99"/>
    </row>
    <row r="346" spans="3:29" ht="13">
      <c r="C346" s="127"/>
      <c r="D346" s="127"/>
      <c r="E346" s="127"/>
      <c r="G346" s="127"/>
      <c r="I346" s="99"/>
      <c r="J346" s="99"/>
      <c r="K346" s="99"/>
      <c r="L346" s="99"/>
      <c r="M346" s="99"/>
      <c r="AB346" s="99"/>
      <c r="AC346" s="99"/>
    </row>
    <row r="347" spans="3:29" ht="13">
      <c r="C347" s="127"/>
      <c r="D347" s="127"/>
      <c r="E347" s="127"/>
      <c r="G347" s="127"/>
      <c r="I347" s="99"/>
      <c r="J347" s="99"/>
      <c r="K347" s="99"/>
      <c r="L347" s="99"/>
      <c r="M347" s="99"/>
      <c r="AB347" s="99"/>
      <c r="AC347" s="99"/>
    </row>
    <row r="348" spans="3:29" ht="13">
      <c r="C348" s="127"/>
      <c r="D348" s="127"/>
      <c r="E348" s="127"/>
      <c r="G348" s="127"/>
      <c r="I348" s="99"/>
      <c r="J348" s="99"/>
      <c r="K348" s="99"/>
      <c r="L348" s="99"/>
      <c r="M348" s="99"/>
      <c r="AB348" s="99"/>
      <c r="AC348" s="99"/>
    </row>
    <row r="349" spans="3:29" ht="13">
      <c r="C349" s="127"/>
      <c r="D349" s="127"/>
      <c r="E349" s="127"/>
      <c r="G349" s="127"/>
      <c r="I349" s="99"/>
      <c r="J349" s="99"/>
      <c r="K349" s="99"/>
      <c r="L349" s="99"/>
      <c r="M349" s="99"/>
      <c r="AB349" s="99"/>
      <c r="AC349" s="99"/>
    </row>
    <row r="350" spans="3:29" ht="13">
      <c r="C350" s="127"/>
      <c r="D350" s="127"/>
      <c r="E350" s="127"/>
      <c r="G350" s="127"/>
      <c r="I350" s="99"/>
      <c r="J350" s="99"/>
      <c r="K350" s="99"/>
      <c r="L350" s="99"/>
      <c r="M350" s="99"/>
      <c r="AB350" s="99"/>
      <c r="AC350" s="99"/>
    </row>
    <row r="351" spans="3:29" ht="13">
      <c r="C351" s="127"/>
      <c r="D351" s="127"/>
      <c r="E351" s="127"/>
      <c r="G351" s="127"/>
      <c r="I351" s="99"/>
      <c r="J351" s="99"/>
      <c r="K351" s="99"/>
      <c r="L351" s="99"/>
      <c r="M351" s="99"/>
      <c r="AB351" s="99"/>
      <c r="AC351" s="99"/>
    </row>
    <row r="352" spans="3:29" ht="13">
      <c r="C352" s="127"/>
      <c r="D352" s="127"/>
      <c r="E352" s="127"/>
      <c r="G352" s="127"/>
      <c r="I352" s="99"/>
      <c r="J352" s="99"/>
      <c r="K352" s="99"/>
      <c r="L352" s="99"/>
      <c r="M352" s="99"/>
      <c r="AB352" s="99"/>
      <c r="AC352" s="99"/>
    </row>
    <row r="353" spans="3:29" ht="13">
      <c r="C353" s="127"/>
      <c r="D353" s="127"/>
      <c r="E353" s="127"/>
      <c r="G353" s="127"/>
      <c r="I353" s="99"/>
      <c r="J353" s="99"/>
      <c r="K353" s="99"/>
      <c r="L353" s="99"/>
      <c r="M353" s="99"/>
      <c r="AB353" s="99"/>
      <c r="AC353" s="99"/>
    </row>
    <row r="354" spans="3:29" ht="13">
      <c r="C354" s="127"/>
      <c r="D354" s="127"/>
      <c r="E354" s="127"/>
      <c r="G354" s="127"/>
      <c r="I354" s="99"/>
      <c r="J354" s="99"/>
      <c r="K354" s="99"/>
      <c r="L354" s="99"/>
      <c r="M354" s="99"/>
      <c r="AB354" s="99"/>
      <c r="AC354" s="99"/>
    </row>
    <row r="355" spans="3:29" ht="13">
      <c r="C355" s="127"/>
      <c r="D355" s="127"/>
      <c r="E355" s="127"/>
      <c r="G355" s="127"/>
      <c r="I355" s="99"/>
      <c r="J355" s="99"/>
      <c r="K355" s="99"/>
      <c r="L355" s="99"/>
      <c r="M355" s="99"/>
      <c r="AB355" s="99"/>
      <c r="AC355" s="99"/>
    </row>
    <row r="356" spans="3:29" ht="13">
      <c r="C356" s="127"/>
      <c r="D356" s="127"/>
      <c r="E356" s="127"/>
      <c r="G356" s="127"/>
      <c r="I356" s="99"/>
      <c r="J356" s="99"/>
      <c r="K356" s="99"/>
      <c r="L356" s="99"/>
      <c r="M356" s="99"/>
      <c r="AB356" s="99"/>
      <c r="AC356" s="99"/>
    </row>
    <row r="357" spans="3:29" ht="13">
      <c r="C357" s="127"/>
      <c r="D357" s="127"/>
      <c r="E357" s="127"/>
      <c r="G357" s="127"/>
      <c r="I357" s="99"/>
      <c r="J357" s="99"/>
      <c r="K357" s="99"/>
      <c r="L357" s="99"/>
      <c r="M357" s="99"/>
      <c r="AB357" s="99"/>
      <c r="AC357" s="99"/>
    </row>
    <row r="358" spans="3:29" ht="13">
      <c r="C358" s="127"/>
      <c r="D358" s="127"/>
      <c r="E358" s="127"/>
      <c r="G358" s="127"/>
      <c r="I358" s="99"/>
      <c r="J358" s="99"/>
      <c r="K358" s="99"/>
      <c r="L358" s="99"/>
      <c r="M358" s="99"/>
      <c r="AB358" s="99"/>
      <c r="AC358" s="99"/>
    </row>
    <row r="359" spans="3:29" ht="13">
      <c r="C359" s="127"/>
      <c r="D359" s="127"/>
      <c r="E359" s="127"/>
      <c r="G359" s="127"/>
      <c r="I359" s="99"/>
      <c r="J359" s="99"/>
      <c r="K359" s="99"/>
      <c r="L359" s="99"/>
      <c r="M359" s="99"/>
      <c r="AB359" s="99"/>
      <c r="AC359" s="99"/>
    </row>
    <row r="360" spans="3:29" ht="13">
      <c r="C360" s="127"/>
      <c r="D360" s="127"/>
      <c r="E360" s="127"/>
      <c r="G360" s="127"/>
      <c r="I360" s="99"/>
      <c r="J360" s="99"/>
      <c r="K360" s="99"/>
      <c r="L360" s="99"/>
      <c r="M360" s="99"/>
      <c r="AB360" s="99"/>
      <c r="AC360" s="99"/>
    </row>
    <row r="361" spans="3:29" ht="13">
      <c r="C361" s="127"/>
      <c r="D361" s="127"/>
      <c r="E361" s="127"/>
      <c r="G361" s="127"/>
      <c r="I361" s="99"/>
      <c r="J361" s="99"/>
      <c r="K361" s="99"/>
      <c r="L361" s="99"/>
      <c r="M361" s="99"/>
      <c r="AB361" s="99"/>
      <c r="AC361" s="99"/>
    </row>
    <row r="362" spans="3:29" ht="13">
      <c r="C362" s="127"/>
      <c r="D362" s="127"/>
      <c r="E362" s="127"/>
      <c r="G362" s="127"/>
      <c r="I362" s="99"/>
      <c r="J362" s="99"/>
      <c r="K362" s="99"/>
      <c r="L362" s="99"/>
      <c r="M362" s="99"/>
      <c r="AB362" s="99"/>
      <c r="AC362" s="99"/>
    </row>
    <row r="363" spans="3:29" ht="13">
      <c r="C363" s="127"/>
      <c r="D363" s="127"/>
      <c r="E363" s="127"/>
      <c r="G363" s="127"/>
      <c r="I363" s="99"/>
      <c r="J363" s="99"/>
      <c r="K363" s="99"/>
      <c r="L363" s="99"/>
      <c r="M363" s="99"/>
      <c r="AB363" s="99"/>
      <c r="AC363" s="99"/>
    </row>
    <row r="364" spans="3:29" ht="13">
      <c r="C364" s="127"/>
      <c r="D364" s="127"/>
      <c r="E364" s="127"/>
      <c r="G364" s="127"/>
      <c r="I364" s="99"/>
      <c r="J364" s="99"/>
      <c r="K364" s="99"/>
      <c r="L364" s="99"/>
      <c r="M364" s="99"/>
      <c r="AB364" s="99"/>
      <c r="AC364" s="99"/>
    </row>
    <row r="365" spans="3:29" ht="13">
      <c r="C365" s="127"/>
      <c r="D365" s="127"/>
      <c r="E365" s="127"/>
      <c r="G365" s="127"/>
      <c r="I365" s="99"/>
      <c r="J365" s="99"/>
      <c r="K365" s="99"/>
      <c r="L365" s="99"/>
      <c r="M365" s="99"/>
      <c r="AB365" s="99"/>
      <c r="AC365" s="99"/>
    </row>
    <row r="366" spans="3:29" ht="13">
      <c r="C366" s="127"/>
      <c r="D366" s="127"/>
      <c r="E366" s="127"/>
      <c r="G366" s="127"/>
      <c r="I366" s="99"/>
      <c r="J366" s="99"/>
      <c r="K366" s="99"/>
      <c r="L366" s="99"/>
      <c r="M366" s="99"/>
      <c r="AB366" s="99"/>
      <c r="AC366" s="99"/>
    </row>
    <row r="367" spans="3:29" ht="13">
      <c r="C367" s="127"/>
      <c r="D367" s="127"/>
      <c r="E367" s="127"/>
      <c r="G367" s="127"/>
      <c r="I367" s="99"/>
      <c r="J367" s="99"/>
      <c r="K367" s="99"/>
      <c r="L367" s="99"/>
      <c r="M367" s="99"/>
      <c r="AB367" s="99"/>
      <c r="AC367" s="99"/>
    </row>
    <row r="368" spans="3:29" ht="13">
      <c r="C368" s="127"/>
      <c r="D368" s="127"/>
      <c r="E368" s="127"/>
      <c r="G368" s="127"/>
      <c r="I368" s="99"/>
      <c r="J368" s="99"/>
      <c r="K368" s="99"/>
      <c r="L368" s="99"/>
      <c r="M368" s="99"/>
      <c r="AB368" s="99"/>
      <c r="AC368" s="99"/>
    </row>
    <row r="369" spans="3:29" ht="13">
      <c r="C369" s="127"/>
      <c r="D369" s="127"/>
      <c r="E369" s="127"/>
      <c r="G369" s="127"/>
      <c r="I369" s="99"/>
      <c r="J369" s="99"/>
      <c r="K369" s="99"/>
      <c r="L369" s="99"/>
      <c r="M369" s="99"/>
      <c r="AB369" s="99"/>
      <c r="AC369" s="99"/>
    </row>
    <row r="370" spans="3:29" ht="13">
      <c r="C370" s="127"/>
      <c r="D370" s="127"/>
      <c r="E370" s="127"/>
      <c r="G370" s="127"/>
      <c r="I370" s="99"/>
      <c r="J370" s="99"/>
      <c r="K370" s="99"/>
      <c r="L370" s="99"/>
      <c r="M370" s="99"/>
      <c r="AB370" s="99"/>
      <c r="AC370" s="99"/>
    </row>
    <row r="371" spans="3:29" ht="13">
      <c r="C371" s="127"/>
      <c r="D371" s="127"/>
      <c r="E371" s="127"/>
      <c r="G371" s="127"/>
      <c r="I371" s="99"/>
      <c r="J371" s="99"/>
      <c r="K371" s="99"/>
      <c r="L371" s="99"/>
      <c r="M371" s="99"/>
      <c r="AB371" s="99"/>
      <c r="AC371" s="99"/>
    </row>
    <row r="372" spans="3:29" ht="13">
      <c r="C372" s="127"/>
      <c r="D372" s="127"/>
      <c r="E372" s="127"/>
      <c r="G372" s="127"/>
      <c r="I372" s="99"/>
      <c r="J372" s="99"/>
      <c r="K372" s="99"/>
      <c r="L372" s="99"/>
      <c r="M372" s="99"/>
      <c r="AB372" s="99"/>
      <c r="AC372" s="99"/>
    </row>
    <row r="373" spans="3:29" ht="13">
      <c r="C373" s="127"/>
      <c r="D373" s="127"/>
      <c r="E373" s="127"/>
      <c r="G373" s="127"/>
      <c r="I373" s="99"/>
      <c r="J373" s="99"/>
      <c r="K373" s="99"/>
      <c r="L373" s="99"/>
      <c r="M373" s="99"/>
      <c r="AB373" s="99"/>
      <c r="AC373" s="99"/>
    </row>
    <row r="374" spans="3:29" ht="13">
      <c r="C374" s="127"/>
      <c r="D374" s="127"/>
      <c r="E374" s="127"/>
      <c r="G374" s="127"/>
      <c r="I374" s="99"/>
      <c r="J374" s="99"/>
      <c r="K374" s="99"/>
      <c r="L374" s="99"/>
      <c r="M374" s="99"/>
      <c r="AB374" s="99"/>
      <c r="AC374" s="99"/>
    </row>
    <row r="375" spans="3:29" ht="13">
      <c r="C375" s="127"/>
      <c r="D375" s="127"/>
      <c r="E375" s="127"/>
      <c r="G375" s="127"/>
      <c r="I375" s="99"/>
      <c r="J375" s="99"/>
      <c r="K375" s="99"/>
      <c r="L375" s="99"/>
      <c r="M375" s="99"/>
      <c r="AB375" s="99"/>
      <c r="AC375" s="99"/>
    </row>
    <row r="376" spans="3:29" ht="13">
      <c r="C376" s="127"/>
      <c r="D376" s="127"/>
      <c r="E376" s="127"/>
      <c r="G376" s="127"/>
      <c r="I376" s="99"/>
      <c r="J376" s="99"/>
      <c r="K376" s="99"/>
      <c r="L376" s="99"/>
      <c r="M376" s="99"/>
      <c r="AB376" s="99"/>
      <c r="AC376" s="99"/>
    </row>
    <row r="377" spans="3:29" ht="13">
      <c r="C377" s="127"/>
      <c r="D377" s="127"/>
      <c r="E377" s="127"/>
      <c r="G377" s="127"/>
      <c r="I377" s="99"/>
      <c r="J377" s="99"/>
      <c r="K377" s="99"/>
      <c r="L377" s="99"/>
      <c r="M377" s="99"/>
      <c r="AB377" s="99"/>
      <c r="AC377" s="99"/>
    </row>
    <row r="378" spans="3:29" ht="13">
      <c r="C378" s="127"/>
      <c r="D378" s="127"/>
      <c r="E378" s="127"/>
      <c r="G378" s="127"/>
      <c r="I378" s="99"/>
      <c r="J378" s="99"/>
      <c r="K378" s="99"/>
      <c r="L378" s="99"/>
      <c r="M378" s="99"/>
      <c r="AB378" s="99"/>
      <c r="AC378" s="99"/>
    </row>
    <row r="379" spans="3:29" ht="13">
      <c r="C379" s="127"/>
      <c r="D379" s="127"/>
      <c r="E379" s="127"/>
      <c r="G379" s="127"/>
      <c r="I379" s="99"/>
      <c r="J379" s="99"/>
      <c r="K379" s="99"/>
      <c r="L379" s="99"/>
      <c r="M379" s="99"/>
      <c r="AB379" s="99"/>
      <c r="AC379" s="99"/>
    </row>
    <row r="380" spans="3:29" ht="13">
      <c r="C380" s="127"/>
      <c r="D380" s="127"/>
      <c r="E380" s="127"/>
      <c r="G380" s="127"/>
      <c r="I380" s="99"/>
      <c r="J380" s="99"/>
      <c r="K380" s="99"/>
      <c r="L380" s="99"/>
      <c r="M380" s="99"/>
      <c r="AB380" s="99"/>
      <c r="AC380" s="99"/>
    </row>
    <row r="381" spans="3:29" ht="13">
      <c r="C381" s="127"/>
      <c r="D381" s="127"/>
      <c r="E381" s="127"/>
      <c r="G381" s="127"/>
      <c r="I381" s="99"/>
      <c r="J381" s="99"/>
      <c r="K381" s="99"/>
      <c r="L381" s="99"/>
      <c r="M381" s="99"/>
      <c r="AB381" s="99"/>
      <c r="AC381" s="99"/>
    </row>
    <row r="382" spans="3:29" ht="13">
      <c r="C382" s="127"/>
      <c r="D382" s="127"/>
      <c r="E382" s="127"/>
      <c r="G382" s="127"/>
      <c r="I382" s="99"/>
      <c r="J382" s="99"/>
      <c r="K382" s="99"/>
      <c r="L382" s="99"/>
      <c r="M382" s="99"/>
      <c r="AB382" s="99"/>
      <c r="AC382" s="99"/>
    </row>
    <row r="383" spans="3:29" ht="13">
      <c r="C383" s="127"/>
      <c r="D383" s="127"/>
      <c r="E383" s="127"/>
      <c r="G383" s="127"/>
      <c r="I383" s="99"/>
      <c r="J383" s="99"/>
      <c r="K383" s="99"/>
      <c r="L383" s="99"/>
      <c r="M383" s="99"/>
      <c r="AB383" s="99"/>
      <c r="AC383" s="99"/>
    </row>
    <row r="384" spans="3:29" ht="13">
      <c r="C384" s="127"/>
      <c r="D384" s="127"/>
      <c r="E384" s="127"/>
      <c r="G384" s="127"/>
      <c r="I384" s="99"/>
      <c r="J384" s="99"/>
      <c r="K384" s="99"/>
      <c r="L384" s="99"/>
      <c r="M384" s="99"/>
      <c r="AB384" s="99"/>
      <c r="AC384" s="99"/>
    </row>
    <row r="385" spans="3:29" ht="13">
      <c r="C385" s="127"/>
      <c r="D385" s="127"/>
      <c r="E385" s="127"/>
      <c r="G385" s="127"/>
      <c r="I385" s="99"/>
      <c r="J385" s="99"/>
      <c r="K385" s="99"/>
      <c r="L385" s="99"/>
      <c r="M385" s="99"/>
      <c r="AB385" s="99"/>
      <c r="AC385" s="99"/>
    </row>
    <row r="386" spans="3:29" ht="13">
      <c r="C386" s="127"/>
      <c r="D386" s="127"/>
      <c r="E386" s="127"/>
      <c r="G386" s="127"/>
      <c r="I386" s="99"/>
      <c r="J386" s="99"/>
      <c r="K386" s="99"/>
      <c r="L386" s="99"/>
      <c r="M386" s="99"/>
      <c r="AB386" s="99"/>
      <c r="AC386" s="99"/>
    </row>
    <row r="387" spans="3:29" ht="13">
      <c r="C387" s="127"/>
      <c r="D387" s="127"/>
      <c r="E387" s="127"/>
      <c r="G387" s="127"/>
      <c r="I387" s="99"/>
      <c r="J387" s="99"/>
      <c r="K387" s="99"/>
      <c r="L387" s="99"/>
      <c r="M387" s="99"/>
      <c r="AB387" s="99"/>
      <c r="AC387" s="99"/>
    </row>
    <row r="388" spans="3:29" ht="13">
      <c r="C388" s="127"/>
      <c r="D388" s="127"/>
      <c r="E388" s="127"/>
      <c r="G388" s="127"/>
      <c r="I388" s="99"/>
      <c r="J388" s="99"/>
      <c r="K388" s="99"/>
      <c r="L388" s="99"/>
      <c r="M388" s="99"/>
      <c r="AB388" s="99"/>
      <c r="AC388" s="99"/>
    </row>
    <row r="389" spans="3:29" ht="13">
      <c r="C389" s="127"/>
      <c r="D389" s="127"/>
      <c r="E389" s="127"/>
      <c r="G389" s="127"/>
      <c r="I389" s="99"/>
      <c r="J389" s="99"/>
      <c r="K389" s="99"/>
      <c r="L389" s="99"/>
      <c r="M389" s="99"/>
      <c r="AB389" s="99"/>
      <c r="AC389" s="99"/>
    </row>
    <row r="390" spans="3:29" ht="13">
      <c r="C390" s="127"/>
      <c r="D390" s="127"/>
      <c r="E390" s="127"/>
      <c r="G390" s="127"/>
      <c r="I390" s="99"/>
      <c r="J390" s="99"/>
      <c r="K390" s="99"/>
      <c r="L390" s="99"/>
      <c r="M390" s="99"/>
      <c r="AB390" s="99"/>
      <c r="AC390" s="99"/>
    </row>
    <row r="391" spans="3:29" ht="13">
      <c r="C391" s="127"/>
      <c r="D391" s="127"/>
      <c r="E391" s="127"/>
      <c r="G391" s="127"/>
      <c r="I391" s="99"/>
      <c r="J391" s="99"/>
      <c r="K391" s="99"/>
      <c r="L391" s="99"/>
      <c r="M391" s="99"/>
      <c r="AB391" s="99"/>
      <c r="AC391" s="99"/>
    </row>
    <row r="392" spans="3:29" ht="13">
      <c r="C392" s="127"/>
      <c r="D392" s="127"/>
      <c r="E392" s="127"/>
      <c r="G392" s="127"/>
      <c r="I392" s="99"/>
      <c r="J392" s="99"/>
      <c r="K392" s="99"/>
      <c r="L392" s="99"/>
      <c r="M392" s="99"/>
      <c r="AB392" s="99"/>
      <c r="AC392" s="99"/>
    </row>
    <row r="393" spans="3:29" ht="13">
      <c r="C393" s="127"/>
      <c r="D393" s="127"/>
      <c r="E393" s="127"/>
      <c r="G393" s="127"/>
      <c r="I393" s="99"/>
      <c r="J393" s="99"/>
      <c r="K393" s="99"/>
      <c r="L393" s="99"/>
      <c r="M393" s="99"/>
      <c r="AB393" s="99"/>
      <c r="AC393" s="99"/>
    </row>
    <row r="394" spans="3:29" ht="13">
      <c r="C394" s="127"/>
      <c r="D394" s="127"/>
      <c r="E394" s="127"/>
      <c r="G394" s="127"/>
      <c r="I394" s="99"/>
      <c r="J394" s="99"/>
      <c r="K394" s="99"/>
      <c r="L394" s="99"/>
      <c r="M394" s="99"/>
      <c r="AB394" s="99"/>
      <c r="AC394" s="99"/>
    </row>
    <row r="395" spans="3:29" ht="13">
      <c r="C395" s="127"/>
      <c r="D395" s="127"/>
      <c r="E395" s="127"/>
      <c r="G395" s="127"/>
      <c r="I395" s="99"/>
      <c r="J395" s="99"/>
      <c r="K395" s="99"/>
      <c r="L395" s="99"/>
      <c r="M395" s="99"/>
      <c r="AB395" s="99"/>
      <c r="AC395" s="99"/>
    </row>
    <row r="396" spans="3:29" ht="13">
      <c r="C396" s="127"/>
      <c r="D396" s="127"/>
      <c r="E396" s="127"/>
      <c r="G396" s="127"/>
      <c r="I396" s="99"/>
      <c r="J396" s="99"/>
      <c r="K396" s="99"/>
      <c r="L396" s="99"/>
      <c r="M396" s="99"/>
      <c r="AB396" s="99"/>
      <c r="AC396" s="99"/>
    </row>
    <row r="397" spans="3:29" ht="13">
      <c r="C397" s="127"/>
      <c r="D397" s="127"/>
      <c r="E397" s="127"/>
      <c r="G397" s="127"/>
      <c r="I397" s="99"/>
      <c r="J397" s="99"/>
      <c r="K397" s="99"/>
      <c r="L397" s="99"/>
      <c r="M397" s="99"/>
      <c r="AB397" s="99"/>
      <c r="AC397" s="99"/>
    </row>
    <row r="398" spans="3:29" ht="13">
      <c r="C398" s="127"/>
      <c r="D398" s="127"/>
      <c r="E398" s="127"/>
      <c r="G398" s="127"/>
      <c r="I398" s="99"/>
      <c r="J398" s="99"/>
      <c r="K398" s="99"/>
      <c r="L398" s="99"/>
      <c r="M398" s="99"/>
      <c r="AB398" s="99"/>
      <c r="AC398" s="99"/>
    </row>
    <row r="399" spans="3:29" ht="13">
      <c r="C399" s="127"/>
      <c r="D399" s="127"/>
      <c r="E399" s="127"/>
      <c r="G399" s="127"/>
      <c r="I399" s="99"/>
      <c r="J399" s="99"/>
      <c r="K399" s="99"/>
      <c r="L399" s="99"/>
      <c r="M399" s="99"/>
      <c r="AB399" s="99"/>
      <c r="AC399" s="99"/>
    </row>
    <row r="400" spans="3:29" ht="13">
      <c r="C400" s="127"/>
      <c r="D400" s="127"/>
      <c r="E400" s="127"/>
      <c r="G400" s="127"/>
      <c r="I400" s="99"/>
      <c r="J400" s="99"/>
      <c r="K400" s="99"/>
      <c r="L400" s="99"/>
      <c r="M400" s="99"/>
      <c r="AB400" s="99"/>
      <c r="AC400" s="99"/>
    </row>
    <row r="401" spans="3:29" ht="13">
      <c r="C401" s="127"/>
      <c r="D401" s="127"/>
      <c r="E401" s="127"/>
      <c r="G401" s="127"/>
      <c r="I401" s="99"/>
      <c r="J401" s="99"/>
      <c r="K401" s="99"/>
      <c r="L401" s="99"/>
      <c r="M401" s="99"/>
      <c r="AB401" s="99"/>
      <c r="AC401" s="99"/>
    </row>
    <row r="402" spans="3:29" ht="13">
      <c r="C402" s="127"/>
      <c r="D402" s="127"/>
      <c r="E402" s="127"/>
      <c r="G402" s="127"/>
      <c r="I402" s="99"/>
      <c r="J402" s="99"/>
      <c r="K402" s="99"/>
      <c r="L402" s="99"/>
      <c r="M402" s="99"/>
      <c r="AB402" s="99"/>
      <c r="AC402" s="99"/>
    </row>
    <row r="403" spans="3:29" ht="13">
      <c r="C403" s="127"/>
      <c r="D403" s="127"/>
      <c r="E403" s="127"/>
      <c r="G403" s="127"/>
      <c r="I403" s="99"/>
      <c r="J403" s="99"/>
      <c r="K403" s="99"/>
      <c r="L403" s="99"/>
      <c r="M403" s="99"/>
      <c r="AB403" s="99"/>
      <c r="AC403" s="99"/>
    </row>
    <row r="404" spans="3:29" ht="13">
      <c r="C404" s="127"/>
      <c r="D404" s="127"/>
      <c r="E404" s="127"/>
      <c r="G404" s="127"/>
      <c r="I404" s="99"/>
      <c r="J404" s="99"/>
      <c r="K404" s="99"/>
      <c r="L404" s="99"/>
      <c r="M404" s="99"/>
      <c r="AB404" s="99"/>
      <c r="AC404" s="99"/>
    </row>
    <row r="405" spans="3:29" ht="13">
      <c r="C405" s="127"/>
      <c r="D405" s="127"/>
      <c r="E405" s="127"/>
      <c r="G405" s="127"/>
      <c r="I405" s="99"/>
      <c r="J405" s="99"/>
      <c r="K405" s="99"/>
      <c r="L405" s="99"/>
      <c r="M405" s="99"/>
      <c r="AB405" s="99"/>
      <c r="AC405" s="99"/>
    </row>
    <row r="406" spans="3:29" ht="13">
      <c r="C406" s="127"/>
      <c r="D406" s="127"/>
      <c r="E406" s="127"/>
      <c r="G406" s="127"/>
      <c r="I406" s="99"/>
      <c r="J406" s="99"/>
      <c r="K406" s="99"/>
      <c r="L406" s="99"/>
      <c r="M406" s="99"/>
      <c r="AB406" s="99"/>
      <c r="AC406" s="99"/>
    </row>
    <row r="407" spans="3:29" ht="13">
      <c r="C407" s="127"/>
      <c r="D407" s="127"/>
      <c r="E407" s="127"/>
      <c r="G407" s="127"/>
      <c r="I407" s="99"/>
      <c r="J407" s="99"/>
      <c r="K407" s="99"/>
      <c r="L407" s="99"/>
      <c r="M407" s="99"/>
      <c r="AB407" s="99"/>
      <c r="AC407" s="99"/>
    </row>
    <row r="408" spans="3:29" ht="13">
      <c r="C408" s="127"/>
      <c r="D408" s="127"/>
      <c r="E408" s="127"/>
      <c r="G408" s="127"/>
      <c r="I408" s="99"/>
      <c r="J408" s="99"/>
      <c r="K408" s="99"/>
      <c r="L408" s="99"/>
      <c r="M408" s="99"/>
      <c r="AB408" s="99"/>
      <c r="AC408" s="99"/>
    </row>
    <row r="409" spans="3:29" ht="13">
      <c r="C409" s="127"/>
      <c r="D409" s="127"/>
      <c r="E409" s="127"/>
      <c r="G409" s="127"/>
      <c r="I409" s="99"/>
      <c r="J409" s="99"/>
      <c r="K409" s="99"/>
      <c r="L409" s="99"/>
      <c r="M409" s="99"/>
      <c r="AB409" s="99"/>
      <c r="AC409" s="99"/>
    </row>
    <row r="410" spans="3:29" ht="13">
      <c r="C410" s="127"/>
      <c r="D410" s="127"/>
      <c r="E410" s="127"/>
      <c r="G410" s="127"/>
      <c r="I410" s="99"/>
      <c r="J410" s="99"/>
      <c r="K410" s="99"/>
      <c r="L410" s="99"/>
      <c r="M410" s="99"/>
      <c r="AB410" s="99"/>
      <c r="AC410" s="99"/>
    </row>
    <row r="411" spans="3:29" ht="13">
      <c r="C411" s="127"/>
      <c r="D411" s="127"/>
      <c r="E411" s="127"/>
      <c r="G411" s="127"/>
      <c r="I411" s="99"/>
      <c r="J411" s="99"/>
      <c r="K411" s="99"/>
      <c r="L411" s="99"/>
      <c r="M411" s="99"/>
      <c r="AB411" s="99"/>
      <c r="AC411" s="99"/>
    </row>
    <row r="412" spans="3:29" ht="13">
      <c r="C412" s="127"/>
      <c r="D412" s="127"/>
      <c r="E412" s="127"/>
      <c r="G412" s="127"/>
      <c r="I412" s="99"/>
      <c r="J412" s="99"/>
      <c r="K412" s="99"/>
      <c r="L412" s="99"/>
      <c r="M412" s="99"/>
      <c r="AB412" s="99"/>
      <c r="AC412" s="99"/>
    </row>
    <row r="413" spans="3:29" ht="13">
      <c r="C413" s="127"/>
      <c r="D413" s="127"/>
      <c r="E413" s="127"/>
      <c r="G413" s="127"/>
      <c r="I413" s="99"/>
      <c r="J413" s="99"/>
      <c r="K413" s="99"/>
      <c r="L413" s="99"/>
      <c r="M413" s="99"/>
      <c r="AB413" s="99"/>
      <c r="AC413" s="99"/>
    </row>
    <row r="414" spans="3:29" ht="13">
      <c r="C414" s="127"/>
      <c r="D414" s="127"/>
      <c r="E414" s="127"/>
      <c r="G414" s="127"/>
      <c r="I414" s="99"/>
      <c r="J414" s="99"/>
      <c r="K414" s="99"/>
      <c r="L414" s="99"/>
      <c r="M414" s="99"/>
      <c r="AB414" s="99"/>
      <c r="AC414" s="99"/>
    </row>
    <row r="415" spans="3:29" ht="13">
      <c r="C415" s="127"/>
      <c r="D415" s="127"/>
      <c r="E415" s="127"/>
      <c r="G415" s="127"/>
      <c r="I415" s="99"/>
      <c r="J415" s="99"/>
      <c r="K415" s="99"/>
      <c r="L415" s="99"/>
      <c r="M415" s="99"/>
      <c r="AB415" s="99"/>
      <c r="AC415" s="99"/>
    </row>
    <row r="416" spans="3:29" ht="13">
      <c r="C416" s="127"/>
      <c r="D416" s="127"/>
      <c r="E416" s="127"/>
      <c r="G416" s="127"/>
      <c r="I416" s="99"/>
      <c r="J416" s="99"/>
      <c r="K416" s="99"/>
      <c r="L416" s="99"/>
      <c r="M416" s="99"/>
      <c r="AB416" s="99"/>
      <c r="AC416" s="99"/>
    </row>
    <row r="417" spans="3:29" ht="13">
      <c r="C417" s="127"/>
      <c r="D417" s="127"/>
      <c r="E417" s="127"/>
      <c r="G417" s="127"/>
      <c r="I417" s="99"/>
      <c r="J417" s="99"/>
      <c r="K417" s="99"/>
      <c r="L417" s="99"/>
      <c r="M417" s="99"/>
      <c r="AB417" s="99"/>
      <c r="AC417" s="99"/>
    </row>
    <row r="418" spans="3:29" ht="13">
      <c r="C418" s="127"/>
      <c r="D418" s="127"/>
      <c r="E418" s="127"/>
      <c r="G418" s="127"/>
      <c r="I418" s="99"/>
      <c r="J418" s="99"/>
      <c r="K418" s="99"/>
      <c r="L418" s="99"/>
      <c r="M418" s="99"/>
      <c r="AB418" s="99"/>
      <c r="AC418" s="99"/>
    </row>
    <row r="419" spans="3:29" ht="13">
      <c r="C419" s="127"/>
      <c r="D419" s="127"/>
      <c r="E419" s="127"/>
      <c r="G419" s="127"/>
      <c r="I419" s="99"/>
      <c r="J419" s="99"/>
      <c r="K419" s="99"/>
      <c r="L419" s="99"/>
      <c r="M419" s="99"/>
      <c r="AB419" s="99"/>
      <c r="AC419" s="99"/>
    </row>
    <row r="420" spans="3:29" ht="13">
      <c r="C420" s="127"/>
      <c r="D420" s="127"/>
      <c r="E420" s="127"/>
      <c r="G420" s="127"/>
      <c r="I420" s="99"/>
      <c r="J420" s="99"/>
      <c r="K420" s="99"/>
      <c r="L420" s="99"/>
      <c r="M420" s="99"/>
      <c r="AB420" s="99"/>
      <c r="AC420" s="99"/>
    </row>
    <row r="421" spans="3:29" ht="13">
      <c r="C421" s="127"/>
      <c r="D421" s="127"/>
      <c r="E421" s="127"/>
      <c r="G421" s="127"/>
      <c r="I421" s="99"/>
      <c r="J421" s="99"/>
      <c r="K421" s="99"/>
      <c r="L421" s="99"/>
      <c r="M421" s="99"/>
      <c r="AB421" s="99"/>
      <c r="AC421" s="99"/>
    </row>
    <row r="422" spans="3:29" ht="13">
      <c r="C422" s="127"/>
      <c r="D422" s="127"/>
      <c r="E422" s="127"/>
      <c r="G422" s="127"/>
      <c r="I422" s="99"/>
      <c r="J422" s="99"/>
      <c r="K422" s="99"/>
      <c r="L422" s="99"/>
      <c r="M422" s="99"/>
      <c r="AB422" s="99"/>
      <c r="AC422" s="99"/>
    </row>
    <row r="423" spans="3:29" ht="13">
      <c r="C423" s="127"/>
      <c r="D423" s="127"/>
      <c r="E423" s="127"/>
      <c r="G423" s="127"/>
      <c r="I423" s="99"/>
      <c r="J423" s="99"/>
      <c r="K423" s="99"/>
      <c r="L423" s="99"/>
      <c r="M423" s="99"/>
      <c r="AB423" s="99"/>
      <c r="AC423" s="99"/>
    </row>
    <row r="424" spans="3:29" ht="13">
      <c r="C424" s="127"/>
      <c r="D424" s="127"/>
      <c r="E424" s="127"/>
      <c r="G424" s="127"/>
      <c r="I424" s="99"/>
      <c r="J424" s="99"/>
      <c r="K424" s="99"/>
      <c r="L424" s="99"/>
      <c r="M424" s="99"/>
      <c r="AB424" s="99"/>
      <c r="AC424" s="99"/>
    </row>
    <row r="425" spans="3:29" ht="13">
      <c r="C425" s="127"/>
      <c r="D425" s="127"/>
      <c r="E425" s="127"/>
      <c r="G425" s="127"/>
      <c r="I425" s="99"/>
      <c r="J425" s="99"/>
      <c r="K425" s="99"/>
      <c r="L425" s="99"/>
      <c r="M425" s="99"/>
      <c r="AB425" s="99"/>
      <c r="AC425" s="99"/>
    </row>
    <row r="426" spans="3:29" ht="13">
      <c r="C426" s="127"/>
      <c r="D426" s="127"/>
      <c r="E426" s="127"/>
      <c r="G426" s="127"/>
      <c r="I426" s="99"/>
      <c r="J426" s="99"/>
      <c r="K426" s="99"/>
      <c r="L426" s="99"/>
      <c r="M426" s="99"/>
      <c r="AB426" s="99"/>
      <c r="AC426" s="99"/>
    </row>
    <row r="427" spans="3:29" ht="13">
      <c r="C427" s="127"/>
      <c r="D427" s="127"/>
      <c r="E427" s="127"/>
      <c r="G427" s="127"/>
      <c r="I427" s="99"/>
      <c r="J427" s="99"/>
      <c r="K427" s="99"/>
      <c r="L427" s="99"/>
      <c r="M427" s="99"/>
      <c r="AB427" s="99"/>
      <c r="AC427" s="99"/>
    </row>
    <row r="428" spans="3:29" ht="13">
      <c r="C428" s="127"/>
      <c r="D428" s="127"/>
      <c r="E428" s="127"/>
      <c r="G428" s="127"/>
      <c r="I428" s="99"/>
      <c r="J428" s="99"/>
      <c r="K428" s="99"/>
      <c r="L428" s="99"/>
      <c r="M428" s="99"/>
      <c r="AB428" s="99"/>
      <c r="AC428" s="99"/>
    </row>
    <row r="429" spans="3:29" ht="13">
      <c r="C429" s="127"/>
      <c r="D429" s="127"/>
      <c r="E429" s="127"/>
      <c r="G429" s="127"/>
      <c r="I429" s="99"/>
      <c r="J429" s="99"/>
      <c r="K429" s="99"/>
      <c r="L429" s="99"/>
      <c r="M429" s="99"/>
      <c r="AB429" s="99"/>
      <c r="AC429" s="99"/>
    </row>
    <row r="430" spans="3:29" ht="13">
      <c r="C430" s="127"/>
      <c r="D430" s="127"/>
      <c r="E430" s="127"/>
      <c r="G430" s="127"/>
      <c r="I430" s="99"/>
      <c r="J430" s="99"/>
      <c r="K430" s="99"/>
      <c r="L430" s="99"/>
      <c r="M430" s="99"/>
      <c r="AB430" s="99"/>
      <c r="AC430" s="99"/>
    </row>
    <row r="431" spans="3:29" ht="13">
      <c r="C431" s="127"/>
      <c r="D431" s="127"/>
      <c r="E431" s="127"/>
      <c r="G431" s="127"/>
      <c r="I431" s="99"/>
      <c r="J431" s="99"/>
      <c r="K431" s="99"/>
      <c r="L431" s="99"/>
      <c r="M431" s="99"/>
      <c r="AB431" s="99"/>
      <c r="AC431" s="99"/>
    </row>
    <row r="432" spans="3:29" ht="13">
      <c r="C432" s="127"/>
      <c r="D432" s="127"/>
      <c r="E432" s="127"/>
      <c r="G432" s="127"/>
      <c r="I432" s="99"/>
      <c r="J432" s="99"/>
      <c r="K432" s="99"/>
      <c r="L432" s="99"/>
      <c r="M432" s="99"/>
      <c r="AB432" s="99"/>
      <c r="AC432" s="99"/>
    </row>
    <row r="433" spans="3:29" ht="13">
      <c r="C433" s="127"/>
      <c r="D433" s="127"/>
      <c r="E433" s="127"/>
      <c r="G433" s="127"/>
      <c r="I433" s="99"/>
      <c r="J433" s="99"/>
      <c r="K433" s="99"/>
      <c r="L433" s="99"/>
      <c r="M433" s="99"/>
      <c r="AB433" s="99"/>
      <c r="AC433" s="99"/>
    </row>
    <row r="434" spans="3:29" ht="13">
      <c r="C434" s="127"/>
      <c r="D434" s="127"/>
      <c r="E434" s="127"/>
      <c r="G434" s="127"/>
      <c r="I434" s="99"/>
      <c r="J434" s="99"/>
      <c r="K434" s="99"/>
      <c r="L434" s="99"/>
      <c r="M434" s="99"/>
      <c r="AB434" s="99"/>
      <c r="AC434" s="99"/>
    </row>
    <row r="435" spans="3:29" ht="13">
      <c r="C435" s="127"/>
      <c r="D435" s="127"/>
      <c r="E435" s="127"/>
      <c r="G435" s="127"/>
      <c r="I435" s="99"/>
      <c r="J435" s="99"/>
      <c r="K435" s="99"/>
      <c r="L435" s="99"/>
      <c r="M435" s="99"/>
      <c r="AB435" s="99"/>
      <c r="AC435" s="99"/>
    </row>
    <row r="436" spans="3:29" ht="13">
      <c r="C436" s="127"/>
      <c r="D436" s="127"/>
      <c r="E436" s="127"/>
      <c r="G436" s="127"/>
      <c r="I436" s="99"/>
      <c r="J436" s="99"/>
      <c r="K436" s="99"/>
      <c r="L436" s="99"/>
      <c r="M436" s="99"/>
      <c r="AB436" s="99"/>
      <c r="AC436" s="99"/>
    </row>
    <row r="437" spans="3:29" ht="13">
      <c r="C437" s="127"/>
      <c r="D437" s="127"/>
      <c r="E437" s="127"/>
      <c r="G437" s="127"/>
      <c r="I437" s="99"/>
      <c r="J437" s="99"/>
      <c r="K437" s="99"/>
      <c r="L437" s="99"/>
      <c r="M437" s="99"/>
      <c r="AB437" s="99"/>
      <c r="AC437" s="99"/>
    </row>
    <row r="438" spans="3:29" ht="13">
      <c r="C438" s="127"/>
      <c r="D438" s="127"/>
      <c r="E438" s="127"/>
      <c r="G438" s="127"/>
      <c r="I438" s="99"/>
      <c r="J438" s="99"/>
      <c r="K438" s="99"/>
      <c r="L438" s="99"/>
      <c r="M438" s="99"/>
      <c r="AB438" s="99"/>
      <c r="AC438" s="99"/>
    </row>
    <row r="439" spans="3:29" ht="13">
      <c r="C439" s="127"/>
      <c r="D439" s="127"/>
      <c r="E439" s="127"/>
      <c r="G439" s="127"/>
      <c r="I439" s="99"/>
      <c r="J439" s="99"/>
      <c r="K439" s="99"/>
      <c r="L439" s="99"/>
      <c r="M439" s="99"/>
      <c r="AB439" s="99"/>
      <c r="AC439" s="99"/>
    </row>
    <row r="440" spans="3:29" ht="13">
      <c r="C440" s="127"/>
      <c r="D440" s="127"/>
      <c r="E440" s="127"/>
      <c r="G440" s="127"/>
      <c r="I440" s="99"/>
      <c r="J440" s="99"/>
      <c r="K440" s="99"/>
      <c r="L440" s="99"/>
      <c r="M440" s="99"/>
      <c r="AB440" s="99"/>
      <c r="AC440" s="99"/>
    </row>
    <row r="441" spans="3:29" ht="13">
      <c r="C441" s="127"/>
      <c r="D441" s="127"/>
      <c r="E441" s="127"/>
      <c r="G441" s="127"/>
      <c r="I441" s="99"/>
      <c r="J441" s="99"/>
      <c r="K441" s="99"/>
      <c r="L441" s="99"/>
      <c r="M441" s="99"/>
      <c r="AB441" s="99"/>
      <c r="AC441" s="99"/>
    </row>
    <row r="442" spans="3:29" ht="13">
      <c r="C442" s="127"/>
      <c r="D442" s="127"/>
      <c r="E442" s="127"/>
      <c r="G442" s="127"/>
      <c r="I442" s="99"/>
      <c r="J442" s="99"/>
      <c r="K442" s="99"/>
      <c r="L442" s="99"/>
      <c r="M442" s="99"/>
      <c r="AB442" s="99"/>
      <c r="AC442" s="99"/>
    </row>
    <row r="443" spans="3:29" ht="13">
      <c r="C443" s="127"/>
      <c r="D443" s="127"/>
      <c r="E443" s="127"/>
      <c r="G443" s="127"/>
      <c r="I443" s="99"/>
      <c r="J443" s="99"/>
      <c r="K443" s="99"/>
      <c r="L443" s="99"/>
      <c r="M443" s="99"/>
      <c r="AB443" s="99"/>
      <c r="AC443" s="99"/>
    </row>
    <row r="444" spans="3:29" ht="13">
      <c r="C444" s="127"/>
      <c r="D444" s="127"/>
      <c r="E444" s="127"/>
      <c r="G444" s="127"/>
      <c r="I444" s="99"/>
      <c r="J444" s="99"/>
      <c r="K444" s="99"/>
      <c r="L444" s="99"/>
      <c r="M444" s="99"/>
      <c r="AB444" s="99"/>
      <c r="AC444" s="99"/>
    </row>
    <row r="445" spans="3:29" ht="13">
      <c r="C445" s="127"/>
      <c r="D445" s="127"/>
      <c r="E445" s="127"/>
      <c r="G445" s="127"/>
      <c r="I445" s="99"/>
      <c r="J445" s="99"/>
      <c r="K445" s="99"/>
      <c r="L445" s="99"/>
      <c r="M445" s="99"/>
      <c r="AB445" s="99"/>
      <c r="AC445" s="99"/>
    </row>
    <row r="446" spans="3:29" ht="13">
      <c r="C446" s="127"/>
      <c r="D446" s="127"/>
      <c r="E446" s="127"/>
      <c r="G446" s="127"/>
      <c r="I446" s="99"/>
      <c r="J446" s="99"/>
      <c r="K446" s="99"/>
      <c r="L446" s="99"/>
      <c r="M446" s="99"/>
      <c r="AB446" s="99"/>
      <c r="AC446" s="99"/>
    </row>
    <row r="447" spans="3:29" ht="13">
      <c r="C447" s="127"/>
      <c r="D447" s="127"/>
      <c r="E447" s="127"/>
      <c r="G447" s="127"/>
      <c r="I447" s="99"/>
      <c r="J447" s="99"/>
      <c r="K447" s="99"/>
      <c r="L447" s="99"/>
      <c r="M447" s="99"/>
      <c r="AB447" s="99"/>
      <c r="AC447" s="99"/>
    </row>
    <row r="448" spans="3:29" ht="13">
      <c r="C448" s="127"/>
      <c r="D448" s="127"/>
      <c r="E448" s="127"/>
      <c r="G448" s="127"/>
      <c r="I448" s="99"/>
      <c r="J448" s="99"/>
      <c r="K448" s="99"/>
      <c r="L448" s="99"/>
      <c r="M448" s="99"/>
      <c r="AB448" s="99"/>
      <c r="AC448" s="99"/>
    </row>
    <row r="449" spans="3:29" ht="13">
      <c r="C449" s="127"/>
      <c r="D449" s="127"/>
      <c r="E449" s="127"/>
      <c r="G449" s="127"/>
      <c r="I449" s="99"/>
      <c r="J449" s="99"/>
      <c r="K449" s="99"/>
      <c r="L449" s="99"/>
      <c r="M449" s="99"/>
      <c r="AB449" s="99"/>
      <c r="AC449" s="99"/>
    </row>
    <row r="450" spans="3:29" ht="13">
      <c r="C450" s="127"/>
      <c r="D450" s="127"/>
      <c r="E450" s="127"/>
      <c r="G450" s="127"/>
      <c r="I450" s="99"/>
      <c r="J450" s="99"/>
      <c r="K450" s="99"/>
      <c r="L450" s="99"/>
      <c r="M450" s="99"/>
      <c r="AB450" s="99"/>
      <c r="AC450" s="99"/>
    </row>
    <row r="451" spans="3:29" ht="13">
      <c r="C451" s="127"/>
      <c r="D451" s="127"/>
      <c r="E451" s="127"/>
      <c r="G451" s="127"/>
      <c r="I451" s="99"/>
      <c r="J451" s="99"/>
      <c r="K451" s="99"/>
      <c r="L451" s="99"/>
      <c r="M451" s="99"/>
      <c r="AB451" s="99"/>
      <c r="AC451" s="99"/>
    </row>
    <row r="452" spans="3:29" ht="13">
      <c r="C452" s="127"/>
      <c r="D452" s="127"/>
      <c r="E452" s="127"/>
      <c r="G452" s="127"/>
      <c r="I452" s="99"/>
      <c r="J452" s="99"/>
      <c r="K452" s="99"/>
      <c r="L452" s="99"/>
      <c r="M452" s="99"/>
      <c r="AB452" s="99"/>
      <c r="AC452" s="99"/>
    </row>
    <row r="453" spans="3:29" ht="13">
      <c r="C453" s="127"/>
      <c r="D453" s="127"/>
      <c r="E453" s="127"/>
      <c r="G453" s="127"/>
      <c r="I453" s="99"/>
      <c r="J453" s="99"/>
      <c r="K453" s="99"/>
      <c r="L453" s="99"/>
      <c r="M453" s="99"/>
      <c r="AB453" s="99"/>
      <c r="AC453" s="99"/>
    </row>
    <row r="454" spans="3:29" ht="13">
      <c r="C454" s="127"/>
      <c r="D454" s="127"/>
      <c r="E454" s="127"/>
      <c r="G454" s="127"/>
      <c r="I454" s="99"/>
      <c r="J454" s="99"/>
      <c r="K454" s="99"/>
      <c r="L454" s="99"/>
      <c r="M454" s="99"/>
      <c r="AB454" s="99"/>
      <c r="AC454" s="99"/>
    </row>
    <row r="455" spans="3:29" ht="13">
      <c r="C455" s="127"/>
      <c r="D455" s="127"/>
      <c r="E455" s="127"/>
      <c r="G455" s="127"/>
      <c r="I455" s="99"/>
      <c r="J455" s="99"/>
      <c r="K455" s="99"/>
      <c r="L455" s="99"/>
      <c r="M455" s="99"/>
      <c r="AB455" s="99"/>
      <c r="AC455" s="99"/>
    </row>
    <row r="456" spans="3:29" ht="13">
      <c r="C456" s="127"/>
      <c r="D456" s="127"/>
      <c r="E456" s="127"/>
      <c r="G456" s="127"/>
      <c r="I456" s="99"/>
      <c r="J456" s="99"/>
      <c r="K456" s="99"/>
      <c r="L456" s="99"/>
      <c r="M456" s="99"/>
      <c r="AB456" s="99"/>
      <c r="AC456" s="99"/>
    </row>
    <row r="457" spans="3:29" ht="13">
      <c r="C457" s="127"/>
      <c r="D457" s="127"/>
      <c r="E457" s="127"/>
      <c r="G457" s="127"/>
      <c r="I457" s="99"/>
      <c r="J457" s="99"/>
      <c r="K457" s="99"/>
      <c r="L457" s="99"/>
      <c r="M457" s="99"/>
      <c r="AB457" s="99"/>
      <c r="AC457" s="99"/>
    </row>
    <row r="458" spans="3:29" ht="13">
      <c r="C458" s="127"/>
      <c r="D458" s="127"/>
      <c r="E458" s="127"/>
      <c r="G458" s="127"/>
      <c r="I458" s="99"/>
      <c r="J458" s="99"/>
      <c r="K458" s="99"/>
      <c r="L458" s="99"/>
      <c r="M458" s="99"/>
      <c r="AB458" s="99"/>
      <c r="AC458" s="99"/>
    </row>
    <row r="459" spans="3:29" ht="13">
      <c r="C459" s="127"/>
      <c r="D459" s="127"/>
      <c r="E459" s="127"/>
      <c r="G459" s="127"/>
      <c r="I459" s="99"/>
      <c r="J459" s="99"/>
      <c r="K459" s="99"/>
      <c r="L459" s="99"/>
      <c r="M459" s="99"/>
      <c r="AB459" s="99"/>
      <c r="AC459" s="99"/>
    </row>
    <row r="460" spans="3:29" ht="13">
      <c r="C460" s="127"/>
      <c r="D460" s="127"/>
      <c r="E460" s="127"/>
      <c r="G460" s="127"/>
      <c r="I460" s="99"/>
      <c r="J460" s="99"/>
      <c r="K460" s="99"/>
      <c r="L460" s="99"/>
      <c r="M460" s="99"/>
      <c r="AB460" s="99"/>
      <c r="AC460" s="99"/>
    </row>
    <row r="461" spans="3:29" ht="13">
      <c r="C461" s="127"/>
      <c r="D461" s="127"/>
      <c r="E461" s="127"/>
      <c r="G461" s="127"/>
      <c r="I461" s="99"/>
      <c r="J461" s="99"/>
      <c r="K461" s="99"/>
      <c r="L461" s="99"/>
      <c r="M461" s="99"/>
      <c r="AB461" s="99"/>
      <c r="AC461" s="99"/>
    </row>
    <row r="462" spans="3:29" ht="13">
      <c r="C462" s="127"/>
      <c r="D462" s="127"/>
      <c r="E462" s="127"/>
      <c r="G462" s="127"/>
      <c r="I462" s="99"/>
      <c r="J462" s="99"/>
      <c r="K462" s="99"/>
      <c r="L462" s="99"/>
      <c r="M462" s="99"/>
      <c r="AB462" s="99"/>
      <c r="AC462" s="99"/>
    </row>
    <row r="463" spans="3:29" ht="13">
      <c r="C463" s="127"/>
      <c r="D463" s="127"/>
      <c r="E463" s="127"/>
      <c r="G463" s="127"/>
      <c r="I463" s="99"/>
      <c r="J463" s="99"/>
      <c r="K463" s="99"/>
      <c r="L463" s="99"/>
      <c r="M463" s="99"/>
      <c r="AB463" s="99"/>
      <c r="AC463" s="99"/>
    </row>
    <row r="464" spans="3:29" ht="13">
      <c r="C464" s="127"/>
      <c r="D464" s="127"/>
      <c r="E464" s="127"/>
      <c r="G464" s="127"/>
      <c r="I464" s="99"/>
      <c r="J464" s="99"/>
      <c r="K464" s="99"/>
      <c r="L464" s="99"/>
      <c r="M464" s="99"/>
      <c r="AB464" s="99"/>
      <c r="AC464" s="99"/>
    </row>
    <row r="465" spans="3:29" ht="13">
      <c r="C465" s="127"/>
      <c r="D465" s="127"/>
      <c r="E465" s="127"/>
      <c r="G465" s="127"/>
      <c r="I465" s="99"/>
      <c r="J465" s="99"/>
      <c r="K465" s="99"/>
      <c r="L465" s="99"/>
      <c r="M465" s="99"/>
      <c r="AB465" s="99"/>
      <c r="AC465" s="99"/>
    </row>
    <row r="466" spans="3:29" ht="13">
      <c r="C466" s="127"/>
      <c r="D466" s="127"/>
      <c r="E466" s="127"/>
      <c r="G466" s="127"/>
      <c r="I466" s="99"/>
      <c r="J466" s="99"/>
      <c r="K466" s="99"/>
      <c r="L466" s="99"/>
      <c r="M466" s="99"/>
      <c r="AB466" s="99"/>
      <c r="AC466" s="99"/>
    </row>
    <row r="467" spans="3:29" ht="13">
      <c r="C467" s="127"/>
      <c r="D467" s="127"/>
      <c r="E467" s="127"/>
      <c r="G467" s="127"/>
      <c r="I467" s="99"/>
      <c r="J467" s="99"/>
      <c r="K467" s="99"/>
      <c r="L467" s="99"/>
      <c r="M467" s="99"/>
      <c r="AB467" s="99"/>
      <c r="AC467" s="99"/>
    </row>
    <row r="468" spans="3:29" ht="13">
      <c r="C468" s="127"/>
      <c r="D468" s="127"/>
      <c r="E468" s="127"/>
      <c r="G468" s="127"/>
      <c r="I468" s="99"/>
      <c r="J468" s="99"/>
      <c r="K468" s="99"/>
      <c r="L468" s="99"/>
      <c r="M468" s="99"/>
      <c r="AB468" s="99"/>
      <c r="AC468" s="99"/>
    </row>
    <row r="469" spans="3:29" ht="13">
      <c r="C469" s="127"/>
      <c r="D469" s="127"/>
      <c r="E469" s="127"/>
      <c r="G469" s="127"/>
      <c r="I469" s="99"/>
      <c r="J469" s="99"/>
      <c r="K469" s="99"/>
      <c r="L469" s="99"/>
      <c r="M469" s="99"/>
      <c r="AB469" s="99"/>
      <c r="AC469" s="99"/>
    </row>
    <row r="470" spans="3:29" ht="13">
      <c r="C470" s="127"/>
      <c r="D470" s="127"/>
      <c r="E470" s="127"/>
      <c r="G470" s="127"/>
      <c r="I470" s="99"/>
      <c r="J470" s="99"/>
      <c r="K470" s="99"/>
      <c r="L470" s="99"/>
      <c r="M470" s="99"/>
      <c r="AB470" s="99"/>
      <c r="AC470" s="99"/>
    </row>
    <row r="471" spans="3:29" ht="13">
      <c r="C471" s="127"/>
      <c r="D471" s="127"/>
      <c r="E471" s="127"/>
      <c r="G471" s="127"/>
      <c r="I471" s="99"/>
      <c r="J471" s="99"/>
      <c r="K471" s="99"/>
      <c r="L471" s="99"/>
      <c r="M471" s="99"/>
      <c r="AB471" s="99"/>
      <c r="AC471" s="99"/>
    </row>
    <row r="472" spans="3:29" ht="13">
      <c r="C472" s="127"/>
      <c r="D472" s="127"/>
      <c r="E472" s="127"/>
      <c r="G472" s="127"/>
      <c r="I472" s="99"/>
      <c r="J472" s="99"/>
      <c r="K472" s="99"/>
      <c r="L472" s="99"/>
      <c r="M472" s="99"/>
      <c r="AB472" s="99"/>
      <c r="AC472" s="99"/>
    </row>
    <row r="473" spans="3:29" ht="13">
      <c r="C473" s="127"/>
      <c r="D473" s="127"/>
      <c r="E473" s="127"/>
      <c r="G473" s="127"/>
      <c r="I473" s="99"/>
      <c r="J473" s="99"/>
      <c r="K473" s="99"/>
      <c r="L473" s="99"/>
      <c r="M473" s="99"/>
      <c r="AB473" s="99"/>
      <c r="AC473" s="99"/>
    </row>
    <row r="474" spans="3:29" ht="13">
      <c r="C474" s="127"/>
      <c r="D474" s="127"/>
      <c r="E474" s="127"/>
      <c r="G474" s="127"/>
      <c r="I474" s="99"/>
      <c r="J474" s="99"/>
      <c r="K474" s="99"/>
      <c r="L474" s="99"/>
      <c r="M474" s="99"/>
      <c r="AB474" s="99"/>
      <c r="AC474" s="99"/>
    </row>
    <row r="475" spans="3:29" ht="13">
      <c r="C475" s="127"/>
      <c r="D475" s="127"/>
      <c r="E475" s="127"/>
      <c r="G475" s="127"/>
      <c r="I475" s="99"/>
      <c r="J475" s="99"/>
      <c r="K475" s="99"/>
      <c r="L475" s="99"/>
      <c r="M475" s="99"/>
      <c r="AB475" s="99"/>
      <c r="AC475" s="99"/>
    </row>
    <row r="476" spans="3:29" ht="13">
      <c r="C476" s="127"/>
      <c r="D476" s="127"/>
      <c r="E476" s="127"/>
      <c r="G476" s="127"/>
      <c r="I476" s="99"/>
      <c r="J476" s="99"/>
      <c r="K476" s="99"/>
      <c r="L476" s="99"/>
      <c r="M476" s="99"/>
      <c r="AB476" s="99"/>
      <c r="AC476" s="99"/>
    </row>
    <row r="477" spans="3:29" ht="13">
      <c r="C477" s="127"/>
      <c r="D477" s="127"/>
      <c r="E477" s="127"/>
      <c r="G477" s="127"/>
      <c r="I477" s="99"/>
      <c r="J477" s="99"/>
      <c r="K477" s="99"/>
      <c r="L477" s="99"/>
      <c r="M477" s="99"/>
      <c r="AB477" s="99"/>
      <c r="AC477" s="99"/>
    </row>
    <row r="478" spans="3:29" ht="13">
      <c r="C478" s="127"/>
      <c r="D478" s="127"/>
      <c r="E478" s="127"/>
      <c r="G478" s="127"/>
      <c r="I478" s="99"/>
      <c r="J478" s="99"/>
      <c r="K478" s="99"/>
      <c r="L478" s="99"/>
      <c r="M478" s="99"/>
      <c r="AB478" s="99"/>
      <c r="AC478" s="99"/>
    </row>
    <row r="479" spans="3:29" ht="13">
      <c r="C479" s="127"/>
      <c r="D479" s="127"/>
      <c r="E479" s="127"/>
      <c r="G479" s="127"/>
      <c r="I479" s="99"/>
      <c r="J479" s="99"/>
      <c r="K479" s="99"/>
      <c r="L479" s="99"/>
      <c r="M479" s="99"/>
      <c r="AB479" s="99"/>
      <c r="AC479" s="99"/>
    </row>
    <row r="480" spans="3:29" ht="13">
      <c r="C480" s="127"/>
      <c r="D480" s="127"/>
      <c r="E480" s="127"/>
      <c r="G480" s="127"/>
      <c r="I480" s="99"/>
      <c r="J480" s="99"/>
      <c r="K480" s="99"/>
      <c r="L480" s="99"/>
      <c r="M480" s="99"/>
      <c r="AB480" s="99"/>
      <c r="AC480" s="99"/>
    </row>
    <row r="481" spans="3:29" ht="13">
      <c r="C481" s="127"/>
      <c r="D481" s="127"/>
      <c r="E481" s="127"/>
      <c r="G481" s="127"/>
      <c r="I481" s="99"/>
      <c r="J481" s="99"/>
      <c r="K481" s="99"/>
      <c r="L481" s="99"/>
      <c r="M481" s="99"/>
      <c r="AB481" s="99"/>
      <c r="AC481" s="99"/>
    </row>
    <row r="482" spans="3:29" ht="13">
      <c r="C482" s="127"/>
      <c r="D482" s="127"/>
      <c r="E482" s="127"/>
      <c r="G482" s="127"/>
      <c r="I482" s="99"/>
      <c r="J482" s="99"/>
      <c r="K482" s="99"/>
      <c r="L482" s="99"/>
      <c r="M482" s="99"/>
      <c r="AB482" s="99"/>
      <c r="AC482" s="99"/>
    </row>
    <row r="483" spans="3:29" ht="13">
      <c r="C483" s="127"/>
      <c r="D483" s="127"/>
      <c r="E483" s="127"/>
      <c r="G483" s="127"/>
      <c r="I483" s="99"/>
      <c r="J483" s="99"/>
      <c r="K483" s="99"/>
      <c r="L483" s="99"/>
      <c r="M483" s="99"/>
      <c r="AB483" s="99"/>
      <c r="AC483" s="99"/>
    </row>
    <row r="484" spans="3:29" ht="13">
      <c r="C484" s="127"/>
      <c r="D484" s="127"/>
      <c r="E484" s="127"/>
      <c r="G484" s="127"/>
      <c r="I484" s="99"/>
      <c r="J484" s="99"/>
      <c r="K484" s="99"/>
      <c r="L484" s="99"/>
      <c r="M484" s="99"/>
      <c r="AB484" s="99"/>
      <c r="AC484" s="99"/>
    </row>
    <row r="485" spans="3:29" ht="13">
      <c r="C485" s="127"/>
      <c r="D485" s="127"/>
      <c r="E485" s="127"/>
      <c r="G485" s="127"/>
      <c r="I485" s="99"/>
      <c r="J485" s="99"/>
      <c r="K485" s="99"/>
      <c r="L485" s="99"/>
      <c r="M485" s="99"/>
      <c r="AB485" s="99"/>
      <c r="AC485" s="99"/>
    </row>
    <row r="486" spans="3:29" ht="13">
      <c r="C486" s="127"/>
      <c r="D486" s="127"/>
      <c r="E486" s="127"/>
      <c r="G486" s="127"/>
      <c r="I486" s="99"/>
      <c r="J486" s="99"/>
      <c r="K486" s="99"/>
      <c r="L486" s="99"/>
      <c r="M486" s="99"/>
      <c r="AB486" s="99"/>
      <c r="AC486" s="99"/>
    </row>
    <row r="487" spans="3:29" ht="13">
      <c r="C487" s="127"/>
      <c r="D487" s="127"/>
      <c r="E487" s="127"/>
      <c r="G487" s="127"/>
      <c r="I487" s="99"/>
      <c r="J487" s="99"/>
      <c r="K487" s="99"/>
      <c r="L487" s="99"/>
      <c r="M487" s="99"/>
      <c r="AB487" s="99"/>
      <c r="AC487" s="99"/>
    </row>
    <row r="488" spans="3:29" ht="13">
      <c r="C488" s="127"/>
      <c r="D488" s="127"/>
      <c r="E488" s="127"/>
      <c r="G488" s="127"/>
      <c r="I488" s="99"/>
      <c r="J488" s="99"/>
      <c r="K488" s="99"/>
      <c r="L488" s="99"/>
      <c r="M488" s="99"/>
      <c r="AB488" s="99"/>
      <c r="AC488" s="99"/>
    </row>
    <row r="489" spans="3:29" ht="13">
      <c r="C489" s="127"/>
      <c r="D489" s="127"/>
      <c r="E489" s="127"/>
      <c r="G489" s="127"/>
      <c r="I489" s="99"/>
      <c r="J489" s="99"/>
      <c r="K489" s="99"/>
      <c r="L489" s="99"/>
      <c r="M489" s="99"/>
      <c r="AB489" s="99"/>
      <c r="AC489" s="99"/>
    </row>
    <row r="490" spans="3:29" ht="13">
      <c r="C490" s="127"/>
      <c r="D490" s="127"/>
      <c r="E490" s="127"/>
      <c r="G490" s="127"/>
      <c r="I490" s="99"/>
      <c r="J490" s="99"/>
      <c r="K490" s="99"/>
      <c r="L490" s="99"/>
      <c r="M490" s="99"/>
      <c r="AB490" s="99"/>
      <c r="AC490" s="99"/>
    </row>
    <row r="491" spans="3:29" ht="13">
      <c r="C491" s="127"/>
      <c r="D491" s="127"/>
      <c r="E491" s="127"/>
      <c r="G491" s="127"/>
      <c r="I491" s="99"/>
      <c r="J491" s="99"/>
      <c r="K491" s="99"/>
      <c r="L491" s="99"/>
      <c r="M491" s="99"/>
      <c r="AB491" s="99"/>
      <c r="AC491" s="99"/>
    </row>
    <row r="492" spans="3:29" ht="13">
      <c r="C492" s="127"/>
      <c r="D492" s="127"/>
      <c r="E492" s="127"/>
      <c r="G492" s="127"/>
      <c r="I492" s="99"/>
      <c r="J492" s="99"/>
      <c r="K492" s="99"/>
      <c r="L492" s="99"/>
      <c r="M492" s="99"/>
      <c r="AB492" s="99"/>
      <c r="AC492" s="99"/>
    </row>
    <row r="493" spans="3:29" ht="13">
      <c r="C493" s="127"/>
      <c r="D493" s="127"/>
      <c r="E493" s="127"/>
      <c r="G493" s="127"/>
      <c r="I493" s="99"/>
      <c r="J493" s="99"/>
      <c r="K493" s="99"/>
      <c r="L493" s="99"/>
      <c r="M493" s="99"/>
      <c r="AB493" s="99"/>
      <c r="AC493" s="99"/>
    </row>
    <row r="494" spans="3:29" ht="13">
      <c r="C494" s="127"/>
      <c r="D494" s="127"/>
      <c r="E494" s="127"/>
      <c r="G494" s="127"/>
      <c r="I494" s="99"/>
      <c r="J494" s="99"/>
      <c r="K494" s="99"/>
      <c r="L494" s="99"/>
      <c r="M494" s="99"/>
      <c r="AB494" s="99"/>
      <c r="AC494" s="99"/>
    </row>
    <row r="495" spans="3:29" ht="13">
      <c r="C495" s="127"/>
      <c r="D495" s="127"/>
      <c r="E495" s="127"/>
      <c r="G495" s="127"/>
      <c r="I495" s="99"/>
      <c r="J495" s="99"/>
      <c r="K495" s="99"/>
      <c r="L495" s="99"/>
      <c r="M495" s="99"/>
      <c r="AB495" s="99"/>
      <c r="AC495" s="99"/>
    </row>
    <row r="496" spans="3:29" ht="13">
      <c r="C496" s="127"/>
      <c r="D496" s="127"/>
      <c r="E496" s="127"/>
      <c r="G496" s="127"/>
      <c r="I496" s="99"/>
      <c r="J496" s="99"/>
      <c r="K496" s="99"/>
      <c r="L496" s="99"/>
      <c r="M496" s="99"/>
      <c r="AB496" s="99"/>
      <c r="AC496" s="99"/>
    </row>
    <row r="497" spans="3:29" ht="13">
      <c r="C497" s="127"/>
      <c r="D497" s="127"/>
      <c r="E497" s="127"/>
      <c r="G497" s="127"/>
      <c r="I497" s="99"/>
      <c r="J497" s="99"/>
      <c r="K497" s="99"/>
      <c r="L497" s="99"/>
      <c r="M497" s="99"/>
      <c r="AB497" s="99"/>
      <c r="AC497" s="99"/>
    </row>
    <row r="498" spans="3:29" ht="13">
      <c r="C498" s="127"/>
      <c r="D498" s="127"/>
      <c r="E498" s="127"/>
      <c r="G498" s="127"/>
      <c r="I498" s="99"/>
      <c r="J498" s="99"/>
      <c r="K498" s="99"/>
      <c r="L498" s="99"/>
      <c r="M498" s="99"/>
      <c r="AB498" s="99"/>
      <c r="AC498" s="99"/>
    </row>
    <row r="499" spans="3:29" ht="13">
      <c r="C499" s="127"/>
      <c r="D499" s="127"/>
      <c r="E499" s="127"/>
      <c r="G499" s="127"/>
      <c r="I499" s="99"/>
      <c r="J499" s="99"/>
      <c r="K499" s="99"/>
      <c r="L499" s="99"/>
      <c r="M499" s="99"/>
      <c r="AB499" s="99"/>
      <c r="AC499" s="99"/>
    </row>
    <row r="500" spans="3:29" ht="13">
      <c r="C500" s="127"/>
      <c r="D500" s="127"/>
      <c r="E500" s="127"/>
      <c r="G500" s="127"/>
      <c r="I500" s="99"/>
      <c r="J500" s="99"/>
      <c r="K500" s="99"/>
      <c r="L500" s="99"/>
      <c r="M500" s="99"/>
      <c r="AB500" s="99"/>
      <c r="AC500" s="99"/>
    </row>
    <row r="501" spans="3:29" ht="13">
      <c r="C501" s="127"/>
      <c r="D501" s="127"/>
      <c r="E501" s="127"/>
      <c r="G501" s="127"/>
      <c r="I501" s="99"/>
      <c r="J501" s="99"/>
      <c r="K501" s="99"/>
      <c r="L501" s="99"/>
      <c r="M501" s="99"/>
      <c r="AB501" s="99"/>
      <c r="AC501" s="99"/>
    </row>
    <row r="502" spans="3:29" ht="13">
      <c r="C502" s="127"/>
      <c r="D502" s="127"/>
      <c r="E502" s="127"/>
      <c r="G502" s="127"/>
      <c r="I502" s="99"/>
      <c r="J502" s="99"/>
      <c r="K502" s="99"/>
      <c r="L502" s="99"/>
      <c r="M502" s="99"/>
      <c r="AB502" s="99"/>
      <c r="AC502" s="99"/>
    </row>
    <row r="503" spans="3:29" ht="13">
      <c r="C503" s="127"/>
      <c r="D503" s="127"/>
      <c r="E503" s="127"/>
      <c r="G503" s="127"/>
      <c r="I503" s="99"/>
      <c r="J503" s="99"/>
      <c r="K503" s="99"/>
      <c r="L503" s="99"/>
      <c r="M503" s="99"/>
      <c r="AB503" s="99"/>
      <c r="AC503" s="99"/>
    </row>
    <row r="504" spans="3:29" ht="13">
      <c r="C504" s="127"/>
      <c r="D504" s="127"/>
      <c r="E504" s="127"/>
      <c r="G504" s="127"/>
      <c r="I504" s="99"/>
      <c r="J504" s="99"/>
      <c r="K504" s="99"/>
      <c r="L504" s="99"/>
      <c r="M504" s="99"/>
      <c r="AB504" s="99"/>
      <c r="AC504" s="99"/>
    </row>
    <row r="505" spans="3:29" ht="13">
      <c r="C505" s="127"/>
      <c r="D505" s="127"/>
      <c r="E505" s="127"/>
      <c r="G505" s="127"/>
      <c r="I505" s="99"/>
      <c r="J505" s="99"/>
      <c r="K505" s="99"/>
      <c r="L505" s="99"/>
      <c r="M505" s="99"/>
      <c r="AB505" s="99"/>
      <c r="AC505" s="99"/>
    </row>
    <row r="506" spans="3:29" ht="13">
      <c r="C506" s="127"/>
      <c r="D506" s="127"/>
      <c r="E506" s="127"/>
      <c r="G506" s="127"/>
      <c r="I506" s="99"/>
      <c r="J506" s="99"/>
      <c r="K506" s="99"/>
      <c r="L506" s="99"/>
      <c r="M506" s="99"/>
      <c r="AB506" s="99"/>
      <c r="AC506" s="99"/>
    </row>
    <row r="507" spans="3:29" ht="13">
      <c r="C507" s="127"/>
      <c r="D507" s="127"/>
      <c r="E507" s="127"/>
      <c r="G507" s="127"/>
      <c r="I507" s="99"/>
      <c r="J507" s="99"/>
      <c r="K507" s="99"/>
      <c r="L507" s="99"/>
      <c r="M507" s="99"/>
      <c r="AB507" s="99"/>
      <c r="AC507" s="99"/>
    </row>
    <row r="508" spans="3:29" ht="13">
      <c r="C508" s="127"/>
      <c r="D508" s="127"/>
      <c r="E508" s="127"/>
      <c r="G508" s="127"/>
      <c r="I508" s="99"/>
      <c r="J508" s="99"/>
      <c r="K508" s="99"/>
      <c r="L508" s="99"/>
      <c r="M508" s="99"/>
      <c r="AB508" s="99"/>
      <c r="AC508" s="99"/>
    </row>
    <row r="509" spans="3:29" ht="13">
      <c r="C509" s="127"/>
      <c r="D509" s="127"/>
      <c r="E509" s="127"/>
      <c r="G509" s="127"/>
      <c r="I509" s="99"/>
      <c r="J509" s="99"/>
      <c r="K509" s="99"/>
      <c r="L509" s="99"/>
      <c r="M509" s="99"/>
      <c r="AB509" s="99"/>
      <c r="AC509" s="99"/>
    </row>
    <row r="510" spans="3:29" ht="13">
      <c r="C510" s="127"/>
      <c r="D510" s="127"/>
      <c r="E510" s="127"/>
      <c r="G510" s="127"/>
      <c r="I510" s="99"/>
      <c r="J510" s="99"/>
      <c r="K510" s="99"/>
      <c r="L510" s="99"/>
      <c r="M510" s="99"/>
      <c r="AB510" s="99"/>
      <c r="AC510" s="99"/>
    </row>
    <row r="511" spans="3:29" ht="13">
      <c r="C511" s="127"/>
      <c r="D511" s="127"/>
      <c r="E511" s="127"/>
      <c r="G511" s="127"/>
      <c r="I511" s="99"/>
      <c r="J511" s="99"/>
      <c r="K511" s="99"/>
      <c r="L511" s="99"/>
      <c r="M511" s="99"/>
      <c r="AB511" s="99"/>
      <c r="AC511" s="99"/>
    </row>
    <row r="512" spans="3:29" ht="13">
      <c r="C512" s="127"/>
      <c r="D512" s="127"/>
      <c r="E512" s="127"/>
      <c r="G512" s="127"/>
      <c r="I512" s="99"/>
      <c r="J512" s="99"/>
      <c r="K512" s="99"/>
      <c r="L512" s="99"/>
      <c r="M512" s="99"/>
      <c r="AB512" s="99"/>
      <c r="AC512" s="99"/>
    </row>
    <row r="513" spans="3:29" ht="13">
      <c r="C513" s="127"/>
      <c r="D513" s="127"/>
      <c r="E513" s="127"/>
      <c r="G513" s="127"/>
      <c r="I513" s="99"/>
      <c r="J513" s="99"/>
      <c r="K513" s="99"/>
      <c r="L513" s="99"/>
      <c r="M513" s="99"/>
      <c r="AB513" s="99"/>
      <c r="AC513" s="99"/>
    </row>
    <row r="514" spans="3:29" ht="13">
      <c r="C514" s="127"/>
      <c r="D514" s="127"/>
      <c r="E514" s="127"/>
      <c r="G514" s="127"/>
      <c r="I514" s="99"/>
      <c r="J514" s="99"/>
      <c r="K514" s="99"/>
      <c r="L514" s="99"/>
      <c r="M514" s="99"/>
      <c r="AB514" s="99"/>
      <c r="AC514" s="99"/>
    </row>
    <row r="515" spans="3:29" ht="13">
      <c r="C515" s="127"/>
      <c r="D515" s="127"/>
      <c r="E515" s="127"/>
      <c r="G515" s="127"/>
      <c r="I515" s="99"/>
      <c r="J515" s="99"/>
      <c r="K515" s="99"/>
      <c r="L515" s="99"/>
      <c r="M515" s="99"/>
      <c r="AB515" s="99"/>
      <c r="AC515" s="99"/>
    </row>
    <row r="516" spans="3:29" ht="13">
      <c r="C516" s="127"/>
      <c r="D516" s="127"/>
      <c r="E516" s="127"/>
      <c r="G516" s="127"/>
      <c r="I516" s="99"/>
      <c r="J516" s="99"/>
      <c r="K516" s="99"/>
      <c r="L516" s="99"/>
      <c r="M516" s="99"/>
      <c r="AB516" s="99"/>
      <c r="AC516" s="99"/>
    </row>
    <row r="517" spans="3:29" ht="13">
      <c r="C517" s="127"/>
      <c r="D517" s="127"/>
      <c r="E517" s="127"/>
      <c r="G517" s="127"/>
      <c r="I517" s="99"/>
      <c r="J517" s="99"/>
      <c r="K517" s="99"/>
      <c r="L517" s="99"/>
      <c r="M517" s="99"/>
      <c r="AB517" s="99"/>
      <c r="AC517" s="99"/>
    </row>
    <row r="518" spans="3:29" ht="13">
      <c r="C518" s="127"/>
      <c r="D518" s="127"/>
      <c r="E518" s="127"/>
      <c r="G518" s="127"/>
      <c r="I518" s="99"/>
      <c r="J518" s="99"/>
      <c r="K518" s="99"/>
      <c r="L518" s="99"/>
      <c r="M518" s="99"/>
      <c r="AB518" s="99"/>
      <c r="AC518" s="99"/>
    </row>
    <row r="519" spans="3:29" ht="13">
      <c r="C519" s="127"/>
      <c r="D519" s="127"/>
      <c r="E519" s="127"/>
      <c r="G519" s="127"/>
      <c r="I519" s="99"/>
      <c r="J519" s="99"/>
      <c r="K519" s="99"/>
      <c r="L519" s="99"/>
      <c r="M519" s="99"/>
      <c r="AB519" s="99"/>
      <c r="AC519" s="99"/>
    </row>
    <row r="520" spans="3:29" ht="13">
      <c r="C520" s="127"/>
      <c r="D520" s="127"/>
      <c r="E520" s="127"/>
      <c r="G520" s="127"/>
      <c r="I520" s="99"/>
      <c r="J520" s="99"/>
      <c r="K520" s="99"/>
      <c r="L520" s="99"/>
      <c r="M520" s="99"/>
      <c r="AB520" s="99"/>
      <c r="AC520" s="99"/>
    </row>
    <row r="521" spans="3:29" ht="13">
      <c r="C521" s="127"/>
      <c r="D521" s="127"/>
      <c r="E521" s="127"/>
      <c r="G521" s="127"/>
      <c r="I521" s="99"/>
      <c r="J521" s="99"/>
      <c r="K521" s="99"/>
      <c r="L521" s="99"/>
      <c r="M521" s="99"/>
      <c r="AB521" s="99"/>
      <c r="AC521" s="99"/>
    </row>
    <row r="522" spans="3:29" ht="13">
      <c r="C522" s="127"/>
      <c r="D522" s="127"/>
      <c r="E522" s="127"/>
      <c r="G522" s="127"/>
      <c r="I522" s="99"/>
      <c r="J522" s="99"/>
      <c r="K522" s="99"/>
      <c r="L522" s="99"/>
      <c r="M522" s="99"/>
      <c r="AB522" s="99"/>
      <c r="AC522" s="99"/>
    </row>
    <row r="523" spans="3:29" ht="13">
      <c r="C523" s="127"/>
      <c r="D523" s="127"/>
      <c r="E523" s="127"/>
      <c r="G523" s="127"/>
      <c r="I523" s="99"/>
      <c r="J523" s="99"/>
      <c r="K523" s="99"/>
      <c r="L523" s="99"/>
      <c r="M523" s="99"/>
      <c r="AB523" s="99"/>
      <c r="AC523" s="99"/>
    </row>
    <row r="524" spans="3:29" ht="13">
      <c r="C524" s="127"/>
      <c r="D524" s="127"/>
      <c r="E524" s="127"/>
      <c r="G524" s="127"/>
      <c r="I524" s="99"/>
      <c r="J524" s="99"/>
      <c r="K524" s="99"/>
      <c r="L524" s="99"/>
      <c r="M524" s="99"/>
      <c r="AB524" s="99"/>
      <c r="AC524" s="99"/>
    </row>
    <row r="525" spans="3:29" ht="13">
      <c r="C525" s="127"/>
      <c r="D525" s="127"/>
      <c r="E525" s="127"/>
      <c r="G525" s="127"/>
      <c r="I525" s="99"/>
      <c r="J525" s="99"/>
      <c r="K525" s="99"/>
      <c r="L525" s="99"/>
      <c r="M525" s="99"/>
      <c r="AB525" s="99"/>
      <c r="AC525" s="99"/>
    </row>
    <row r="526" spans="3:29" ht="13">
      <c r="C526" s="127"/>
      <c r="D526" s="127"/>
      <c r="E526" s="127"/>
      <c r="G526" s="127"/>
      <c r="I526" s="99"/>
      <c r="J526" s="99"/>
      <c r="K526" s="99"/>
      <c r="L526" s="99"/>
      <c r="M526" s="99"/>
      <c r="AB526" s="99"/>
      <c r="AC526" s="99"/>
    </row>
    <row r="527" spans="3:29" ht="13">
      <c r="C527" s="127"/>
      <c r="D527" s="127"/>
      <c r="E527" s="127"/>
      <c r="G527" s="127"/>
      <c r="I527" s="99"/>
      <c r="J527" s="99"/>
      <c r="K527" s="99"/>
      <c r="L527" s="99"/>
      <c r="M527" s="99"/>
      <c r="AB527" s="99"/>
      <c r="AC527" s="99"/>
    </row>
    <row r="528" spans="3:29" ht="13">
      <c r="C528" s="127"/>
      <c r="D528" s="127"/>
      <c r="E528" s="127"/>
      <c r="G528" s="127"/>
      <c r="I528" s="99"/>
      <c r="J528" s="99"/>
      <c r="K528" s="99"/>
      <c r="L528" s="99"/>
      <c r="M528" s="99"/>
      <c r="AB528" s="99"/>
      <c r="AC528" s="99"/>
    </row>
    <row r="529" spans="3:29" ht="13">
      <c r="C529" s="127"/>
      <c r="D529" s="127"/>
      <c r="E529" s="127"/>
      <c r="G529" s="127"/>
      <c r="I529" s="99"/>
      <c r="J529" s="99"/>
      <c r="K529" s="99"/>
      <c r="L529" s="99"/>
      <c r="M529" s="99"/>
      <c r="AB529" s="99"/>
      <c r="AC529" s="99"/>
    </row>
    <row r="530" spans="3:29" ht="13">
      <c r="C530" s="127"/>
      <c r="D530" s="127"/>
      <c r="E530" s="127"/>
      <c r="G530" s="127"/>
      <c r="I530" s="99"/>
      <c r="J530" s="99"/>
      <c r="K530" s="99"/>
      <c r="L530" s="99"/>
      <c r="M530" s="99"/>
      <c r="AB530" s="99"/>
      <c r="AC530" s="99"/>
    </row>
    <row r="531" spans="3:29" ht="13">
      <c r="C531" s="127"/>
      <c r="D531" s="127"/>
      <c r="E531" s="127"/>
      <c r="G531" s="127"/>
      <c r="I531" s="99"/>
      <c r="J531" s="99"/>
      <c r="K531" s="99"/>
      <c r="L531" s="99"/>
      <c r="M531" s="99"/>
      <c r="AB531" s="99"/>
      <c r="AC531" s="99"/>
    </row>
    <row r="532" spans="3:29" ht="13">
      <c r="C532" s="127"/>
      <c r="D532" s="127"/>
      <c r="E532" s="127"/>
      <c r="G532" s="127"/>
      <c r="I532" s="99"/>
      <c r="J532" s="99"/>
      <c r="K532" s="99"/>
      <c r="L532" s="99"/>
      <c r="M532" s="99"/>
      <c r="AB532" s="99"/>
      <c r="AC532" s="99"/>
    </row>
    <row r="533" spans="3:29" ht="13">
      <c r="C533" s="127"/>
      <c r="D533" s="127"/>
      <c r="E533" s="127"/>
      <c r="G533" s="127"/>
      <c r="I533" s="99"/>
      <c r="J533" s="99"/>
      <c r="K533" s="99"/>
      <c r="L533" s="99"/>
      <c r="M533" s="99"/>
      <c r="AB533" s="99"/>
      <c r="AC533" s="99"/>
    </row>
    <row r="534" spans="3:29" ht="13">
      <c r="C534" s="127"/>
      <c r="D534" s="127"/>
      <c r="E534" s="127"/>
      <c r="G534" s="127"/>
      <c r="I534" s="99"/>
      <c r="J534" s="99"/>
      <c r="K534" s="99"/>
      <c r="L534" s="99"/>
      <c r="M534" s="99"/>
      <c r="AB534" s="99"/>
      <c r="AC534" s="99"/>
    </row>
    <row r="535" spans="3:29" ht="13">
      <c r="C535" s="127"/>
      <c r="D535" s="127"/>
      <c r="E535" s="127"/>
      <c r="G535" s="127"/>
      <c r="I535" s="99"/>
      <c r="J535" s="99"/>
      <c r="K535" s="99"/>
      <c r="L535" s="99"/>
      <c r="M535" s="99"/>
      <c r="AB535" s="99"/>
      <c r="AC535" s="99"/>
    </row>
    <row r="536" spans="3:29" ht="13">
      <c r="C536" s="127"/>
      <c r="D536" s="127"/>
      <c r="E536" s="127"/>
      <c r="G536" s="127"/>
      <c r="I536" s="99"/>
      <c r="J536" s="99"/>
      <c r="K536" s="99"/>
      <c r="L536" s="99"/>
      <c r="M536" s="99"/>
      <c r="AB536" s="99"/>
      <c r="AC536" s="99"/>
    </row>
    <row r="537" spans="3:29" ht="13">
      <c r="C537" s="127"/>
      <c r="D537" s="127"/>
      <c r="E537" s="127"/>
      <c r="G537" s="127"/>
      <c r="I537" s="99"/>
      <c r="J537" s="99"/>
      <c r="K537" s="99"/>
      <c r="L537" s="99"/>
      <c r="M537" s="99"/>
      <c r="AB537" s="99"/>
      <c r="AC537" s="99"/>
    </row>
    <row r="538" spans="3:29" ht="13">
      <c r="C538" s="127"/>
      <c r="D538" s="127"/>
      <c r="E538" s="127"/>
      <c r="G538" s="127"/>
      <c r="I538" s="99"/>
      <c r="J538" s="99"/>
      <c r="K538" s="99"/>
      <c r="L538" s="99"/>
      <c r="M538" s="99"/>
      <c r="AB538" s="99"/>
      <c r="AC538" s="99"/>
    </row>
    <row r="539" spans="3:29" ht="13">
      <c r="C539" s="127"/>
      <c r="D539" s="127"/>
      <c r="E539" s="127"/>
      <c r="G539" s="127"/>
      <c r="I539" s="99"/>
      <c r="J539" s="99"/>
      <c r="K539" s="99"/>
      <c r="L539" s="99"/>
      <c r="M539" s="99"/>
      <c r="AB539" s="99"/>
      <c r="AC539" s="99"/>
    </row>
    <row r="540" spans="3:29" ht="13">
      <c r="C540" s="127"/>
      <c r="D540" s="127"/>
      <c r="E540" s="127"/>
      <c r="G540" s="127"/>
      <c r="I540" s="99"/>
      <c r="J540" s="99"/>
      <c r="K540" s="99"/>
      <c r="L540" s="99"/>
      <c r="M540" s="99"/>
      <c r="AB540" s="99"/>
      <c r="AC540" s="99"/>
    </row>
    <row r="541" spans="3:29" ht="13">
      <c r="C541" s="127"/>
      <c r="D541" s="127"/>
      <c r="E541" s="127"/>
      <c r="G541" s="127"/>
      <c r="I541" s="99"/>
      <c r="J541" s="99"/>
      <c r="K541" s="99"/>
      <c r="L541" s="99"/>
      <c r="M541" s="99"/>
      <c r="AB541" s="99"/>
      <c r="AC541" s="99"/>
    </row>
    <row r="542" spans="3:29" ht="13">
      <c r="C542" s="127"/>
      <c r="D542" s="127"/>
      <c r="E542" s="127"/>
      <c r="G542" s="127"/>
      <c r="I542" s="99"/>
      <c r="J542" s="99"/>
      <c r="K542" s="99"/>
      <c r="L542" s="99"/>
      <c r="M542" s="99"/>
      <c r="AB542" s="99"/>
      <c r="AC542" s="99"/>
    </row>
    <row r="543" spans="3:29" ht="13">
      <c r="C543" s="127"/>
      <c r="D543" s="127"/>
      <c r="E543" s="127"/>
      <c r="G543" s="127"/>
      <c r="I543" s="99"/>
      <c r="J543" s="99"/>
      <c r="K543" s="99"/>
      <c r="L543" s="99"/>
      <c r="M543" s="99"/>
      <c r="AB543" s="99"/>
      <c r="AC543" s="99"/>
    </row>
    <row r="544" spans="3:29" ht="13">
      <c r="C544" s="127"/>
      <c r="D544" s="127"/>
      <c r="E544" s="127"/>
      <c r="G544" s="127"/>
      <c r="I544" s="99"/>
      <c r="J544" s="99"/>
      <c r="K544" s="99"/>
      <c r="L544" s="99"/>
      <c r="M544" s="99"/>
      <c r="AB544" s="99"/>
      <c r="AC544" s="99"/>
    </row>
    <row r="545" spans="3:29" ht="13">
      <c r="C545" s="127"/>
      <c r="D545" s="127"/>
      <c r="E545" s="127"/>
      <c r="G545" s="127"/>
      <c r="I545" s="99"/>
      <c r="J545" s="99"/>
      <c r="K545" s="99"/>
      <c r="L545" s="99"/>
      <c r="M545" s="99"/>
      <c r="AB545" s="99"/>
      <c r="AC545" s="99"/>
    </row>
    <row r="546" spans="3:29" ht="13">
      <c r="C546" s="127"/>
      <c r="D546" s="127"/>
      <c r="E546" s="127"/>
      <c r="G546" s="127"/>
      <c r="I546" s="99"/>
      <c r="J546" s="99"/>
      <c r="K546" s="99"/>
      <c r="L546" s="99"/>
      <c r="M546" s="99"/>
      <c r="AB546" s="99"/>
      <c r="AC546" s="99"/>
    </row>
    <row r="547" spans="3:29" ht="13">
      <c r="C547" s="127"/>
      <c r="D547" s="127"/>
      <c r="E547" s="127"/>
      <c r="G547" s="127"/>
      <c r="I547" s="99"/>
      <c r="J547" s="99"/>
      <c r="K547" s="99"/>
      <c r="L547" s="99"/>
      <c r="M547" s="99"/>
      <c r="AB547" s="99"/>
      <c r="AC547" s="99"/>
    </row>
    <row r="548" spans="3:29" ht="13">
      <c r="C548" s="127"/>
      <c r="D548" s="127"/>
      <c r="E548" s="127"/>
      <c r="G548" s="127"/>
      <c r="I548" s="99"/>
      <c r="J548" s="99"/>
      <c r="K548" s="99"/>
      <c r="L548" s="99"/>
      <c r="M548" s="99"/>
      <c r="AB548" s="99"/>
      <c r="AC548" s="99"/>
    </row>
    <row r="549" spans="3:29" ht="13">
      <c r="C549" s="127"/>
      <c r="D549" s="127"/>
      <c r="E549" s="127"/>
      <c r="G549" s="127"/>
      <c r="I549" s="99"/>
      <c r="J549" s="99"/>
      <c r="K549" s="99"/>
      <c r="L549" s="99"/>
      <c r="M549" s="99"/>
      <c r="AB549" s="99"/>
      <c r="AC549" s="99"/>
    </row>
    <row r="550" spans="3:29" ht="13">
      <c r="C550" s="127"/>
      <c r="D550" s="127"/>
      <c r="E550" s="127"/>
      <c r="G550" s="127"/>
      <c r="I550" s="99"/>
      <c r="J550" s="99"/>
      <c r="K550" s="99"/>
      <c r="L550" s="99"/>
      <c r="M550" s="99"/>
      <c r="AB550" s="99"/>
      <c r="AC550" s="99"/>
    </row>
    <row r="551" spans="3:29" ht="13">
      <c r="C551" s="127"/>
      <c r="D551" s="127"/>
      <c r="E551" s="127"/>
      <c r="G551" s="127"/>
      <c r="I551" s="99"/>
      <c r="J551" s="99"/>
      <c r="K551" s="99"/>
      <c r="L551" s="99"/>
      <c r="M551" s="99"/>
      <c r="AB551" s="99"/>
      <c r="AC551" s="99"/>
    </row>
    <row r="552" spans="3:29" ht="13">
      <c r="C552" s="127"/>
      <c r="D552" s="127"/>
      <c r="E552" s="127"/>
      <c r="G552" s="127"/>
      <c r="I552" s="99"/>
      <c r="J552" s="99"/>
      <c r="K552" s="99"/>
      <c r="L552" s="99"/>
      <c r="M552" s="99"/>
      <c r="AB552" s="99"/>
      <c r="AC552" s="99"/>
    </row>
    <row r="553" spans="3:29" ht="13">
      <c r="C553" s="127"/>
      <c r="D553" s="127"/>
      <c r="E553" s="127"/>
      <c r="G553" s="127"/>
      <c r="I553" s="99"/>
      <c r="J553" s="99"/>
      <c r="K553" s="99"/>
      <c r="L553" s="99"/>
      <c r="M553" s="99"/>
      <c r="AB553" s="99"/>
      <c r="AC553" s="99"/>
    </row>
    <row r="554" spans="3:29" ht="13">
      <c r="C554" s="127"/>
      <c r="D554" s="127"/>
      <c r="E554" s="127"/>
      <c r="G554" s="127"/>
      <c r="I554" s="99"/>
      <c r="J554" s="99"/>
      <c r="K554" s="99"/>
      <c r="L554" s="99"/>
      <c r="M554" s="99"/>
      <c r="AB554" s="99"/>
      <c r="AC554" s="99"/>
    </row>
    <row r="555" spans="3:29" ht="13">
      <c r="C555" s="127"/>
      <c r="D555" s="127"/>
      <c r="E555" s="127"/>
      <c r="G555" s="127"/>
      <c r="I555" s="99"/>
      <c r="J555" s="99"/>
      <c r="K555" s="99"/>
      <c r="L555" s="99"/>
      <c r="M555" s="99"/>
      <c r="AB555" s="99"/>
      <c r="AC555" s="99"/>
    </row>
    <row r="556" spans="3:29" ht="13">
      <c r="C556" s="127"/>
      <c r="D556" s="127"/>
      <c r="E556" s="127"/>
      <c r="G556" s="127"/>
      <c r="I556" s="99"/>
      <c r="J556" s="99"/>
      <c r="K556" s="99"/>
      <c r="L556" s="99"/>
      <c r="M556" s="99"/>
      <c r="AB556" s="99"/>
      <c r="AC556" s="99"/>
    </row>
    <row r="557" spans="3:29" ht="13">
      <c r="C557" s="127"/>
      <c r="D557" s="127"/>
      <c r="E557" s="127"/>
      <c r="G557" s="127"/>
      <c r="I557" s="99"/>
      <c r="J557" s="99"/>
      <c r="K557" s="99"/>
      <c r="L557" s="99"/>
      <c r="M557" s="99"/>
      <c r="AB557" s="99"/>
      <c r="AC557" s="99"/>
    </row>
    <row r="558" spans="3:29" ht="13">
      <c r="C558" s="127"/>
      <c r="D558" s="127"/>
      <c r="E558" s="127"/>
      <c r="G558" s="127"/>
      <c r="I558" s="99"/>
      <c r="J558" s="99"/>
      <c r="K558" s="99"/>
      <c r="L558" s="99"/>
      <c r="M558" s="99"/>
      <c r="AB558" s="99"/>
      <c r="AC558" s="99"/>
    </row>
    <row r="559" spans="3:29" ht="13">
      <c r="C559" s="127"/>
      <c r="D559" s="127"/>
      <c r="E559" s="127"/>
      <c r="G559" s="127"/>
      <c r="I559" s="99"/>
      <c r="J559" s="99"/>
      <c r="K559" s="99"/>
      <c r="L559" s="99"/>
      <c r="M559" s="99"/>
      <c r="AB559" s="99"/>
      <c r="AC559" s="99"/>
    </row>
    <row r="560" spans="3:29" ht="13">
      <c r="C560" s="127"/>
      <c r="D560" s="127"/>
      <c r="E560" s="127"/>
      <c r="G560" s="127"/>
      <c r="I560" s="99"/>
      <c r="J560" s="99"/>
      <c r="K560" s="99"/>
      <c r="L560" s="99"/>
      <c r="M560" s="99"/>
      <c r="AB560" s="99"/>
      <c r="AC560" s="99"/>
    </row>
    <row r="561" spans="3:29" ht="13">
      <c r="C561" s="127"/>
      <c r="D561" s="127"/>
      <c r="E561" s="127"/>
      <c r="G561" s="127"/>
      <c r="I561" s="99"/>
      <c r="J561" s="99"/>
      <c r="K561" s="99"/>
      <c r="L561" s="99"/>
      <c r="M561" s="99"/>
      <c r="AB561" s="99"/>
      <c r="AC561" s="99"/>
    </row>
    <row r="562" spans="3:29" ht="13">
      <c r="C562" s="127"/>
      <c r="D562" s="127"/>
      <c r="E562" s="127"/>
      <c r="G562" s="127"/>
      <c r="I562" s="99"/>
      <c r="J562" s="99"/>
      <c r="K562" s="99"/>
      <c r="L562" s="99"/>
      <c r="M562" s="99"/>
      <c r="AB562" s="99"/>
      <c r="AC562" s="99"/>
    </row>
    <row r="563" spans="3:29" ht="13">
      <c r="C563" s="127"/>
      <c r="D563" s="127"/>
      <c r="E563" s="127"/>
      <c r="G563" s="127"/>
      <c r="I563" s="99"/>
      <c r="J563" s="99"/>
      <c r="K563" s="99"/>
      <c r="L563" s="99"/>
      <c r="M563" s="99"/>
      <c r="AB563" s="99"/>
      <c r="AC563" s="99"/>
    </row>
    <row r="564" spans="3:29" ht="13">
      <c r="C564" s="127"/>
      <c r="D564" s="127"/>
      <c r="E564" s="127"/>
      <c r="G564" s="127"/>
      <c r="I564" s="99"/>
      <c r="J564" s="99"/>
      <c r="K564" s="99"/>
      <c r="L564" s="99"/>
      <c r="M564" s="99"/>
      <c r="AB564" s="99"/>
      <c r="AC564" s="99"/>
    </row>
    <row r="565" spans="3:29" ht="13">
      <c r="C565" s="127"/>
      <c r="D565" s="127"/>
      <c r="E565" s="127"/>
      <c r="G565" s="127"/>
      <c r="I565" s="99"/>
      <c r="J565" s="99"/>
      <c r="K565" s="99"/>
      <c r="L565" s="99"/>
      <c r="M565" s="99"/>
      <c r="AB565" s="99"/>
      <c r="AC565" s="99"/>
    </row>
    <row r="566" spans="3:29" ht="13">
      <c r="C566" s="127"/>
      <c r="D566" s="127"/>
      <c r="E566" s="127"/>
      <c r="G566" s="127"/>
      <c r="I566" s="99"/>
      <c r="J566" s="99"/>
      <c r="K566" s="99"/>
      <c r="L566" s="99"/>
      <c r="M566" s="99"/>
      <c r="AB566" s="99"/>
      <c r="AC566" s="99"/>
    </row>
    <row r="567" spans="3:29" ht="13">
      <c r="C567" s="127"/>
      <c r="D567" s="127"/>
      <c r="E567" s="127"/>
      <c r="G567" s="127"/>
      <c r="I567" s="99"/>
      <c r="J567" s="99"/>
      <c r="K567" s="99"/>
      <c r="L567" s="99"/>
      <c r="M567" s="99"/>
      <c r="AB567" s="99"/>
      <c r="AC567" s="99"/>
    </row>
    <row r="568" spans="3:29" ht="13">
      <c r="C568" s="127"/>
      <c r="D568" s="127"/>
      <c r="E568" s="127"/>
      <c r="G568" s="127"/>
      <c r="I568" s="99"/>
      <c r="J568" s="99"/>
      <c r="K568" s="99"/>
      <c r="L568" s="99"/>
      <c r="M568" s="99"/>
      <c r="AB568" s="99"/>
      <c r="AC568" s="99"/>
    </row>
    <row r="569" spans="3:29" ht="13">
      <c r="C569" s="127"/>
      <c r="D569" s="127"/>
      <c r="E569" s="127"/>
      <c r="G569" s="127"/>
      <c r="I569" s="99"/>
      <c r="J569" s="99"/>
      <c r="K569" s="99"/>
      <c r="L569" s="99"/>
      <c r="M569" s="99"/>
      <c r="AB569" s="99"/>
      <c r="AC569" s="99"/>
    </row>
    <row r="570" spans="3:29" ht="13">
      <c r="C570" s="127"/>
      <c r="D570" s="127"/>
      <c r="E570" s="127"/>
      <c r="G570" s="127"/>
      <c r="I570" s="99"/>
      <c r="J570" s="99"/>
      <c r="K570" s="99"/>
      <c r="L570" s="99"/>
      <c r="M570" s="99"/>
      <c r="AB570" s="99"/>
      <c r="AC570" s="99"/>
    </row>
    <row r="571" spans="3:29" ht="13">
      <c r="C571" s="127"/>
      <c r="D571" s="127"/>
      <c r="E571" s="127"/>
      <c r="G571" s="127"/>
      <c r="I571" s="99"/>
      <c r="J571" s="99"/>
      <c r="K571" s="99"/>
      <c r="L571" s="99"/>
      <c r="M571" s="99"/>
      <c r="AB571" s="99"/>
      <c r="AC571" s="99"/>
    </row>
    <row r="572" spans="3:29" ht="13">
      <c r="C572" s="127"/>
      <c r="D572" s="127"/>
      <c r="E572" s="127"/>
      <c r="G572" s="127"/>
      <c r="I572" s="99"/>
      <c r="J572" s="99"/>
      <c r="K572" s="99"/>
      <c r="L572" s="99"/>
      <c r="M572" s="99"/>
      <c r="AB572" s="99"/>
      <c r="AC572" s="99"/>
    </row>
    <row r="573" spans="3:29" ht="13">
      <c r="C573" s="127"/>
      <c r="D573" s="127"/>
      <c r="E573" s="127"/>
      <c r="G573" s="127"/>
      <c r="I573" s="99"/>
      <c r="J573" s="99"/>
      <c r="K573" s="99"/>
      <c r="L573" s="99"/>
      <c r="M573" s="99"/>
      <c r="AB573" s="99"/>
      <c r="AC573" s="99"/>
    </row>
    <row r="574" spans="3:29" ht="13">
      <c r="C574" s="127"/>
      <c r="D574" s="127"/>
      <c r="E574" s="127"/>
      <c r="G574" s="127"/>
      <c r="I574" s="99"/>
      <c r="J574" s="99"/>
      <c r="K574" s="99"/>
      <c r="L574" s="99"/>
      <c r="M574" s="99"/>
      <c r="AB574" s="99"/>
      <c r="AC574" s="99"/>
    </row>
    <row r="575" spans="3:29" ht="13">
      <c r="C575" s="127"/>
      <c r="D575" s="127"/>
      <c r="E575" s="127"/>
      <c r="G575" s="127"/>
      <c r="I575" s="99"/>
      <c r="J575" s="99"/>
      <c r="K575" s="99"/>
      <c r="L575" s="99"/>
      <c r="M575" s="99"/>
      <c r="AB575" s="99"/>
      <c r="AC575" s="99"/>
    </row>
    <row r="576" spans="3:29" ht="13">
      <c r="C576" s="127"/>
      <c r="D576" s="127"/>
      <c r="E576" s="127"/>
      <c r="G576" s="127"/>
      <c r="I576" s="99"/>
      <c r="J576" s="99"/>
      <c r="K576" s="99"/>
      <c r="L576" s="99"/>
      <c r="M576" s="99"/>
      <c r="AB576" s="99"/>
      <c r="AC576" s="99"/>
    </row>
    <row r="577" spans="3:29" ht="13">
      <c r="C577" s="127"/>
      <c r="D577" s="127"/>
      <c r="E577" s="127"/>
      <c r="G577" s="127"/>
      <c r="I577" s="99"/>
      <c r="J577" s="99"/>
      <c r="K577" s="99"/>
      <c r="L577" s="99"/>
      <c r="M577" s="99"/>
      <c r="AB577" s="99"/>
      <c r="AC577" s="99"/>
    </row>
    <row r="578" spans="3:29" ht="13">
      <c r="C578" s="127"/>
      <c r="D578" s="127"/>
      <c r="E578" s="127"/>
      <c r="G578" s="127"/>
      <c r="I578" s="99"/>
      <c r="J578" s="99"/>
      <c r="K578" s="99"/>
      <c r="L578" s="99"/>
      <c r="M578" s="99"/>
      <c r="AB578" s="99"/>
      <c r="AC578" s="99"/>
    </row>
    <row r="579" spans="3:29" ht="13">
      <c r="C579" s="127"/>
      <c r="D579" s="127"/>
      <c r="E579" s="127"/>
      <c r="G579" s="127"/>
      <c r="I579" s="99"/>
      <c r="J579" s="99"/>
      <c r="K579" s="99"/>
      <c r="L579" s="99"/>
      <c r="M579" s="99"/>
      <c r="AB579" s="99"/>
      <c r="AC579" s="99"/>
    </row>
    <row r="580" spans="3:29" ht="13">
      <c r="C580" s="127"/>
      <c r="D580" s="127"/>
      <c r="E580" s="127"/>
      <c r="G580" s="127"/>
      <c r="I580" s="99"/>
      <c r="J580" s="99"/>
      <c r="K580" s="99"/>
      <c r="L580" s="99"/>
      <c r="M580" s="99"/>
      <c r="AB580" s="99"/>
      <c r="AC580" s="99"/>
    </row>
    <row r="581" spans="3:29" ht="13">
      <c r="C581" s="127"/>
      <c r="D581" s="127"/>
      <c r="E581" s="127"/>
      <c r="G581" s="127"/>
      <c r="I581" s="99"/>
      <c r="J581" s="99"/>
      <c r="K581" s="99"/>
      <c r="L581" s="99"/>
      <c r="M581" s="99"/>
      <c r="AB581" s="99"/>
      <c r="AC581" s="99"/>
    </row>
    <row r="582" spans="3:29" ht="13">
      <c r="C582" s="127"/>
      <c r="D582" s="127"/>
      <c r="E582" s="127"/>
      <c r="G582" s="127"/>
      <c r="I582" s="99"/>
      <c r="J582" s="99"/>
      <c r="K582" s="99"/>
      <c r="L582" s="99"/>
      <c r="M582" s="99"/>
      <c r="AB582" s="99"/>
      <c r="AC582" s="99"/>
    </row>
    <row r="583" spans="3:29" ht="13">
      <c r="C583" s="127"/>
      <c r="D583" s="127"/>
      <c r="E583" s="127"/>
      <c r="G583" s="127"/>
      <c r="I583" s="99"/>
      <c r="J583" s="99"/>
      <c r="K583" s="99"/>
      <c r="L583" s="99"/>
      <c r="M583" s="99"/>
      <c r="AB583" s="99"/>
      <c r="AC583" s="99"/>
    </row>
    <row r="584" spans="3:29" ht="13">
      <c r="C584" s="127"/>
      <c r="D584" s="127"/>
      <c r="E584" s="127"/>
      <c r="G584" s="127"/>
      <c r="I584" s="99"/>
      <c r="J584" s="99"/>
      <c r="K584" s="99"/>
      <c r="L584" s="99"/>
      <c r="M584" s="99"/>
      <c r="AB584" s="99"/>
      <c r="AC584" s="99"/>
    </row>
    <row r="585" spans="3:29" ht="13">
      <c r="C585" s="127"/>
      <c r="D585" s="127"/>
      <c r="E585" s="127"/>
      <c r="G585" s="127"/>
      <c r="I585" s="99"/>
      <c r="J585" s="99"/>
      <c r="K585" s="99"/>
      <c r="L585" s="99"/>
      <c r="M585" s="99"/>
      <c r="AB585" s="99"/>
      <c r="AC585" s="99"/>
    </row>
    <row r="586" spans="3:29" ht="13">
      <c r="C586" s="127"/>
      <c r="D586" s="127"/>
      <c r="E586" s="127"/>
      <c r="G586" s="127"/>
      <c r="I586" s="99"/>
      <c r="J586" s="99"/>
      <c r="K586" s="99"/>
      <c r="L586" s="99"/>
      <c r="M586" s="99"/>
      <c r="AB586" s="99"/>
      <c r="AC586" s="99"/>
    </row>
    <row r="587" spans="3:29" ht="13">
      <c r="C587" s="127"/>
      <c r="D587" s="127"/>
      <c r="E587" s="127"/>
      <c r="G587" s="127"/>
      <c r="I587" s="99"/>
      <c r="J587" s="99"/>
      <c r="K587" s="99"/>
      <c r="L587" s="99"/>
      <c r="M587" s="99"/>
      <c r="AB587" s="99"/>
      <c r="AC587" s="99"/>
    </row>
    <row r="588" spans="3:29" ht="13">
      <c r="C588" s="127"/>
      <c r="D588" s="127"/>
      <c r="E588" s="127"/>
      <c r="G588" s="127"/>
      <c r="I588" s="99"/>
      <c r="J588" s="99"/>
      <c r="K588" s="99"/>
      <c r="L588" s="99"/>
      <c r="M588" s="99"/>
      <c r="AB588" s="99"/>
      <c r="AC588" s="99"/>
    </row>
    <row r="589" spans="3:29" ht="13">
      <c r="C589" s="127"/>
      <c r="D589" s="127"/>
      <c r="E589" s="127"/>
      <c r="G589" s="127"/>
      <c r="I589" s="99"/>
      <c r="J589" s="99"/>
      <c r="K589" s="99"/>
      <c r="L589" s="99"/>
      <c r="M589" s="99"/>
      <c r="AB589" s="99"/>
      <c r="AC589" s="99"/>
    </row>
    <row r="590" spans="3:29" ht="13">
      <c r="C590" s="127"/>
      <c r="D590" s="127"/>
      <c r="E590" s="127"/>
      <c r="G590" s="127"/>
      <c r="I590" s="99"/>
      <c r="J590" s="99"/>
      <c r="K590" s="99"/>
      <c r="L590" s="99"/>
      <c r="M590" s="99"/>
      <c r="AB590" s="99"/>
      <c r="AC590" s="99"/>
    </row>
    <row r="591" spans="3:29" ht="13">
      <c r="C591" s="127"/>
      <c r="D591" s="127"/>
      <c r="E591" s="127"/>
      <c r="G591" s="127"/>
      <c r="I591" s="99"/>
      <c r="J591" s="99"/>
      <c r="K591" s="99"/>
      <c r="L591" s="99"/>
      <c r="M591" s="99"/>
      <c r="AB591" s="99"/>
      <c r="AC591" s="99"/>
    </row>
    <row r="592" spans="3:29" ht="13">
      <c r="C592" s="127"/>
      <c r="D592" s="127"/>
      <c r="E592" s="127"/>
      <c r="G592" s="127"/>
      <c r="I592" s="99"/>
      <c r="J592" s="99"/>
      <c r="K592" s="99"/>
      <c r="L592" s="99"/>
      <c r="M592" s="99"/>
      <c r="AB592" s="99"/>
      <c r="AC592" s="99"/>
    </row>
    <row r="593" spans="3:29" ht="13">
      <c r="C593" s="127"/>
      <c r="D593" s="127"/>
      <c r="E593" s="127"/>
      <c r="G593" s="127"/>
      <c r="I593" s="99"/>
      <c r="J593" s="99"/>
      <c r="K593" s="99"/>
      <c r="L593" s="99"/>
      <c r="M593" s="99"/>
      <c r="AB593" s="99"/>
      <c r="AC593" s="99"/>
    </row>
    <row r="594" spans="3:29" ht="13">
      <c r="C594" s="127"/>
      <c r="D594" s="127"/>
      <c r="E594" s="127"/>
      <c r="G594" s="127"/>
      <c r="I594" s="99"/>
      <c r="J594" s="99"/>
      <c r="K594" s="99"/>
      <c r="L594" s="99"/>
      <c r="M594" s="99"/>
      <c r="AB594" s="99"/>
      <c r="AC594" s="99"/>
    </row>
    <row r="595" spans="3:29" ht="13">
      <c r="C595" s="127"/>
      <c r="D595" s="127"/>
      <c r="E595" s="127"/>
      <c r="G595" s="127"/>
      <c r="I595" s="99"/>
      <c r="J595" s="99"/>
      <c r="K595" s="99"/>
      <c r="L595" s="99"/>
      <c r="M595" s="99"/>
      <c r="AB595" s="99"/>
      <c r="AC595" s="99"/>
    </row>
    <row r="596" spans="3:29" ht="13">
      <c r="C596" s="127"/>
      <c r="D596" s="127"/>
      <c r="E596" s="127"/>
      <c r="G596" s="127"/>
      <c r="I596" s="99"/>
      <c r="J596" s="99"/>
      <c r="K596" s="99"/>
      <c r="L596" s="99"/>
      <c r="M596" s="99"/>
      <c r="AB596" s="99"/>
      <c r="AC596" s="99"/>
    </row>
    <row r="597" spans="3:29" ht="13">
      <c r="C597" s="127"/>
      <c r="D597" s="127"/>
      <c r="E597" s="127"/>
      <c r="G597" s="127"/>
      <c r="I597" s="99"/>
      <c r="J597" s="99"/>
      <c r="K597" s="99"/>
      <c r="L597" s="99"/>
      <c r="M597" s="99"/>
      <c r="AB597" s="99"/>
      <c r="AC597" s="99"/>
    </row>
    <row r="598" spans="3:29" ht="13">
      <c r="C598" s="127"/>
      <c r="D598" s="127"/>
      <c r="E598" s="127"/>
      <c r="G598" s="127"/>
      <c r="I598" s="99"/>
      <c r="J598" s="99"/>
      <c r="K598" s="99"/>
      <c r="L598" s="99"/>
      <c r="M598" s="99"/>
      <c r="AB598" s="99"/>
      <c r="AC598" s="99"/>
    </row>
    <row r="599" spans="3:29" ht="13">
      <c r="C599" s="127"/>
      <c r="D599" s="127"/>
      <c r="E599" s="127"/>
      <c r="G599" s="127"/>
      <c r="I599" s="99"/>
      <c r="J599" s="99"/>
      <c r="K599" s="99"/>
      <c r="L599" s="99"/>
      <c r="M599" s="99"/>
      <c r="AB599" s="99"/>
      <c r="AC599" s="99"/>
    </row>
    <row r="600" spans="3:29" ht="13">
      <c r="C600" s="127"/>
      <c r="D600" s="127"/>
      <c r="E600" s="127"/>
      <c r="G600" s="127"/>
      <c r="I600" s="99"/>
      <c r="J600" s="99"/>
      <c r="K600" s="99"/>
      <c r="L600" s="99"/>
      <c r="M600" s="99"/>
      <c r="AB600" s="99"/>
      <c r="AC600" s="99"/>
    </row>
    <row r="601" spans="3:29" ht="13">
      <c r="C601" s="127"/>
      <c r="D601" s="127"/>
      <c r="E601" s="127"/>
      <c r="G601" s="127"/>
      <c r="I601" s="99"/>
      <c r="J601" s="99"/>
      <c r="K601" s="99"/>
      <c r="L601" s="99"/>
      <c r="M601" s="99"/>
      <c r="AB601" s="99"/>
      <c r="AC601" s="99"/>
    </row>
    <row r="602" spans="3:29" ht="13">
      <c r="C602" s="127"/>
      <c r="D602" s="127"/>
      <c r="E602" s="127"/>
      <c r="G602" s="127"/>
      <c r="I602" s="99"/>
      <c r="J602" s="99"/>
      <c r="K602" s="99"/>
      <c r="L602" s="99"/>
      <c r="M602" s="99"/>
      <c r="AB602" s="99"/>
      <c r="AC602" s="99"/>
    </row>
    <row r="603" spans="3:29" ht="13">
      <c r="C603" s="127"/>
      <c r="D603" s="127"/>
      <c r="E603" s="127"/>
      <c r="G603" s="127"/>
      <c r="I603" s="99"/>
      <c r="J603" s="99"/>
      <c r="K603" s="99"/>
      <c r="L603" s="99"/>
      <c r="M603" s="99"/>
      <c r="AB603" s="99"/>
      <c r="AC603" s="99"/>
    </row>
    <row r="604" spans="3:29" ht="13">
      <c r="C604" s="127"/>
      <c r="D604" s="127"/>
      <c r="E604" s="127"/>
      <c r="G604" s="127"/>
      <c r="I604" s="99"/>
      <c r="J604" s="99"/>
      <c r="K604" s="99"/>
      <c r="L604" s="99"/>
      <c r="M604" s="99"/>
      <c r="AB604" s="99"/>
      <c r="AC604" s="99"/>
    </row>
    <row r="605" spans="3:29" ht="13">
      <c r="C605" s="127"/>
      <c r="D605" s="127"/>
      <c r="E605" s="127"/>
      <c r="G605" s="127"/>
      <c r="I605" s="99"/>
      <c r="J605" s="99"/>
      <c r="K605" s="99"/>
      <c r="L605" s="99"/>
      <c r="M605" s="99"/>
      <c r="AB605" s="99"/>
      <c r="AC605" s="99"/>
    </row>
    <row r="606" spans="3:29" ht="13">
      <c r="C606" s="127"/>
      <c r="D606" s="127"/>
      <c r="E606" s="127"/>
      <c r="G606" s="127"/>
      <c r="I606" s="99"/>
      <c r="J606" s="99"/>
      <c r="K606" s="99"/>
      <c r="L606" s="99"/>
      <c r="M606" s="99"/>
      <c r="AB606" s="99"/>
      <c r="AC606" s="99"/>
    </row>
    <row r="607" spans="3:29" ht="13">
      <c r="C607" s="127"/>
      <c r="D607" s="127"/>
      <c r="E607" s="127"/>
      <c r="G607" s="127"/>
      <c r="I607" s="99"/>
      <c r="J607" s="99"/>
      <c r="K607" s="99"/>
      <c r="L607" s="99"/>
      <c r="M607" s="99"/>
      <c r="AB607" s="99"/>
      <c r="AC607" s="99"/>
    </row>
    <row r="608" spans="3:29" ht="13">
      <c r="C608" s="127"/>
      <c r="D608" s="127"/>
      <c r="E608" s="127"/>
      <c r="G608" s="127"/>
      <c r="I608" s="99"/>
      <c r="J608" s="99"/>
      <c r="K608" s="99"/>
      <c r="L608" s="99"/>
      <c r="M608" s="99"/>
      <c r="AB608" s="99"/>
      <c r="AC608" s="99"/>
    </row>
    <row r="609" spans="3:29" ht="13">
      <c r="C609" s="127"/>
      <c r="D609" s="127"/>
      <c r="E609" s="127"/>
      <c r="G609" s="127"/>
      <c r="I609" s="99"/>
      <c r="J609" s="99"/>
      <c r="K609" s="99"/>
      <c r="L609" s="99"/>
      <c r="M609" s="99"/>
      <c r="AB609" s="99"/>
      <c r="AC609" s="99"/>
    </row>
    <row r="610" spans="3:29" ht="13">
      <c r="C610" s="127"/>
      <c r="D610" s="127"/>
      <c r="E610" s="127"/>
      <c r="G610" s="127"/>
      <c r="I610" s="99"/>
      <c r="J610" s="99"/>
      <c r="K610" s="99"/>
      <c r="L610" s="99"/>
      <c r="M610" s="99"/>
      <c r="AB610" s="99"/>
      <c r="AC610" s="99"/>
    </row>
    <row r="611" spans="3:29" ht="13">
      <c r="C611" s="127"/>
      <c r="D611" s="127"/>
      <c r="E611" s="127"/>
      <c r="G611" s="127"/>
      <c r="I611" s="99"/>
      <c r="J611" s="99"/>
      <c r="K611" s="99"/>
      <c r="L611" s="99"/>
      <c r="M611" s="99"/>
      <c r="AB611" s="99"/>
      <c r="AC611" s="99"/>
    </row>
    <row r="612" spans="3:29" ht="13">
      <c r="C612" s="127"/>
      <c r="D612" s="127"/>
      <c r="E612" s="127"/>
      <c r="G612" s="127"/>
      <c r="I612" s="99"/>
      <c r="J612" s="99"/>
      <c r="K612" s="99"/>
      <c r="L612" s="99"/>
      <c r="M612" s="99"/>
      <c r="AB612" s="99"/>
      <c r="AC612" s="99"/>
    </row>
    <row r="613" spans="3:29" ht="13">
      <c r="C613" s="127"/>
      <c r="D613" s="127"/>
      <c r="E613" s="127"/>
      <c r="G613" s="127"/>
      <c r="I613" s="99"/>
      <c r="J613" s="99"/>
      <c r="K613" s="99"/>
      <c r="L613" s="99"/>
      <c r="M613" s="99"/>
      <c r="AB613" s="99"/>
      <c r="AC613" s="99"/>
    </row>
    <row r="614" spans="3:29" ht="13">
      <c r="C614" s="127"/>
      <c r="D614" s="127"/>
      <c r="E614" s="127"/>
      <c r="G614" s="127"/>
      <c r="I614" s="99"/>
      <c r="J614" s="99"/>
      <c r="K614" s="99"/>
      <c r="L614" s="99"/>
      <c r="M614" s="99"/>
      <c r="AB614" s="99"/>
      <c r="AC614" s="99"/>
    </row>
    <row r="615" spans="3:29" ht="13">
      <c r="C615" s="127"/>
      <c r="D615" s="127"/>
      <c r="E615" s="127"/>
      <c r="G615" s="127"/>
      <c r="I615" s="99"/>
      <c r="J615" s="99"/>
      <c r="K615" s="99"/>
      <c r="L615" s="99"/>
      <c r="M615" s="99"/>
      <c r="AB615" s="99"/>
      <c r="AC615" s="99"/>
    </row>
    <row r="616" spans="3:29" ht="13">
      <c r="C616" s="127"/>
      <c r="D616" s="127"/>
      <c r="E616" s="127"/>
      <c r="G616" s="127"/>
      <c r="I616" s="99"/>
      <c r="J616" s="99"/>
      <c r="K616" s="99"/>
      <c r="L616" s="99"/>
      <c r="M616" s="99"/>
      <c r="AB616" s="99"/>
      <c r="AC616" s="99"/>
    </row>
    <row r="617" spans="3:29" ht="13">
      <c r="C617" s="127"/>
      <c r="D617" s="127"/>
      <c r="E617" s="127"/>
      <c r="G617" s="127"/>
      <c r="I617" s="99"/>
      <c r="J617" s="99"/>
      <c r="K617" s="99"/>
      <c r="L617" s="99"/>
      <c r="M617" s="99"/>
      <c r="AB617" s="99"/>
      <c r="AC617" s="99"/>
    </row>
    <row r="618" spans="3:29" ht="13">
      <c r="C618" s="127"/>
      <c r="D618" s="127"/>
      <c r="E618" s="127"/>
      <c r="G618" s="127"/>
      <c r="I618" s="99"/>
      <c r="J618" s="99"/>
      <c r="K618" s="99"/>
      <c r="L618" s="99"/>
      <c r="M618" s="99"/>
      <c r="AB618" s="99"/>
      <c r="AC618" s="99"/>
    </row>
    <row r="619" spans="3:29" ht="13">
      <c r="C619" s="127"/>
      <c r="D619" s="127"/>
      <c r="E619" s="127"/>
      <c r="G619" s="127"/>
      <c r="I619" s="99"/>
      <c r="J619" s="99"/>
      <c r="K619" s="99"/>
      <c r="L619" s="99"/>
      <c r="M619" s="99"/>
      <c r="AB619" s="99"/>
      <c r="AC619" s="99"/>
    </row>
    <row r="620" spans="3:29" ht="13">
      <c r="C620" s="127"/>
      <c r="D620" s="127"/>
      <c r="E620" s="127"/>
      <c r="G620" s="127"/>
      <c r="I620" s="99"/>
      <c r="J620" s="99"/>
      <c r="K620" s="99"/>
      <c r="L620" s="99"/>
      <c r="M620" s="99"/>
      <c r="AB620" s="99"/>
      <c r="AC620" s="99"/>
    </row>
    <row r="621" spans="3:29" ht="13">
      <c r="C621" s="127"/>
      <c r="D621" s="127"/>
      <c r="E621" s="127"/>
      <c r="G621" s="127"/>
      <c r="I621" s="99"/>
      <c r="J621" s="99"/>
      <c r="K621" s="99"/>
      <c r="L621" s="99"/>
      <c r="M621" s="99"/>
      <c r="AB621" s="99"/>
      <c r="AC621" s="99"/>
    </row>
    <row r="622" spans="3:29" ht="13">
      <c r="C622" s="127"/>
      <c r="D622" s="127"/>
      <c r="E622" s="127"/>
      <c r="G622" s="127"/>
      <c r="I622" s="99"/>
      <c r="J622" s="99"/>
      <c r="K622" s="99"/>
      <c r="L622" s="99"/>
      <c r="M622" s="99"/>
      <c r="AB622" s="99"/>
      <c r="AC622" s="99"/>
    </row>
    <row r="623" spans="3:29" ht="13">
      <c r="C623" s="127"/>
      <c r="D623" s="127"/>
      <c r="E623" s="127"/>
      <c r="G623" s="127"/>
      <c r="I623" s="99"/>
      <c r="J623" s="99"/>
      <c r="K623" s="99"/>
      <c r="L623" s="99"/>
      <c r="M623" s="99"/>
      <c r="AB623" s="99"/>
      <c r="AC623" s="99"/>
    </row>
    <row r="624" spans="3:29" ht="13">
      <c r="C624" s="127"/>
      <c r="D624" s="127"/>
      <c r="E624" s="127"/>
      <c r="G624" s="127"/>
      <c r="I624" s="99"/>
      <c r="J624" s="99"/>
      <c r="K624" s="99"/>
      <c r="L624" s="99"/>
      <c r="M624" s="99"/>
      <c r="AB624" s="99"/>
      <c r="AC624" s="99"/>
    </row>
    <row r="625" spans="3:29" ht="13">
      <c r="C625" s="127"/>
      <c r="D625" s="127"/>
      <c r="E625" s="127"/>
      <c r="G625" s="127"/>
      <c r="I625" s="99"/>
      <c r="J625" s="99"/>
      <c r="K625" s="99"/>
      <c r="L625" s="99"/>
      <c r="M625" s="99"/>
      <c r="AB625" s="99"/>
      <c r="AC625" s="99"/>
    </row>
    <row r="626" spans="3:29" ht="13">
      <c r="C626" s="127"/>
      <c r="D626" s="127"/>
      <c r="E626" s="127"/>
      <c r="G626" s="127"/>
      <c r="I626" s="99"/>
      <c r="J626" s="99"/>
      <c r="K626" s="99"/>
      <c r="L626" s="99"/>
      <c r="M626" s="99"/>
      <c r="AB626" s="99"/>
      <c r="AC626" s="99"/>
    </row>
    <row r="627" spans="3:29" ht="13">
      <c r="C627" s="127"/>
      <c r="D627" s="127"/>
      <c r="E627" s="127"/>
      <c r="G627" s="127"/>
      <c r="I627" s="99"/>
      <c r="J627" s="99"/>
      <c r="K627" s="99"/>
      <c r="L627" s="99"/>
      <c r="M627" s="99"/>
      <c r="AB627" s="99"/>
      <c r="AC627" s="99"/>
    </row>
    <row r="628" spans="3:29" ht="13">
      <c r="C628" s="127"/>
      <c r="D628" s="127"/>
      <c r="E628" s="127"/>
      <c r="G628" s="127"/>
      <c r="I628" s="99"/>
      <c r="J628" s="99"/>
      <c r="K628" s="99"/>
      <c r="L628" s="99"/>
      <c r="M628" s="99"/>
      <c r="AB628" s="99"/>
      <c r="AC628" s="99"/>
    </row>
    <row r="629" spans="3:29" ht="13">
      <c r="C629" s="127"/>
      <c r="D629" s="127"/>
      <c r="E629" s="127"/>
      <c r="G629" s="127"/>
      <c r="I629" s="99"/>
      <c r="J629" s="99"/>
      <c r="K629" s="99"/>
      <c r="L629" s="99"/>
      <c r="M629" s="99"/>
      <c r="AB629" s="99"/>
      <c r="AC629" s="99"/>
    </row>
    <row r="630" spans="3:29" ht="13">
      <c r="C630" s="127"/>
      <c r="D630" s="127"/>
      <c r="E630" s="127"/>
      <c r="G630" s="127"/>
      <c r="I630" s="99"/>
      <c r="J630" s="99"/>
      <c r="K630" s="99"/>
      <c r="L630" s="99"/>
      <c r="M630" s="99"/>
      <c r="AB630" s="99"/>
      <c r="AC630" s="99"/>
    </row>
    <row r="631" spans="3:29" ht="13">
      <c r="C631" s="127"/>
      <c r="D631" s="127"/>
      <c r="E631" s="127"/>
      <c r="G631" s="127"/>
      <c r="I631" s="99"/>
      <c r="J631" s="99"/>
      <c r="K631" s="99"/>
      <c r="L631" s="99"/>
      <c r="M631" s="99"/>
      <c r="AB631" s="99"/>
      <c r="AC631" s="99"/>
    </row>
    <row r="632" spans="3:29" ht="13">
      <c r="C632" s="127"/>
      <c r="D632" s="127"/>
      <c r="E632" s="127"/>
      <c r="G632" s="127"/>
      <c r="I632" s="99"/>
      <c r="J632" s="99"/>
      <c r="K632" s="99"/>
      <c r="L632" s="99"/>
      <c r="M632" s="99"/>
      <c r="AB632" s="99"/>
      <c r="AC632" s="99"/>
    </row>
    <row r="633" spans="3:29" ht="13">
      <c r="C633" s="127"/>
      <c r="D633" s="127"/>
      <c r="E633" s="127"/>
      <c r="G633" s="127"/>
      <c r="I633" s="99"/>
      <c r="J633" s="99"/>
      <c r="K633" s="99"/>
      <c r="L633" s="99"/>
      <c r="M633" s="99"/>
      <c r="AB633" s="99"/>
      <c r="AC633" s="99"/>
    </row>
    <row r="634" spans="3:29" ht="13">
      <c r="C634" s="127"/>
      <c r="D634" s="127"/>
      <c r="E634" s="127"/>
      <c r="G634" s="127"/>
      <c r="I634" s="99"/>
      <c r="J634" s="99"/>
      <c r="K634" s="99"/>
      <c r="L634" s="99"/>
      <c r="M634" s="99"/>
      <c r="AB634" s="99"/>
      <c r="AC634" s="99"/>
    </row>
    <row r="635" spans="3:29" ht="13">
      <c r="C635" s="127"/>
      <c r="D635" s="127"/>
      <c r="E635" s="127"/>
      <c r="G635" s="127"/>
      <c r="I635" s="99"/>
      <c r="J635" s="99"/>
      <c r="K635" s="99"/>
      <c r="L635" s="99"/>
      <c r="M635" s="99"/>
      <c r="AB635" s="99"/>
      <c r="AC635" s="99"/>
    </row>
    <row r="636" spans="3:29" ht="13">
      <c r="C636" s="127"/>
      <c r="D636" s="127"/>
      <c r="E636" s="127"/>
      <c r="G636" s="127"/>
      <c r="I636" s="99"/>
      <c r="J636" s="99"/>
      <c r="K636" s="99"/>
      <c r="L636" s="99"/>
      <c r="M636" s="99"/>
      <c r="AB636" s="99"/>
      <c r="AC636" s="99"/>
    </row>
    <row r="637" spans="3:29" ht="13">
      <c r="C637" s="127"/>
      <c r="D637" s="127"/>
      <c r="E637" s="127"/>
      <c r="G637" s="127"/>
      <c r="I637" s="99"/>
      <c r="J637" s="99"/>
      <c r="K637" s="99"/>
      <c r="L637" s="99"/>
      <c r="M637" s="99"/>
      <c r="AB637" s="99"/>
      <c r="AC637" s="99"/>
    </row>
    <row r="638" spans="3:29" ht="13">
      <c r="C638" s="127"/>
      <c r="D638" s="127"/>
      <c r="E638" s="127"/>
      <c r="G638" s="127"/>
      <c r="I638" s="99"/>
      <c r="J638" s="99"/>
      <c r="K638" s="99"/>
      <c r="L638" s="99"/>
      <c r="M638" s="99"/>
      <c r="AB638" s="99"/>
      <c r="AC638" s="99"/>
    </row>
    <row r="639" spans="3:29" ht="13">
      <c r="C639" s="127"/>
      <c r="D639" s="127"/>
      <c r="E639" s="127"/>
      <c r="G639" s="127"/>
      <c r="I639" s="99"/>
      <c r="J639" s="99"/>
      <c r="K639" s="99"/>
      <c r="L639" s="99"/>
      <c r="M639" s="99"/>
      <c r="AB639" s="99"/>
      <c r="AC639" s="99"/>
    </row>
    <row r="640" spans="3:29" ht="13">
      <c r="C640" s="127"/>
      <c r="D640" s="127"/>
      <c r="E640" s="127"/>
      <c r="G640" s="127"/>
      <c r="I640" s="99"/>
      <c r="J640" s="99"/>
      <c r="K640" s="99"/>
      <c r="L640" s="99"/>
      <c r="M640" s="99"/>
      <c r="AB640" s="99"/>
      <c r="AC640" s="99"/>
    </row>
    <row r="641" spans="3:29" ht="13">
      <c r="C641" s="127"/>
      <c r="D641" s="127"/>
      <c r="E641" s="127"/>
      <c r="G641" s="127"/>
      <c r="I641" s="99"/>
      <c r="J641" s="99"/>
      <c r="K641" s="99"/>
      <c r="L641" s="99"/>
      <c r="M641" s="99"/>
      <c r="AB641" s="99"/>
      <c r="AC641" s="99"/>
    </row>
    <row r="642" spans="3:29" ht="13">
      <c r="C642" s="127"/>
      <c r="D642" s="127"/>
      <c r="E642" s="127"/>
      <c r="G642" s="127"/>
      <c r="I642" s="99"/>
      <c r="J642" s="99"/>
      <c r="K642" s="99"/>
      <c r="L642" s="99"/>
      <c r="M642" s="99"/>
      <c r="AB642" s="99"/>
      <c r="AC642" s="99"/>
    </row>
    <row r="643" spans="3:29" ht="13">
      <c r="C643" s="127"/>
      <c r="D643" s="127"/>
      <c r="E643" s="127"/>
      <c r="G643" s="127"/>
      <c r="I643" s="99"/>
      <c r="J643" s="99"/>
      <c r="K643" s="99"/>
      <c r="L643" s="99"/>
      <c r="M643" s="99"/>
      <c r="AB643" s="99"/>
      <c r="AC643" s="99"/>
    </row>
    <row r="644" spans="3:29" ht="13">
      <c r="C644" s="127"/>
      <c r="D644" s="127"/>
      <c r="E644" s="127"/>
      <c r="G644" s="127"/>
      <c r="I644" s="99"/>
      <c r="J644" s="99"/>
      <c r="K644" s="99"/>
      <c r="L644" s="99"/>
      <c r="M644" s="99"/>
      <c r="AB644" s="99"/>
      <c r="AC644" s="99"/>
    </row>
    <row r="645" spans="3:29" ht="13">
      <c r="C645" s="127"/>
      <c r="D645" s="127"/>
      <c r="E645" s="127"/>
      <c r="G645" s="127"/>
      <c r="I645" s="99"/>
      <c r="J645" s="99"/>
      <c r="K645" s="99"/>
      <c r="L645" s="99"/>
      <c r="M645" s="99"/>
      <c r="AB645" s="99"/>
      <c r="AC645" s="99"/>
    </row>
    <row r="646" spans="3:29" ht="13">
      <c r="C646" s="127"/>
      <c r="D646" s="127"/>
      <c r="E646" s="127"/>
      <c r="G646" s="127"/>
      <c r="I646" s="99"/>
      <c r="J646" s="99"/>
      <c r="K646" s="99"/>
      <c r="L646" s="99"/>
      <c r="M646" s="99"/>
      <c r="AB646" s="99"/>
      <c r="AC646" s="99"/>
    </row>
    <row r="647" spans="3:29" ht="13">
      <c r="C647" s="127"/>
      <c r="D647" s="127"/>
      <c r="E647" s="127"/>
      <c r="G647" s="127"/>
      <c r="I647" s="99"/>
      <c r="J647" s="99"/>
      <c r="K647" s="99"/>
      <c r="L647" s="99"/>
      <c r="M647" s="99"/>
      <c r="AB647" s="99"/>
      <c r="AC647" s="99"/>
    </row>
    <row r="648" spans="3:29" ht="13">
      <c r="C648" s="127"/>
      <c r="D648" s="127"/>
      <c r="E648" s="127"/>
      <c r="G648" s="127"/>
      <c r="I648" s="99"/>
      <c r="J648" s="99"/>
      <c r="K648" s="99"/>
      <c r="L648" s="99"/>
      <c r="M648" s="99"/>
      <c r="AB648" s="99"/>
      <c r="AC648" s="99"/>
    </row>
    <row r="649" spans="3:29" ht="13">
      <c r="C649" s="127"/>
      <c r="D649" s="127"/>
      <c r="E649" s="127"/>
      <c r="G649" s="127"/>
      <c r="I649" s="99"/>
      <c r="J649" s="99"/>
      <c r="K649" s="99"/>
      <c r="L649" s="99"/>
      <c r="M649" s="99"/>
      <c r="AB649" s="99"/>
      <c r="AC649" s="99"/>
    </row>
    <row r="650" spans="3:29" ht="13">
      <c r="C650" s="127"/>
      <c r="D650" s="127"/>
      <c r="E650" s="127"/>
      <c r="G650" s="127"/>
      <c r="I650" s="99"/>
      <c r="J650" s="99"/>
      <c r="K650" s="99"/>
      <c r="L650" s="99"/>
      <c r="M650" s="99"/>
      <c r="AB650" s="99"/>
      <c r="AC650" s="99"/>
    </row>
    <row r="651" spans="3:29" ht="13">
      <c r="C651" s="127"/>
      <c r="D651" s="127"/>
      <c r="E651" s="127"/>
      <c r="G651" s="127"/>
      <c r="I651" s="99"/>
      <c r="J651" s="99"/>
      <c r="K651" s="99"/>
      <c r="L651" s="99"/>
      <c r="M651" s="99"/>
      <c r="AB651" s="99"/>
      <c r="AC651" s="99"/>
    </row>
    <row r="652" spans="3:29" ht="13">
      <c r="C652" s="127"/>
      <c r="D652" s="127"/>
      <c r="E652" s="127"/>
      <c r="G652" s="127"/>
      <c r="I652" s="99"/>
      <c r="J652" s="99"/>
      <c r="K652" s="99"/>
      <c r="L652" s="99"/>
      <c r="M652" s="99"/>
      <c r="AB652" s="99"/>
      <c r="AC652" s="99"/>
    </row>
    <row r="653" spans="3:29" ht="13">
      <c r="C653" s="127"/>
      <c r="D653" s="127"/>
      <c r="E653" s="127"/>
      <c r="G653" s="127"/>
      <c r="I653" s="99"/>
      <c r="J653" s="99"/>
      <c r="K653" s="99"/>
      <c r="L653" s="99"/>
      <c r="M653" s="99"/>
      <c r="AB653" s="99"/>
      <c r="AC653" s="99"/>
    </row>
    <row r="654" spans="3:29" ht="13">
      <c r="C654" s="127"/>
      <c r="D654" s="127"/>
      <c r="E654" s="127"/>
      <c r="G654" s="127"/>
      <c r="I654" s="99"/>
      <c r="J654" s="99"/>
      <c r="K654" s="99"/>
      <c r="L654" s="99"/>
      <c r="M654" s="99"/>
      <c r="AB654" s="99"/>
      <c r="AC654" s="99"/>
    </row>
    <row r="655" spans="3:29" ht="13">
      <c r="C655" s="127"/>
      <c r="D655" s="127"/>
      <c r="E655" s="127"/>
      <c r="G655" s="127"/>
      <c r="I655" s="99"/>
      <c r="J655" s="99"/>
      <c r="K655" s="99"/>
      <c r="L655" s="99"/>
      <c r="M655" s="99"/>
      <c r="AB655" s="99"/>
      <c r="AC655" s="99"/>
    </row>
    <row r="656" spans="3:29" ht="13">
      <c r="C656" s="127"/>
      <c r="D656" s="127"/>
      <c r="E656" s="127"/>
      <c r="G656" s="127"/>
      <c r="I656" s="99"/>
      <c r="J656" s="99"/>
      <c r="K656" s="99"/>
      <c r="L656" s="99"/>
      <c r="M656" s="99"/>
      <c r="AB656" s="99"/>
      <c r="AC656" s="99"/>
    </row>
    <row r="657" spans="3:29" ht="13">
      <c r="C657" s="127"/>
      <c r="D657" s="127"/>
      <c r="E657" s="127"/>
      <c r="G657" s="127"/>
      <c r="I657" s="99"/>
      <c r="J657" s="99"/>
      <c r="K657" s="99"/>
      <c r="L657" s="99"/>
      <c r="M657" s="99"/>
      <c r="AB657" s="99"/>
      <c r="AC657" s="99"/>
    </row>
    <row r="658" spans="3:29" ht="13">
      <c r="C658" s="127"/>
      <c r="D658" s="127"/>
      <c r="E658" s="127"/>
      <c r="G658" s="127"/>
      <c r="I658" s="99"/>
      <c r="J658" s="99"/>
      <c r="K658" s="99"/>
      <c r="L658" s="99"/>
      <c r="M658" s="99"/>
      <c r="AB658" s="99"/>
      <c r="AC658" s="99"/>
    </row>
    <row r="659" spans="3:29" ht="13">
      <c r="C659" s="127"/>
      <c r="D659" s="127"/>
      <c r="E659" s="127"/>
      <c r="G659" s="127"/>
      <c r="I659" s="99"/>
      <c r="J659" s="99"/>
      <c r="K659" s="99"/>
      <c r="L659" s="99"/>
      <c r="M659" s="99"/>
      <c r="AB659" s="99"/>
      <c r="AC659" s="99"/>
    </row>
    <row r="660" spans="3:29" ht="13">
      <c r="C660" s="127"/>
      <c r="D660" s="127"/>
      <c r="E660" s="127"/>
      <c r="G660" s="127"/>
      <c r="I660" s="99"/>
      <c r="J660" s="99"/>
      <c r="K660" s="99"/>
      <c r="L660" s="99"/>
      <c r="M660" s="99"/>
      <c r="AB660" s="99"/>
      <c r="AC660" s="99"/>
    </row>
    <row r="661" spans="3:29" ht="13">
      <c r="C661" s="127"/>
      <c r="D661" s="127"/>
      <c r="E661" s="127"/>
      <c r="G661" s="127"/>
      <c r="I661" s="99"/>
      <c r="J661" s="99"/>
      <c r="K661" s="99"/>
      <c r="L661" s="99"/>
      <c r="M661" s="99"/>
      <c r="AB661" s="99"/>
      <c r="AC661" s="99"/>
    </row>
    <row r="662" spans="3:29" ht="13">
      <c r="C662" s="127"/>
      <c r="D662" s="127"/>
      <c r="E662" s="127"/>
      <c r="G662" s="127"/>
      <c r="I662" s="99"/>
      <c r="J662" s="99"/>
      <c r="K662" s="99"/>
      <c r="L662" s="99"/>
      <c r="M662" s="99"/>
      <c r="AB662" s="99"/>
      <c r="AC662" s="99"/>
    </row>
    <row r="663" spans="3:29" ht="13">
      <c r="C663" s="127"/>
      <c r="D663" s="127"/>
      <c r="E663" s="127"/>
      <c r="G663" s="127"/>
      <c r="I663" s="99"/>
      <c r="J663" s="99"/>
      <c r="K663" s="99"/>
      <c r="L663" s="99"/>
      <c r="M663" s="99"/>
      <c r="AB663" s="99"/>
      <c r="AC663" s="99"/>
    </row>
    <row r="664" spans="3:29" ht="13">
      <c r="C664" s="127"/>
      <c r="D664" s="127"/>
      <c r="E664" s="127"/>
      <c r="G664" s="127"/>
      <c r="I664" s="99"/>
      <c r="J664" s="99"/>
      <c r="K664" s="99"/>
      <c r="L664" s="99"/>
      <c r="M664" s="99"/>
      <c r="AB664" s="99"/>
      <c r="AC664" s="99"/>
    </row>
    <row r="665" spans="3:29" ht="13">
      <c r="C665" s="127"/>
      <c r="D665" s="127"/>
      <c r="E665" s="127"/>
      <c r="G665" s="127"/>
      <c r="I665" s="99"/>
      <c r="J665" s="99"/>
      <c r="K665" s="99"/>
      <c r="L665" s="99"/>
      <c r="M665" s="99"/>
      <c r="AB665" s="99"/>
      <c r="AC665" s="99"/>
    </row>
    <row r="666" spans="3:29" ht="13">
      <c r="C666" s="127"/>
      <c r="D666" s="127"/>
      <c r="E666" s="127"/>
      <c r="G666" s="127"/>
      <c r="I666" s="99"/>
      <c r="J666" s="99"/>
      <c r="K666" s="99"/>
      <c r="L666" s="99"/>
      <c r="M666" s="99"/>
      <c r="AB666" s="99"/>
      <c r="AC666" s="99"/>
    </row>
    <row r="667" spans="3:29" ht="13">
      <c r="C667" s="127"/>
      <c r="D667" s="127"/>
      <c r="E667" s="127"/>
      <c r="G667" s="127"/>
      <c r="I667" s="99"/>
      <c r="J667" s="99"/>
      <c r="K667" s="99"/>
      <c r="L667" s="99"/>
      <c r="M667" s="99"/>
      <c r="AB667" s="99"/>
      <c r="AC667" s="99"/>
    </row>
    <row r="668" spans="3:29" ht="13">
      <c r="C668" s="127"/>
      <c r="D668" s="127"/>
      <c r="E668" s="127"/>
      <c r="G668" s="127"/>
      <c r="I668" s="99"/>
      <c r="J668" s="99"/>
      <c r="K668" s="99"/>
      <c r="L668" s="99"/>
      <c r="M668" s="99"/>
      <c r="AB668" s="99"/>
      <c r="AC668" s="99"/>
    </row>
    <row r="669" spans="3:29" ht="13">
      <c r="C669" s="127"/>
      <c r="D669" s="127"/>
      <c r="E669" s="127"/>
      <c r="G669" s="127"/>
      <c r="I669" s="99"/>
      <c r="J669" s="99"/>
      <c r="K669" s="99"/>
      <c r="L669" s="99"/>
      <c r="M669" s="99"/>
      <c r="AB669" s="99"/>
      <c r="AC669" s="99"/>
    </row>
    <row r="670" spans="3:29" ht="13">
      <c r="C670" s="127"/>
      <c r="D670" s="127"/>
      <c r="E670" s="127"/>
      <c r="G670" s="127"/>
      <c r="I670" s="99"/>
      <c r="J670" s="99"/>
      <c r="K670" s="99"/>
      <c r="L670" s="99"/>
      <c r="M670" s="99"/>
      <c r="AB670" s="99"/>
      <c r="AC670" s="99"/>
    </row>
    <row r="671" spans="3:29" ht="13">
      <c r="C671" s="127"/>
      <c r="D671" s="127"/>
      <c r="E671" s="127"/>
      <c r="G671" s="127"/>
      <c r="I671" s="99"/>
      <c r="J671" s="99"/>
      <c r="K671" s="99"/>
      <c r="L671" s="99"/>
      <c r="M671" s="99"/>
      <c r="AB671" s="99"/>
      <c r="AC671" s="99"/>
    </row>
    <row r="672" spans="3:29" ht="13">
      <c r="C672" s="127"/>
      <c r="D672" s="127"/>
      <c r="E672" s="127"/>
      <c r="G672" s="127"/>
      <c r="I672" s="99"/>
      <c r="J672" s="99"/>
      <c r="K672" s="99"/>
      <c r="L672" s="99"/>
      <c r="M672" s="99"/>
      <c r="AB672" s="99"/>
      <c r="AC672" s="99"/>
    </row>
    <row r="673" spans="3:29" ht="13">
      <c r="C673" s="127"/>
      <c r="D673" s="127"/>
      <c r="E673" s="127"/>
      <c r="G673" s="127"/>
      <c r="I673" s="99"/>
      <c r="J673" s="99"/>
      <c r="K673" s="99"/>
      <c r="L673" s="99"/>
      <c r="M673" s="99"/>
      <c r="AB673" s="99"/>
      <c r="AC673" s="99"/>
    </row>
    <row r="674" spans="3:29" ht="13">
      <c r="C674" s="127"/>
      <c r="D674" s="127"/>
      <c r="E674" s="127"/>
      <c r="G674" s="127"/>
      <c r="I674" s="99"/>
      <c r="J674" s="99"/>
      <c r="K674" s="99"/>
      <c r="L674" s="99"/>
      <c r="M674" s="99"/>
      <c r="AB674" s="99"/>
      <c r="AC674" s="99"/>
    </row>
    <row r="675" spans="3:29" ht="13">
      <c r="C675" s="127"/>
      <c r="D675" s="127"/>
      <c r="E675" s="127"/>
      <c r="G675" s="127"/>
      <c r="I675" s="99"/>
      <c r="J675" s="99"/>
      <c r="K675" s="99"/>
      <c r="L675" s="99"/>
      <c r="M675" s="99"/>
      <c r="AB675" s="99"/>
      <c r="AC675" s="99"/>
    </row>
    <row r="676" spans="3:29" ht="13">
      <c r="C676" s="127"/>
      <c r="D676" s="127"/>
      <c r="E676" s="127"/>
      <c r="G676" s="127"/>
      <c r="I676" s="99"/>
      <c r="J676" s="99"/>
      <c r="K676" s="99"/>
      <c r="L676" s="99"/>
      <c r="M676" s="99"/>
      <c r="AB676" s="99"/>
      <c r="AC676" s="99"/>
    </row>
    <row r="677" spans="3:29" ht="13">
      <c r="C677" s="127"/>
      <c r="D677" s="127"/>
      <c r="E677" s="127"/>
      <c r="G677" s="127"/>
      <c r="I677" s="99"/>
      <c r="J677" s="99"/>
      <c r="K677" s="99"/>
      <c r="L677" s="99"/>
      <c r="M677" s="99"/>
      <c r="AB677" s="99"/>
      <c r="AC677" s="99"/>
    </row>
    <row r="678" spans="3:29" ht="13">
      <c r="C678" s="127"/>
      <c r="D678" s="127"/>
      <c r="E678" s="127"/>
      <c r="G678" s="127"/>
      <c r="I678" s="99"/>
      <c r="J678" s="99"/>
      <c r="K678" s="99"/>
      <c r="L678" s="99"/>
      <c r="M678" s="99"/>
      <c r="AB678" s="99"/>
      <c r="AC678" s="99"/>
    </row>
    <row r="679" spans="3:29" ht="13">
      <c r="C679" s="127"/>
      <c r="D679" s="127"/>
      <c r="E679" s="127"/>
      <c r="G679" s="127"/>
      <c r="I679" s="99"/>
      <c r="J679" s="99"/>
      <c r="K679" s="99"/>
      <c r="L679" s="99"/>
      <c r="M679" s="99"/>
      <c r="AB679" s="99"/>
      <c r="AC679" s="99"/>
    </row>
    <row r="680" spans="3:29" ht="13">
      <c r="C680" s="127"/>
      <c r="D680" s="127"/>
      <c r="E680" s="127"/>
      <c r="G680" s="127"/>
      <c r="I680" s="99"/>
      <c r="J680" s="99"/>
      <c r="K680" s="99"/>
      <c r="L680" s="99"/>
      <c r="M680" s="99"/>
      <c r="AB680" s="99"/>
      <c r="AC680" s="99"/>
    </row>
    <row r="681" spans="3:29" ht="13">
      <c r="C681" s="127"/>
      <c r="D681" s="127"/>
      <c r="E681" s="127"/>
      <c r="G681" s="127"/>
      <c r="I681" s="99"/>
      <c r="J681" s="99"/>
      <c r="K681" s="99"/>
      <c r="L681" s="99"/>
      <c r="M681" s="99"/>
      <c r="AB681" s="99"/>
      <c r="AC681" s="99"/>
    </row>
    <row r="682" spans="3:29" ht="13">
      <c r="C682" s="127"/>
      <c r="D682" s="127"/>
      <c r="E682" s="127"/>
      <c r="G682" s="127"/>
      <c r="I682" s="99"/>
      <c r="J682" s="99"/>
      <c r="K682" s="99"/>
      <c r="L682" s="99"/>
      <c r="M682" s="99"/>
      <c r="AB682" s="99"/>
      <c r="AC682" s="99"/>
    </row>
    <row r="683" spans="3:29" ht="13">
      <c r="C683" s="127"/>
      <c r="D683" s="127"/>
      <c r="E683" s="127"/>
      <c r="G683" s="127"/>
      <c r="I683" s="99"/>
      <c r="J683" s="99"/>
      <c r="K683" s="99"/>
      <c r="L683" s="99"/>
      <c r="M683" s="99"/>
      <c r="AB683" s="99"/>
      <c r="AC683" s="99"/>
    </row>
    <row r="684" spans="3:29" ht="13">
      <c r="C684" s="127"/>
      <c r="D684" s="127"/>
      <c r="E684" s="127"/>
      <c r="G684" s="127"/>
      <c r="I684" s="99"/>
      <c r="J684" s="99"/>
      <c r="K684" s="99"/>
      <c r="L684" s="99"/>
      <c r="M684" s="99"/>
      <c r="AB684" s="99"/>
      <c r="AC684" s="99"/>
    </row>
    <row r="685" spans="3:29" ht="13">
      <c r="C685" s="127"/>
      <c r="D685" s="127"/>
      <c r="E685" s="127"/>
      <c r="G685" s="127"/>
      <c r="I685" s="99"/>
      <c r="J685" s="99"/>
      <c r="K685" s="99"/>
      <c r="L685" s="99"/>
      <c r="M685" s="99"/>
      <c r="AB685" s="99"/>
      <c r="AC685" s="99"/>
    </row>
    <row r="686" spans="3:29" ht="13">
      <c r="C686" s="127"/>
      <c r="D686" s="127"/>
      <c r="E686" s="127"/>
      <c r="G686" s="127"/>
      <c r="I686" s="99"/>
      <c r="J686" s="99"/>
      <c r="K686" s="99"/>
      <c r="L686" s="99"/>
      <c r="M686" s="99"/>
      <c r="AB686" s="99"/>
      <c r="AC686" s="99"/>
    </row>
    <row r="687" spans="3:29" ht="13">
      <c r="C687" s="127"/>
      <c r="D687" s="127"/>
      <c r="E687" s="127"/>
      <c r="G687" s="127"/>
      <c r="I687" s="99"/>
      <c r="J687" s="99"/>
      <c r="K687" s="99"/>
      <c r="L687" s="99"/>
      <c r="M687" s="99"/>
      <c r="AB687" s="99"/>
      <c r="AC687" s="99"/>
    </row>
    <row r="688" spans="3:29" ht="13">
      <c r="C688" s="127"/>
      <c r="D688" s="127"/>
      <c r="E688" s="127"/>
      <c r="G688" s="127"/>
      <c r="I688" s="99"/>
      <c r="J688" s="99"/>
      <c r="K688" s="99"/>
      <c r="L688" s="99"/>
      <c r="M688" s="99"/>
      <c r="AB688" s="99"/>
      <c r="AC688" s="99"/>
    </row>
    <row r="689" spans="3:29" ht="13">
      <c r="C689" s="127"/>
      <c r="D689" s="127"/>
      <c r="E689" s="127"/>
      <c r="G689" s="127"/>
      <c r="I689" s="99"/>
      <c r="J689" s="99"/>
      <c r="K689" s="99"/>
      <c r="L689" s="99"/>
      <c r="M689" s="99"/>
      <c r="AB689" s="99"/>
      <c r="AC689" s="99"/>
    </row>
    <row r="690" spans="3:29" ht="13">
      <c r="C690" s="127"/>
      <c r="D690" s="127"/>
      <c r="E690" s="127"/>
      <c r="G690" s="127"/>
      <c r="I690" s="99"/>
      <c r="J690" s="99"/>
      <c r="K690" s="99"/>
      <c r="L690" s="99"/>
      <c r="M690" s="99"/>
      <c r="AB690" s="99"/>
      <c r="AC690" s="99"/>
    </row>
    <row r="691" spans="3:29" ht="13">
      <c r="C691" s="127"/>
      <c r="D691" s="127"/>
      <c r="E691" s="127"/>
      <c r="G691" s="127"/>
      <c r="I691" s="99"/>
      <c r="J691" s="99"/>
      <c r="K691" s="99"/>
      <c r="L691" s="99"/>
      <c r="M691" s="99"/>
      <c r="AB691" s="99"/>
      <c r="AC691" s="99"/>
    </row>
    <row r="692" spans="3:29" ht="13">
      <c r="C692" s="127"/>
      <c r="D692" s="127"/>
      <c r="E692" s="127"/>
      <c r="G692" s="127"/>
      <c r="I692" s="99"/>
      <c r="J692" s="99"/>
      <c r="K692" s="99"/>
      <c r="L692" s="99"/>
      <c r="M692" s="99"/>
      <c r="AB692" s="99"/>
      <c r="AC692" s="99"/>
    </row>
    <row r="693" spans="3:29" ht="13">
      <c r="C693" s="127"/>
      <c r="D693" s="127"/>
      <c r="E693" s="127"/>
      <c r="G693" s="127"/>
      <c r="I693" s="99"/>
      <c r="J693" s="99"/>
      <c r="K693" s="99"/>
      <c r="L693" s="99"/>
      <c r="M693" s="99"/>
      <c r="AB693" s="99"/>
      <c r="AC693" s="99"/>
    </row>
    <row r="694" spans="3:29" ht="13">
      <c r="C694" s="127"/>
      <c r="D694" s="127"/>
      <c r="E694" s="127"/>
      <c r="G694" s="127"/>
      <c r="I694" s="99"/>
      <c r="J694" s="99"/>
      <c r="K694" s="99"/>
      <c r="L694" s="99"/>
      <c r="M694" s="99"/>
      <c r="AB694" s="99"/>
      <c r="AC694" s="99"/>
    </row>
    <row r="695" spans="3:29" ht="13">
      <c r="C695" s="127"/>
      <c r="D695" s="127"/>
      <c r="E695" s="127"/>
      <c r="G695" s="127"/>
      <c r="I695" s="99"/>
      <c r="J695" s="99"/>
      <c r="K695" s="99"/>
      <c r="L695" s="99"/>
      <c r="M695" s="99"/>
      <c r="AB695" s="99"/>
      <c r="AC695" s="99"/>
    </row>
    <row r="696" spans="3:29" ht="13">
      <c r="C696" s="127"/>
      <c r="D696" s="127"/>
      <c r="E696" s="127"/>
      <c r="G696" s="127"/>
      <c r="I696" s="99"/>
      <c r="J696" s="99"/>
      <c r="K696" s="99"/>
      <c r="L696" s="99"/>
      <c r="M696" s="99"/>
      <c r="AB696" s="99"/>
      <c r="AC696" s="99"/>
    </row>
    <row r="697" spans="3:29" ht="13">
      <c r="C697" s="127"/>
      <c r="D697" s="127"/>
      <c r="E697" s="127"/>
      <c r="G697" s="127"/>
      <c r="I697" s="99"/>
      <c r="J697" s="99"/>
      <c r="K697" s="99"/>
      <c r="L697" s="99"/>
      <c r="M697" s="99"/>
      <c r="AB697" s="99"/>
      <c r="AC697" s="99"/>
    </row>
    <row r="698" spans="3:29" ht="13">
      <c r="C698" s="127"/>
      <c r="D698" s="127"/>
      <c r="E698" s="127"/>
      <c r="G698" s="127"/>
      <c r="I698" s="99"/>
      <c r="J698" s="99"/>
      <c r="K698" s="99"/>
      <c r="L698" s="99"/>
      <c r="M698" s="99"/>
      <c r="AB698" s="99"/>
      <c r="AC698" s="99"/>
    </row>
    <row r="699" spans="3:29" ht="13">
      <c r="C699" s="127"/>
      <c r="D699" s="127"/>
      <c r="E699" s="127"/>
      <c r="G699" s="127"/>
      <c r="I699" s="99"/>
      <c r="J699" s="99"/>
      <c r="K699" s="99"/>
      <c r="L699" s="99"/>
      <c r="M699" s="99"/>
      <c r="AB699" s="99"/>
      <c r="AC699" s="99"/>
    </row>
    <row r="700" spans="3:29" ht="13">
      <c r="C700" s="127"/>
      <c r="D700" s="127"/>
      <c r="E700" s="127"/>
      <c r="G700" s="127"/>
      <c r="I700" s="99"/>
      <c r="J700" s="99"/>
      <c r="K700" s="99"/>
      <c r="L700" s="99"/>
      <c r="M700" s="99"/>
      <c r="AB700" s="99"/>
      <c r="AC700" s="99"/>
    </row>
    <row r="701" spans="3:29" ht="13">
      <c r="C701" s="127"/>
      <c r="D701" s="127"/>
      <c r="E701" s="127"/>
      <c r="G701" s="127"/>
      <c r="I701" s="99"/>
      <c r="J701" s="99"/>
      <c r="K701" s="99"/>
      <c r="L701" s="99"/>
      <c r="M701" s="99"/>
      <c r="AB701" s="99"/>
      <c r="AC701" s="99"/>
    </row>
    <row r="702" spans="3:29" ht="13">
      <c r="C702" s="127"/>
      <c r="D702" s="127"/>
      <c r="E702" s="127"/>
      <c r="G702" s="127"/>
      <c r="I702" s="99"/>
      <c r="J702" s="99"/>
      <c r="K702" s="99"/>
      <c r="L702" s="99"/>
      <c r="M702" s="99"/>
      <c r="AB702" s="99"/>
      <c r="AC702" s="99"/>
    </row>
    <row r="703" spans="3:29" ht="13">
      <c r="C703" s="127"/>
      <c r="D703" s="127"/>
      <c r="E703" s="127"/>
      <c r="G703" s="127"/>
      <c r="I703" s="99"/>
      <c r="J703" s="99"/>
      <c r="K703" s="99"/>
      <c r="L703" s="99"/>
      <c r="M703" s="99"/>
      <c r="AB703" s="99"/>
      <c r="AC703" s="99"/>
    </row>
    <row r="704" spans="3:29" ht="13">
      <c r="C704" s="127"/>
      <c r="D704" s="127"/>
      <c r="E704" s="127"/>
      <c r="G704" s="127"/>
      <c r="I704" s="99"/>
      <c r="J704" s="99"/>
      <c r="K704" s="99"/>
      <c r="L704" s="99"/>
      <c r="M704" s="99"/>
      <c r="AB704" s="99"/>
      <c r="AC704" s="99"/>
    </row>
    <row r="705" spans="3:29" ht="13">
      <c r="C705" s="127"/>
      <c r="D705" s="127"/>
      <c r="E705" s="127"/>
      <c r="G705" s="127"/>
      <c r="I705" s="99"/>
      <c r="J705" s="99"/>
      <c r="K705" s="99"/>
      <c r="L705" s="99"/>
      <c r="M705" s="99"/>
      <c r="AB705" s="99"/>
      <c r="AC705" s="99"/>
    </row>
    <row r="706" spans="3:29" ht="13">
      <c r="C706" s="127"/>
      <c r="D706" s="127"/>
      <c r="E706" s="127"/>
      <c r="G706" s="127"/>
      <c r="I706" s="99"/>
      <c r="J706" s="99"/>
      <c r="K706" s="99"/>
      <c r="L706" s="99"/>
      <c r="M706" s="99"/>
      <c r="AB706" s="99"/>
      <c r="AC706" s="99"/>
    </row>
    <row r="707" spans="3:29" ht="13">
      <c r="C707" s="127"/>
      <c r="D707" s="127"/>
      <c r="E707" s="127"/>
      <c r="G707" s="127"/>
      <c r="I707" s="99"/>
      <c r="J707" s="99"/>
      <c r="K707" s="99"/>
      <c r="L707" s="99"/>
      <c r="M707" s="99"/>
      <c r="AB707" s="99"/>
      <c r="AC707" s="99"/>
    </row>
    <row r="708" spans="3:29" ht="13">
      <c r="C708" s="127"/>
      <c r="D708" s="127"/>
      <c r="E708" s="127"/>
      <c r="G708" s="127"/>
      <c r="I708" s="99"/>
      <c r="J708" s="99"/>
      <c r="K708" s="99"/>
      <c r="L708" s="99"/>
      <c r="M708" s="99"/>
      <c r="AB708" s="99"/>
      <c r="AC708" s="99"/>
    </row>
    <row r="709" spans="3:29" ht="13">
      <c r="C709" s="127"/>
      <c r="D709" s="127"/>
      <c r="E709" s="127"/>
      <c r="G709" s="127"/>
      <c r="I709" s="99"/>
      <c r="J709" s="99"/>
      <c r="K709" s="99"/>
      <c r="L709" s="99"/>
      <c r="M709" s="99"/>
      <c r="AB709" s="99"/>
      <c r="AC709" s="99"/>
    </row>
    <row r="710" spans="3:29" ht="13">
      <c r="C710" s="127"/>
      <c r="D710" s="127"/>
      <c r="E710" s="127"/>
      <c r="G710" s="127"/>
      <c r="I710" s="99"/>
      <c r="J710" s="99"/>
      <c r="K710" s="99"/>
      <c r="L710" s="99"/>
      <c r="M710" s="99"/>
      <c r="AB710" s="99"/>
      <c r="AC710" s="99"/>
    </row>
    <row r="711" spans="3:29" ht="13">
      <c r="C711" s="127"/>
      <c r="D711" s="127"/>
      <c r="E711" s="127"/>
      <c r="G711" s="127"/>
      <c r="I711" s="99"/>
      <c r="J711" s="99"/>
      <c r="K711" s="99"/>
      <c r="L711" s="99"/>
      <c r="M711" s="99"/>
      <c r="AB711" s="99"/>
      <c r="AC711" s="99"/>
    </row>
    <row r="712" spans="3:29" ht="13">
      <c r="C712" s="127"/>
      <c r="D712" s="127"/>
      <c r="E712" s="127"/>
      <c r="G712" s="127"/>
      <c r="I712" s="99"/>
      <c r="J712" s="99"/>
      <c r="K712" s="99"/>
      <c r="L712" s="99"/>
      <c r="M712" s="99"/>
      <c r="AB712" s="99"/>
      <c r="AC712" s="99"/>
    </row>
    <row r="713" spans="3:29" ht="13">
      <c r="C713" s="127"/>
      <c r="D713" s="127"/>
      <c r="E713" s="127"/>
      <c r="G713" s="127"/>
      <c r="I713" s="99"/>
      <c r="J713" s="99"/>
      <c r="K713" s="99"/>
      <c r="L713" s="99"/>
      <c r="M713" s="99"/>
      <c r="AB713" s="99"/>
      <c r="AC713" s="99"/>
    </row>
    <row r="714" spans="3:29" ht="13">
      <c r="C714" s="127"/>
      <c r="D714" s="127"/>
      <c r="E714" s="127"/>
      <c r="G714" s="127"/>
      <c r="I714" s="99"/>
      <c r="J714" s="99"/>
      <c r="K714" s="99"/>
      <c r="L714" s="99"/>
      <c r="M714" s="99"/>
      <c r="AB714" s="99"/>
      <c r="AC714" s="99"/>
    </row>
    <row r="715" spans="3:29" ht="13">
      <c r="C715" s="127"/>
      <c r="D715" s="127"/>
      <c r="E715" s="127"/>
      <c r="G715" s="127"/>
      <c r="I715" s="99"/>
      <c r="J715" s="99"/>
      <c r="K715" s="99"/>
      <c r="L715" s="99"/>
      <c r="M715" s="99"/>
      <c r="AB715" s="99"/>
      <c r="AC715" s="99"/>
    </row>
    <row r="716" spans="3:29" ht="13">
      <c r="C716" s="127"/>
      <c r="D716" s="127"/>
      <c r="E716" s="127"/>
      <c r="G716" s="127"/>
      <c r="I716" s="99"/>
      <c r="J716" s="99"/>
      <c r="K716" s="99"/>
      <c r="L716" s="99"/>
      <c r="M716" s="99"/>
      <c r="AB716" s="99"/>
      <c r="AC716" s="99"/>
    </row>
    <row r="717" spans="3:29" ht="13">
      <c r="C717" s="127"/>
      <c r="D717" s="127"/>
      <c r="E717" s="127"/>
      <c r="G717" s="127"/>
      <c r="I717" s="99"/>
      <c r="J717" s="99"/>
      <c r="K717" s="99"/>
      <c r="L717" s="99"/>
      <c r="M717" s="99"/>
      <c r="AB717" s="99"/>
      <c r="AC717" s="99"/>
    </row>
    <row r="718" spans="3:29" ht="13">
      <c r="C718" s="127"/>
      <c r="D718" s="127"/>
      <c r="E718" s="127"/>
      <c r="G718" s="127"/>
      <c r="I718" s="99"/>
      <c r="J718" s="99"/>
      <c r="K718" s="99"/>
      <c r="L718" s="99"/>
      <c r="M718" s="99"/>
      <c r="AB718" s="99"/>
      <c r="AC718" s="99"/>
    </row>
    <row r="719" spans="3:29" ht="13">
      <c r="C719" s="127"/>
      <c r="D719" s="127"/>
      <c r="E719" s="127"/>
      <c r="G719" s="127"/>
      <c r="I719" s="99"/>
      <c r="J719" s="99"/>
      <c r="K719" s="99"/>
      <c r="L719" s="99"/>
      <c r="M719" s="99"/>
      <c r="AB719" s="99"/>
      <c r="AC719" s="99"/>
    </row>
    <row r="720" spans="3:29" ht="13">
      <c r="C720" s="127"/>
      <c r="D720" s="127"/>
      <c r="E720" s="127"/>
      <c r="G720" s="127"/>
      <c r="I720" s="99"/>
      <c r="J720" s="99"/>
      <c r="K720" s="99"/>
      <c r="L720" s="99"/>
      <c r="M720" s="99"/>
      <c r="AB720" s="99"/>
      <c r="AC720" s="99"/>
    </row>
    <row r="721" spans="3:29" ht="13">
      <c r="C721" s="127"/>
      <c r="D721" s="127"/>
      <c r="E721" s="127"/>
      <c r="G721" s="127"/>
      <c r="I721" s="99"/>
      <c r="J721" s="99"/>
      <c r="K721" s="99"/>
      <c r="L721" s="99"/>
      <c r="M721" s="99"/>
      <c r="AB721" s="99"/>
      <c r="AC721" s="99"/>
    </row>
    <row r="722" spans="3:29" ht="13">
      <c r="C722" s="127"/>
      <c r="D722" s="127"/>
      <c r="E722" s="127"/>
      <c r="G722" s="127"/>
      <c r="I722" s="99"/>
      <c r="J722" s="99"/>
      <c r="K722" s="99"/>
      <c r="L722" s="99"/>
      <c r="M722" s="99"/>
      <c r="AB722" s="99"/>
      <c r="AC722" s="99"/>
    </row>
    <row r="723" spans="3:29" ht="13">
      <c r="C723" s="127"/>
      <c r="D723" s="127"/>
      <c r="E723" s="127"/>
      <c r="G723" s="127"/>
      <c r="I723" s="99"/>
      <c r="J723" s="99"/>
      <c r="K723" s="99"/>
      <c r="L723" s="99"/>
      <c r="M723" s="99"/>
      <c r="AB723" s="99"/>
      <c r="AC723" s="99"/>
    </row>
    <row r="724" spans="3:29" ht="13">
      <c r="C724" s="127"/>
      <c r="D724" s="127"/>
      <c r="E724" s="127"/>
      <c r="G724" s="127"/>
      <c r="I724" s="99"/>
      <c r="J724" s="99"/>
      <c r="K724" s="99"/>
      <c r="L724" s="99"/>
      <c r="M724" s="99"/>
      <c r="AB724" s="99"/>
      <c r="AC724" s="99"/>
    </row>
    <row r="725" spans="3:29" ht="13">
      <c r="C725" s="127"/>
      <c r="D725" s="127"/>
      <c r="E725" s="127"/>
      <c r="G725" s="127"/>
      <c r="I725" s="99"/>
      <c r="J725" s="99"/>
      <c r="K725" s="99"/>
      <c r="L725" s="99"/>
      <c r="M725" s="99"/>
      <c r="AB725" s="99"/>
      <c r="AC725" s="99"/>
    </row>
    <row r="726" spans="3:29" ht="13">
      <c r="C726" s="127"/>
      <c r="D726" s="127"/>
      <c r="E726" s="127"/>
      <c r="G726" s="127"/>
      <c r="I726" s="99"/>
      <c r="J726" s="99"/>
      <c r="K726" s="99"/>
      <c r="L726" s="99"/>
      <c r="M726" s="99"/>
      <c r="AB726" s="99"/>
      <c r="AC726" s="99"/>
    </row>
    <row r="727" spans="3:29" ht="13">
      <c r="C727" s="127"/>
      <c r="D727" s="127"/>
      <c r="E727" s="127"/>
      <c r="G727" s="127"/>
      <c r="I727" s="99"/>
      <c r="J727" s="99"/>
      <c r="K727" s="99"/>
      <c r="L727" s="99"/>
      <c r="M727" s="99"/>
      <c r="AB727" s="99"/>
      <c r="AC727" s="99"/>
    </row>
    <row r="728" spans="3:29" ht="13">
      <c r="C728" s="127"/>
      <c r="D728" s="127"/>
      <c r="E728" s="127"/>
      <c r="G728" s="127"/>
      <c r="I728" s="99"/>
      <c r="J728" s="99"/>
      <c r="K728" s="99"/>
      <c r="L728" s="99"/>
      <c r="M728" s="99"/>
      <c r="AB728" s="99"/>
      <c r="AC728" s="99"/>
    </row>
    <row r="729" spans="3:29" ht="13">
      <c r="C729" s="127"/>
      <c r="D729" s="127"/>
      <c r="E729" s="127"/>
      <c r="G729" s="127"/>
      <c r="I729" s="99"/>
      <c r="J729" s="99"/>
      <c r="K729" s="99"/>
      <c r="L729" s="99"/>
      <c r="M729" s="99"/>
      <c r="AB729" s="99"/>
      <c r="AC729" s="99"/>
    </row>
    <row r="730" spans="3:29" ht="13">
      <c r="C730" s="127"/>
      <c r="D730" s="127"/>
      <c r="E730" s="127"/>
      <c r="G730" s="127"/>
      <c r="I730" s="99"/>
      <c r="J730" s="99"/>
      <c r="K730" s="99"/>
      <c r="L730" s="99"/>
      <c r="M730" s="99"/>
      <c r="AB730" s="99"/>
      <c r="AC730" s="99"/>
    </row>
    <row r="731" spans="3:29" ht="13">
      <c r="C731" s="127"/>
      <c r="D731" s="127"/>
      <c r="E731" s="127"/>
      <c r="G731" s="127"/>
      <c r="I731" s="99"/>
      <c r="J731" s="99"/>
      <c r="K731" s="99"/>
      <c r="L731" s="99"/>
      <c r="M731" s="99"/>
      <c r="AB731" s="99"/>
      <c r="AC731" s="99"/>
    </row>
    <row r="732" spans="3:29" ht="13">
      <c r="C732" s="127"/>
      <c r="D732" s="127"/>
      <c r="E732" s="127"/>
      <c r="G732" s="127"/>
      <c r="I732" s="99"/>
      <c r="J732" s="99"/>
      <c r="K732" s="99"/>
      <c r="L732" s="99"/>
      <c r="M732" s="99"/>
      <c r="AB732" s="99"/>
      <c r="AC732" s="99"/>
    </row>
    <row r="733" spans="3:29" ht="13">
      <c r="C733" s="127"/>
      <c r="D733" s="127"/>
      <c r="E733" s="127"/>
      <c r="G733" s="127"/>
      <c r="I733" s="99"/>
      <c r="J733" s="99"/>
      <c r="K733" s="99"/>
      <c r="L733" s="99"/>
      <c r="M733" s="99"/>
      <c r="AB733" s="99"/>
      <c r="AC733" s="99"/>
    </row>
    <row r="734" spans="3:29" ht="13">
      <c r="C734" s="127"/>
      <c r="D734" s="127"/>
      <c r="E734" s="127"/>
      <c r="G734" s="127"/>
      <c r="I734" s="99"/>
      <c r="J734" s="99"/>
      <c r="K734" s="99"/>
      <c r="L734" s="99"/>
      <c r="M734" s="99"/>
      <c r="AB734" s="99"/>
      <c r="AC734" s="99"/>
    </row>
    <row r="735" spans="3:29" ht="13">
      <c r="C735" s="127"/>
      <c r="D735" s="127"/>
      <c r="E735" s="127"/>
      <c r="G735" s="127"/>
      <c r="I735" s="99"/>
      <c r="J735" s="99"/>
      <c r="K735" s="99"/>
      <c r="L735" s="99"/>
      <c r="M735" s="99"/>
      <c r="AB735" s="99"/>
      <c r="AC735" s="99"/>
    </row>
    <row r="736" spans="3:29" ht="13">
      <c r="C736" s="127"/>
      <c r="D736" s="127"/>
      <c r="E736" s="127"/>
      <c r="G736" s="127"/>
      <c r="I736" s="99"/>
      <c r="J736" s="99"/>
      <c r="K736" s="99"/>
      <c r="L736" s="99"/>
      <c r="M736" s="99"/>
      <c r="AB736" s="99"/>
      <c r="AC736" s="99"/>
    </row>
    <row r="737" spans="3:29" ht="13">
      <c r="C737" s="127"/>
      <c r="D737" s="127"/>
      <c r="E737" s="127"/>
      <c r="G737" s="127"/>
      <c r="I737" s="99"/>
      <c r="J737" s="99"/>
      <c r="K737" s="99"/>
      <c r="L737" s="99"/>
      <c r="M737" s="99"/>
      <c r="AB737" s="99"/>
      <c r="AC737" s="99"/>
    </row>
    <row r="738" spans="3:29" ht="13">
      <c r="C738" s="127"/>
      <c r="D738" s="127"/>
      <c r="E738" s="127"/>
      <c r="G738" s="127"/>
      <c r="I738" s="99"/>
      <c r="J738" s="99"/>
      <c r="K738" s="99"/>
      <c r="L738" s="99"/>
      <c r="M738" s="99"/>
      <c r="AB738" s="99"/>
      <c r="AC738" s="99"/>
    </row>
    <row r="739" spans="3:29" ht="13">
      <c r="C739" s="127"/>
      <c r="D739" s="127"/>
      <c r="E739" s="127"/>
      <c r="G739" s="127"/>
      <c r="I739" s="99"/>
      <c r="J739" s="99"/>
      <c r="K739" s="99"/>
      <c r="L739" s="99"/>
      <c r="M739" s="99"/>
      <c r="AB739" s="99"/>
      <c r="AC739" s="99"/>
    </row>
    <row r="740" spans="3:29" ht="13">
      <c r="C740" s="127"/>
      <c r="D740" s="127"/>
      <c r="E740" s="127"/>
      <c r="G740" s="127"/>
      <c r="I740" s="99"/>
      <c r="J740" s="99"/>
      <c r="K740" s="99"/>
      <c r="L740" s="99"/>
      <c r="M740" s="99"/>
      <c r="AB740" s="99"/>
      <c r="AC740" s="99"/>
    </row>
    <row r="741" spans="3:29" ht="13">
      <c r="C741" s="127"/>
      <c r="D741" s="127"/>
      <c r="E741" s="127"/>
      <c r="G741" s="127"/>
      <c r="I741" s="99"/>
      <c r="J741" s="99"/>
      <c r="K741" s="99"/>
      <c r="L741" s="99"/>
      <c r="M741" s="99"/>
      <c r="AB741" s="99"/>
      <c r="AC741" s="99"/>
    </row>
    <row r="742" spans="3:29" ht="13">
      <c r="C742" s="127"/>
      <c r="D742" s="127"/>
      <c r="E742" s="127"/>
      <c r="G742" s="127"/>
      <c r="I742" s="99"/>
      <c r="J742" s="99"/>
      <c r="K742" s="99"/>
      <c r="L742" s="99"/>
      <c r="M742" s="99"/>
      <c r="AB742" s="99"/>
      <c r="AC742" s="99"/>
    </row>
    <row r="743" spans="3:29" ht="13">
      <c r="C743" s="127"/>
      <c r="D743" s="127"/>
      <c r="E743" s="127"/>
      <c r="G743" s="127"/>
      <c r="I743" s="99"/>
      <c r="J743" s="99"/>
      <c r="K743" s="99"/>
      <c r="L743" s="99"/>
      <c r="M743" s="99"/>
      <c r="AB743" s="99"/>
      <c r="AC743" s="99"/>
    </row>
    <row r="744" spans="3:29" ht="13">
      <c r="C744" s="127"/>
      <c r="D744" s="127"/>
      <c r="E744" s="127"/>
      <c r="G744" s="127"/>
      <c r="I744" s="99"/>
      <c r="J744" s="99"/>
      <c r="K744" s="99"/>
      <c r="L744" s="99"/>
      <c r="M744" s="99"/>
      <c r="AB744" s="99"/>
      <c r="AC744" s="99"/>
    </row>
    <row r="745" spans="3:29" ht="13">
      <c r="C745" s="127"/>
      <c r="D745" s="127"/>
      <c r="E745" s="127"/>
      <c r="G745" s="127"/>
      <c r="I745" s="99"/>
      <c r="J745" s="99"/>
      <c r="K745" s="99"/>
      <c r="L745" s="99"/>
      <c r="M745" s="99"/>
      <c r="AB745" s="99"/>
      <c r="AC745" s="99"/>
    </row>
    <row r="746" spans="3:29" ht="13">
      <c r="C746" s="127"/>
      <c r="D746" s="127"/>
      <c r="E746" s="127"/>
      <c r="G746" s="127"/>
      <c r="I746" s="99"/>
      <c r="J746" s="99"/>
      <c r="K746" s="99"/>
      <c r="L746" s="99"/>
      <c r="M746" s="99"/>
      <c r="AB746" s="99"/>
      <c r="AC746" s="99"/>
    </row>
    <row r="747" spans="3:29" ht="13">
      <c r="C747" s="127"/>
      <c r="D747" s="127"/>
      <c r="E747" s="127"/>
      <c r="G747" s="127"/>
      <c r="I747" s="99"/>
      <c r="J747" s="99"/>
      <c r="K747" s="99"/>
      <c r="L747" s="99"/>
      <c r="M747" s="99"/>
      <c r="AB747" s="99"/>
      <c r="AC747" s="99"/>
    </row>
    <row r="748" spans="3:29" ht="13">
      <c r="C748" s="127"/>
      <c r="D748" s="127"/>
      <c r="E748" s="127"/>
      <c r="G748" s="127"/>
      <c r="I748" s="99"/>
      <c r="J748" s="99"/>
      <c r="K748" s="99"/>
      <c r="L748" s="99"/>
      <c r="M748" s="99"/>
      <c r="AB748" s="99"/>
      <c r="AC748" s="99"/>
    </row>
    <row r="749" spans="3:29" ht="13">
      <c r="C749" s="127"/>
      <c r="D749" s="127"/>
      <c r="E749" s="127"/>
      <c r="G749" s="127"/>
      <c r="I749" s="99"/>
      <c r="J749" s="99"/>
      <c r="K749" s="99"/>
      <c r="L749" s="99"/>
      <c r="M749" s="99"/>
      <c r="AB749" s="99"/>
      <c r="AC749" s="99"/>
    </row>
    <row r="750" spans="3:29" ht="13">
      <c r="C750" s="127"/>
      <c r="D750" s="127"/>
      <c r="E750" s="127"/>
      <c r="G750" s="127"/>
      <c r="I750" s="99"/>
      <c r="J750" s="99"/>
      <c r="K750" s="99"/>
      <c r="L750" s="99"/>
      <c r="M750" s="99"/>
      <c r="AB750" s="99"/>
      <c r="AC750" s="99"/>
    </row>
    <row r="751" spans="3:29" ht="13">
      <c r="C751" s="127"/>
      <c r="D751" s="127"/>
      <c r="E751" s="127"/>
      <c r="G751" s="127"/>
      <c r="I751" s="99"/>
      <c r="J751" s="99"/>
      <c r="K751" s="99"/>
      <c r="L751" s="99"/>
      <c r="M751" s="99"/>
      <c r="AB751" s="99"/>
      <c r="AC751" s="99"/>
    </row>
    <row r="752" spans="3:29" ht="13">
      <c r="C752" s="127"/>
      <c r="D752" s="127"/>
      <c r="E752" s="127"/>
      <c r="G752" s="127"/>
      <c r="I752" s="99"/>
      <c r="J752" s="99"/>
      <c r="K752" s="99"/>
      <c r="L752" s="99"/>
      <c r="M752" s="99"/>
      <c r="AB752" s="99"/>
      <c r="AC752" s="99"/>
    </row>
    <row r="753" spans="3:29" ht="13">
      <c r="C753" s="127"/>
      <c r="D753" s="127"/>
      <c r="E753" s="127"/>
      <c r="G753" s="127"/>
      <c r="I753" s="99"/>
      <c r="J753" s="99"/>
      <c r="K753" s="99"/>
      <c r="L753" s="99"/>
      <c r="M753" s="99"/>
      <c r="AB753" s="99"/>
      <c r="AC753" s="99"/>
    </row>
    <row r="754" spans="3:29" ht="13">
      <c r="C754" s="127"/>
      <c r="D754" s="127"/>
      <c r="E754" s="127"/>
      <c r="G754" s="127"/>
      <c r="I754" s="99"/>
      <c r="J754" s="99"/>
      <c r="K754" s="99"/>
      <c r="L754" s="99"/>
      <c r="M754" s="99"/>
      <c r="AB754" s="99"/>
      <c r="AC754" s="99"/>
    </row>
    <row r="755" spans="3:29" ht="13">
      <c r="C755" s="127"/>
      <c r="D755" s="127"/>
      <c r="E755" s="127"/>
      <c r="G755" s="127"/>
      <c r="I755" s="99"/>
      <c r="J755" s="99"/>
      <c r="K755" s="99"/>
      <c r="L755" s="99"/>
      <c r="M755" s="99"/>
      <c r="AB755" s="99"/>
      <c r="AC755" s="99"/>
    </row>
    <row r="756" spans="3:29" ht="13">
      <c r="C756" s="127"/>
      <c r="D756" s="127"/>
      <c r="E756" s="127"/>
      <c r="G756" s="127"/>
      <c r="I756" s="99"/>
      <c r="J756" s="99"/>
      <c r="K756" s="99"/>
      <c r="L756" s="99"/>
      <c r="M756" s="99"/>
      <c r="AB756" s="99"/>
      <c r="AC756" s="99"/>
    </row>
    <row r="757" spans="3:29" ht="13">
      <c r="C757" s="127"/>
      <c r="D757" s="127"/>
      <c r="E757" s="127"/>
      <c r="G757" s="127"/>
      <c r="I757" s="99"/>
      <c r="J757" s="99"/>
      <c r="K757" s="99"/>
      <c r="L757" s="99"/>
      <c r="M757" s="99"/>
      <c r="AB757" s="99"/>
      <c r="AC757" s="99"/>
    </row>
    <row r="758" spans="3:29" ht="13">
      <c r="C758" s="127"/>
      <c r="D758" s="127"/>
      <c r="E758" s="127"/>
      <c r="G758" s="127"/>
      <c r="I758" s="99"/>
      <c r="J758" s="99"/>
      <c r="K758" s="99"/>
      <c r="L758" s="99"/>
      <c r="M758" s="99"/>
      <c r="AB758" s="99"/>
      <c r="AC758" s="99"/>
    </row>
    <row r="759" spans="3:29" ht="13">
      <c r="C759" s="127"/>
      <c r="D759" s="127"/>
      <c r="E759" s="127"/>
      <c r="G759" s="127"/>
      <c r="I759" s="99"/>
      <c r="J759" s="99"/>
      <c r="K759" s="99"/>
      <c r="L759" s="99"/>
      <c r="M759" s="99"/>
      <c r="AB759" s="99"/>
      <c r="AC759" s="99"/>
    </row>
    <row r="760" spans="3:29" ht="13">
      <c r="C760" s="127"/>
      <c r="D760" s="127"/>
      <c r="E760" s="127"/>
      <c r="G760" s="127"/>
      <c r="I760" s="99"/>
      <c r="J760" s="99"/>
      <c r="K760" s="99"/>
      <c r="L760" s="99"/>
      <c r="M760" s="99"/>
      <c r="AB760" s="99"/>
      <c r="AC760" s="99"/>
    </row>
    <row r="761" spans="3:29" ht="13">
      <c r="C761" s="127"/>
      <c r="D761" s="127"/>
      <c r="E761" s="127"/>
      <c r="G761" s="127"/>
      <c r="I761" s="99"/>
      <c r="J761" s="99"/>
      <c r="K761" s="99"/>
      <c r="L761" s="99"/>
      <c r="M761" s="99"/>
      <c r="AB761" s="99"/>
      <c r="AC761" s="99"/>
    </row>
    <row r="762" spans="3:29" ht="13">
      <c r="C762" s="127"/>
      <c r="D762" s="127"/>
      <c r="E762" s="127"/>
      <c r="G762" s="127"/>
      <c r="I762" s="99"/>
      <c r="J762" s="99"/>
      <c r="K762" s="99"/>
      <c r="L762" s="99"/>
      <c r="M762" s="99"/>
      <c r="AB762" s="99"/>
      <c r="AC762" s="99"/>
    </row>
    <row r="763" spans="3:29" ht="13">
      <c r="C763" s="127"/>
      <c r="D763" s="127"/>
      <c r="E763" s="127"/>
      <c r="G763" s="127"/>
      <c r="I763" s="99"/>
      <c r="J763" s="99"/>
      <c r="K763" s="99"/>
      <c r="L763" s="99"/>
      <c r="M763" s="99"/>
      <c r="AB763" s="99"/>
      <c r="AC763" s="99"/>
    </row>
    <row r="764" spans="3:29" ht="13">
      <c r="C764" s="127"/>
      <c r="D764" s="127"/>
      <c r="E764" s="127"/>
      <c r="G764" s="127"/>
      <c r="I764" s="99"/>
      <c r="J764" s="99"/>
      <c r="K764" s="99"/>
      <c r="L764" s="99"/>
      <c r="M764" s="99"/>
      <c r="AB764" s="99"/>
      <c r="AC764" s="99"/>
    </row>
    <row r="765" spans="3:29" ht="13">
      <c r="C765" s="127"/>
      <c r="D765" s="127"/>
      <c r="E765" s="127"/>
      <c r="G765" s="127"/>
      <c r="I765" s="99"/>
      <c r="J765" s="99"/>
      <c r="K765" s="99"/>
      <c r="L765" s="99"/>
      <c r="M765" s="99"/>
      <c r="AB765" s="99"/>
      <c r="AC765" s="99"/>
    </row>
    <row r="766" spans="3:29" ht="13">
      <c r="C766" s="127"/>
      <c r="D766" s="127"/>
      <c r="E766" s="127"/>
      <c r="G766" s="127"/>
      <c r="I766" s="99"/>
      <c r="J766" s="99"/>
      <c r="K766" s="99"/>
      <c r="L766" s="99"/>
      <c r="M766" s="99"/>
      <c r="AB766" s="99"/>
      <c r="AC766" s="99"/>
    </row>
    <row r="767" spans="3:29" ht="13">
      <c r="C767" s="127"/>
      <c r="D767" s="127"/>
      <c r="E767" s="127"/>
      <c r="G767" s="127"/>
      <c r="I767" s="99"/>
      <c r="J767" s="99"/>
      <c r="K767" s="99"/>
      <c r="L767" s="99"/>
      <c r="M767" s="99"/>
      <c r="AB767" s="99"/>
      <c r="AC767" s="99"/>
    </row>
    <row r="768" spans="3:29" ht="13">
      <c r="C768" s="127"/>
      <c r="D768" s="127"/>
      <c r="E768" s="127"/>
      <c r="G768" s="127"/>
      <c r="I768" s="99"/>
      <c r="J768" s="99"/>
      <c r="K768" s="99"/>
      <c r="L768" s="99"/>
      <c r="M768" s="99"/>
      <c r="AB768" s="99"/>
      <c r="AC768" s="99"/>
    </row>
    <row r="769" spans="3:29" ht="13">
      <c r="C769" s="127"/>
      <c r="D769" s="127"/>
      <c r="E769" s="127"/>
      <c r="G769" s="127"/>
      <c r="I769" s="99"/>
      <c r="J769" s="99"/>
      <c r="K769" s="99"/>
      <c r="L769" s="99"/>
      <c r="M769" s="99"/>
      <c r="AB769" s="99"/>
      <c r="AC769" s="99"/>
    </row>
    <row r="770" spans="3:29" ht="13">
      <c r="C770" s="127"/>
      <c r="D770" s="127"/>
      <c r="E770" s="127"/>
      <c r="G770" s="127"/>
      <c r="I770" s="99"/>
      <c r="J770" s="99"/>
      <c r="K770" s="99"/>
      <c r="L770" s="99"/>
      <c r="M770" s="99"/>
      <c r="AB770" s="99"/>
      <c r="AC770" s="99"/>
    </row>
    <row r="771" spans="3:29" ht="13">
      <c r="C771" s="127"/>
      <c r="D771" s="127"/>
      <c r="E771" s="127"/>
      <c r="G771" s="127"/>
      <c r="I771" s="99"/>
      <c r="J771" s="99"/>
      <c r="K771" s="99"/>
      <c r="L771" s="99"/>
      <c r="M771" s="99"/>
      <c r="AB771" s="99"/>
      <c r="AC771" s="99"/>
    </row>
    <row r="772" spans="3:29" ht="13">
      <c r="C772" s="127"/>
      <c r="D772" s="127"/>
      <c r="E772" s="127"/>
      <c r="G772" s="127"/>
      <c r="I772" s="99"/>
      <c r="J772" s="99"/>
      <c r="K772" s="99"/>
      <c r="L772" s="99"/>
      <c r="M772" s="99"/>
      <c r="AB772" s="99"/>
      <c r="AC772" s="99"/>
    </row>
    <row r="773" spans="3:29" ht="13">
      <c r="C773" s="127"/>
      <c r="D773" s="127"/>
      <c r="E773" s="127"/>
      <c r="G773" s="127"/>
      <c r="I773" s="99"/>
      <c r="J773" s="99"/>
      <c r="K773" s="99"/>
      <c r="L773" s="99"/>
      <c r="M773" s="99"/>
      <c r="AB773" s="99"/>
      <c r="AC773" s="99"/>
    </row>
    <row r="774" spans="3:29" ht="13">
      <c r="C774" s="127"/>
      <c r="D774" s="127"/>
      <c r="E774" s="127"/>
      <c r="G774" s="127"/>
      <c r="I774" s="99"/>
      <c r="J774" s="99"/>
      <c r="K774" s="99"/>
      <c r="L774" s="99"/>
      <c r="M774" s="99"/>
      <c r="AB774" s="99"/>
      <c r="AC774" s="99"/>
    </row>
    <row r="775" spans="3:29" ht="13">
      <c r="C775" s="127"/>
      <c r="D775" s="127"/>
      <c r="E775" s="127"/>
      <c r="G775" s="127"/>
      <c r="I775" s="99"/>
      <c r="J775" s="99"/>
      <c r="K775" s="99"/>
      <c r="L775" s="99"/>
      <c r="M775" s="99"/>
      <c r="AB775" s="99"/>
      <c r="AC775" s="99"/>
    </row>
    <row r="776" spans="3:29" ht="13">
      <c r="C776" s="127"/>
      <c r="D776" s="127"/>
      <c r="E776" s="127"/>
      <c r="G776" s="127"/>
      <c r="I776" s="99"/>
      <c r="J776" s="99"/>
      <c r="K776" s="99"/>
      <c r="L776" s="99"/>
      <c r="M776" s="99"/>
      <c r="AB776" s="99"/>
      <c r="AC776" s="99"/>
    </row>
    <row r="777" spans="3:29" ht="13">
      <c r="C777" s="127"/>
      <c r="D777" s="127"/>
      <c r="E777" s="127"/>
      <c r="G777" s="127"/>
      <c r="I777" s="99"/>
      <c r="J777" s="99"/>
      <c r="K777" s="99"/>
      <c r="L777" s="99"/>
      <c r="M777" s="99"/>
      <c r="AB777" s="99"/>
      <c r="AC777" s="99"/>
    </row>
    <row r="778" spans="3:29" ht="13">
      <c r="C778" s="127"/>
      <c r="D778" s="127"/>
      <c r="E778" s="127"/>
      <c r="G778" s="127"/>
      <c r="I778" s="99"/>
      <c r="J778" s="99"/>
      <c r="K778" s="99"/>
      <c r="L778" s="99"/>
      <c r="M778" s="99"/>
      <c r="AB778" s="99"/>
      <c r="AC778" s="99"/>
    </row>
    <row r="779" spans="3:29" ht="13">
      <c r="C779" s="127"/>
      <c r="D779" s="127"/>
      <c r="E779" s="127"/>
      <c r="G779" s="127"/>
      <c r="I779" s="99"/>
      <c r="J779" s="99"/>
      <c r="K779" s="99"/>
      <c r="L779" s="99"/>
      <c r="M779" s="99"/>
      <c r="AB779" s="99"/>
      <c r="AC779" s="99"/>
    </row>
    <row r="780" spans="3:29" ht="13">
      <c r="C780" s="127"/>
      <c r="D780" s="127"/>
      <c r="E780" s="127"/>
      <c r="G780" s="127"/>
      <c r="I780" s="99"/>
      <c r="J780" s="99"/>
      <c r="K780" s="99"/>
      <c r="L780" s="99"/>
      <c r="M780" s="99"/>
      <c r="AB780" s="99"/>
      <c r="AC780" s="99"/>
    </row>
    <row r="781" spans="3:29" ht="13">
      <c r="C781" s="127"/>
      <c r="D781" s="127"/>
      <c r="E781" s="127"/>
      <c r="G781" s="127"/>
      <c r="I781" s="99"/>
      <c r="J781" s="99"/>
      <c r="K781" s="99"/>
      <c r="L781" s="99"/>
      <c r="M781" s="99"/>
      <c r="AB781" s="99"/>
      <c r="AC781" s="99"/>
    </row>
    <row r="782" spans="3:29" ht="13">
      <c r="C782" s="127"/>
      <c r="D782" s="127"/>
      <c r="E782" s="127"/>
      <c r="G782" s="127"/>
      <c r="I782" s="99"/>
      <c r="J782" s="99"/>
      <c r="K782" s="99"/>
      <c r="L782" s="99"/>
      <c r="M782" s="99"/>
      <c r="AB782" s="99"/>
      <c r="AC782" s="99"/>
    </row>
    <row r="783" spans="3:29" ht="13">
      <c r="C783" s="127"/>
      <c r="D783" s="127"/>
      <c r="E783" s="127"/>
      <c r="G783" s="127"/>
      <c r="I783" s="99"/>
      <c r="J783" s="99"/>
      <c r="K783" s="99"/>
      <c r="L783" s="99"/>
      <c r="M783" s="99"/>
      <c r="AB783" s="99"/>
      <c r="AC783" s="99"/>
    </row>
    <row r="784" spans="3:29" ht="13">
      <c r="C784" s="127"/>
      <c r="D784" s="127"/>
      <c r="E784" s="127"/>
      <c r="G784" s="127"/>
      <c r="I784" s="99"/>
      <c r="J784" s="99"/>
      <c r="K784" s="99"/>
      <c r="L784" s="99"/>
      <c r="M784" s="99"/>
      <c r="AB784" s="99"/>
      <c r="AC784" s="99"/>
    </row>
    <row r="785" spans="3:29" ht="13">
      <c r="C785" s="127"/>
      <c r="D785" s="127"/>
      <c r="E785" s="127"/>
      <c r="G785" s="127"/>
      <c r="I785" s="99"/>
      <c r="J785" s="99"/>
      <c r="K785" s="99"/>
      <c r="L785" s="99"/>
      <c r="M785" s="99"/>
      <c r="AB785" s="99"/>
      <c r="AC785" s="99"/>
    </row>
    <row r="786" spans="3:29" ht="13">
      <c r="C786" s="127"/>
      <c r="D786" s="127"/>
      <c r="E786" s="127"/>
      <c r="G786" s="127"/>
      <c r="I786" s="99"/>
      <c r="J786" s="99"/>
      <c r="K786" s="99"/>
      <c r="L786" s="99"/>
      <c r="M786" s="99"/>
      <c r="AB786" s="99"/>
      <c r="AC786" s="99"/>
    </row>
    <row r="787" spans="3:29" ht="13">
      <c r="C787" s="127"/>
      <c r="D787" s="127"/>
      <c r="E787" s="127"/>
      <c r="G787" s="127"/>
      <c r="I787" s="99"/>
      <c r="J787" s="99"/>
      <c r="K787" s="99"/>
      <c r="L787" s="99"/>
      <c r="M787" s="99"/>
      <c r="AB787" s="99"/>
      <c r="AC787" s="99"/>
    </row>
    <row r="788" spans="3:29" ht="13">
      <c r="C788" s="127"/>
      <c r="D788" s="127"/>
      <c r="E788" s="127"/>
      <c r="G788" s="127"/>
      <c r="I788" s="99"/>
      <c r="J788" s="99"/>
      <c r="K788" s="99"/>
      <c r="L788" s="99"/>
      <c r="M788" s="99"/>
      <c r="AB788" s="99"/>
      <c r="AC788" s="99"/>
    </row>
    <row r="789" spans="3:29" ht="13">
      <c r="C789" s="127"/>
      <c r="D789" s="127"/>
      <c r="E789" s="127"/>
      <c r="G789" s="127"/>
      <c r="I789" s="99"/>
      <c r="J789" s="99"/>
      <c r="K789" s="99"/>
      <c r="L789" s="99"/>
      <c r="M789" s="99"/>
      <c r="AB789" s="99"/>
      <c r="AC789" s="99"/>
    </row>
    <row r="790" spans="3:29" ht="13">
      <c r="C790" s="127"/>
      <c r="D790" s="127"/>
      <c r="E790" s="127"/>
      <c r="G790" s="127"/>
      <c r="I790" s="99"/>
      <c r="J790" s="99"/>
      <c r="K790" s="99"/>
      <c r="L790" s="99"/>
      <c r="M790" s="99"/>
      <c r="AB790" s="99"/>
      <c r="AC790" s="99"/>
    </row>
    <row r="791" spans="3:29" ht="13">
      <c r="C791" s="127"/>
      <c r="D791" s="127"/>
      <c r="E791" s="127"/>
      <c r="G791" s="127"/>
      <c r="I791" s="99"/>
      <c r="J791" s="99"/>
      <c r="K791" s="99"/>
      <c r="L791" s="99"/>
      <c r="M791" s="99"/>
      <c r="AB791" s="99"/>
      <c r="AC791" s="99"/>
    </row>
    <row r="792" spans="3:29" ht="13">
      <c r="C792" s="127"/>
      <c r="D792" s="127"/>
      <c r="E792" s="127"/>
      <c r="G792" s="127"/>
      <c r="I792" s="99"/>
      <c r="J792" s="99"/>
      <c r="K792" s="99"/>
      <c r="L792" s="99"/>
      <c r="M792" s="99"/>
      <c r="AB792" s="99"/>
      <c r="AC792" s="99"/>
    </row>
    <row r="793" spans="3:29" ht="13">
      <c r="C793" s="127"/>
      <c r="D793" s="127"/>
      <c r="E793" s="127"/>
      <c r="G793" s="127"/>
      <c r="I793" s="99"/>
      <c r="J793" s="99"/>
      <c r="K793" s="99"/>
      <c r="L793" s="99"/>
      <c r="M793" s="99"/>
      <c r="AB793" s="99"/>
      <c r="AC793" s="99"/>
    </row>
    <row r="794" spans="3:29" ht="13">
      <c r="C794" s="127"/>
      <c r="D794" s="127"/>
      <c r="E794" s="127"/>
      <c r="G794" s="127"/>
      <c r="I794" s="99"/>
      <c r="J794" s="99"/>
      <c r="K794" s="99"/>
      <c r="L794" s="99"/>
      <c r="M794" s="99"/>
      <c r="AB794" s="99"/>
      <c r="AC794" s="99"/>
    </row>
    <row r="795" spans="3:29" ht="13">
      <c r="C795" s="127"/>
      <c r="D795" s="127"/>
      <c r="E795" s="127"/>
      <c r="G795" s="127"/>
      <c r="I795" s="99"/>
      <c r="J795" s="99"/>
      <c r="K795" s="99"/>
      <c r="L795" s="99"/>
      <c r="M795" s="99"/>
      <c r="AB795" s="99"/>
      <c r="AC795" s="99"/>
    </row>
    <row r="796" spans="3:29" ht="13">
      <c r="C796" s="127"/>
      <c r="D796" s="127"/>
      <c r="E796" s="127"/>
      <c r="G796" s="127"/>
      <c r="I796" s="99"/>
      <c r="J796" s="99"/>
      <c r="K796" s="99"/>
      <c r="L796" s="99"/>
      <c r="M796" s="99"/>
      <c r="AB796" s="99"/>
      <c r="AC796" s="99"/>
    </row>
    <row r="797" spans="3:29" ht="13">
      <c r="C797" s="127"/>
      <c r="D797" s="127"/>
      <c r="E797" s="127"/>
      <c r="G797" s="127"/>
      <c r="I797" s="99"/>
      <c r="J797" s="99"/>
      <c r="K797" s="99"/>
      <c r="L797" s="99"/>
      <c r="M797" s="99"/>
      <c r="AB797" s="99"/>
      <c r="AC797" s="99"/>
    </row>
    <row r="798" spans="3:29" ht="13">
      <c r="C798" s="127"/>
      <c r="D798" s="127"/>
      <c r="E798" s="127"/>
      <c r="G798" s="127"/>
      <c r="I798" s="99"/>
      <c r="J798" s="99"/>
      <c r="K798" s="99"/>
      <c r="L798" s="99"/>
      <c r="M798" s="99"/>
      <c r="AB798" s="99"/>
      <c r="AC798" s="99"/>
    </row>
    <row r="799" spans="3:29" ht="13">
      <c r="C799" s="127"/>
      <c r="D799" s="127"/>
      <c r="E799" s="127"/>
      <c r="G799" s="127"/>
      <c r="I799" s="99"/>
      <c r="J799" s="99"/>
      <c r="K799" s="99"/>
      <c r="L799" s="99"/>
      <c r="M799" s="99"/>
      <c r="AB799" s="99"/>
      <c r="AC799" s="99"/>
    </row>
    <row r="800" spans="3:29" ht="13">
      <c r="C800" s="127"/>
      <c r="D800" s="127"/>
      <c r="E800" s="127"/>
      <c r="G800" s="127"/>
      <c r="I800" s="99"/>
      <c r="J800" s="99"/>
      <c r="K800" s="99"/>
      <c r="L800" s="99"/>
      <c r="M800" s="99"/>
      <c r="AB800" s="99"/>
      <c r="AC800" s="99"/>
    </row>
    <row r="801" spans="3:29" ht="13">
      <c r="C801" s="127"/>
      <c r="D801" s="127"/>
      <c r="E801" s="127"/>
      <c r="G801" s="127"/>
      <c r="I801" s="99"/>
      <c r="J801" s="99"/>
      <c r="K801" s="99"/>
      <c r="L801" s="99"/>
      <c r="M801" s="99"/>
      <c r="AB801" s="99"/>
      <c r="AC801" s="99"/>
    </row>
    <row r="802" spans="3:29" ht="13">
      <c r="C802" s="127"/>
      <c r="D802" s="127"/>
      <c r="E802" s="127"/>
      <c r="G802" s="127"/>
      <c r="I802" s="99"/>
      <c r="J802" s="99"/>
      <c r="K802" s="99"/>
      <c r="L802" s="99"/>
      <c r="M802" s="99"/>
      <c r="AB802" s="99"/>
      <c r="AC802" s="99"/>
    </row>
    <row r="803" spans="3:29" ht="13">
      <c r="C803" s="127"/>
      <c r="D803" s="127"/>
      <c r="E803" s="127"/>
      <c r="G803" s="127"/>
      <c r="I803" s="99"/>
      <c r="J803" s="99"/>
      <c r="K803" s="99"/>
      <c r="L803" s="99"/>
      <c r="M803" s="99"/>
      <c r="AB803" s="99"/>
      <c r="AC803" s="99"/>
    </row>
    <row r="804" spans="3:29" ht="13">
      <c r="C804" s="127"/>
      <c r="D804" s="127"/>
      <c r="E804" s="127"/>
      <c r="G804" s="127"/>
      <c r="I804" s="99"/>
      <c r="J804" s="99"/>
      <c r="K804" s="99"/>
      <c r="L804" s="99"/>
      <c r="M804" s="99"/>
      <c r="AB804" s="99"/>
      <c r="AC804" s="99"/>
    </row>
    <row r="805" spans="3:29" ht="13">
      <c r="C805" s="127"/>
      <c r="D805" s="127"/>
      <c r="E805" s="127"/>
      <c r="G805" s="127"/>
      <c r="I805" s="99"/>
      <c r="J805" s="99"/>
      <c r="K805" s="99"/>
      <c r="L805" s="99"/>
      <c r="M805" s="99"/>
      <c r="AB805" s="99"/>
      <c r="AC805" s="99"/>
    </row>
    <row r="806" spans="3:29" ht="13">
      <c r="C806" s="127"/>
      <c r="D806" s="127"/>
      <c r="E806" s="127"/>
      <c r="G806" s="127"/>
      <c r="I806" s="99"/>
      <c r="J806" s="99"/>
      <c r="K806" s="99"/>
      <c r="L806" s="99"/>
      <c r="M806" s="99"/>
      <c r="AB806" s="99"/>
      <c r="AC806" s="99"/>
    </row>
    <row r="807" spans="3:29" ht="13">
      <c r="C807" s="127"/>
      <c r="D807" s="127"/>
      <c r="E807" s="127"/>
      <c r="G807" s="127"/>
      <c r="I807" s="99"/>
      <c r="J807" s="99"/>
      <c r="K807" s="99"/>
      <c r="L807" s="99"/>
      <c r="M807" s="99"/>
      <c r="AB807" s="99"/>
      <c r="AC807" s="99"/>
    </row>
    <row r="808" spans="3:29" ht="13">
      <c r="C808" s="127"/>
      <c r="D808" s="127"/>
      <c r="E808" s="127"/>
      <c r="G808" s="127"/>
      <c r="I808" s="99"/>
      <c r="J808" s="99"/>
      <c r="K808" s="99"/>
      <c r="L808" s="99"/>
      <c r="M808" s="99"/>
      <c r="AB808" s="99"/>
      <c r="AC808" s="99"/>
    </row>
    <row r="809" spans="3:29" ht="13">
      <c r="C809" s="127"/>
      <c r="D809" s="127"/>
      <c r="E809" s="127"/>
      <c r="G809" s="127"/>
      <c r="I809" s="99"/>
      <c r="J809" s="99"/>
      <c r="K809" s="99"/>
      <c r="L809" s="99"/>
      <c r="M809" s="99"/>
      <c r="AB809" s="99"/>
      <c r="AC809" s="99"/>
    </row>
    <row r="810" spans="3:29" ht="13">
      <c r="C810" s="127"/>
      <c r="D810" s="127"/>
      <c r="E810" s="127"/>
      <c r="G810" s="127"/>
      <c r="I810" s="99"/>
      <c r="J810" s="99"/>
      <c r="K810" s="99"/>
      <c r="L810" s="99"/>
      <c r="M810" s="99"/>
      <c r="AB810" s="99"/>
      <c r="AC810" s="99"/>
    </row>
    <row r="811" spans="3:29" ht="13">
      <c r="C811" s="127"/>
      <c r="D811" s="127"/>
      <c r="E811" s="127"/>
      <c r="G811" s="127"/>
      <c r="I811" s="99"/>
      <c r="J811" s="99"/>
      <c r="K811" s="99"/>
      <c r="L811" s="99"/>
      <c r="M811" s="99"/>
      <c r="AB811" s="99"/>
      <c r="AC811" s="99"/>
    </row>
    <row r="812" spans="3:29" ht="13">
      <c r="C812" s="127"/>
      <c r="D812" s="127"/>
      <c r="E812" s="127"/>
      <c r="G812" s="127"/>
      <c r="I812" s="99"/>
      <c r="J812" s="99"/>
      <c r="K812" s="99"/>
      <c r="L812" s="99"/>
      <c r="M812" s="99"/>
      <c r="AB812" s="99"/>
      <c r="AC812" s="99"/>
    </row>
    <row r="813" spans="3:29" ht="13">
      <c r="C813" s="127"/>
      <c r="D813" s="127"/>
      <c r="E813" s="127"/>
      <c r="G813" s="127"/>
      <c r="I813" s="99"/>
      <c r="J813" s="99"/>
      <c r="K813" s="99"/>
      <c r="L813" s="99"/>
      <c r="M813" s="99"/>
      <c r="AB813" s="99"/>
      <c r="AC813" s="99"/>
    </row>
    <row r="814" spans="3:29" ht="13">
      <c r="C814" s="127"/>
      <c r="D814" s="127"/>
      <c r="E814" s="127"/>
      <c r="G814" s="127"/>
      <c r="I814" s="99"/>
      <c r="J814" s="99"/>
      <c r="K814" s="99"/>
      <c r="L814" s="99"/>
      <c r="M814" s="99"/>
      <c r="AB814" s="99"/>
      <c r="AC814" s="99"/>
    </row>
    <row r="815" spans="3:29" ht="13">
      <c r="C815" s="127"/>
      <c r="D815" s="127"/>
      <c r="E815" s="127"/>
      <c r="G815" s="127"/>
      <c r="I815" s="99"/>
      <c r="J815" s="99"/>
      <c r="K815" s="99"/>
      <c r="L815" s="99"/>
      <c r="M815" s="99"/>
      <c r="AB815" s="99"/>
      <c r="AC815" s="99"/>
    </row>
    <row r="816" spans="3:29" ht="13">
      <c r="C816" s="127"/>
      <c r="D816" s="127"/>
      <c r="E816" s="127"/>
      <c r="G816" s="127"/>
      <c r="I816" s="99"/>
      <c r="J816" s="99"/>
      <c r="K816" s="99"/>
      <c r="L816" s="99"/>
      <c r="M816" s="99"/>
      <c r="AB816" s="99"/>
      <c r="AC816" s="99"/>
    </row>
    <row r="817" spans="3:29" ht="13">
      <c r="C817" s="127"/>
      <c r="D817" s="127"/>
      <c r="E817" s="127"/>
      <c r="G817" s="127"/>
      <c r="I817" s="99"/>
      <c r="J817" s="99"/>
      <c r="K817" s="99"/>
      <c r="L817" s="99"/>
      <c r="M817" s="99"/>
      <c r="AB817" s="99"/>
      <c r="AC817" s="99"/>
    </row>
    <row r="818" spans="3:29" ht="13">
      <c r="C818" s="127"/>
      <c r="D818" s="127"/>
      <c r="E818" s="127"/>
      <c r="G818" s="127"/>
      <c r="I818" s="99"/>
      <c r="J818" s="99"/>
      <c r="K818" s="99"/>
      <c r="L818" s="99"/>
      <c r="M818" s="99"/>
      <c r="AB818" s="99"/>
      <c r="AC818" s="99"/>
    </row>
    <row r="819" spans="3:29" ht="13">
      <c r="C819" s="127"/>
      <c r="D819" s="127"/>
      <c r="E819" s="127"/>
      <c r="G819" s="127"/>
      <c r="I819" s="99"/>
      <c r="J819" s="99"/>
      <c r="K819" s="99"/>
      <c r="L819" s="99"/>
      <c r="M819" s="99"/>
      <c r="AB819" s="99"/>
      <c r="AC819" s="99"/>
    </row>
    <row r="820" spans="3:29" ht="13">
      <c r="C820" s="127"/>
      <c r="D820" s="127"/>
      <c r="E820" s="127"/>
      <c r="G820" s="127"/>
      <c r="I820" s="99"/>
      <c r="J820" s="99"/>
      <c r="K820" s="99"/>
      <c r="L820" s="99"/>
      <c r="M820" s="99"/>
      <c r="AB820" s="99"/>
      <c r="AC820" s="99"/>
    </row>
    <row r="821" spans="3:29" ht="13">
      <c r="C821" s="127"/>
      <c r="D821" s="127"/>
      <c r="E821" s="127"/>
      <c r="G821" s="127"/>
      <c r="I821" s="99"/>
      <c r="J821" s="99"/>
      <c r="K821" s="99"/>
      <c r="L821" s="99"/>
      <c r="M821" s="99"/>
      <c r="AB821" s="99"/>
      <c r="AC821" s="99"/>
    </row>
    <row r="822" spans="3:29" ht="13">
      <c r="C822" s="127"/>
      <c r="D822" s="127"/>
      <c r="E822" s="127"/>
      <c r="G822" s="127"/>
      <c r="I822" s="99"/>
      <c r="J822" s="99"/>
      <c r="K822" s="99"/>
      <c r="L822" s="99"/>
      <c r="M822" s="99"/>
      <c r="AB822" s="99"/>
      <c r="AC822" s="99"/>
    </row>
    <row r="823" spans="3:29" ht="13">
      <c r="C823" s="127"/>
      <c r="D823" s="127"/>
      <c r="E823" s="127"/>
      <c r="G823" s="127"/>
      <c r="I823" s="99"/>
      <c r="J823" s="99"/>
      <c r="K823" s="99"/>
      <c r="L823" s="99"/>
      <c r="M823" s="99"/>
      <c r="AB823" s="99"/>
      <c r="AC823" s="99"/>
    </row>
    <row r="824" spans="3:29" ht="13">
      <c r="C824" s="127"/>
      <c r="D824" s="127"/>
      <c r="E824" s="127"/>
      <c r="G824" s="127"/>
      <c r="I824" s="99"/>
      <c r="J824" s="99"/>
      <c r="K824" s="99"/>
      <c r="L824" s="99"/>
      <c r="M824" s="99"/>
      <c r="AB824" s="99"/>
      <c r="AC824" s="99"/>
    </row>
    <row r="825" spans="3:29" ht="13">
      <c r="C825" s="127"/>
      <c r="D825" s="127"/>
      <c r="E825" s="127"/>
      <c r="G825" s="127"/>
      <c r="I825" s="99"/>
      <c r="J825" s="99"/>
      <c r="K825" s="99"/>
      <c r="L825" s="99"/>
      <c r="M825" s="99"/>
      <c r="AB825" s="99"/>
      <c r="AC825" s="99"/>
    </row>
    <row r="826" spans="3:29" ht="13">
      <c r="C826" s="127"/>
      <c r="D826" s="127"/>
      <c r="E826" s="127"/>
      <c r="G826" s="127"/>
      <c r="I826" s="99"/>
      <c r="J826" s="99"/>
      <c r="K826" s="99"/>
      <c r="L826" s="99"/>
      <c r="M826" s="99"/>
      <c r="AB826" s="99"/>
      <c r="AC826" s="99"/>
    </row>
    <row r="827" spans="3:29" ht="13">
      <c r="C827" s="127"/>
      <c r="D827" s="127"/>
      <c r="E827" s="127"/>
      <c r="G827" s="127"/>
      <c r="I827" s="99"/>
      <c r="J827" s="99"/>
      <c r="K827" s="99"/>
      <c r="L827" s="99"/>
      <c r="M827" s="99"/>
      <c r="AB827" s="99"/>
      <c r="AC827" s="99"/>
    </row>
    <row r="828" spans="3:29" ht="13">
      <c r="C828" s="127"/>
      <c r="D828" s="127"/>
      <c r="E828" s="127"/>
      <c r="G828" s="127"/>
      <c r="I828" s="99"/>
      <c r="J828" s="99"/>
      <c r="K828" s="99"/>
      <c r="L828" s="99"/>
      <c r="M828" s="99"/>
      <c r="AB828" s="99"/>
      <c r="AC828" s="99"/>
    </row>
    <row r="829" spans="3:29" ht="13">
      <c r="C829" s="127"/>
      <c r="D829" s="127"/>
      <c r="E829" s="127"/>
      <c r="G829" s="127"/>
      <c r="I829" s="99"/>
      <c r="J829" s="99"/>
      <c r="K829" s="99"/>
      <c r="L829" s="99"/>
      <c r="M829" s="99"/>
      <c r="AB829" s="99"/>
      <c r="AC829" s="99"/>
    </row>
    <row r="830" spans="3:29" ht="13">
      <c r="C830" s="127"/>
      <c r="D830" s="127"/>
      <c r="E830" s="127"/>
      <c r="G830" s="127"/>
      <c r="I830" s="99"/>
      <c r="J830" s="99"/>
      <c r="K830" s="99"/>
      <c r="L830" s="99"/>
      <c r="M830" s="99"/>
      <c r="AB830" s="99"/>
      <c r="AC830" s="99"/>
    </row>
    <row r="831" spans="3:29" ht="13">
      <c r="C831" s="127"/>
      <c r="D831" s="127"/>
      <c r="E831" s="127"/>
      <c r="G831" s="127"/>
      <c r="I831" s="99"/>
      <c r="J831" s="99"/>
      <c r="K831" s="99"/>
      <c r="L831" s="99"/>
      <c r="M831" s="99"/>
      <c r="AB831" s="99"/>
      <c r="AC831" s="99"/>
    </row>
    <row r="832" spans="3:29" ht="13">
      <c r="C832" s="127"/>
      <c r="D832" s="127"/>
      <c r="E832" s="127"/>
      <c r="G832" s="127"/>
      <c r="I832" s="99"/>
      <c r="J832" s="99"/>
      <c r="K832" s="99"/>
      <c r="L832" s="99"/>
      <c r="M832" s="99"/>
      <c r="AB832" s="99"/>
      <c r="AC832" s="99"/>
    </row>
    <row r="833" spans="3:29" ht="13">
      <c r="C833" s="127"/>
      <c r="D833" s="127"/>
      <c r="E833" s="127"/>
      <c r="G833" s="127"/>
      <c r="I833" s="99"/>
      <c r="J833" s="99"/>
      <c r="K833" s="99"/>
      <c r="L833" s="99"/>
      <c r="M833" s="99"/>
      <c r="AB833" s="99"/>
      <c r="AC833" s="99"/>
    </row>
    <row r="834" spans="3:29" ht="13">
      <c r="C834" s="127"/>
      <c r="D834" s="127"/>
      <c r="E834" s="127"/>
      <c r="G834" s="127"/>
      <c r="I834" s="99"/>
      <c r="J834" s="99"/>
      <c r="K834" s="99"/>
      <c r="L834" s="99"/>
      <c r="M834" s="99"/>
      <c r="AB834" s="99"/>
      <c r="AC834" s="99"/>
    </row>
    <row r="835" spans="3:29" ht="13">
      <c r="C835" s="127"/>
      <c r="D835" s="127"/>
      <c r="E835" s="127"/>
      <c r="G835" s="127"/>
      <c r="I835" s="99"/>
      <c r="J835" s="99"/>
      <c r="K835" s="99"/>
      <c r="L835" s="99"/>
      <c r="M835" s="99"/>
      <c r="AB835" s="99"/>
      <c r="AC835" s="99"/>
    </row>
    <row r="836" spans="3:29" ht="13">
      <c r="C836" s="127"/>
      <c r="D836" s="127"/>
      <c r="E836" s="127"/>
      <c r="G836" s="127"/>
      <c r="I836" s="99"/>
      <c r="J836" s="99"/>
      <c r="K836" s="99"/>
      <c r="L836" s="99"/>
      <c r="M836" s="99"/>
      <c r="AB836" s="99"/>
      <c r="AC836" s="99"/>
    </row>
    <row r="837" spans="3:29" ht="13">
      <c r="C837" s="127"/>
      <c r="D837" s="127"/>
      <c r="E837" s="127"/>
      <c r="G837" s="127"/>
      <c r="I837" s="99"/>
      <c r="J837" s="99"/>
      <c r="K837" s="99"/>
      <c r="L837" s="99"/>
      <c r="M837" s="99"/>
      <c r="AB837" s="99"/>
      <c r="AC837" s="99"/>
    </row>
    <row r="838" spans="3:29" ht="13">
      <c r="C838" s="127"/>
      <c r="D838" s="127"/>
      <c r="E838" s="127"/>
      <c r="G838" s="127"/>
      <c r="I838" s="99"/>
      <c r="J838" s="99"/>
      <c r="K838" s="99"/>
      <c r="L838" s="99"/>
      <c r="M838" s="99"/>
      <c r="AB838" s="99"/>
      <c r="AC838" s="99"/>
    </row>
    <row r="839" spans="3:29" ht="13">
      <c r="C839" s="127"/>
      <c r="D839" s="127"/>
      <c r="E839" s="127"/>
      <c r="G839" s="127"/>
      <c r="I839" s="99"/>
      <c r="J839" s="99"/>
      <c r="K839" s="99"/>
      <c r="L839" s="99"/>
      <c r="M839" s="99"/>
      <c r="AB839" s="99"/>
      <c r="AC839" s="99"/>
    </row>
    <row r="840" spans="3:29" ht="13">
      <c r="C840" s="127"/>
      <c r="D840" s="127"/>
      <c r="E840" s="127"/>
      <c r="G840" s="127"/>
      <c r="I840" s="99"/>
      <c r="J840" s="99"/>
      <c r="K840" s="99"/>
      <c r="L840" s="99"/>
      <c r="M840" s="99"/>
      <c r="AB840" s="99"/>
      <c r="AC840" s="99"/>
    </row>
    <row r="841" spans="3:29" ht="13">
      <c r="C841" s="127"/>
      <c r="D841" s="127"/>
      <c r="E841" s="127"/>
      <c r="G841" s="127"/>
      <c r="I841" s="99"/>
      <c r="J841" s="99"/>
      <c r="K841" s="99"/>
      <c r="L841" s="99"/>
      <c r="M841" s="99"/>
      <c r="AB841" s="99"/>
      <c r="AC841" s="99"/>
    </row>
    <row r="842" spans="3:29" ht="13">
      <c r="C842" s="127"/>
      <c r="D842" s="127"/>
      <c r="E842" s="127"/>
      <c r="G842" s="127"/>
      <c r="I842" s="99"/>
      <c r="J842" s="99"/>
      <c r="K842" s="99"/>
      <c r="L842" s="99"/>
      <c r="M842" s="99"/>
      <c r="AB842" s="99"/>
      <c r="AC842" s="99"/>
    </row>
    <row r="843" spans="3:29" ht="13">
      <c r="C843" s="127"/>
      <c r="D843" s="127"/>
      <c r="E843" s="127"/>
      <c r="G843" s="127"/>
      <c r="I843" s="99"/>
      <c r="J843" s="99"/>
      <c r="K843" s="99"/>
      <c r="L843" s="99"/>
      <c r="M843" s="99"/>
      <c r="AB843" s="99"/>
      <c r="AC843" s="99"/>
    </row>
    <row r="844" spans="3:29" ht="13">
      <c r="C844" s="127"/>
      <c r="D844" s="127"/>
      <c r="E844" s="127"/>
      <c r="G844" s="127"/>
      <c r="I844" s="99"/>
      <c r="J844" s="99"/>
      <c r="K844" s="99"/>
      <c r="L844" s="99"/>
      <c r="M844" s="99"/>
      <c r="AB844" s="99"/>
      <c r="AC844" s="99"/>
    </row>
    <row r="845" spans="3:29" ht="13">
      <c r="C845" s="127"/>
      <c r="D845" s="127"/>
      <c r="E845" s="127"/>
      <c r="G845" s="127"/>
      <c r="I845" s="99"/>
      <c r="J845" s="99"/>
      <c r="K845" s="99"/>
      <c r="L845" s="99"/>
      <c r="M845" s="99"/>
      <c r="AB845" s="99"/>
      <c r="AC845" s="99"/>
    </row>
    <row r="846" spans="3:29" ht="13">
      <c r="C846" s="127"/>
      <c r="D846" s="127"/>
      <c r="E846" s="127"/>
      <c r="G846" s="127"/>
      <c r="I846" s="99"/>
      <c r="J846" s="99"/>
      <c r="K846" s="99"/>
      <c r="L846" s="99"/>
      <c r="M846" s="99"/>
      <c r="AB846" s="99"/>
      <c r="AC846" s="99"/>
    </row>
    <row r="847" spans="3:29" ht="13">
      <c r="C847" s="127"/>
      <c r="D847" s="127"/>
      <c r="E847" s="127"/>
      <c r="G847" s="127"/>
      <c r="I847" s="99"/>
      <c r="J847" s="99"/>
      <c r="K847" s="99"/>
      <c r="L847" s="99"/>
      <c r="M847" s="99"/>
      <c r="AB847" s="99"/>
      <c r="AC847" s="99"/>
    </row>
    <row r="848" spans="3:29" ht="13">
      <c r="C848" s="127"/>
      <c r="D848" s="127"/>
      <c r="E848" s="127"/>
      <c r="G848" s="127"/>
      <c r="I848" s="99"/>
      <c r="J848" s="99"/>
      <c r="K848" s="99"/>
      <c r="L848" s="99"/>
      <c r="M848" s="99"/>
      <c r="AB848" s="99"/>
      <c r="AC848" s="99"/>
    </row>
    <row r="849" spans="3:29" ht="13">
      <c r="C849" s="127"/>
      <c r="D849" s="127"/>
      <c r="E849" s="127"/>
      <c r="G849" s="127"/>
      <c r="I849" s="99"/>
      <c r="J849" s="99"/>
      <c r="K849" s="99"/>
      <c r="L849" s="99"/>
      <c r="M849" s="99"/>
      <c r="AB849" s="99"/>
      <c r="AC849" s="99"/>
    </row>
    <row r="850" spans="3:29" ht="13">
      <c r="C850" s="127"/>
      <c r="D850" s="127"/>
      <c r="E850" s="127"/>
      <c r="G850" s="127"/>
      <c r="I850" s="99"/>
      <c r="J850" s="99"/>
      <c r="K850" s="99"/>
      <c r="L850" s="99"/>
      <c r="M850" s="99"/>
      <c r="AB850" s="99"/>
      <c r="AC850" s="99"/>
    </row>
    <row r="851" spans="3:29" ht="13">
      <c r="C851" s="127"/>
      <c r="D851" s="127"/>
      <c r="E851" s="127"/>
      <c r="G851" s="127"/>
      <c r="I851" s="99"/>
      <c r="J851" s="99"/>
      <c r="K851" s="99"/>
      <c r="L851" s="99"/>
      <c r="M851" s="99"/>
      <c r="AB851" s="99"/>
      <c r="AC851" s="99"/>
    </row>
    <row r="852" spans="3:29" ht="13">
      <c r="C852" s="127"/>
      <c r="D852" s="127"/>
      <c r="E852" s="127"/>
      <c r="G852" s="127"/>
      <c r="I852" s="99"/>
      <c r="J852" s="99"/>
      <c r="K852" s="99"/>
      <c r="L852" s="99"/>
      <c r="M852" s="99"/>
      <c r="AB852" s="99"/>
      <c r="AC852" s="99"/>
    </row>
    <row r="853" spans="3:29" ht="13">
      <c r="C853" s="127"/>
      <c r="D853" s="127"/>
      <c r="E853" s="127"/>
      <c r="G853" s="127"/>
      <c r="I853" s="99"/>
      <c r="J853" s="99"/>
      <c r="K853" s="99"/>
      <c r="L853" s="99"/>
      <c r="M853" s="99"/>
      <c r="AB853" s="99"/>
      <c r="AC853" s="99"/>
    </row>
    <row r="854" spans="3:29" ht="13">
      <c r="C854" s="127"/>
      <c r="D854" s="127"/>
      <c r="E854" s="127"/>
      <c r="G854" s="127"/>
      <c r="I854" s="99"/>
      <c r="J854" s="99"/>
      <c r="K854" s="99"/>
      <c r="L854" s="99"/>
      <c r="M854" s="99"/>
      <c r="AB854" s="99"/>
      <c r="AC854" s="99"/>
    </row>
    <row r="855" spans="3:29" ht="13">
      <c r="C855" s="127"/>
      <c r="D855" s="127"/>
      <c r="E855" s="127"/>
      <c r="G855" s="127"/>
      <c r="I855" s="99"/>
      <c r="J855" s="99"/>
      <c r="K855" s="99"/>
      <c r="L855" s="99"/>
      <c r="M855" s="99"/>
      <c r="AB855" s="99"/>
      <c r="AC855" s="99"/>
    </row>
    <row r="856" spans="3:29" ht="13">
      <c r="C856" s="127"/>
      <c r="D856" s="127"/>
      <c r="E856" s="127"/>
      <c r="G856" s="127"/>
      <c r="I856" s="99"/>
      <c r="J856" s="99"/>
      <c r="K856" s="99"/>
      <c r="L856" s="99"/>
      <c r="M856" s="99"/>
      <c r="AB856" s="99"/>
      <c r="AC856" s="99"/>
    </row>
    <row r="857" spans="3:29" ht="13">
      <c r="C857" s="127"/>
      <c r="D857" s="127"/>
      <c r="E857" s="127"/>
      <c r="G857" s="127"/>
      <c r="I857" s="99"/>
      <c r="J857" s="99"/>
      <c r="K857" s="99"/>
      <c r="L857" s="99"/>
      <c r="M857" s="99"/>
      <c r="AB857" s="99"/>
      <c r="AC857" s="99"/>
    </row>
    <row r="858" spans="3:29" ht="13">
      <c r="C858" s="127"/>
      <c r="D858" s="127"/>
      <c r="E858" s="127"/>
      <c r="G858" s="127"/>
      <c r="I858" s="99"/>
      <c r="J858" s="99"/>
      <c r="K858" s="99"/>
      <c r="L858" s="99"/>
      <c r="M858" s="99"/>
      <c r="AB858" s="99"/>
      <c r="AC858" s="99"/>
    </row>
    <row r="859" spans="3:29" ht="13">
      <c r="C859" s="127"/>
      <c r="D859" s="127"/>
      <c r="E859" s="127"/>
      <c r="G859" s="127"/>
      <c r="I859" s="99"/>
      <c r="J859" s="99"/>
      <c r="K859" s="99"/>
      <c r="L859" s="99"/>
      <c r="M859" s="99"/>
      <c r="AB859" s="99"/>
      <c r="AC859" s="99"/>
    </row>
    <row r="860" spans="3:29" ht="13">
      <c r="C860" s="127"/>
      <c r="D860" s="127"/>
      <c r="E860" s="127"/>
      <c r="G860" s="127"/>
      <c r="I860" s="99"/>
      <c r="J860" s="99"/>
      <c r="K860" s="99"/>
      <c r="L860" s="99"/>
      <c r="M860" s="99"/>
      <c r="AB860" s="99"/>
      <c r="AC860" s="99"/>
    </row>
    <row r="861" spans="3:29" ht="13">
      <c r="C861" s="127"/>
      <c r="D861" s="127"/>
      <c r="E861" s="127"/>
      <c r="G861" s="127"/>
      <c r="I861" s="99"/>
      <c r="J861" s="99"/>
      <c r="K861" s="99"/>
      <c r="L861" s="99"/>
      <c r="M861" s="99"/>
      <c r="AB861" s="99"/>
      <c r="AC861" s="99"/>
    </row>
    <row r="862" spans="3:29" ht="13">
      <c r="C862" s="127"/>
      <c r="D862" s="127"/>
      <c r="E862" s="127"/>
      <c r="G862" s="127"/>
      <c r="I862" s="99"/>
      <c r="J862" s="99"/>
      <c r="K862" s="99"/>
      <c r="L862" s="99"/>
      <c r="M862" s="99"/>
      <c r="AB862" s="99"/>
      <c r="AC862" s="99"/>
    </row>
    <row r="863" spans="3:29" ht="13">
      <c r="C863" s="127"/>
      <c r="D863" s="127"/>
      <c r="E863" s="127"/>
      <c r="G863" s="127"/>
      <c r="I863" s="99"/>
      <c r="J863" s="99"/>
      <c r="K863" s="99"/>
      <c r="L863" s="99"/>
      <c r="M863" s="99"/>
      <c r="AB863" s="99"/>
      <c r="AC863" s="99"/>
    </row>
    <row r="864" spans="3:29" ht="13">
      <c r="C864" s="127"/>
      <c r="D864" s="127"/>
      <c r="E864" s="127"/>
      <c r="G864" s="127"/>
      <c r="I864" s="99"/>
      <c r="J864" s="99"/>
      <c r="K864" s="99"/>
      <c r="L864" s="99"/>
      <c r="M864" s="99"/>
      <c r="AB864" s="99"/>
      <c r="AC864" s="99"/>
    </row>
    <row r="865" spans="3:29" ht="13">
      <c r="C865" s="127"/>
      <c r="D865" s="127"/>
      <c r="E865" s="127"/>
      <c r="G865" s="127"/>
      <c r="I865" s="99"/>
      <c r="J865" s="99"/>
      <c r="K865" s="99"/>
      <c r="L865" s="99"/>
      <c r="M865" s="99"/>
      <c r="AB865" s="99"/>
      <c r="AC865" s="99"/>
    </row>
    <row r="866" spans="3:29" ht="13">
      <c r="C866" s="127"/>
      <c r="D866" s="127"/>
      <c r="E866" s="127"/>
      <c r="G866" s="127"/>
      <c r="I866" s="99"/>
      <c r="J866" s="99"/>
      <c r="K866" s="99"/>
      <c r="L866" s="99"/>
      <c r="M866" s="99"/>
      <c r="AB866" s="99"/>
      <c r="AC866" s="99"/>
    </row>
    <row r="867" spans="3:29" ht="13">
      <c r="C867" s="127"/>
      <c r="D867" s="127"/>
      <c r="E867" s="127"/>
      <c r="G867" s="127"/>
      <c r="I867" s="99"/>
      <c r="J867" s="99"/>
      <c r="K867" s="99"/>
      <c r="L867" s="99"/>
      <c r="M867" s="99"/>
      <c r="AB867" s="99"/>
      <c r="AC867" s="99"/>
    </row>
    <row r="868" spans="3:29" ht="13">
      <c r="C868" s="127"/>
      <c r="D868" s="127"/>
      <c r="E868" s="127"/>
      <c r="G868" s="127"/>
      <c r="I868" s="99"/>
      <c r="J868" s="99"/>
      <c r="K868" s="99"/>
      <c r="L868" s="99"/>
      <c r="M868" s="99"/>
      <c r="AB868" s="99"/>
      <c r="AC868" s="99"/>
    </row>
    <row r="869" spans="3:29" ht="13">
      <c r="C869" s="127"/>
      <c r="D869" s="127"/>
      <c r="E869" s="127"/>
      <c r="G869" s="127"/>
      <c r="I869" s="99"/>
      <c r="J869" s="99"/>
      <c r="K869" s="99"/>
      <c r="L869" s="99"/>
      <c r="M869" s="99"/>
      <c r="AB869" s="99"/>
      <c r="AC869" s="99"/>
    </row>
    <row r="870" spans="3:29" ht="13">
      <c r="C870" s="127"/>
      <c r="D870" s="127"/>
      <c r="E870" s="127"/>
      <c r="G870" s="127"/>
      <c r="I870" s="99"/>
      <c r="J870" s="99"/>
      <c r="K870" s="99"/>
      <c r="L870" s="99"/>
      <c r="M870" s="99"/>
      <c r="AB870" s="99"/>
      <c r="AC870" s="99"/>
    </row>
    <row r="871" spans="3:29" ht="13">
      <c r="C871" s="127"/>
      <c r="D871" s="127"/>
      <c r="E871" s="127"/>
      <c r="G871" s="127"/>
      <c r="I871" s="99"/>
      <c r="J871" s="99"/>
      <c r="K871" s="99"/>
      <c r="L871" s="99"/>
      <c r="M871" s="99"/>
      <c r="AB871" s="99"/>
      <c r="AC871" s="99"/>
    </row>
    <row r="872" spans="3:29" ht="13">
      <c r="C872" s="127"/>
      <c r="D872" s="127"/>
      <c r="E872" s="127"/>
      <c r="G872" s="127"/>
      <c r="I872" s="99"/>
      <c r="J872" s="99"/>
      <c r="K872" s="99"/>
      <c r="L872" s="99"/>
      <c r="M872" s="99"/>
      <c r="AB872" s="99"/>
      <c r="AC872" s="99"/>
    </row>
    <row r="873" spans="3:29" ht="13">
      <c r="C873" s="127"/>
      <c r="D873" s="127"/>
      <c r="E873" s="127"/>
      <c r="G873" s="127"/>
      <c r="I873" s="99"/>
      <c r="J873" s="99"/>
      <c r="K873" s="99"/>
      <c r="L873" s="99"/>
      <c r="M873" s="99"/>
      <c r="AB873" s="99"/>
      <c r="AC873" s="99"/>
    </row>
    <row r="874" spans="3:29" ht="13">
      <c r="C874" s="127"/>
      <c r="D874" s="127"/>
      <c r="E874" s="127"/>
      <c r="G874" s="127"/>
      <c r="I874" s="99"/>
      <c r="J874" s="99"/>
      <c r="K874" s="99"/>
      <c r="L874" s="99"/>
      <c r="M874" s="99"/>
      <c r="AB874" s="99"/>
      <c r="AC874" s="99"/>
    </row>
    <row r="875" spans="3:29" ht="13">
      <c r="C875" s="127"/>
      <c r="D875" s="127"/>
      <c r="E875" s="127"/>
      <c r="G875" s="127"/>
      <c r="I875" s="99"/>
      <c r="J875" s="99"/>
      <c r="K875" s="99"/>
      <c r="L875" s="99"/>
      <c r="M875" s="99"/>
      <c r="AB875" s="99"/>
      <c r="AC875" s="99"/>
    </row>
    <row r="876" spans="3:29" ht="13">
      <c r="C876" s="127"/>
      <c r="D876" s="127"/>
      <c r="E876" s="127"/>
      <c r="G876" s="127"/>
      <c r="I876" s="99"/>
      <c r="J876" s="99"/>
      <c r="K876" s="99"/>
      <c r="L876" s="99"/>
      <c r="M876" s="99"/>
      <c r="AB876" s="99"/>
      <c r="AC876" s="99"/>
    </row>
    <row r="877" spans="3:29" ht="13">
      <c r="C877" s="127"/>
      <c r="D877" s="127"/>
      <c r="E877" s="127"/>
      <c r="G877" s="127"/>
      <c r="I877" s="99"/>
      <c r="J877" s="99"/>
      <c r="K877" s="99"/>
      <c r="L877" s="99"/>
      <c r="M877" s="99"/>
      <c r="AB877" s="99"/>
      <c r="AC877" s="99"/>
    </row>
    <row r="878" spans="3:29" ht="13">
      <c r="C878" s="127"/>
      <c r="D878" s="127"/>
      <c r="E878" s="127"/>
      <c r="G878" s="127"/>
      <c r="I878" s="99"/>
      <c r="J878" s="99"/>
      <c r="K878" s="99"/>
      <c r="L878" s="99"/>
      <c r="M878" s="99"/>
      <c r="AB878" s="99"/>
      <c r="AC878" s="99"/>
    </row>
    <row r="879" spans="3:29" ht="13">
      <c r="C879" s="127"/>
      <c r="D879" s="127"/>
      <c r="E879" s="127"/>
      <c r="G879" s="127"/>
      <c r="I879" s="99"/>
      <c r="J879" s="99"/>
      <c r="K879" s="99"/>
      <c r="L879" s="99"/>
      <c r="M879" s="99"/>
      <c r="AB879" s="99"/>
      <c r="AC879" s="99"/>
    </row>
    <row r="880" spans="3:29" ht="13">
      <c r="C880" s="127"/>
      <c r="D880" s="127"/>
      <c r="E880" s="127"/>
      <c r="G880" s="127"/>
      <c r="I880" s="99"/>
      <c r="J880" s="99"/>
      <c r="K880" s="99"/>
      <c r="L880" s="99"/>
      <c r="M880" s="99"/>
      <c r="AB880" s="99"/>
      <c r="AC880" s="99"/>
    </row>
    <row r="881" spans="3:29" ht="13">
      <c r="C881" s="127"/>
      <c r="D881" s="127"/>
      <c r="E881" s="127"/>
      <c r="G881" s="127"/>
      <c r="I881" s="99"/>
      <c r="J881" s="99"/>
      <c r="K881" s="99"/>
      <c r="L881" s="99"/>
      <c r="M881" s="99"/>
      <c r="AB881" s="99"/>
      <c r="AC881" s="99"/>
    </row>
    <row r="882" spans="3:29" ht="13">
      <c r="C882" s="127"/>
      <c r="D882" s="127"/>
      <c r="E882" s="127"/>
      <c r="G882" s="127"/>
      <c r="I882" s="99"/>
      <c r="J882" s="99"/>
      <c r="K882" s="99"/>
      <c r="L882" s="99"/>
      <c r="M882" s="99"/>
      <c r="AB882" s="99"/>
      <c r="AC882" s="99"/>
    </row>
    <row r="883" spans="3:29" ht="13">
      <c r="C883" s="127"/>
      <c r="D883" s="127"/>
      <c r="E883" s="127"/>
      <c r="G883" s="127"/>
      <c r="I883" s="99"/>
      <c r="J883" s="99"/>
      <c r="K883" s="99"/>
      <c r="L883" s="99"/>
      <c r="M883" s="99"/>
      <c r="AB883" s="99"/>
      <c r="AC883" s="99"/>
    </row>
    <row r="884" spans="3:29" ht="13">
      <c r="C884" s="127"/>
      <c r="D884" s="127"/>
      <c r="E884" s="127"/>
      <c r="G884" s="127"/>
      <c r="I884" s="99"/>
      <c r="J884" s="99"/>
      <c r="K884" s="99"/>
      <c r="L884" s="99"/>
      <c r="M884" s="99"/>
      <c r="AB884" s="99"/>
      <c r="AC884" s="99"/>
    </row>
    <row r="885" spans="3:29" ht="13">
      <c r="C885" s="127"/>
      <c r="D885" s="127"/>
      <c r="E885" s="127"/>
      <c r="G885" s="127"/>
      <c r="I885" s="99"/>
      <c r="J885" s="99"/>
      <c r="K885" s="99"/>
      <c r="L885" s="99"/>
      <c r="M885" s="99"/>
      <c r="AB885" s="99"/>
      <c r="AC885" s="99"/>
    </row>
    <row r="886" spans="3:29" ht="13">
      <c r="C886" s="127"/>
      <c r="D886" s="127"/>
      <c r="E886" s="127"/>
      <c r="G886" s="127"/>
      <c r="I886" s="99"/>
      <c r="J886" s="99"/>
      <c r="K886" s="99"/>
      <c r="L886" s="99"/>
      <c r="M886" s="99"/>
      <c r="AB886" s="99"/>
      <c r="AC886" s="99"/>
    </row>
    <row r="887" spans="3:29" ht="13">
      <c r="C887" s="127"/>
      <c r="D887" s="127"/>
      <c r="E887" s="127"/>
      <c r="G887" s="127"/>
      <c r="I887" s="99"/>
      <c r="J887" s="99"/>
      <c r="K887" s="99"/>
      <c r="L887" s="99"/>
      <c r="M887" s="99"/>
      <c r="AB887" s="99"/>
      <c r="AC887" s="99"/>
    </row>
    <row r="888" spans="3:29" ht="13">
      <c r="C888" s="127"/>
      <c r="D888" s="127"/>
      <c r="E888" s="127"/>
      <c r="G888" s="127"/>
      <c r="I888" s="99"/>
      <c r="J888" s="99"/>
      <c r="K888" s="99"/>
      <c r="L888" s="99"/>
      <c r="M888" s="99"/>
      <c r="AB888" s="99"/>
      <c r="AC888" s="99"/>
    </row>
    <row r="889" spans="3:29" ht="13">
      <c r="C889" s="127"/>
      <c r="D889" s="127"/>
      <c r="E889" s="127"/>
      <c r="G889" s="127"/>
      <c r="I889" s="99"/>
      <c r="J889" s="99"/>
      <c r="K889" s="99"/>
      <c r="L889" s="99"/>
      <c r="M889" s="99"/>
      <c r="AB889" s="99"/>
      <c r="AC889" s="99"/>
    </row>
    <row r="890" spans="3:29" ht="13">
      <c r="C890" s="127"/>
      <c r="D890" s="127"/>
      <c r="E890" s="127"/>
      <c r="G890" s="127"/>
      <c r="I890" s="99"/>
      <c r="J890" s="99"/>
      <c r="K890" s="99"/>
      <c r="L890" s="99"/>
      <c r="M890" s="99"/>
      <c r="AB890" s="99"/>
      <c r="AC890" s="99"/>
    </row>
    <row r="891" spans="3:29" ht="13">
      <c r="C891" s="127"/>
      <c r="D891" s="127"/>
      <c r="E891" s="127"/>
      <c r="G891" s="127"/>
      <c r="I891" s="99"/>
      <c r="J891" s="99"/>
      <c r="K891" s="99"/>
      <c r="L891" s="99"/>
      <c r="M891" s="99"/>
      <c r="AB891" s="99"/>
      <c r="AC891" s="99"/>
    </row>
    <row r="892" spans="3:29" ht="13">
      <c r="C892" s="127"/>
      <c r="D892" s="127"/>
      <c r="E892" s="127"/>
      <c r="G892" s="127"/>
      <c r="I892" s="99"/>
      <c r="J892" s="99"/>
      <c r="K892" s="99"/>
      <c r="L892" s="99"/>
      <c r="M892" s="99"/>
      <c r="AB892" s="99"/>
      <c r="AC892" s="99"/>
    </row>
    <row r="893" spans="3:29" ht="13">
      <c r="C893" s="127"/>
      <c r="D893" s="127"/>
      <c r="E893" s="127"/>
      <c r="G893" s="127"/>
      <c r="I893" s="99"/>
      <c r="J893" s="99"/>
      <c r="K893" s="99"/>
      <c r="L893" s="99"/>
      <c r="M893" s="99"/>
      <c r="AB893" s="99"/>
      <c r="AC893" s="99"/>
    </row>
    <row r="894" spans="3:29" ht="13">
      <c r="C894" s="127"/>
      <c r="D894" s="127"/>
      <c r="E894" s="127"/>
      <c r="G894" s="127"/>
      <c r="I894" s="99"/>
      <c r="J894" s="99"/>
      <c r="K894" s="99"/>
      <c r="L894" s="99"/>
      <c r="M894" s="99"/>
      <c r="AB894" s="99"/>
      <c r="AC894" s="99"/>
    </row>
    <row r="895" spans="3:29" ht="13">
      <c r="C895" s="127"/>
      <c r="D895" s="127"/>
      <c r="E895" s="127"/>
      <c r="G895" s="127"/>
      <c r="I895" s="99"/>
      <c r="J895" s="99"/>
      <c r="K895" s="99"/>
      <c r="L895" s="99"/>
      <c r="M895" s="99"/>
      <c r="AB895" s="99"/>
      <c r="AC895" s="99"/>
    </row>
    <row r="896" spans="3:29" ht="13">
      <c r="C896" s="127"/>
      <c r="D896" s="127"/>
      <c r="E896" s="127"/>
      <c r="G896" s="127"/>
      <c r="I896" s="99"/>
      <c r="J896" s="99"/>
      <c r="K896" s="99"/>
      <c r="L896" s="99"/>
      <c r="M896" s="99"/>
      <c r="AB896" s="99"/>
      <c r="AC896" s="99"/>
    </row>
    <row r="897" spans="3:29" ht="13">
      <c r="C897" s="127"/>
      <c r="D897" s="127"/>
      <c r="E897" s="127"/>
      <c r="G897" s="127"/>
      <c r="I897" s="99"/>
      <c r="J897" s="99"/>
      <c r="K897" s="99"/>
      <c r="L897" s="99"/>
      <c r="M897" s="99"/>
      <c r="AB897" s="99"/>
      <c r="AC897" s="99"/>
    </row>
    <row r="898" spans="3:29" ht="13">
      <c r="C898" s="127"/>
      <c r="D898" s="127"/>
      <c r="E898" s="127"/>
      <c r="G898" s="127"/>
      <c r="I898" s="99"/>
      <c r="J898" s="99"/>
      <c r="K898" s="99"/>
      <c r="L898" s="99"/>
      <c r="M898" s="99"/>
      <c r="AB898" s="99"/>
      <c r="AC898" s="99"/>
    </row>
    <row r="899" spans="3:29" ht="13">
      <c r="C899" s="127"/>
      <c r="D899" s="127"/>
      <c r="E899" s="127"/>
      <c r="G899" s="127"/>
      <c r="I899" s="99"/>
      <c r="J899" s="99"/>
      <c r="K899" s="99"/>
      <c r="L899" s="99"/>
      <c r="M899" s="99"/>
      <c r="AB899" s="99"/>
      <c r="AC899" s="99"/>
    </row>
    <row r="900" spans="3:29" ht="13">
      <c r="C900" s="127"/>
      <c r="D900" s="127"/>
      <c r="E900" s="127"/>
      <c r="G900" s="127"/>
      <c r="I900" s="99"/>
      <c r="J900" s="99"/>
      <c r="K900" s="99"/>
      <c r="L900" s="99"/>
      <c r="M900" s="99"/>
      <c r="AB900" s="99"/>
      <c r="AC900" s="99"/>
    </row>
    <row r="901" spans="3:29" ht="13">
      <c r="C901" s="127"/>
      <c r="D901" s="127"/>
      <c r="E901" s="127"/>
      <c r="G901" s="127"/>
      <c r="I901" s="99"/>
      <c r="J901" s="99"/>
      <c r="K901" s="99"/>
      <c r="L901" s="99"/>
      <c r="M901" s="99"/>
      <c r="AB901" s="99"/>
      <c r="AC901" s="99"/>
    </row>
    <row r="902" spans="3:29" ht="13">
      <c r="C902" s="127"/>
      <c r="D902" s="127"/>
      <c r="E902" s="127"/>
      <c r="G902" s="127"/>
      <c r="I902" s="99"/>
      <c r="J902" s="99"/>
      <c r="K902" s="99"/>
      <c r="L902" s="99"/>
      <c r="M902" s="99"/>
      <c r="AB902" s="99"/>
      <c r="AC902" s="99"/>
    </row>
    <row r="903" spans="3:29" ht="13">
      <c r="C903" s="127"/>
      <c r="D903" s="127"/>
      <c r="E903" s="127"/>
      <c r="G903" s="127"/>
      <c r="I903" s="99"/>
      <c r="J903" s="99"/>
      <c r="K903" s="99"/>
      <c r="L903" s="99"/>
      <c r="M903" s="99"/>
      <c r="AB903" s="99"/>
      <c r="AC903" s="99"/>
    </row>
    <row r="904" spans="3:29" ht="13">
      <c r="C904" s="127"/>
      <c r="D904" s="127"/>
      <c r="E904" s="127"/>
      <c r="G904" s="127"/>
      <c r="I904" s="99"/>
      <c r="J904" s="99"/>
      <c r="K904" s="99"/>
      <c r="L904" s="99"/>
      <c r="M904" s="99"/>
      <c r="AB904" s="99"/>
      <c r="AC904" s="99"/>
    </row>
    <row r="905" spans="3:29" ht="13">
      <c r="C905" s="127"/>
      <c r="D905" s="127"/>
      <c r="E905" s="127"/>
      <c r="G905" s="127"/>
      <c r="I905" s="99"/>
      <c r="J905" s="99"/>
      <c r="K905" s="99"/>
      <c r="L905" s="99"/>
      <c r="M905" s="99"/>
      <c r="AB905" s="99"/>
      <c r="AC905" s="99"/>
    </row>
    <row r="906" spans="3:29" ht="13">
      <c r="C906" s="127"/>
      <c r="D906" s="127"/>
      <c r="E906" s="127"/>
      <c r="G906" s="127"/>
      <c r="I906" s="99"/>
      <c r="J906" s="99"/>
      <c r="K906" s="99"/>
      <c r="L906" s="99"/>
      <c r="M906" s="99"/>
      <c r="AB906" s="99"/>
      <c r="AC906" s="99"/>
    </row>
    <row r="907" spans="3:29" ht="13">
      <c r="C907" s="127"/>
      <c r="D907" s="127"/>
      <c r="E907" s="127"/>
      <c r="G907" s="127"/>
      <c r="I907" s="99"/>
      <c r="J907" s="99"/>
      <c r="K907" s="99"/>
      <c r="L907" s="99"/>
      <c r="M907" s="99"/>
      <c r="AB907" s="99"/>
      <c r="AC907" s="99"/>
    </row>
    <row r="908" spans="3:29" ht="13">
      <c r="C908" s="127"/>
      <c r="D908" s="127"/>
      <c r="E908" s="127"/>
      <c r="G908" s="127"/>
      <c r="I908" s="99"/>
      <c r="J908" s="99"/>
      <c r="K908" s="99"/>
      <c r="L908" s="99"/>
      <c r="M908" s="99"/>
      <c r="AB908" s="99"/>
      <c r="AC908" s="99"/>
    </row>
    <row r="909" spans="3:29" ht="13">
      <c r="C909" s="127"/>
      <c r="D909" s="127"/>
      <c r="E909" s="127"/>
      <c r="G909" s="127"/>
      <c r="I909" s="99"/>
      <c r="J909" s="99"/>
      <c r="K909" s="99"/>
      <c r="L909" s="99"/>
      <c r="M909" s="99"/>
      <c r="AB909" s="99"/>
      <c r="AC909" s="99"/>
    </row>
    <row r="910" spans="3:29" ht="13">
      <c r="C910" s="127"/>
      <c r="D910" s="127"/>
      <c r="E910" s="127"/>
      <c r="G910" s="127"/>
      <c r="I910" s="99"/>
      <c r="J910" s="99"/>
      <c r="K910" s="99"/>
      <c r="L910" s="99"/>
      <c r="M910" s="99"/>
      <c r="AB910" s="99"/>
      <c r="AC910" s="99"/>
    </row>
    <row r="911" spans="3:29" ht="13">
      <c r="C911" s="127"/>
      <c r="D911" s="127"/>
      <c r="E911" s="127"/>
      <c r="G911" s="127"/>
      <c r="I911" s="99"/>
      <c r="J911" s="99"/>
      <c r="K911" s="99"/>
      <c r="L911" s="99"/>
      <c r="M911" s="99"/>
      <c r="AB911" s="99"/>
      <c r="AC911" s="99"/>
    </row>
    <row r="912" spans="3:29" ht="13">
      <c r="C912" s="127"/>
      <c r="D912" s="127"/>
      <c r="E912" s="127"/>
      <c r="G912" s="127"/>
      <c r="I912" s="99"/>
      <c r="J912" s="99"/>
      <c r="K912" s="99"/>
      <c r="L912" s="99"/>
      <c r="M912" s="99"/>
      <c r="AB912" s="99"/>
      <c r="AC912" s="99"/>
    </row>
    <row r="913" spans="3:29" ht="13">
      <c r="C913" s="127"/>
      <c r="D913" s="127"/>
      <c r="E913" s="127"/>
      <c r="G913" s="127"/>
      <c r="I913" s="99"/>
      <c r="J913" s="99"/>
      <c r="K913" s="99"/>
      <c r="L913" s="99"/>
      <c r="M913" s="99"/>
      <c r="AB913" s="99"/>
      <c r="AC913" s="99"/>
    </row>
    <row r="914" spans="3:29" ht="13">
      <c r="C914" s="127"/>
      <c r="D914" s="127"/>
      <c r="E914" s="127"/>
      <c r="G914" s="127"/>
      <c r="I914" s="99"/>
      <c r="J914" s="99"/>
      <c r="K914" s="99"/>
      <c r="L914" s="99"/>
      <c r="M914" s="99"/>
      <c r="AB914" s="99"/>
      <c r="AC914" s="99"/>
    </row>
    <row r="915" spans="3:29" ht="13">
      <c r="C915" s="127"/>
      <c r="D915" s="127"/>
      <c r="E915" s="127"/>
      <c r="G915" s="127"/>
      <c r="I915" s="99"/>
      <c r="J915" s="99"/>
      <c r="K915" s="99"/>
      <c r="L915" s="99"/>
      <c r="M915" s="99"/>
      <c r="AB915" s="99"/>
      <c r="AC915" s="99"/>
    </row>
    <row r="916" spans="3:29" ht="13">
      <c r="C916" s="127"/>
      <c r="D916" s="127"/>
      <c r="E916" s="127"/>
      <c r="G916" s="127"/>
      <c r="I916" s="99"/>
      <c r="J916" s="99"/>
      <c r="K916" s="99"/>
      <c r="L916" s="99"/>
      <c r="M916" s="99"/>
      <c r="AB916" s="99"/>
      <c r="AC916" s="99"/>
    </row>
    <row r="917" spans="3:29" ht="13">
      <c r="C917" s="127"/>
      <c r="D917" s="127"/>
      <c r="E917" s="127"/>
      <c r="G917" s="127"/>
      <c r="I917" s="99"/>
      <c r="J917" s="99"/>
      <c r="K917" s="99"/>
      <c r="L917" s="99"/>
      <c r="M917" s="99"/>
      <c r="AB917" s="99"/>
      <c r="AC917" s="99"/>
    </row>
    <row r="918" spans="3:29" ht="13">
      <c r="C918" s="127"/>
      <c r="D918" s="127"/>
      <c r="E918" s="127"/>
      <c r="G918" s="127"/>
      <c r="I918" s="99"/>
      <c r="J918" s="99"/>
      <c r="K918" s="99"/>
      <c r="L918" s="99"/>
      <c r="M918" s="99"/>
      <c r="AB918" s="99"/>
      <c r="AC918" s="99"/>
    </row>
    <row r="919" spans="3:29" ht="13">
      <c r="C919" s="127"/>
      <c r="D919" s="127"/>
      <c r="E919" s="127"/>
      <c r="G919" s="127"/>
      <c r="I919" s="99"/>
      <c r="J919" s="99"/>
      <c r="K919" s="99"/>
      <c r="L919" s="99"/>
      <c r="M919" s="99"/>
      <c r="AB919" s="99"/>
      <c r="AC919" s="99"/>
    </row>
    <row r="920" spans="3:29" ht="13">
      <c r="C920" s="127"/>
      <c r="D920" s="127"/>
      <c r="E920" s="127"/>
      <c r="G920" s="127"/>
      <c r="I920" s="99"/>
      <c r="J920" s="99"/>
      <c r="K920" s="99"/>
      <c r="L920" s="99"/>
      <c r="M920" s="99"/>
      <c r="AB920" s="99"/>
      <c r="AC920" s="99"/>
    </row>
    <row r="921" spans="3:29" ht="13">
      <c r="C921" s="127"/>
      <c r="D921" s="127"/>
      <c r="E921" s="127"/>
      <c r="G921" s="127"/>
      <c r="I921" s="99"/>
      <c r="J921" s="99"/>
      <c r="K921" s="99"/>
      <c r="L921" s="99"/>
      <c r="M921" s="99"/>
      <c r="AB921" s="99"/>
      <c r="AC921" s="99"/>
    </row>
    <row r="922" spans="3:29" ht="13">
      <c r="C922" s="127"/>
      <c r="D922" s="127"/>
      <c r="E922" s="127"/>
      <c r="G922" s="127"/>
      <c r="I922" s="99"/>
      <c r="J922" s="99"/>
      <c r="K922" s="99"/>
      <c r="L922" s="99"/>
      <c r="M922" s="99"/>
      <c r="AB922" s="99"/>
      <c r="AC922" s="99"/>
    </row>
    <row r="923" spans="3:29" ht="13">
      <c r="C923" s="127"/>
      <c r="D923" s="127"/>
      <c r="E923" s="127"/>
      <c r="G923" s="127"/>
      <c r="I923" s="99"/>
      <c r="J923" s="99"/>
      <c r="K923" s="99"/>
      <c r="L923" s="99"/>
      <c r="M923" s="99"/>
      <c r="AB923" s="99"/>
      <c r="AC923" s="99"/>
    </row>
    <row r="924" spans="3:29" ht="13">
      <c r="C924" s="127"/>
      <c r="D924" s="127"/>
      <c r="E924" s="127"/>
      <c r="G924" s="127"/>
      <c r="I924" s="99"/>
      <c r="J924" s="99"/>
      <c r="K924" s="99"/>
      <c r="L924" s="99"/>
      <c r="M924" s="99"/>
      <c r="AB924" s="99"/>
      <c r="AC924" s="99"/>
    </row>
    <row r="925" spans="3:29" ht="13">
      <c r="C925" s="127"/>
      <c r="D925" s="127"/>
      <c r="E925" s="127"/>
      <c r="G925" s="127"/>
      <c r="I925" s="99"/>
      <c r="J925" s="99"/>
      <c r="K925" s="99"/>
      <c r="L925" s="99"/>
      <c r="M925" s="99"/>
      <c r="AB925" s="99"/>
      <c r="AC925" s="99"/>
    </row>
    <row r="926" spans="3:29" ht="13">
      <c r="C926" s="127"/>
      <c r="D926" s="127"/>
      <c r="E926" s="127"/>
      <c r="G926" s="127"/>
      <c r="I926" s="99"/>
      <c r="J926" s="99"/>
      <c r="K926" s="99"/>
      <c r="L926" s="99"/>
      <c r="M926" s="99"/>
      <c r="AB926" s="99"/>
      <c r="AC926" s="99"/>
    </row>
    <row r="927" spans="3:29" ht="13">
      <c r="C927" s="127"/>
      <c r="D927" s="127"/>
      <c r="E927" s="127"/>
      <c r="G927" s="127"/>
      <c r="I927" s="99"/>
      <c r="J927" s="99"/>
      <c r="K927" s="99"/>
      <c r="L927" s="99"/>
      <c r="M927" s="99"/>
      <c r="AB927" s="99"/>
      <c r="AC927" s="99"/>
    </row>
    <row r="928" spans="3:29" ht="13">
      <c r="C928" s="127"/>
      <c r="D928" s="127"/>
      <c r="E928" s="127"/>
      <c r="G928" s="127"/>
      <c r="I928" s="99"/>
      <c r="J928" s="99"/>
      <c r="K928" s="99"/>
      <c r="L928" s="99"/>
      <c r="M928" s="99"/>
      <c r="AB928" s="99"/>
      <c r="AC928" s="99"/>
    </row>
    <row r="929" spans="3:29" ht="13">
      <c r="C929" s="127"/>
      <c r="D929" s="127"/>
      <c r="E929" s="127"/>
      <c r="G929" s="127"/>
      <c r="I929" s="99"/>
      <c r="J929" s="99"/>
      <c r="K929" s="99"/>
      <c r="L929" s="99"/>
      <c r="M929" s="99"/>
      <c r="AB929" s="99"/>
      <c r="AC929" s="99"/>
    </row>
    <row r="930" spans="3:29" ht="13">
      <c r="C930" s="127"/>
      <c r="D930" s="127"/>
      <c r="E930" s="127"/>
      <c r="G930" s="127"/>
      <c r="I930" s="99"/>
      <c r="J930" s="99"/>
      <c r="K930" s="99"/>
      <c r="L930" s="99"/>
      <c r="M930" s="99"/>
      <c r="AB930" s="99"/>
      <c r="AC930" s="99"/>
    </row>
    <row r="931" spans="3:29" ht="13">
      <c r="C931" s="127"/>
      <c r="D931" s="127"/>
      <c r="E931" s="127"/>
      <c r="G931" s="127"/>
      <c r="I931" s="99"/>
      <c r="J931" s="99"/>
      <c r="K931" s="99"/>
      <c r="L931" s="99"/>
      <c r="M931" s="99"/>
      <c r="AB931" s="99"/>
      <c r="AC931" s="99"/>
    </row>
    <row r="932" spans="3:29" ht="13">
      <c r="C932" s="127"/>
      <c r="D932" s="127"/>
      <c r="E932" s="127"/>
      <c r="G932" s="127"/>
      <c r="I932" s="99"/>
      <c r="J932" s="99"/>
      <c r="K932" s="99"/>
      <c r="L932" s="99"/>
      <c r="M932" s="99"/>
      <c r="AB932" s="99"/>
      <c r="AC932" s="99"/>
    </row>
    <row r="933" spans="3:29" ht="13">
      <c r="C933" s="127"/>
      <c r="D933" s="127"/>
      <c r="E933" s="127"/>
      <c r="G933" s="127"/>
      <c r="I933" s="99"/>
      <c r="J933" s="99"/>
      <c r="K933" s="99"/>
      <c r="L933" s="99"/>
      <c r="M933" s="99"/>
      <c r="AB933" s="99"/>
      <c r="AC933" s="99"/>
    </row>
    <row r="934" spans="3:29" ht="13">
      <c r="C934" s="127"/>
      <c r="D934" s="127"/>
      <c r="E934" s="127"/>
      <c r="G934" s="127"/>
      <c r="I934" s="99"/>
      <c r="J934" s="99"/>
      <c r="K934" s="99"/>
      <c r="L934" s="99"/>
      <c r="M934" s="99"/>
      <c r="AB934" s="99"/>
      <c r="AC934" s="99"/>
    </row>
    <row r="935" spans="3:29" ht="13">
      <c r="C935" s="127"/>
      <c r="D935" s="127"/>
      <c r="E935" s="127"/>
      <c r="G935" s="127"/>
      <c r="I935" s="99"/>
      <c r="J935" s="99"/>
      <c r="K935" s="99"/>
      <c r="L935" s="99"/>
      <c r="M935" s="99"/>
      <c r="AB935" s="99"/>
      <c r="AC935" s="99"/>
    </row>
    <row r="936" spans="3:29" ht="13">
      <c r="C936" s="127"/>
      <c r="D936" s="127"/>
      <c r="E936" s="127"/>
      <c r="G936" s="127"/>
      <c r="I936" s="99"/>
      <c r="J936" s="99"/>
      <c r="K936" s="99"/>
      <c r="L936" s="99"/>
      <c r="M936" s="99"/>
      <c r="AB936" s="99"/>
      <c r="AC936" s="99"/>
    </row>
    <row r="937" spans="3:29" ht="13">
      <c r="C937" s="127"/>
      <c r="D937" s="127"/>
      <c r="E937" s="127"/>
      <c r="G937" s="127"/>
      <c r="I937" s="99"/>
      <c r="J937" s="99"/>
      <c r="K937" s="99"/>
      <c r="L937" s="99"/>
      <c r="M937" s="99"/>
      <c r="AB937" s="99"/>
      <c r="AC937" s="99"/>
    </row>
    <row r="938" spans="3:29" ht="13">
      <c r="C938" s="127"/>
      <c r="D938" s="127"/>
      <c r="E938" s="127"/>
      <c r="G938" s="127"/>
      <c r="I938" s="99"/>
      <c r="J938" s="99"/>
      <c r="K938" s="99"/>
      <c r="L938" s="99"/>
      <c r="M938" s="99"/>
      <c r="AB938" s="99"/>
      <c r="AC938" s="99"/>
    </row>
    <row r="939" spans="3:29" ht="13">
      <c r="C939" s="127"/>
      <c r="D939" s="127"/>
      <c r="E939" s="127"/>
      <c r="G939" s="127"/>
      <c r="I939" s="99"/>
      <c r="J939" s="99"/>
      <c r="K939" s="99"/>
      <c r="L939" s="99"/>
      <c r="M939" s="99"/>
      <c r="AB939" s="99"/>
      <c r="AC939" s="99"/>
    </row>
    <row r="940" spans="3:29" ht="13">
      <c r="C940" s="127"/>
      <c r="D940" s="127"/>
      <c r="E940" s="127"/>
      <c r="G940" s="127"/>
      <c r="I940" s="99"/>
      <c r="J940" s="99"/>
      <c r="K940" s="99"/>
      <c r="L940" s="99"/>
      <c r="M940" s="99"/>
      <c r="AB940" s="99"/>
      <c r="AC940" s="99"/>
    </row>
    <row r="941" spans="3:29" ht="13">
      <c r="C941" s="127"/>
      <c r="D941" s="127"/>
      <c r="E941" s="127"/>
      <c r="G941" s="127"/>
      <c r="I941" s="99"/>
      <c r="J941" s="99"/>
      <c r="K941" s="99"/>
      <c r="L941" s="99"/>
      <c r="M941" s="99"/>
      <c r="AB941" s="99"/>
      <c r="AC941" s="99"/>
    </row>
    <row r="942" spans="3:29" ht="13">
      <c r="C942" s="127"/>
      <c r="D942" s="127"/>
      <c r="E942" s="127"/>
      <c r="G942" s="127"/>
      <c r="I942" s="99"/>
      <c r="J942" s="99"/>
      <c r="K942" s="99"/>
      <c r="L942" s="99"/>
      <c r="M942" s="99"/>
      <c r="AB942" s="99"/>
      <c r="AC942" s="99"/>
    </row>
    <row r="943" spans="3:29" ht="13">
      <c r="C943" s="127"/>
      <c r="D943" s="127"/>
      <c r="E943" s="127"/>
      <c r="G943" s="127"/>
      <c r="I943" s="99"/>
      <c r="J943" s="99"/>
      <c r="K943" s="99"/>
      <c r="L943" s="99"/>
      <c r="M943" s="99"/>
      <c r="AB943" s="99"/>
      <c r="AC943" s="99"/>
    </row>
    <row r="944" spans="3:29" ht="13">
      <c r="C944" s="127"/>
      <c r="D944" s="127"/>
      <c r="E944" s="127"/>
      <c r="G944" s="127"/>
      <c r="I944" s="99"/>
      <c r="J944" s="99"/>
      <c r="K944" s="99"/>
      <c r="L944" s="99"/>
      <c r="M944" s="99"/>
      <c r="AB944" s="99"/>
      <c r="AC944" s="99"/>
    </row>
    <row r="945" spans="3:29" ht="13">
      <c r="C945" s="127"/>
      <c r="D945" s="127"/>
      <c r="E945" s="127"/>
      <c r="G945" s="127"/>
      <c r="I945" s="99"/>
      <c r="J945" s="99"/>
      <c r="K945" s="99"/>
      <c r="L945" s="99"/>
      <c r="M945" s="99"/>
      <c r="AB945" s="99"/>
      <c r="AC945" s="99"/>
    </row>
    <row r="946" spans="3:29" ht="13">
      <c r="C946" s="127"/>
      <c r="D946" s="127"/>
      <c r="E946" s="127"/>
      <c r="G946" s="127"/>
      <c r="I946" s="99"/>
      <c r="J946" s="99"/>
      <c r="K946" s="99"/>
      <c r="L946" s="99"/>
      <c r="M946" s="99"/>
      <c r="AB946" s="99"/>
      <c r="AC946" s="99"/>
    </row>
    <row r="947" spans="3:29" ht="13">
      <c r="C947" s="127"/>
      <c r="D947" s="127"/>
      <c r="E947" s="127"/>
      <c r="G947" s="127"/>
      <c r="I947" s="99"/>
      <c r="J947" s="99"/>
      <c r="K947" s="99"/>
      <c r="L947" s="99"/>
      <c r="M947" s="99"/>
      <c r="AB947" s="99"/>
      <c r="AC947" s="99"/>
    </row>
    <row r="948" spans="3:29" ht="13">
      <c r="C948" s="127"/>
      <c r="D948" s="127"/>
      <c r="E948" s="127"/>
      <c r="G948" s="127"/>
      <c r="I948" s="99"/>
      <c r="J948" s="99"/>
      <c r="K948" s="99"/>
      <c r="L948" s="99"/>
      <c r="M948" s="99"/>
      <c r="AB948" s="99"/>
      <c r="AC948" s="99"/>
    </row>
    <row r="949" spans="3:29" ht="13">
      <c r="C949" s="127"/>
      <c r="D949" s="127"/>
      <c r="E949" s="127"/>
      <c r="G949" s="127"/>
      <c r="I949" s="99"/>
      <c r="J949" s="99"/>
      <c r="K949" s="99"/>
      <c r="L949" s="99"/>
      <c r="M949" s="99"/>
      <c r="AB949" s="99"/>
      <c r="AC949" s="99"/>
    </row>
    <row r="950" spans="3:29" ht="13">
      <c r="C950" s="127"/>
      <c r="D950" s="127"/>
      <c r="E950" s="127"/>
      <c r="G950" s="127"/>
      <c r="I950" s="99"/>
      <c r="J950" s="99"/>
      <c r="K950" s="99"/>
      <c r="L950" s="99"/>
      <c r="M950" s="99"/>
      <c r="AB950" s="99"/>
      <c r="AC950" s="99"/>
    </row>
    <row r="951" spans="3:29" ht="13">
      <c r="C951" s="127"/>
      <c r="D951" s="127"/>
      <c r="E951" s="127"/>
      <c r="G951" s="127"/>
      <c r="I951" s="99"/>
      <c r="J951" s="99"/>
      <c r="K951" s="99"/>
      <c r="L951" s="99"/>
      <c r="M951" s="99"/>
      <c r="AB951" s="99"/>
      <c r="AC951" s="99"/>
    </row>
    <row r="952" spans="3:29" ht="13">
      <c r="C952" s="127"/>
      <c r="D952" s="127"/>
      <c r="E952" s="127"/>
      <c r="G952" s="127"/>
      <c r="I952" s="99"/>
      <c r="J952" s="99"/>
      <c r="K952" s="99"/>
      <c r="L952" s="99"/>
      <c r="M952" s="99"/>
      <c r="AB952" s="99"/>
      <c r="AC952" s="99"/>
    </row>
    <row r="953" spans="3:29" ht="13">
      <c r="C953" s="127"/>
      <c r="D953" s="127"/>
      <c r="E953" s="127"/>
      <c r="G953" s="127"/>
      <c r="I953" s="99"/>
      <c r="J953" s="99"/>
      <c r="K953" s="99"/>
      <c r="L953" s="99"/>
      <c r="M953" s="99"/>
      <c r="AB953" s="99"/>
      <c r="AC953" s="99"/>
    </row>
    <row r="954" spans="3:29" ht="13">
      <c r="C954" s="127"/>
      <c r="D954" s="127"/>
      <c r="E954" s="127"/>
      <c r="G954" s="127"/>
      <c r="I954" s="99"/>
      <c r="J954" s="99"/>
      <c r="K954" s="99"/>
      <c r="L954" s="99"/>
      <c r="M954" s="99"/>
      <c r="AB954" s="99"/>
      <c r="AC954" s="99"/>
    </row>
    <row r="955" spans="3:29" ht="13">
      <c r="C955" s="127"/>
      <c r="D955" s="127"/>
      <c r="E955" s="127"/>
      <c r="G955" s="127"/>
      <c r="I955" s="99"/>
      <c r="J955" s="99"/>
      <c r="K955" s="99"/>
      <c r="L955" s="99"/>
      <c r="M955" s="99"/>
      <c r="AB955" s="99"/>
      <c r="AC955" s="99"/>
    </row>
    <row r="956" spans="3:29" ht="13">
      <c r="C956" s="127"/>
      <c r="D956" s="127"/>
      <c r="E956" s="127"/>
      <c r="G956" s="127"/>
      <c r="I956" s="99"/>
      <c r="J956" s="99"/>
      <c r="K956" s="99"/>
      <c r="L956" s="99"/>
      <c r="M956" s="99"/>
      <c r="AB956" s="99"/>
      <c r="AC956" s="99"/>
    </row>
    <row r="957" spans="3:29" ht="13">
      <c r="C957" s="127"/>
      <c r="D957" s="127"/>
      <c r="E957" s="127"/>
      <c r="G957" s="127"/>
      <c r="I957" s="99"/>
      <c r="J957" s="99"/>
      <c r="K957" s="99"/>
      <c r="L957" s="99"/>
      <c r="M957" s="99"/>
      <c r="AB957" s="99"/>
      <c r="AC957" s="99"/>
    </row>
    <row r="958" spans="3:29" ht="13">
      <c r="C958" s="127"/>
      <c r="D958" s="127"/>
      <c r="E958" s="127"/>
      <c r="G958" s="127"/>
      <c r="I958" s="99"/>
      <c r="J958" s="99"/>
      <c r="K958" s="99"/>
      <c r="L958" s="99"/>
      <c r="M958" s="99"/>
      <c r="AB958" s="99"/>
      <c r="AC958" s="99"/>
    </row>
    <row r="959" spans="3:29" ht="13">
      <c r="C959" s="127"/>
      <c r="D959" s="127"/>
      <c r="E959" s="127"/>
      <c r="G959" s="127"/>
      <c r="I959" s="99"/>
      <c r="J959" s="99"/>
      <c r="K959" s="99"/>
      <c r="L959" s="99"/>
      <c r="M959" s="99"/>
      <c r="AB959" s="99"/>
      <c r="AC959" s="99"/>
    </row>
    <row r="960" spans="3:29" ht="13">
      <c r="C960" s="127"/>
      <c r="D960" s="127"/>
      <c r="E960" s="127"/>
      <c r="G960" s="127"/>
      <c r="I960" s="99"/>
      <c r="J960" s="99"/>
      <c r="K960" s="99"/>
      <c r="L960" s="99"/>
      <c r="M960" s="99"/>
      <c r="AB960" s="99"/>
      <c r="AC960" s="99"/>
    </row>
    <row r="961" spans="3:29" ht="13">
      <c r="C961" s="127"/>
      <c r="D961" s="127"/>
      <c r="E961" s="127"/>
      <c r="G961" s="127"/>
      <c r="I961" s="99"/>
      <c r="J961" s="99"/>
      <c r="K961" s="99"/>
      <c r="L961" s="99"/>
      <c r="M961" s="99"/>
      <c r="AB961" s="99"/>
      <c r="AC961" s="99"/>
    </row>
    <row r="962" spans="3:29" ht="13">
      <c r="C962" s="127"/>
      <c r="D962" s="127"/>
      <c r="E962" s="127"/>
      <c r="G962" s="127"/>
      <c r="I962" s="99"/>
      <c r="J962" s="99"/>
      <c r="K962" s="99"/>
      <c r="L962" s="99"/>
      <c r="M962" s="99"/>
      <c r="AB962" s="99"/>
      <c r="AC962" s="99"/>
    </row>
    <row r="963" spans="3:29" ht="13">
      <c r="C963" s="127"/>
      <c r="D963" s="127"/>
      <c r="E963" s="127"/>
      <c r="G963" s="127"/>
      <c r="I963" s="99"/>
      <c r="J963" s="99"/>
      <c r="K963" s="99"/>
      <c r="L963" s="99"/>
      <c r="M963" s="99"/>
      <c r="AB963" s="99"/>
      <c r="AC963" s="99"/>
    </row>
    <row r="964" spans="3:29" ht="13">
      <c r="C964" s="127"/>
      <c r="D964" s="127"/>
      <c r="E964" s="127"/>
      <c r="G964" s="127"/>
      <c r="I964" s="99"/>
      <c r="J964" s="99"/>
      <c r="K964" s="99"/>
      <c r="L964" s="99"/>
      <c r="M964" s="99"/>
      <c r="AB964" s="99"/>
      <c r="AC964" s="99"/>
    </row>
    <row r="965" spans="3:29" ht="13">
      <c r="C965" s="127"/>
      <c r="D965" s="127"/>
      <c r="E965" s="127"/>
      <c r="G965" s="127"/>
      <c r="I965" s="99"/>
      <c r="J965" s="99"/>
      <c r="K965" s="99"/>
      <c r="L965" s="99"/>
      <c r="M965" s="99"/>
      <c r="AB965" s="99"/>
      <c r="AC965" s="99"/>
    </row>
    <row r="966" spans="3:29" ht="13">
      <c r="C966" s="127"/>
      <c r="D966" s="127"/>
      <c r="E966" s="127"/>
      <c r="G966" s="127"/>
      <c r="I966" s="99"/>
      <c r="J966" s="99"/>
      <c r="K966" s="99"/>
      <c r="L966" s="99"/>
      <c r="M966" s="99"/>
      <c r="AB966" s="99"/>
      <c r="AC966" s="99"/>
    </row>
    <row r="967" spans="3:29" ht="13">
      <c r="C967" s="127"/>
      <c r="D967" s="127"/>
      <c r="E967" s="127"/>
      <c r="G967" s="127"/>
      <c r="I967" s="99"/>
      <c r="J967" s="99"/>
      <c r="K967" s="99"/>
      <c r="L967" s="99"/>
      <c r="M967" s="99"/>
      <c r="AB967" s="99"/>
      <c r="AC967" s="99"/>
    </row>
    <row r="968" spans="3:29" ht="13">
      <c r="C968" s="127"/>
      <c r="D968" s="127"/>
      <c r="E968" s="127"/>
      <c r="G968" s="127"/>
      <c r="I968" s="99"/>
      <c r="J968" s="99"/>
      <c r="K968" s="99"/>
      <c r="L968" s="99"/>
      <c r="M968" s="99"/>
      <c r="AB968" s="99"/>
      <c r="AC968" s="99"/>
    </row>
    <row r="969" spans="3:29" ht="13">
      <c r="C969" s="127"/>
      <c r="D969" s="127"/>
      <c r="E969" s="127"/>
      <c r="G969" s="127"/>
      <c r="I969" s="99"/>
      <c r="J969" s="99"/>
      <c r="K969" s="99"/>
      <c r="L969" s="99"/>
      <c r="M969" s="99"/>
      <c r="AB969" s="99"/>
      <c r="AC969" s="99"/>
    </row>
    <row r="970" spans="3:29" ht="13">
      <c r="C970" s="127"/>
      <c r="D970" s="127"/>
      <c r="E970" s="127"/>
      <c r="G970" s="127"/>
      <c r="I970" s="99"/>
      <c r="J970" s="99"/>
      <c r="K970" s="99"/>
      <c r="L970" s="99"/>
      <c r="M970" s="99"/>
      <c r="AB970" s="99"/>
      <c r="AC970" s="99"/>
    </row>
    <row r="971" spans="3:29" ht="13">
      <c r="C971" s="127"/>
      <c r="D971" s="127"/>
      <c r="E971" s="127"/>
      <c r="G971" s="127"/>
      <c r="I971" s="99"/>
      <c r="J971" s="99"/>
      <c r="K971" s="99"/>
      <c r="L971" s="99"/>
      <c r="M971" s="99"/>
      <c r="AB971" s="99"/>
      <c r="AC971" s="99"/>
    </row>
    <row r="972" spans="3:29" ht="13">
      <c r="C972" s="127"/>
      <c r="D972" s="127"/>
      <c r="E972" s="127"/>
      <c r="G972" s="127"/>
      <c r="I972" s="99"/>
      <c r="J972" s="99"/>
      <c r="K972" s="99"/>
      <c r="L972" s="99"/>
      <c r="M972" s="99"/>
      <c r="AB972" s="99"/>
      <c r="AC972" s="99"/>
    </row>
    <row r="973" spans="3:29" ht="13">
      <c r="C973" s="127"/>
      <c r="D973" s="127"/>
      <c r="E973" s="127"/>
      <c r="G973" s="127"/>
      <c r="I973" s="99"/>
      <c r="J973" s="99"/>
      <c r="K973" s="99"/>
      <c r="L973" s="99"/>
      <c r="M973" s="99"/>
      <c r="AB973" s="99"/>
      <c r="AC973" s="99"/>
    </row>
    <row r="974" spans="3:29" ht="13">
      <c r="C974" s="127"/>
      <c r="D974" s="127"/>
      <c r="E974" s="127"/>
      <c r="G974" s="127"/>
      <c r="I974" s="99"/>
      <c r="J974" s="99"/>
      <c r="K974" s="99"/>
      <c r="L974" s="99"/>
      <c r="M974" s="99"/>
      <c r="AB974" s="99"/>
      <c r="AC974" s="99"/>
    </row>
    <row r="975" spans="3:29" ht="13">
      <c r="C975" s="127"/>
      <c r="D975" s="127"/>
      <c r="E975" s="127"/>
      <c r="G975" s="127"/>
      <c r="I975" s="99"/>
      <c r="J975" s="99"/>
      <c r="K975" s="99"/>
      <c r="L975" s="99"/>
      <c r="M975" s="99"/>
      <c r="AB975" s="99"/>
      <c r="AC975" s="99"/>
    </row>
    <row r="976" spans="3:29" ht="13">
      <c r="C976" s="127"/>
      <c r="D976" s="127"/>
      <c r="E976" s="127"/>
      <c r="G976" s="127"/>
      <c r="I976" s="99"/>
      <c r="J976" s="99"/>
      <c r="K976" s="99"/>
      <c r="L976" s="99"/>
      <c r="M976" s="99"/>
      <c r="AB976" s="99"/>
      <c r="AC976" s="99"/>
    </row>
    <row r="977" spans="3:29" ht="13">
      <c r="C977" s="127"/>
      <c r="D977" s="127"/>
      <c r="E977" s="127"/>
      <c r="G977" s="127"/>
      <c r="I977" s="99"/>
      <c r="J977" s="99"/>
      <c r="K977" s="99"/>
      <c r="L977" s="99"/>
      <c r="M977" s="99"/>
      <c r="AB977" s="99"/>
      <c r="AC977" s="99"/>
    </row>
    <row r="978" spans="3:29" ht="13">
      <c r="C978" s="127"/>
      <c r="D978" s="127"/>
      <c r="E978" s="127"/>
      <c r="G978" s="127"/>
      <c r="I978" s="99"/>
      <c r="J978" s="99"/>
      <c r="K978" s="99"/>
      <c r="L978" s="99"/>
      <c r="M978" s="99"/>
      <c r="AB978" s="99"/>
      <c r="AC978" s="99"/>
    </row>
    <row r="979" spans="3:29" ht="13">
      <c r="C979" s="127"/>
      <c r="D979" s="127"/>
      <c r="E979" s="127"/>
      <c r="G979" s="127"/>
      <c r="I979" s="99"/>
      <c r="J979" s="99"/>
      <c r="K979" s="99"/>
      <c r="L979" s="99"/>
      <c r="M979" s="99"/>
      <c r="AB979" s="99"/>
      <c r="AC979" s="99"/>
    </row>
    <row r="980" spans="3:29" ht="13">
      <c r="C980" s="127"/>
      <c r="D980" s="127"/>
      <c r="E980" s="127"/>
      <c r="G980" s="127"/>
      <c r="I980" s="99"/>
      <c r="J980" s="99"/>
      <c r="K980" s="99"/>
      <c r="L980" s="99"/>
      <c r="M980" s="99"/>
      <c r="AB980" s="99"/>
      <c r="AC980" s="99"/>
    </row>
    <row r="981" spans="3:29" ht="13">
      <c r="C981" s="127"/>
      <c r="D981" s="127"/>
      <c r="E981" s="127"/>
      <c r="G981" s="127"/>
      <c r="I981" s="99"/>
      <c r="J981" s="99"/>
      <c r="K981" s="99"/>
      <c r="L981" s="99"/>
      <c r="M981" s="99"/>
      <c r="AB981" s="99"/>
      <c r="AC981" s="99"/>
    </row>
    <row r="982" spans="3:29" ht="13">
      <c r="C982" s="127"/>
      <c r="D982" s="127"/>
      <c r="E982" s="127"/>
      <c r="G982" s="127"/>
      <c r="I982" s="99"/>
      <c r="J982" s="99"/>
      <c r="K982" s="99"/>
      <c r="L982" s="99"/>
      <c r="M982" s="99"/>
      <c r="AB982" s="99"/>
      <c r="AC982" s="99"/>
    </row>
    <row r="983" spans="3:29" ht="13">
      <c r="C983" s="127"/>
      <c r="D983" s="127"/>
      <c r="E983" s="127"/>
      <c r="G983" s="127"/>
      <c r="I983" s="99"/>
      <c r="J983" s="99"/>
      <c r="K983" s="99"/>
      <c r="L983" s="99"/>
      <c r="M983" s="99"/>
      <c r="AB983" s="99"/>
      <c r="AC983" s="99"/>
    </row>
    <row r="984" spans="3:29" ht="13">
      <c r="C984" s="127"/>
      <c r="D984" s="127"/>
      <c r="E984" s="127"/>
      <c r="G984" s="127"/>
      <c r="I984" s="99"/>
      <c r="J984" s="99"/>
      <c r="K984" s="99"/>
      <c r="L984" s="99"/>
      <c r="M984" s="99"/>
      <c r="AB984" s="99"/>
      <c r="AC984" s="99"/>
    </row>
    <row r="985" spans="3:29" ht="13">
      <c r="C985" s="127"/>
      <c r="D985" s="127"/>
      <c r="E985" s="127"/>
      <c r="G985" s="127"/>
      <c r="I985" s="99"/>
      <c r="J985" s="99"/>
      <c r="K985" s="99"/>
      <c r="L985" s="99"/>
      <c r="M985" s="99"/>
      <c r="AB985" s="99"/>
      <c r="AC985" s="99"/>
    </row>
    <row r="986" spans="3:29" ht="13">
      <c r="C986" s="127"/>
      <c r="D986" s="127"/>
      <c r="E986" s="127"/>
      <c r="G986" s="127"/>
      <c r="I986" s="99"/>
      <c r="J986" s="99"/>
      <c r="K986" s="99"/>
      <c r="L986" s="99"/>
      <c r="M986" s="99"/>
      <c r="AB986" s="99"/>
      <c r="AC986" s="99"/>
    </row>
    <row r="987" spans="3:29" ht="13">
      <c r="C987" s="127"/>
      <c r="D987" s="127"/>
      <c r="E987" s="127"/>
      <c r="G987" s="127"/>
      <c r="I987" s="99"/>
      <c r="J987" s="99"/>
      <c r="K987" s="99"/>
      <c r="L987" s="99"/>
      <c r="M987" s="99"/>
      <c r="AB987" s="99"/>
      <c r="AC987" s="99"/>
    </row>
    <row r="988" spans="3:29" ht="13">
      <c r="C988" s="127"/>
      <c r="D988" s="127"/>
      <c r="E988" s="127"/>
      <c r="G988" s="127"/>
      <c r="I988" s="99"/>
      <c r="J988" s="99"/>
      <c r="K988" s="99"/>
      <c r="L988" s="99"/>
      <c r="M988" s="99"/>
      <c r="AB988" s="99"/>
      <c r="AC988" s="99"/>
    </row>
    <row r="989" spans="3:29" ht="13">
      <c r="C989" s="127"/>
      <c r="D989" s="127"/>
      <c r="E989" s="127"/>
      <c r="G989" s="127"/>
      <c r="I989" s="99"/>
      <c r="J989" s="99"/>
      <c r="K989" s="99"/>
      <c r="L989" s="99"/>
      <c r="M989" s="99"/>
      <c r="AB989" s="99"/>
      <c r="AC989" s="99"/>
    </row>
    <row r="990" spans="3:29" ht="13">
      <c r="C990" s="127"/>
      <c r="D990" s="127"/>
      <c r="E990" s="127"/>
      <c r="G990" s="127"/>
      <c r="I990" s="99"/>
      <c r="J990" s="99"/>
      <c r="K990" s="99"/>
      <c r="L990" s="99"/>
      <c r="M990" s="99"/>
      <c r="AB990" s="99"/>
      <c r="AC990" s="99"/>
    </row>
    <row r="991" spans="3:29" ht="13">
      <c r="C991" s="127"/>
      <c r="D991" s="127"/>
      <c r="E991" s="127"/>
      <c r="G991" s="127"/>
      <c r="I991" s="99"/>
      <c r="J991" s="99"/>
      <c r="K991" s="99"/>
      <c r="L991" s="99"/>
      <c r="M991" s="99"/>
      <c r="AB991" s="99"/>
      <c r="AC991" s="99"/>
    </row>
    <row r="992" spans="3:29" ht="13">
      <c r="C992" s="127"/>
      <c r="D992" s="127"/>
      <c r="E992" s="127"/>
      <c r="G992" s="127"/>
      <c r="I992" s="99"/>
      <c r="J992" s="99"/>
      <c r="K992" s="99"/>
      <c r="L992" s="99"/>
      <c r="M992" s="99"/>
      <c r="AB992" s="99"/>
      <c r="AC992" s="99"/>
    </row>
    <row r="993" spans="3:29" ht="13">
      <c r="C993" s="127"/>
      <c r="D993" s="127"/>
      <c r="E993" s="127"/>
      <c r="G993" s="127"/>
      <c r="I993" s="99"/>
      <c r="J993" s="99"/>
      <c r="K993" s="99"/>
      <c r="L993" s="99"/>
      <c r="M993" s="99"/>
      <c r="AB993" s="99"/>
      <c r="AC993" s="99"/>
    </row>
    <row r="994" spans="3:29" ht="13">
      <c r="C994" s="127"/>
      <c r="D994" s="127"/>
      <c r="E994" s="127"/>
      <c r="G994" s="127"/>
      <c r="I994" s="99"/>
      <c r="J994" s="99"/>
      <c r="K994" s="99"/>
      <c r="L994" s="99"/>
      <c r="M994" s="99"/>
      <c r="AB994" s="99"/>
      <c r="AC994" s="99"/>
    </row>
    <row r="995" spans="3:29" ht="13">
      <c r="C995" s="127"/>
      <c r="D995" s="127"/>
      <c r="E995" s="127"/>
      <c r="G995" s="127"/>
      <c r="I995" s="99"/>
      <c r="J995" s="99"/>
      <c r="K995" s="99"/>
      <c r="L995" s="99"/>
      <c r="M995" s="99"/>
      <c r="AB995" s="99"/>
      <c r="AC995" s="99"/>
    </row>
    <row r="996" spans="3:29" ht="13">
      <c r="C996" s="127"/>
      <c r="D996" s="127"/>
      <c r="E996" s="127"/>
      <c r="G996" s="127"/>
      <c r="I996" s="99"/>
      <c r="J996" s="99"/>
      <c r="K996" s="99"/>
      <c r="L996" s="99"/>
      <c r="M996" s="99"/>
      <c r="AB996" s="99"/>
      <c r="AC996" s="99"/>
    </row>
    <row r="997" spans="3:29" ht="13">
      <c r="C997" s="127"/>
      <c r="D997" s="127"/>
      <c r="E997" s="127"/>
      <c r="G997" s="127"/>
      <c r="I997" s="99"/>
      <c r="J997" s="99"/>
      <c r="K997" s="99"/>
      <c r="L997" s="99"/>
      <c r="M997" s="99"/>
      <c r="AB997" s="99"/>
      <c r="AC997" s="99"/>
    </row>
    <row r="998" spans="3:29" ht="13">
      <c r="C998" s="127"/>
      <c r="D998" s="127"/>
      <c r="E998" s="127"/>
      <c r="G998" s="127"/>
      <c r="I998" s="99"/>
      <c r="J998" s="99"/>
      <c r="K998" s="99"/>
      <c r="L998" s="99"/>
      <c r="M998" s="99"/>
      <c r="AB998" s="99"/>
      <c r="AC998" s="99"/>
    </row>
    <row r="999" spans="3:29" ht="13">
      <c r="C999" s="127"/>
      <c r="D999" s="127"/>
      <c r="E999" s="127"/>
      <c r="G999" s="127"/>
      <c r="I999" s="99"/>
      <c r="J999" s="99"/>
      <c r="K999" s="99"/>
      <c r="L999" s="99"/>
      <c r="M999" s="99"/>
      <c r="AB999" s="99"/>
      <c r="AC999" s="99"/>
    </row>
    <row r="1000" spans="3:29" ht="13">
      <c r="C1000" s="127"/>
      <c r="D1000" s="127"/>
      <c r="E1000" s="127"/>
      <c r="G1000" s="127"/>
      <c r="I1000" s="99"/>
      <c r="J1000" s="99"/>
      <c r="K1000" s="99"/>
      <c r="L1000" s="99"/>
      <c r="M1000" s="99"/>
      <c r="AB1000" s="99"/>
      <c r="AC1000" s="99"/>
    </row>
    <row r="1001" spans="3:29" ht="13">
      <c r="C1001" s="127"/>
      <c r="D1001" s="127"/>
      <c r="E1001" s="127"/>
      <c r="G1001" s="127"/>
      <c r="I1001" s="99"/>
      <c r="J1001" s="99"/>
      <c r="K1001" s="99"/>
      <c r="L1001" s="99"/>
      <c r="M1001" s="99"/>
      <c r="AB1001" s="99"/>
      <c r="AC1001" s="99"/>
    </row>
    <row r="1002" spans="3:29" ht="13">
      <c r="C1002" s="127"/>
      <c r="D1002" s="127"/>
      <c r="E1002" s="127"/>
      <c r="G1002" s="127"/>
      <c r="I1002" s="99"/>
      <c r="J1002" s="99"/>
      <c r="K1002" s="99"/>
      <c r="L1002" s="99"/>
      <c r="M1002" s="99"/>
      <c r="AB1002" s="99"/>
      <c r="AC1002" s="99"/>
    </row>
    <row r="1003" spans="3:29" ht="13">
      <c r="C1003" s="127"/>
      <c r="D1003" s="127"/>
      <c r="E1003" s="127"/>
      <c r="G1003" s="127"/>
      <c r="I1003" s="99"/>
      <c r="J1003" s="99"/>
      <c r="K1003" s="99"/>
      <c r="L1003" s="99"/>
      <c r="M1003" s="99"/>
      <c r="AB1003" s="99"/>
      <c r="AC1003" s="99"/>
    </row>
    <row r="1004" spans="3:29" ht="13">
      <c r="C1004" s="127"/>
      <c r="D1004" s="127"/>
      <c r="E1004" s="127"/>
      <c r="G1004" s="127"/>
      <c r="I1004" s="99"/>
      <c r="J1004" s="99"/>
      <c r="K1004" s="99"/>
      <c r="L1004" s="99"/>
      <c r="M1004" s="99"/>
      <c r="AB1004" s="99"/>
      <c r="AC1004" s="99"/>
    </row>
    <row r="1005" spans="3:29" ht="13">
      <c r="C1005" s="127"/>
      <c r="D1005" s="127"/>
      <c r="E1005" s="127"/>
      <c r="G1005" s="127"/>
      <c r="I1005" s="99"/>
      <c r="J1005" s="99"/>
      <c r="K1005" s="99"/>
      <c r="L1005" s="99"/>
      <c r="M1005" s="99"/>
      <c r="AB1005" s="99"/>
      <c r="AC1005" s="99"/>
    </row>
    <row r="1006" spans="3:29" ht="13">
      <c r="C1006" s="127"/>
      <c r="D1006" s="127"/>
      <c r="E1006" s="127"/>
      <c r="G1006" s="127"/>
      <c r="I1006" s="99"/>
      <c r="J1006" s="99"/>
      <c r="K1006" s="99"/>
      <c r="L1006" s="99"/>
      <c r="M1006" s="99"/>
      <c r="AB1006" s="99"/>
      <c r="AC1006" s="99"/>
    </row>
    <row r="1007" spans="3:29" ht="13">
      <c r="C1007" s="127"/>
      <c r="D1007" s="127"/>
      <c r="E1007" s="127"/>
      <c r="G1007" s="127"/>
      <c r="I1007" s="99"/>
      <c r="J1007" s="99"/>
      <c r="K1007" s="99"/>
      <c r="L1007" s="99"/>
      <c r="M1007" s="99"/>
      <c r="AB1007" s="99"/>
      <c r="AC1007" s="99"/>
    </row>
    <row r="1008" spans="3:29" ht="13">
      <c r="C1008" s="127"/>
      <c r="D1008" s="127"/>
      <c r="E1008" s="127"/>
      <c r="G1008" s="127"/>
      <c r="I1008" s="99"/>
      <c r="J1008" s="99"/>
      <c r="K1008" s="99"/>
      <c r="L1008" s="99"/>
      <c r="M1008" s="99"/>
      <c r="AB1008" s="99"/>
      <c r="AC1008" s="99"/>
    </row>
    <row r="1009" spans="3:29" ht="13">
      <c r="C1009" s="127"/>
      <c r="D1009" s="127"/>
      <c r="E1009" s="127"/>
      <c r="G1009" s="127"/>
      <c r="I1009" s="99"/>
      <c r="J1009" s="99"/>
      <c r="K1009" s="99"/>
      <c r="L1009" s="99"/>
      <c r="M1009" s="99"/>
      <c r="AB1009" s="99"/>
      <c r="AC1009" s="99"/>
    </row>
    <row r="1010" spans="3:29" ht="13">
      <c r="C1010" s="127"/>
      <c r="D1010" s="127"/>
      <c r="E1010" s="127"/>
      <c r="G1010" s="127"/>
      <c r="I1010" s="99"/>
      <c r="J1010" s="99"/>
      <c r="K1010" s="99"/>
      <c r="L1010" s="99"/>
      <c r="M1010" s="99"/>
      <c r="AB1010" s="99"/>
      <c r="AC1010" s="99"/>
    </row>
    <row r="1011" spans="3:29" ht="13">
      <c r="C1011" s="127"/>
      <c r="D1011" s="127"/>
      <c r="E1011" s="127"/>
      <c r="G1011" s="127"/>
      <c r="I1011" s="99"/>
      <c r="J1011" s="99"/>
      <c r="K1011" s="99"/>
      <c r="L1011" s="99"/>
      <c r="M1011" s="99"/>
      <c r="AB1011" s="99"/>
      <c r="AC1011" s="99"/>
    </row>
    <row r="1012" spans="3:29" ht="13">
      <c r="C1012" s="127"/>
      <c r="D1012" s="127"/>
      <c r="E1012" s="127"/>
      <c r="G1012" s="127"/>
      <c r="I1012" s="99"/>
      <c r="J1012" s="99"/>
      <c r="K1012" s="99"/>
      <c r="L1012" s="99"/>
      <c r="M1012" s="99"/>
      <c r="AB1012" s="99"/>
      <c r="AC1012" s="99"/>
    </row>
    <row r="1013" spans="3:29" ht="13">
      <c r="C1013" s="127"/>
      <c r="D1013" s="127"/>
      <c r="E1013" s="127"/>
      <c r="G1013" s="127"/>
      <c r="I1013" s="99"/>
      <c r="J1013" s="99"/>
      <c r="K1013" s="99"/>
      <c r="L1013" s="99"/>
      <c r="M1013" s="99"/>
      <c r="AB1013" s="99"/>
      <c r="AC1013" s="99"/>
    </row>
    <row r="1014" spans="3:29" ht="13">
      <c r="C1014" s="127"/>
      <c r="D1014" s="127"/>
      <c r="E1014" s="127"/>
      <c r="G1014" s="127"/>
      <c r="I1014" s="99"/>
      <c r="J1014" s="99"/>
      <c r="K1014" s="99"/>
      <c r="L1014" s="99"/>
      <c r="M1014" s="99"/>
      <c r="AB1014" s="99"/>
      <c r="AC1014" s="99"/>
    </row>
    <row r="1015" spans="3:29" ht="13">
      <c r="C1015" s="127"/>
      <c r="D1015" s="127"/>
      <c r="E1015" s="127"/>
      <c r="G1015" s="127"/>
      <c r="I1015" s="99"/>
      <c r="J1015" s="99"/>
      <c r="K1015" s="99"/>
      <c r="L1015" s="99"/>
      <c r="M1015" s="99"/>
      <c r="AB1015" s="99"/>
      <c r="AC1015" s="99"/>
    </row>
    <row r="1016" spans="3:29" ht="13">
      <c r="C1016" s="127"/>
      <c r="D1016" s="127"/>
      <c r="E1016" s="127"/>
      <c r="G1016" s="127"/>
      <c r="I1016" s="99"/>
      <c r="J1016" s="99"/>
      <c r="K1016" s="99"/>
      <c r="L1016" s="99"/>
      <c r="M1016" s="99"/>
      <c r="AB1016" s="99"/>
      <c r="AC1016" s="99"/>
    </row>
    <row r="1017" spans="3:29" ht="13">
      <c r="C1017" s="127"/>
      <c r="D1017" s="127"/>
      <c r="E1017" s="127"/>
      <c r="G1017" s="127"/>
      <c r="I1017" s="99"/>
      <c r="J1017" s="99"/>
      <c r="K1017" s="99"/>
      <c r="L1017" s="99"/>
      <c r="M1017" s="99"/>
      <c r="AB1017" s="99"/>
      <c r="AC1017" s="99"/>
    </row>
    <row r="1018" spans="3:29" ht="13">
      <c r="C1018" s="127"/>
      <c r="D1018" s="127"/>
      <c r="E1018" s="127"/>
      <c r="G1018" s="127"/>
      <c r="I1018" s="99"/>
      <c r="J1018" s="99"/>
      <c r="K1018" s="99"/>
      <c r="L1018" s="99"/>
      <c r="M1018" s="99"/>
      <c r="AB1018" s="99"/>
      <c r="AC1018" s="99"/>
    </row>
    <row r="1019" spans="3:29" ht="13">
      <c r="C1019" s="127"/>
      <c r="D1019" s="127"/>
      <c r="E1019" s="127"/>
      <c r="G1019" s="127"/>
      <c r="I1019" s="99"/>
      <c r="J1019" s="99"/>
      <c r="K1019" s="99"/>
      <c r="L1019" s="99"/>
      <c r="M1019" s="99"/>
      <c r="AB1019" s="99"/>
      <c r="AC1019" s="99"/>
    </row>
    <row r="1020" spans="3:29" ht="13">
      <c r="C1020" s="127"/>
      <c r="D1020" s="127"/>
      <c r="E1020" s="127"/>
      <c r="G1020" s="127"/>
      <c r="I1020" s="99"/>
      <c r="J1020" s="99"/>
      <c r="K1020" s="99"/>
      <c r="L1020" s="99"/>
      <c r="M1020" s="99"/>
      <c r="AB1020" s="99"/>
      <c r="AC1020" s="99"/>
    </row>
    <row r="1021" spans="3:29" ht="13">
      <c r="C1021" s="127"/>
      <c r="D1021" s="127"/>
      <c r="E1021" s="127"/>
      <c r="G1021" s="127"/>
      <c r="I1021" s="99"/>
      <c r="J1021" s="99"/>
      <c r="K1021" s="99"/>
      <c r="L1021" s="99"/>
      <c r="M1021" s="99"/>
      <c r="AB1021" s="99"/>
      <c r="AC1021" s="99"/>
    </row>
    <row r="1022" spans="3:29" ht="13">
      <c r="C1022" s="127"/>
      <c r="D1022" s="127"/>
      <c r="E1022" s="127"/>
      <c r="G1022" s="127"/>
      <c r="I1022" s="99"/>
      <c r="J1022" s="99"/>
      <c r="K1022" s="99"/>
      <c r="L1022" s="99"/>
      <c r="M1022" s="99"/>
      <c r="AB1022" s="99"/>
      <c r="AC1022" s="99"/>
    </row>
  </sheetData>
  <mergeCells count="1">
    <mergeCell ref="E34:G34"/>
  </mergeCells>
  <hyperlinks>
    <hyperlink ref="A2" r:id="rId1" xr:uid="{00000000-0004-0000-0B00-000000000000}"/>
    <hyperlink ref="C2" r:id="rId2" xr:uid="{00000000-0004-0000-0B00-000001000000}"/>
    <hyperlink ref="D2" r:id="rId3" xr:uid="{00000000-0004-0000-0B00-000002000000}"/>
    <hyperlink ref="N2" r:id="rId4" xr:uid="{00000000-0004-0000-0B00-000003000000}"/>
    <hyperlink ref="A3" r:id="rId5" xr:uid="{00000000-0004-0000-0B00-000004000000}"/>
    <hyperlink ref="C3" r:id="rId6" xr:uid="{00000000-0004-0000-0B00-000005000000}"/>
    <hyperlink ref="D3" r:id="rId7" xr:uid="{00000000-0004-0000-0B00-000006000000}"/>
    <hyperlink ref="A4" r:id="rId8" xr:uid="{00000000-0004-0000-0B00-000007000000}"/>
    <hyperlink ref="C4" r:id="rId9" xr:uid="{00000000-0004-0000-0B00-000008000000}"/>
    <hyperlink ref="D4" r:id="rId10" xr:uid="{00000000-0004-0000-0B00-000009000000}"/>
    <hyperlink ref="A5" r:id="rId11" xr:uid="{00000000-0004-0000-0B00-00000A000000}"/>
    <hyperlink ref="C5" r:id="rId12" xr:uid="{00000000-0004-0000-0B00-00000B000000}"/>
    <hyperlink ref="D5" r:id="rId13" xr:uid="{00000000-0004-0000-0B00-00000C000000}"/>
    <hyperlink ref="A6" r:id="rId14" xr:uid="{00000000-0004-0000-0B00-00000D000000}"/>
    <hyperlink ref="C6" r:id="rId15" xr:uid="{00000000-0004-0000-0B00-00000E000000}"/>
    <hyperlink ref="D6" r:id="rId16" xr:uid="{00000000-0004-0000-0B00-00000F000000}"/>
    <hyperlink ref="A7" r:id="rId17" xr:uid="{00000000-0004-0000-0B00-000010000000}"/>
    <hyperlink ref="C7" r:id="rId18" xr:uid="{00000000-0004-0000-0B00-000011000000}"/>
    <hyperlink ref="D7" r:id="rId19" xr:uid="{00000000-0004-0000-0B00-000012000000}"/>
    <hyperlink ref="A8" r:id="rId20" xr:uid="{00000000-0004-0000-0B00-000013000000}"/>
    <hyperlink ref="C8" r:id="rId21" xr:uid="{00000000-0004-0000-0B00-000014000000}"/>
    <hyperlink ref="D8" r:id="rId22" xr:uid="{00000000-0004-0000-0B00-000015000000}"/>
    <hyperlink ref="N8" r:id="rId23" xr:uid="{00000000-0004-0000-0B00-000016000000}"/>
    <hyperlink ref="A9" r:id="rId24" xr:uid="{00000000-0004-0000-0B00-000017000000}"/>
    <hyperlink ref="C9" r:id="rId25" xr:uid="{00000000-0004-0000-0B00-000018000000}"/>
    <hyperlink ref="D9" r:id="rId26" xr:uid="{00000000-0004-0000-0B00-000019000000}"/>
    <hyperlink ref="A10" r:id="rId27" xr:uid="{00000000-0004-0000-0B00-00001A000000}"/>
    <hyperlink ref="C10" r:id="rId28" xr:uid="{00000000-0004-0000-0B00-00001B000000}"/>
    <hyperlink ref="D10" r:id="rId29" xr:uid="{00000000-0004-0000-0B00-00001C000000}"/>
    <hyperlink ref="A11" r:id="rId30" xr:uid="{00000000-0004-0000-0B00-00001D000000}"/>
    <hyperlink ref="C11" r:id="rId31" xr:uid="{00000000-0004-0000-0B00-00001E000000}"/>
    <hyperlink ref="D11" r:id="rId32" xr:uid="{00000000-0004-0000-0B00-00001F000000}"/>
    <hyperlink ref="A12" r:id="rId33" xr:uid="{00000000-0004-0000-0B00-000020000000}"/>
    <hyperlink ref="C12" r:id="rId34" xr:uid="{00000000-0004-0000-0B00-000021000000}"/>
    <hyperlink ref="D12" r:id="rId35" xr:uid="{00000000-0004-0000-0B00-000022000000}"/>
    <hyperlink ref="N12" r:id="rId36" xr:uid="{00000000-0004-0000-0B00-000023000000}"/>
    <hyperlink ref="A13" r:id="rId37" xr:uid="{00000000-0004-0000-0B00-000024000000}"/>
    <hyperlink ref="C13" r:id="rId38" xr:uid="{00000000-0004-0000-0B00-000025000000}"/>
    <hyperlink ref="D13" r:id="rId39" xr:uid="{00000000-0004-0000-0B00-000026000000}"/>
    <hyperlink ref="C14" r:id="rId40" xr:uid="{00000000-0004-0000-0B00-000027000000}"/>
    <hyperlink ref="D14" r:id="rId41" xr:uid="{00000000-0004-0000-0B00-000028000000}"/>
    <hyperlink ref="N14" r:id="rId42" xr:uid="{00000000-0004-0000-0B00-000029000000}"/>
    <hyperlink ref="C15" r:id="rId43" xr:uid="{00000000-0004-0000-0B00-00002A000000}"/>
    <hyperlink ref="D15" r:id="rId44" xr:uid="{00000000-0004-0000-0B00-00002B000000}"/>
    <hyperlink ref="N15" r:id="rId45" xr:uid="{00000000-0004-0000-0B00-00002C000000}"/>
    <hyperlink ref="C16" r:id="rId46" xr:uid="{00000000-0004-0000-0B00-00002D000000}"/>
    <hyperlink ref="D16" r:id="rId47" xr:uid="{00000000-0004-0000-0B00-00002E000000}"/>
    <hyperlink ref="N16" r:id="rId48" xr:uid="{00000000-0004-0000-0B00-00002F000000}"/>
    <hyperlink ref="C17" r:id="rId49" xr:uid="{00000000-0004-0000-0B00-000030000000}"/>
    <hyperlink ref="D17" r:id="rId50" xr:uid="{00000000-0004-0000-0B00-000031000000}"/>
    <hyperlink ref="N17" r:id="rId51" xr:uid="{00000000-0004-0000-0B00-000032000000}"/>
    <hyperlink ref="C18" r:id="rId52" xr:uid="{00000000-0004-0000-0B00-000033000000}"/>
    <hyperlink ref="D18" r:id="rId53" xr:uid="{00000000-0004-0000-0B00-000034000000}"/>
    <hyperlink ref="N18" r:id="rId54" xr:uid="{00000000-0004-0000-0B00-000035000000}"/>
    <hyperlink ref="A19" r:id="rId55" xr:uid="{00000000-0004-0000-0B00-000036000000}"/>
    <hyperlink ref="C19" r:id="rId56" xr:uid="{00000000-0004-0000-0B00-000037000000}"/>
    <hyperlink ref="D19" r:id="rId57" xr:uid="{00000000-0004-0000-0B00-000038000000}"/>
    <hyperlink ref="A20" r:id="rId58" xr:uid="{00000000-0004-0000-0B00-000039000000}"/>
    <hyperlink ref="C20" r:id="rId59" xr:uid="{00000000-0004-0000-0B00-00003A000000}"/>
    <hyperlink ref="D20" r:id="rId60" xr:uid="{00000000-0004-0000-0B00-00003B000000}"/>
    <hyperlink ref="C21" r:id="rId61" xr:uid="{00000000-0004-0000-0B00-00003C000000}"/>
    <hyperlink ref="D21" r:id="rId62" xr:uid="{00000000-0004-0000-0B00-00003D000000}"/>
    <hyperlink ref="C22" r:id="rId63" xr:uid="{00000000-0004-0000-0B00-00003E000000}"/>
    <hyperlink ref="D22" r:id="rId64" xr:uid="{00000000-0004-0000-0B00-00003F000000}"/>
    <hyperlink ref="N22" r:id="rId65" location="entry75079" xr:uid="{00000000-0004-0000-0B00-000040000000}"/>
    <hyperlink ref="C23" r:id="rId66" xr:uid="{00000000-0004-0000-0B00-000041000000}"/>
    <hyperlink ref="D23" r:id="rId67" xr:uid="{00000000-0004-0000-0B00-000042000000}"/>
    <hyperlink ref="N23" r:id="rId68" location="entry75079" xr:uid="{00000000-0004-0000-0B00-000043000000}"/>
    <hyperlink ref="A24" r:id="rId69" xr:uid="{00000000-0004-0000-0B00-000044000000}"/>
    <hyperlink ref="C24" r:id="rId70" xr:uid="{00000000-0004-0000-0B00-000045000000}"/>
    <hyperlink ref="D24" r:id="rId71" xr:uid="{00000000-0004-0000-0B00-000046000000}"/>
    <hyperlink ref="O26" r:id="rId72" xr:uid="{00000000-0004-0000-0B00-000047000000}"/>
  </hyperlinks>
  <pageMargins left="0.7" right="0.7" top="0.75" bottom="0.75" header="0.3" footer="0.3"/>
  <legacyDrawing r:id="rId73"/>
  <tableParts count="1">
    <tablePart r:id="rId7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H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2" width="5.6640625" customWidth="1"/>
    <col min="3" max="3" width="17.1640625" customWidth="1"/>
    <col min="4" max="4" width="25.33203125" customWidth="1"/>
    <col min="5" max="5" width="22.1640625" customWidth="1"/>
    <col min="6" max="6" width="7.6640625" customWidth="1"/>
    <col min="7" max="7" width="15.33203125" customWidth="1"/>
    <col min="8" max="8" width="8.33203125" customWidth="1"/>
    <col min="9" max="9" width="7.1640625" customWidth="1"/>
    <col min="10" max="10" width="7.33203125" customWidth="1"/>
    <col min="11" max="13" width="6.33203125" customWidth="1"/>
    <col min="14" max="14" width="13.5" customWidth="1"/>
    <col min="17" max="20" width="15.33203125" customWidth="1"/>
    <col min="26" max="26" width="8.5" customWidth="1"/>
    <col min="27" max="27" width="7.83203125" customWidth="1"/>
    <col min="28" max="28" width="3.6640625" customWidth="1"/>
    <col min="29" max="29" width="3.5" customWidth="1"/>
    <col min="30" max="30" width="7.33203125" customWidth="1"/>
    <col min="31" max="31" width="12" customWidth="1"/>
    <col min="36" max="37" width="5.6640625" customWidth="1"/>
  </cols>
  <sheetData>
    <row r="1" spans="1:60" ht="13">
      <c r="A1" s="211"/>
      <c r="B1" s="211" t="s">
        <v>6</v>
      </c>
      <c r="C1" s="212" t="s">
        <v>7</v>
      </c>
      <c r="D1" s="213" t="s">
        <v>14</v>
      </c>
      <c r="E1" s="211" t="s">
        <v>15</v>
      </c>
      <c r="F1" s="211" t="s">
        <v>16</v>
      </c>
      <c r="G1" s="213" t="s">
        <v>17</v>
      </c>
      <c r="H1" s="211" t="s">
        <v>18</v>
      </c>
      <c r="I1" s="211" t="s">
        <v>19</v>
      </c>
      <c r="J1" s="211" t="s">
        <v>20</v>
      </c>
      <c r="K1" s="211" t="s">
        <v>21</v>
      </c>
      <c r="L1" s="211" t="s">
        <v>22</v>
      </c>
      <c r="M1" s="214" t="s">
        <v>142</v>
      </c>
      <c r="N1" s="211" t="s">
        <v>23</v>
      </c>
      <c r="O1" s="211" t="s">
        <v>24</v>
      </c>
      <c r="P1" s="211" t="s">
        <v>25</v>
      </c>
      <c r="Q1" s="211" t="s">
        <v>26</v>
      </c>
      <c r="R1" s="211" t="s">
        <v>27</v>
      </c>
      <c r="S1" s="211" t="s">
        <v>28</v>
      </c>
      <c r="T1" s="211" t="s">
        <v>29</v>
      </c>
      <c r="U1" s="211" t="s">
        <v>440</v>
      </c>
      <c r="V1" s="211" t="s">
        <v>30</v>
      </c>
      <c r="W1" s="211" t="s">
        <v>31</v>
      </c>
      <c r="X1" s="211" t="s">
        <v>32</v>
      </c>
      <c r="Y1" s="211" t="s">
        <v>33</v>
      </c>
      <c r="Z1" s="211" t="s">
        <v>34</v>
      </c>
      <c r="AA1" s="211" t="s">
        <v>35</v>
      </c>
      <c r="AB1" s="211" t="s">
        <v>36</v>
      </c>
      <c r="AC1" s="211" t="s">
        <v>37</v>
      </c>
      <c r="AD1" s="211" t="s">
        <v>38</v>
      </c>
      <c r="AE1" s="214" t="s">
        <v>39</v>
      </c>
      <c r="AF1" s="211" t="s">
        <v>40</v>
      </c>
      <c r="AG1" s="211" t="s">
        <v>41</v>
      </c>
      <c r="AH1" s="211" t="s">
        <v>42</v>
      </c>
      <c r="AI1" s="211" t="s">
        <v>43</v>
      </c>
      <c r="AJ1" s="211"/>
      <c r="AK1" s="211"/>
    </row>
    <row r="2" spans="1:60" ht="15" customHeight="1">
      <c r="A2" s="215"/>
      <c r="B2" s="215" t="s">
        <v>304</v>
      </c>
      <c r="C2" s="216" t="s">
        <v>1115</v>
      </c>
      <c r="D2" s="216" t="s">
        <v>1117</v>
      </c>
      <c r="E2" s="215" t="str">
        <f t="shared" ref="E2:E3" si="0">TRIM(LEFT(D2,LEN(D2)-4))</f>
        <v>Tater Sewel</v>
      </c>
      <c r="F2" s="215" t="str">
        <f t="shared" ref="F2:F4" si="1">TRIM(RIGHT(D2,2))</f>
        <v>C</v>
      </c>
      <c r="G2" s="217" t="s">
        <v>294</v>
      </c>
      <c r="H2" s="65">
        <v>100</v>
      </c>
      <c r="I2" s="30"/>
      <c r="J2" s="102"/>
      <c r="N2" s="218" t="s">
        <v>566</v>
      </c>
      <c r="P2" s="215" t="s">
        <v>37</v>
      </c>
      <c r="Q2" s="215">
        <v>26</v>
      </c>
      <c r="R2" s="215" t="s">
        <v>37</v>
      </c>
      <c r="AC2" s="157">
        <v>1</v>
      </c>
      <c r="AD2" s="215">
        <v>100</v>
      </c>
    </row>
    <row r="3" spans="1:60" ht="13">
      <c r="B3" s="219" t="s">
        <v>304</v>
      </c>
      <c r="C3" s="221" t="s">
        <v>1119</v>
      </c>
      <c r="D3" s="221" t="s">
        <v>1120</v>
      </c>
      <c r="E3" s="219" t="str">
        <f t="shared" si="0"/>
        <v>Tyler Finch</v>
      </c>
      <c r="F3" s="219" t="str">
        <f t="shared" si="1"/>
        <v>SP</v>
      </c>
      <c r="G3" s="224" t="s">
        <v>109</v>
      </c>
      <c r="H3" s="225">
        <v>100</v>
      </c>
      <c r="I3" s="226"/>
      <c r="J3" s="90"/>
      <c r="K3" s="226"/>
      <c r="N3" s="227" t="s">
        <v>1025</v>
      </c>
      <c r="O3" s="219" t="s">
        <v>38</v>
      </c>
      <c r="P3" s="219">
        <v>31</v>
      </c>
      <c r="Q3" s="219" t="s">
        <v>38</v>
      </c>
      <c r="AC3" s="225" t="s">
        <v>274</v>
      </c>
      <c r="AD3" s="219">
        <v>100</v>
      </c>
    </row>
    <row r="4" spans="1:60" ht="12.75" customHeight="1">
      <c r="A4" s="228" t="s">
        <v>391</v>
      </c>
      <c r="B4" s="215" t="s">
        <v>304</v>
      </c>
      <c r="C4" s="216" t="s">
        <v>57</v>
      </c>
      <c r="D4" s="216" t="s">
        <v>392</v>
      </c>
      <c r="E4" s="27" t="str">
        <f>TRIM(LEFT(D4,LEN(D4)-5))</f>
        <v>Mike Boss</v>
      </c>
      <c r="F4" s="215" t="str">
        <f t="shared" si="1"/>
        <v>1B</v>
      </c>
      <c r="G4" s="217" t="s">
        <v>192</v>
      </c>
      <c r="H4" s="65">
        <v>764</v>
      </c>
      <c r="I4" s="72"/>
      <c r="J4" s="72"/>
      <c r="K4" s="30"/>
      <c r="L4" s="30"/>
      <c r="M4" s="30"/>
      <c r="N4" s="215"/>
      <c r="O4" s="215" t="s">
        <v>70</v>
      </c>
      <c r="P4" s="215">
        <v>17</v>
      </c>
      <c r="Q4" s="215" t="s">
        <v>70</v>
      </c>
      <c r="R4" s="215"/>
      <c r="S4" s="215"/>
      <c r="T4" s="215"/>
      <c r="V4" s="215">
        <v>4</v>
      </c>
      <c r="W4" s="215">
        <v>5</v>
      </c>
      <c r="X4" s="215">
        <v>6.5</v>
      </c>
      <c r="Y4" s="215">
        <v>7.25</v>
      </c>
      <c r="Z4" s="215">
        <v>7.5</v>
      </c>
      <c r="AA4" s="215">
        <v>7.25</v>
      </c>
      <c r="AB4" s="30">
        <v>7.25</v>
      </c>
      <c r="AC4" s="157">
        <v>5.25</v>
      </c>
      <c r="AD4" s="78">
        <v>868</v>
      </c>
      <c r="AE4" s="215">
        <v>544</v>
      </c>
      <c r="AF4" s="215">
        <v>525</v>
      </c>
      <c r="AG4" s="215">
        <v>511</v>
      </c>
      <c r="AH4" s="215">
        <v>487</v>
      </c>
    </row>
    <row r="6" spans="1:60" ht="12.75" customHeight="1">
      <c r="A6" s="228" t="s">
        <v>600</v>
      </c>
      <c r="B6" s="215" t="s">
        <v>304</v>
      </c>
      <c r="C6" s="230" t="s">
        <v>601</v>
      </c>
      <c r="D6" s="230" t="s">
        <v>602</v>
      </c>
      <c r="E6" s="27" t="str">
        <f>TRIM(LEFT(D6,LEN(D6)-4))</f>
        <v>Lazaro Hernandez</v>
      </c>
      <c r="F6" s="27" t="str">
        <f t="shared" ref="F6:F9" si="2">TRIM(RIGHT(D6,2))</f>
        <v>1B</v>
      </c>
      <c r="G6" s="231" t="s">
        <v>104</v>
      </c>
      <c r="H6" s="232">
        <v>420</v>
      </c>
      <c r="I6" s="30"/>
      <c r="J6" s="30"/>
      <c r="K6" s="30"/>
      <c r="L6" s="30"/>
      <c r="M6" s="30"/>
      <c r="O6" s="27" t="s">
        <v>70</v>
      </c>
      <c r="P6" s="27">
        <v>63</v>
      </c>
      <c r="Q6" s="27" t="s">
        <v>70</v>
      </c>
      <c r="V6" s="27">
        <v>0.5</v>
      </c>
      <c r="W6" s="27">
        <v>2</v>
      </c>
      <c r="X6" s="27">
        <v>3</v>
      </c>
      <c r="Y6" s="215">
        <v>5</v>
      </c>
      <c r="Z6" s="27">
        <v>5.75</v>
      </c>
      <c r="AA6" s="215">
        <v>7.25</v>
      </c>
      <c r="AB6" s="30">
        <v>8</v>
      </c>
      <c r="AC6" s="27">
        <v>295</v>
      </c>
      <c r="AD6" s="30">
        <v>4</v>
      </c>
      <c r="AE6" s="233">
        <v>477</v>
      </c>
      <c r="AF6" s="27">
        <v>269</v>
      </c>
      <c r="AG6" s="27">
        <v>247</v>
      </c>
      <c r="AH6" s="27">
        <v>149</v>
      </c>
      <c r="AJ6" s="215" t="str">
        <f>VLOOKUP(B6,Analysis!$A$24:$B$32,2,FALSE)</f>
        <v>:bulldogs:</v>
      </c>
      <c r="AK6" s="215" t="str">
        <f>AJ6&amp;" [b][url="&amp;A6&amp;"]"&amp;D6&amp;"[/url][/b] TPE: "&amp;AE6&amp;", Regression Class: "&amp;Q6</f>
        <v>:bulldogs: [b][url=http://probaseballexperience.jcink.net/index.php?showtopic=141]Lazaro Hernandez - 1B[/url][/b] TPE: 477, Regression Class: S1</v>
      </c>
    </row>
    <row r="7" spans="1:60" ht="12.75" customHeight="1">
      <c r="A7" s="227" t="s">
        <v>639</v>
      </c>
      <c r="B7" s="219" t="s">
        <v>304</v>
      </c>
      <c r="C7" s="235" t="s">
        <v>641</v>
      </c>
      <c r="D7" s="235" t="s">
        <v>643</v>
      </c>
      <c r="E7" s="236" t="str">
        <f>TRIM(LEFT(D7,LEN(D7)-5))</f>
        <v>Keeks Marone</v>
      </c>
      <c r="F7" s="236" t="str">
        <f t="shared" si="2"/>
        <v>CF</v>
      </c>
      <c r="G7" s="237" t="s">
        <v>166</v>
      </c>
      <c r="H7" s="219">
        <v>394</v>
      </c>
      <c r="I7" s="238"/>
      <c r="J7" s="238"/>
      <c r="K7" s="238"/>
      <c r="L7" s="238"/>
      <c r="M7" s="238"/>
      <c r="O7" s="236" t="s">
        <v>126</v>
      </c>
      <c r="P7" s="236">
        <v>23</v>
      </c>
      <c r="Q7" s="236" t="s">
        <v>78</v>
      </c>
      <c r="V7" s="236">
        <v>7</v>
      </c>
      <c r="W7" s="236">
        <v>1</v>
      </c>
      <c r="X7" s="236">
        <v>1</v>
      </c>
      <c r="Y7" s="219">
        <v>3</v>
      </c>
      <c r="Z7" s="236">
        <v>5</v>
      </c>
      <c r="AA7" s="219">
        <v>5.75</v>
      </c>
      <c r="AB7" s="238">
        <v>3</v>
      </c>
      <c r="AC7" s="238">
        <v>238</v>
      </c>
      <c r="AD7" s="238"/>
      <c r="AE7" s="219">
        <v>394</v>
      </c>
      <c r="AF7" s="236">
        <v>215</v>
      </c>
      <c r="AG7" s="236">
        <v>199</v>
      </c>
      <c r="AH7" s="236">
        <v>170</v>
      </c>
      <c r="AJ7" s="219" t="str">
        <f>VLOOKUP(B7,Analysis!$A$24:$B$32,2,FALSE)</f>
        <v>:bulldogs:</v>
      </c>
      <c r="AK7" s="219" t="str">
        <f>AJ7&amp;" [b][url="&amp;A7&amp;"]"&amp;D7&amp;"[/url][/b] TPE: "&amp;H7&amp;", Regression Class: "&amp;Q7</f>
        <v>:bulldogs: [b][url=http://probaseballexperience.jcink.net/index.php?showtopic=1441]Keeks Marone - CF[/url][/b] TPE: 394, Regression Class: S2</v>
      </c>
    </row>
    <row r="8" spans="1:60" ht="12.75" customHeight="1">
      <c r="A8" s="239" t="s">
        <v>726</v>
      </c>
      <c r="B8" s="215" t="s">
        <v>304</v>
      </c>
      <c r="C8" s="230" t="s">
        <v>728</v>
      </c>
      <c r="D8" s="230" t="s">
        <v>729</v>
      </c>
      <c r="E8" s="27" t="str">
        <f t="shared" ref="E8:E10" si="3">TRIM(LEFT(D8,LEN(D8)-4))</f>
        <v>Bobby Shmurda</v>
      </c>
      <c r="F8" s="27" t="str">
        <f t="shared" si="2"/>
        <v>SS</v>
      </c>
      <c r="G8" s="231" t="s">
        <v>76</v>
      </c>
      <c r="H8" s="65">
        <v>338</v>
      </c>
      <c r="I8" s="240"/>
      <c r="J8" s="240"/>
      <c r="K8" s="240"/>
      <c r="L8" s="240"/>
      <c r="M8" s="240"/>
      <c r="N8" s="241"/>
      <c r="O8" s="241" t="s">
        <v>70</v>
      </c>
      <c r="P8" s="242">
        <v>19</v>
      </c>
      <c r="Q8" s="241" t="s">
        <v>70</v>
      </c>
      <c r="R8" s="241"/>
      <c r="S8" s="241"/>
      <c r="T8" s="241"/>
      <c r="U8" s="241"/>
      <c r="V8" s="241"/>
      <c r="W8" s="242">
        <v>3</v>
      </c>
      <c r="X8" s="242">
        <v>3</v>
      </c>
      <c r="Y8" s="243">
        <v>3</v>
      </c>
      <c r="Z8" s="242">
        <v>3</v>
      </c>
      <c r="AA8" s="243">
        <v>3</v>
      </c>
      <c r="AB8" s="244">
        <v>3</v>
      </c>
      <c r="AC8" s="244">
        <v>3</v>
      </c>
      <c r="AD8" s="245">
        <v>3</v>
      </c>
      <c r="AE8" s="243">
        <v>384</v>
      </c>
      <c r="AF8" s="242">
        <v>384</v>
      </c>
      <c r="AG8" s="242">
        <v>384</v>
      </c>
      <c r="AH8" s="242">
        <v>384</v>
      </c>
      <c r="AI8" s="242">
        <v>384</v>
      </c>
      <c r="AJ8" s="241"/>
      <c r="AK8" s="241"/>
      <c r="AL8" s="241"/>
      <c r="AM8" s="241"/>
      <c r="AN8" s="241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</row>
    <row r="9" spans="1:60" ht="12.75" customHeight="1">
      <c r="A9" s="227" t="s">
        <v>736</v>
      </c>
      <c r="B9" s="219" t="s">
        <v>304</v>
      </c>
      <c r="C9" s="235" t="s">
        <v>737</v>
      </c>
      <c r="D9" s="235" t="s">
        <v>738</v>
      </c>
      <c r="E9" s="236" t="str">
        <f t="shared" si="3"/>
        <v>George Delrod</v>
      </c>
      <c r="F9" s="236" t="str">
        <f t="shared" si="2"/>
        <v>3B</v>
      </c>
      <c r="G9" s="237" t="s">
        <v>740</v>
      </c>
      <c r="H9" s="225">
        <v>327</v>
      </c>
      <c r="I9" s="238"/>
      <c r="J9" s="238"/>
      <c r="K9" s="238"/>
      <c r="L9" s="238"/>
      <c r="M9" s="238"/>
      <c r="O9" s="236" t="s">
        <v>78</v>
      </c>
      <c r="P9" s="236">
        <v>24</v>
      </c>
      <c r="Q9" s="236" t="s">
        <v>78</v>
      </c>
      <c r="W9" s="236">
        <v>4</v>
      </c>
      <c r="X9" s="236">
        <v>6</v>
      </c>
      <c r="Y9" s="219">
        <v>3</v>
      </c>
      <c r="Z9" s="236">
        <v>3</v>
      </c>
      <c r="AA9" s="236">
        <v>3</v>
      </c>
      <c r="AB9" s="238">
        <v>3</v>
      </c>
      <c r="AC9" s="226">
        <v>3</v>
      </c>
      <c r="AD9" s="219">
        <v>327</v>
      </c>
      <c r="AF9" s="236">
        <v>319</v>
      </c>
      <c r="AG9" s="236">
        <v>305</v>
      </c>
      <c r="AH9" s="236">
        <v>297</v>
      </c>
      <c r="AI9" s="236">
        <v>273</v>
      </c>
    </row>
    <row r="10" spans="1:60" ht="12.75" customHeight="1">
      <c r="A10" s="228" t="s">
        <v>757</v>
      </c>
      <c r="B10" s="215" t="s">
        <v>304</v>
      </c>
      <c r="C10" s="230" t="s">
        <v>758</v>
      </c>
      <c r="D10" s="230" t="s">
        <v>760</v>
      </c>
      <c r="E10" s="27" t="str">
        <f t="shared" si="3"/>
        <v>Takumi Fujiwara</v>
      </c>
      <c r="F10" s="27" t="s">
        <v>83</v>
      </c>
      <c r="G10" s="231" t="s">
        <v>104</v>
      </c>
      <c r="H10" s="65">
        <v>315</v>
      </c>
      <c r="I10" s="30"/>
      <c r="J10" s="30"/>
      <c r="K10" s="30"/>
      <c r="L10" s="30"/>
      <c r="M10" s="30"/>
      <c r="O10" s="27" t="s">
        <v>33</v>
      </c>
      <c r="P10" s="27">
        <v>27</v>
      </c>
      <c r="Q10" s="27" t="s">
        <v>32</v>
      </c>
      <c r="W10" s="27">
        <v>2.5</v>
      </c>
      <c r="X10" s="27">
        <v>1</v>
      </c>
      <c r="Y10" s="215">
        <v>1</v>
      </c>
      <c r="Z10" s="27">
        <v>1</v>
      </c>
      <c r="AA10" s="215">
        <v>2</v>
      </c>
      <c r="AB10" s="30">
        <v>2</v>
      </c>
      <c r="AC10" s="157">
        <v>2</v>
      </c>
      <c r="AD10" s="215">
        <v>315</v>
      </c>
    </row>
    <row r="11" spans="1:60" ht="12.75" customHeight="1">
      <c r="A11" s="227" t="s">
        <v>764</v>
      </c>
      <c r="B11" s="219" t="s">
        <v>304</v>
      </c>
      <c r="C11" s="221" t="s">
        <v>766</v>
      </c>
      <c r="D11" s="221" t="s">
        <v>767</v>
      </c>
      <c r="E11" s="236" t="str">
        <f>TRIM(LEFT(D11,LEN(D11)-5))</f>
        <v>Phil Macioce</v>
      </c>
      <c r="F11" s="236" t="str">
        <f t="shared" ref="F11:F19" si="4">TRIM(RIGHT(D11,2))</f>
        <v>2B</v>
      </c>
      <c r="G11" s="224" t="s">
        <v>740</v>
      </c>
      <c r="H11" s="225">
        <v>314</v>
      </c>
      <c r="N11" s="219"/>
      <c r="O11" s="219" t="s">
        <v>78</v>
      </c>
      <c r="P11" s="219">
        <v>36</v>
      </c>
      <c r="Q11" s="219" t="s">
        <v>70</v>
      </c>
      <c r="V11" s="236">
        <v>3</v>
      </c>
      <c r="W11" s="219">
        <v>3</v>
      </c>
      <c r="X11" s="219"/>
      <c r="Y11" s="219">
        <v>3</v>
      </c>
      <c r="Z11" s="219">
        <v>3</v>
      </c>
      <c r="AA11" s="236">
        <v>3</v>
      </c>
      <c r="AB11" s="236">
        <v>310</v>
      </c>
      <c r="AE11" s="225">
        <v>314</v>
      </c>
      <c r="AF11" s="219">
        <v>303</v>
      </c>
      <c r="AG11" s="219">
        <v>290</v>
      </c>
      <c r="AH11" s="219">
        <v>281</v>
      </c>
      <c r="AI11" s="219" t="str">
        <f>F11&amp;" - "&amp;E11</f>
        <v>2B - Phil Macioce</v>
      </c>
      <c r="AJ11" s="219" t="str">
        <f>VLOOKUP(B11,Analysis!$A$24:$B$32,2,FALSE)</f>
        <v>:bulldogs:</v>
      </c>
      <c r="AK11" s="219" t="str">
        <f>AJ11&amp;" [b][url="&amp;A11&amp;"]"&amp;D11&amp;"[/url][/b] TPE: "&amp;H11&amp;", Regression Class: "&amp;Q11</f>
        <v>:bulldogs: [b][url=http://probaseballexperience.jcink.net/index.php?showtopic=918]Phil Macioce - 2B[/url][/b] TPE: 314, Regression Class: S1</v>
      </c>
    </row>
    <row r="12" spans="1:60" ht="12.75" customHeight="1">
      <c r="A12" s="228" t="s">
        <v>824</v>
      </c>
      <c r="B12" s="215" t="s">
        <v>304</v>
      </c>
      <c r="C12" s="216" t="s">
        <v>826</v>
      </c>
      <c r="D12" s="216" t="s">
        <v>828</v>
      </c>
      <c r="E12" s="27" t="str">
        <f t="shared" ref="E12:E14" si="5">TRIM(LEFT(D12,LEN(D12)-4))</f>
        <v>Joshua Linton</v>
      </c>
      <c r="F12" s="27" t="str">
        <f t="shared" si="4"/>
        <v>2B</v>
      </c>
      <c r="G12" s="217" t="s">
        <v>565</v>
      </c>
      <c r="H12" s="232">
        <v>271</v>
      </c>
      <c r="I12" s="87"/>
      <c r="J12" s="30"/>
      <c r="K12" s="30"/>
      <c r="L12" s="30"/>
      <c r="M12" s="30"/>
      <c r="N12" s="215" t="s">
        <v>459</v>
      </c>
      <c r="O12" s="215" t="s">
        <v>36</v>
      </c>
      <c r="P12" s="215">
        <v>6</v>
      </c>
      <c r="Q12" s="215" t="s">
        <v>35</v>
      </c>
      <c r="Y12" s="215"/>
      <c r="AB12" s="215">
        <v>0</v>
      </c>
      <c r="AC12" s="30">
        <v>4</v>
      </c>
      <c r="AD12" s="30">
        <v>4</v>
      </c>
      <c r="AE12" s="233">
        <v>271</v>
      </c>
    </row>
    <row r="13" spans="1:60" ht="12.75" customHeight="1">
      <c r="A13" s="227" t="s">
        <v>836</v>
      </c>
      <c r="B13" s="219" t="s">
        <v>304</v>
      </c>
      <c r="C13" s="221" t="s">
        <v>838</v>
      </c>
      <c r="D13" s="221" t="s">
        <v>840</v>
      </c>
      <c r="E13" s="236" t="str">
        <f t="shared" si="5"/>
        <v>Jimmy Caliburn</v>
      </c>
      <c r="F13" s="219" t="str">
        <f t="shared" si="4"/>
        <v>CF</v>
      </c>
      <c r="G13" s="224" t="s">
        <v>166</v>
      </c>
      <c r="H13" s="225">
        <v>262</v>
      </c>
      <c r="I13" s="238"/>
      <c r="J13" s="238"/>
      <c r="K13" s="238"/>
      <c r="L13" s="238"/>
      <c r="M13" s="238"/>
      <c r="O13" s="219" t="s">
        <v>34</v>
      </c>
      <c r="P13" s="219">
        <v>18</v>
      </c>
      <c r="Q13" s="219" t="s">
        <v>34</v>
      </c>
      <c r="R13" s="219" t="s">
        <v>374</v>
      </c>
      <c r="S13" s="219">
        <v>6</v>
      </c>
      <c r="T13" s="219">
        <v>11</v>
      </c>
      <c r="U13" s="219" t="s">
        <v>375</v>
      </c>
      <c r="W13" s="219"/>
      <c r="X13" s="219"/>
      <c r="Y13" s="219"/>
      <c r="Z13" s="219">
        <v>3</v>
      </c>
      <c r="AA13" s="219">
        <v>3</v>
      </c>
      <c r="AB13" s="238">
        <v>2</v>
      </c>
      <c r="AC13" s="226">
        <v>2</v>
      </c>
      <c r="AD13" s="219">
        <v>262</v>
      </c>
      <c r="AE13" s="219">
        <v>3</v>
      </c>
      <c r="AF13" s="219"/>
      <c r="AG13" s="219"/>
      <c r="AH13" s="219"/>
      <c r="AI13" s="219"/>
    </row>
    <row r="14" spans="1:60" ht="12.75" customHeight="1">
      <c r="A14" s="228" t="s">
        <v>843</v>
      </c>
      <c r="B14" s="215" t="s">
        <v>304</v>
      </c>
      <c r="C14" s="216" t="s">
        <v>845</v>
      </c>
      <c r="D14" s="216" t="s">
        <v>846</v>
      </c>
      <c r="E14" s="27" t="str">
        <f t="shared" si="5"/>
        <v>Kenny Gzus</v>
      </c>
      <c r="F14" s="215" t="str">
        <f t="shared" si="4"/>
        <v>LF</v>
      </c>
      <c r="G14" s="217" t="s">
        <v>298</v>
      </c>
      <c r="H14" s="215">
        <v>262</v>
      </c>
      <c r="I14" s="30"/>
      <c r="J14" s="30"/>
      <c r="K14" s="30"/>
      <c r="L14" s="30"/>
      <c r="M14" s="30"/>
      <c r="N14" s="215"/>
      <c r="O14" s="215" t="s">
        <v>70</v>
      </c>
      <c r="P14" s="215">
        <v>85</v>
      </c>
      <c r="Q14" s="215" t="s">
        <v>70</v>
      </c>
      <c r="W14" s="215">
        <v>2</v>
      </c>
      <c r="X14" s="215">
        <v>3</v>
      </c>
      <c r="Y14" s="215">
        <v>4</v>
      </c>
      <c r="Z14" s="215">
        <v>2</v>
      </c>
      <c r="AB14" s="30">
        <v>2</v>
      </c>
      <c r="AC14" s="157">
        <v>2</v>
      </c>
      <c r="AD14" s="215">
        <v>297</v>
      </c>
      <c r="AF14" s="215">
        <v>297</v>
      </c>
      <c r="AG14" s="215">
        <v>297</v>
      </c>
      <c r="AH14" s="215">
        <v>272</v>
      </c>
      <c r="AI14" s="215">
        <v>272</v>
      </c>
    </row>
    <row r="15" spans="1:60" ht="12.75" customHeight="1">
      <c r="A15" s="227" t="s">
        <v>852</v>
      </c>
      <c r="B15" s="219" t="s">
        <v>304</v>
      </c>
      <c r="C15" s="235" t="s">
        <v>853</v>
      </c>
      <c r="D15" s="235" t="s">
        <v>854</v>
      </c>
      <c r="E15" s="236" t="str">
        <f>TRIM(LEFT(D15,LEN(D15)-5))</f>
        <v>Ben Waters</v>
      </c>
      <c r="F15" s="236" t="str">
        <f t="shared" si="4"/>
        <v>2B</v>
      </c>
      <c r="G15" s="237" t="s">
        <v>104</v>
      </c>
      <c r="H15" s="225">
        <v>260</v>
      </c>
      <c r="N15" s="236" t="s">
        <v>856</v>
      </c>
      <c r="O15" s="236" t="s">
        <v>34</v>
      </c>
      <c r="P15" s="236">
        <v>29</v>
      </c>
      <c r="Q15" s="236" t="s">
        <v>33</v>
      </c>
      <c r="S15" s="236">
        <v>5</v>
      </c>
      <c r="T15" s="236" t="s">
        <v>857</v>
      </c>
      <c r="Y15" s="219">
        <v>1</v>
      </c>
      <c r="Z15" s="236">
        <v>1</v>
      </c>
      <c r="AD15" s="238">
        <v>2</v>
      </c>
      <c r="AE15" s="219">
        <v>260</v>
      </c>
      <c r="AJ15" s="219" t="str">
        <f>VLOOKUP(B15,Analysis!$A$24:$B$32,2,FALSE)</f>
        <v>:bulldogs:</v>
      </c>
      <c r="AK15" s="219" t="str">
        <f>AJ15&amp;" [b][url="&amp;A15&amp;"]"&amp;D15&amp;"[/url][/b] TPE: "&amp;AE15&amp;", Regression Class: "&amp;Q15</f>
        <v>:bulldogs: [b][url=http://probaseballexperience.jcink.net/index.php?showtopic=2781]Ben Waters - 2B[/url][/b] TPE: 260, Regression Class: S5</v>
      </c>
    </row>
    <row r="16" spans="1:60" ht="12.75" customHeight="1">
      <c r="A16" s="101" t="s">
        <v>860</v>
      </c>
      <c r="B16" s="215" t="s">
        <v>304</v>
      </c>
      <c r="C16" s="216" t="s">
        <v>48</v>
      </c>
      <c r="D16" s="216" t="s">
        <v>861</v>
      </c>
      <c r="E16" s="215" t="str">
        <f>TRIM(LEFT(D16,LEN(D16)-4))</f>
        <v>Lewis Robertson</v>
      </c>
      <c r="F16" s="215" t="str">
        <f t="shared" si="4"/>
        <v>3B</v>
      </c>
      <c r="G16" s="217" t="s">
        <v>159</v>
      </c>
      <c r="H16" s="65">
        <v>255</v>
      </c>
      <c r="I16" s="30"/>
      <c r="J16" s="30"/>
      <c r="K16" s="30"/>
      <c r="L16" s="30"/>
      <c r="M16" s="30"/>
      <c r="N16" s="65" t="s">
        <v>523</v>
      </c>
      <c r="O16" s="215" t="s">
        <v>36</v>
      </c>
      <c r="P16" s="215">
        <v>28</v>
      </c>
      <c r="Q16" s="215" t="s">
        <v>36</v>
      </c>
      <c r="R16" s="215"/>
      <c r="S16" s="215"/>
      <c r="T16" s="215"/>
      <c r="U16" s="215"/>
      <c r="V16" s="27"/>
      <c r="W16" s="215"/>
      <c r="X16" s="215"/>
      <c r="Y16" s="215"/>
      <c r="Z16" s="215"/>
      <c r="AA16" s="215">
        <v>0</v>
      </c>
      <c r="AB16" s="157">
        <v>1</v>
      </c>
      <c r="AC16" s="87">
        <v>2</v>
      </c>
      <c r="AD16" s="65">
        <v>156</v>
      </c>
      <c r="AE16" s="215"/>
      <c r="AF16" s="215"/>
      <c r="AG16" s="215"/>
      <c r="AH16" s="215"/>
      <c r="AI16" s="215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40"/>
    </row>
    <row r="17" spans="1:38" ht="12.75" customHeight="1">
      <c r="A17" s="227" t="s">
        <v>865</v>
      </c>
      <c r="B17" s="219" t="s">
        <v>304</v>
      </c>
      <c r="C17" s="235" t="s">
        <v>866</v>
      </c>
      <c r="D17" s="235" t="s">
        <v>867</v>
      </c>
      <c r="E17" s="236" t="str">
        <f t="shared" ref="E17:E19" si="6">TRIM(LEFT(D17,LEN(D17)-5))</f>
        <v>Dongus Dio</v>
      </c>
      <c r="F17" s="236" t="str">
        <f t="shared" si="4"/>
        <v>1B</v>
      </c>
      <c r="G17" s="237" t="s">
        <v>151</v>
      </c>
      <c r="H17" s="219">
        <v>254</v>
      </c>
      <c r="N17" s="253" t="s">
        <v>1167</v>
      </c>
      <c r="O17" s="236" t="s">
        <v>126</v>
      </c>
      <c r="P17" s="236">
        <v>18</v>
      </c>
      <c r="Q17" s="236" t="s">
        <v>78</v>
      </c>
      <c r="W17" s="236">
        <v>1.5</v>
      </c>
      <c r="X17" s="236">
        <v>1.5</v>
      </c>
      <c r="AC17" s="226">
        <v>2</v>
      </c>
      <c r="AE17" s="219">
        <v>254</v>
      </c>
      <c r="AF17" s="236">
        <v>254</v>
      </c>
      <c r="AG17" s="236">
        <v>251</v>
      </c>
      <c r="AH17" s="236">
        <v>245</v>
      </c>
      <c r="AI17" s="236">
        <v>232</v>
      </c>
      <c r="AJ17" s="219" t="str">
        <f>VLOOKUP(B17,Analysis!$A$24:$B$32,2,FALSE)</f>
        <v>:bulldogs:</v>
      </c>
      <c r="AK17" s="219" t="str">
        <f t="shared" ref="AK17:AK19" si="7">AJ17&amp;" [b][url="&amp;A17&amp;"]"&amp;D17&amp;"[/url][/b] TPE: "&amp;H17&amp;", Regression Class: "&amp;Q17</f>
        <v>:bulldogs: [b][url=http://probaseballexperience.jcink.net/index.php?showtopic=1358]Dongus Dio - 1B[/url][/b] TPE: 254, Regression Class: S2</v>
      </c>
      <c r="AL17" s="236" t="str">
        <f t="shared" ref="AL17:AL18" si="8">F17&amp;" - "&amp;E17</f>
        <v>1B - Dongus Dio</v>
      </c>
    </row>
    <row r="18" spans="1:38" ht="12.75" customHeight="1">
      <c r="A18" s="228" t="s">
        <v>865</v>
      </c>
      <c r="B18" s="215" t="s">
        <v>304</v>
      </c>
      <c r="C18" s="230" t="s">
        <v>866</v>
      </c>
      <c r="D18" s="230" t="s">
        <v>867</v>
      </c>
      <c r="E18" s="27" t="str">
        <f t="shared" si="6"/>
        <v>Dongus Dio</v>
      </c>
      <c r="F18" s="27" t="str">
        <f t="shared" si="4"/>
        <v>1B</v>
      </c>
      <c r="G18" s="231" t="s">
        <v>151</v>
      </c>
      <c r="H18" s="215">
        <v>254</v>
      </c>
      <c r="O18" s="27" t="s">
        <v>126</v>
      </c>
      <c r="P18" s="27">
        <v>18</v>
      </c>
      <c r="Q18" s="27" t="s">
        <v>78</v>
      </c>
      <c r="W18" s="27">
        <v>1.5</v>
      </c>
      <c r="X18" s="27">
        <v>1.5</v>
      </c>
      <c r="AE18" s="215">
        <v>254</v>
      </c>
      <c r="AF18" s="27">
        <v>254</v>
      </c>
      <c r="AG18" s="27">
        <v>251</v>
      </c>
      <c r="AH18" s="27">
        <v>245</v>
      </c>
      <c r="AI18" s="27">
        <v>232</v>
      </c>
      <c r="AJ18" s="215" t="str">
        <f>VLOOKUP(B18,Analysis!$A$24:$B$32,2,FALSE)</f>
        <v>:bulldogs:</v>
      </c>
      <c r="AK18" s="215" t="str">
        <f t="shared" si="7"/>
        <v>:bulldogs: [b][url=http://probaseballexperience.jcink.net/index.php?showtopic=1358]Dongus Dio - 1B[/url][/b] TPE: 254, Regression Class: S2</v>
      </c>
      <c r="AL18" s="27" t="str">
        <f t="shared" si="8"/>
        <v>1B - Dongus Dio</v>
      </c>
    </row>
    <row r="19" spans="1:38" ht="13">
      <c r="A19" s="227" t="s">
        <v>871</v>
      </c>
      <c r="B19" s="219" t="s">
        <v>304</v>
      </c>
      <c r="C19" s="221" t="s">
        <v>872</v>
      </c>
      <c r="D19" s="221" t="s">
        <v>873</v>
      </c>
      <c r="E19" s="236" t="str">
        <f t="shared" si="6"/>
        <v>Lance Travis</v>
      </c>
      <c r="F19" s="236" t="str">
        <f t="shared" si="4"/>
        <v>2B</v>
      </c>
      <c r="G19" s="224" t="s">
        <v>225</v>
      </c>
      <c r="H19" s="225">
        <v>250</v>
      </c>
      <c r="I19" s="238"/>
      <c r="J19" s="238"/>
      <c r="K19" s="238"/>
      <c r="L19" s="238"/>
      <c r="M19" s="238"/>
      <c r="N19" s="219"/>
      <c r="O19" s="219" t="s">
        <v>70</v>
      </c>
      <c r="P19" s="219">
        <v>73</v>
      </c>
      <c r="Q19" s="219" t="s">
        <v>70</v>
      </c>
      <c r="W19" s="219">
        <v>1</v>
      </c>
      <c r="X19" s="219">
        <v>2</v>
      </c>
      <c r="Y19" s="219">
        <v>4</v>
      </c>
      <c r="Z19" s="219">
        <v>2</v>
      </c>
      <c r="AB19" s="238">
        <v>3</v>
      </c>
      <c r="AC19" s="238"/>
      <c r="AD19" s="238"/>
      <c r="AE19" s="225">
        <v>250</v>
      </c>
      <c r="AF19" s="219">
        <v>268</v>
      </c>
      <c r="AG19" s="219">
        <v>268</v>
      </c>
      <c r="AH19" s="219">
        <v>268</v>
      </c>
      <c r="AI19" s="219">
        <v>268</v>
      </c>
      <c r="AJ19" s="219" t="str">
        <f>VLOOKUP(B19,Analysis!$A$24:$B$32,2,FALSE)</f>
        <v>:bulldogs:</v>
      </c>
      <c r="AK19" s="219" t="str">
        <f t="shared" si="7"/>
        <v>:bulldogs: [b][url=http://probaseballexperience.jcink.net/index.php?showtopic=176]Lance Travis - 2B[/url][/b] TPE: 250, Regression Class: S1</v>
      </c>
    </row>
    <row r="21" spans="1:38" ht="12.75" customHeight="1">
      <c r="A21" s="227" t="s">
        <v>927</v>
      </c>
      <c r="B21" s="219" t="s">
        <v>304</v>
      </c>
      <c r="C21" s="221" t="s">
        <v>928</v>
      </c>
      <c r="D21" s="221" t="s">
        <v>929</v>
      </c>
      <c r="E21" s="236" t="str">
        <f t="shared" ref="E21:E24" si="9">TRIM(LEFT(D21,LEN(D21)-5))</f>
        <v>Johny Matthews</v>
      </c>
      <c r="F21" s="236" t="str">
        <f t="shared" ref="F21:F27" si="10">TRIM(RIGHT(D21,2))</f>
        <v>2B</v>
      </c>
      <c r="G21" s="224" t="s">
        <v>740</v>
      </c>
      <c r="H21" s="219">
        <v>228</v>
      </c>
      <c r="I21" s="238"/>
      <c r="J21" s="238"/>
      <c r="K21" s="238"/>
      <c r="L21" s="238"/>
      <c r="M21" s="238"/>
      <c r="N21" s="219" t="s">
        <v>516</v>
      </c>
      <c r="O21" s="219" t="s">
        <v>35</v>
      </c>
      <c r="P21" s="219">
        <v>11</v>
      </c>
      <c r="Q21" s="219" t="s">
        <v>35</v>
      </c>
      <c r="W21" s="219"/>
      <c r="X21" s="219"/>
      <c r="Y21" s="219"/>
      <c r="Z21" s="219" t="s">
        <v>257</v>
      </c>
      <c r="AA21" s="236">
        <v>2</v>
      </c>
      <c r="AB21" s="238">
        <v>3</v>
      </c>
      <c r="AD21" s="238"/>
      <c r="AE21" s="219">
        <v>228</v>
      </c>
      <c r="AF21" s="219"/>
      <c r="AG21" s="219"/>
      <c r="AH21" s="219"/>
      <c r="AI21" s="219"/>
      <c r="AJ21" s="219" t="str">
        <f>VLOOKUP(B21,Analysis!$A$24:$B$32,2,FALSE)</f>
        <v>:bulldogs:</v>
      </c>
      <c r="AK21" s="219" t="str">
        <f t="shared" ref="AK21:AK23" si="11">AJ21&amp;" [b][url="&amp;A21&amp;"]"&amp;D21&amp;"[/url][/b] TPE: "&amp;H21&amp;", Regression Class: "&amp;Q21</f>
        <v>:bulldogs: [b][url=http://probaseballexperience.jcink.net/index.php?showtopic=3582]Johny Matthews - 2B[/url][/b] TPE: 228, Regression Class: S7</v>
      </c>
    </row>
    <row r="22" spans="1:38" ht="12.75" customHeight="1">
      <c r="A22" s="228" t="s">
        <v>945</v>
      </c>
      <c r="B22" s="215" t="s">
        <v>304</v>
      </c>
      <c r="C22" s="216" t="s">
        <v>946</v>
      </c>
      <c r="D22" s="216" t="s">
        <v>948</v>
      </c>
      <c r="E22" s="27" t="str">
        <f t="shared" si="9"/>
        <v>Travis Ritchie</v>
      </c>
      <c r="F22" s="27" t="str">
        <f t="shared" si="10"/>
        <v>CF</v>
      </c>
      <c r="G22" s="217" t="s">
        <v>950</v>
      </c>
      <c r="H22" s="215">
        <v>218</v>
      </c>
      <c r="N22" s="215"/>
      <c r="O22" s="215" t="s">
        <v>126</v>
      </c>
      <c r="P22" s="215">
        <v>1</v>
      </c>
      <c r="Q22" s="215" t="s">
        <v>78</v>
      </c>
      <c r="R22" s="215"/>
      <c r="S22" s="215"/>
      <c r="T22" s="215"/>
      <c r="U22" s="215"/>
      <c r="W22" s="215">
        <v>4</v>
      </c>
      <c r="X22" s="215">
        <v>6</v>
      </c>
      <c r="Y22" s="215">
        <v>4</v>
      </c>
      <c r="Z22" s="215">
        <v>2</v>
      </c>
      <c r="AA22" s="215">
        <v>2</v>
      </c>
      <c r="AC22" s="215"/>
      <c r="AE22" s="215">
        <v>218</v>
      </c>
      <c r="AF22" s="215">
        <v>218</v>
      </c>
      <c r="AG22" s="215">
        <v>218</v>
      </c>
      <c r="AH22" s="215">
        <v>180</v>
      </c>
      <c r="AI22" s="215">
        <v>180</v>
      </c>
      <c r="AJ22" s="215" t="str">
        <f>VLOOKUP(B22,Analysis!$A$24:$B$32,2,FALSE)</f>
        <v>:bulldogs:</v>
      </c>
      <c r="AK22" s="215" t="str">
        <f t="shared" si="11"/>
        <v>:bulldogs: [b][url=http://probaseballexperience.jcink.net/index.php?showtopic=1564]Travis Ritchie - CF[/url][/b] TPE: 218, Regression Class: S2</v>
      </c>
    </row>
    <row r="23" spans="1:38" ht="12.75" customHeight="1">
      <c r="A23" s="227" t="s">
        <v>938</v>
      </c>
      <c r="B23" s="219" t="s">
        <v>304</v>
      </c>
      <c r="C23" s="235" t="s">
        <v>939</v>
      </c>
      <c r="D23" s="235" t="s">
        <v>940</v>
      </c>
      <c r="E23" s="236" t="str">
        <f t="shared" si="9"/>
        <v>Sidney Swing</v>
      </c>
      <c r="F23" s="236" t="str">
        <f t="shared" si="10"/>
        <v>LF</v>
      </c>
      <c r="G23" s="237" t="s">
        <v>84</v>
      </c>
      <c r="H23" s="219">
        <v>218</v>
      </c>
      <c r="K23" s="219"/>
      <c r="L23" s="219"/>
      <c r="M23" s="219"/>
      <c r="N23" s="236" t="s">
        <v>942</v>
      </c>
      <c r="O23" s="236" t="s">
        <v>34</v>
      </c>
      <c r="P23" s="236">
        <v>33</v>
      </c>
      <c r="Q23" s="236" t="s">
        <v>34</v>
      </c>
      <c r="Y23" s="219">
        <v>1</v>
      </c>
      <c r="Z23" s="236">
        <v>1</v>
      </c>
      <c r="AE23" s="219">
        <v>218</v>
      </c>
      <c r="AJ23" s="219" t="str">
        <f>VLOOKUP(B23,Analysis!$A$24:$B$32,2,FALSE)</f>
        <v>:bulldogs:</v>
      </c>
      <c r="AK23" s="219" t="str">
        <f t="shared" si="11"/>
        <v>:bulldogs: [b][url=http://probaseballexperience.jcink.net/index.php?showtopic=2921]Sidney Swing - LF[/url][/b] TPE: 218, Regression Class: S6</v>
      </c>
    </row>
    <row r="24" spans="1:38" ht="12.75" customHeight="1">
      <c r="A24" s="228" t="s">
        <v>952</v>
      </c>
      <c r="B24" s="215" t="s">
        <v>3</v>
      </c>
      <c r="C24" s="230" t="s">
        <v>953</v>
      </c>
      <c r="D24" s="230" t="s">
        <v>954</v>
      </c>
      <c r="E24" s="27" t="str">
        <f t="shared" si="9"/>
        <v>Bobby Outman</v>
      </c>
      <c r="F24" s="27" t="str">
        <f t="shared" si="10"/>
        <v>SP</v>
      </c>
      <c r="G24" s="231" t="s">
        <v>109</v>
      </c>
      <c r="H24" s="65">
        <v>215</v>
      </c>
      <c r="I24" s="30"/>
      <c r="J24" s="30"/>
      <c r="K24" s="30"/>
      <c r="L24" s="30"/>
      <c r="M24" s="30"/>
      <c r="O24" s="27" t="s">
        <v>78</v>
      </c>
      <c r="P24" s="27">
        <v>2</v>
      </c>
      <c r="Q24" s="27" t="s">
        <v>78</v>
      </c>
      <c r="V24" s="27">
        <v>4</v>
      </c>
      <c r="W24" s="27">
        <v>4</v>
      </c>
      <c r="X24" s="27">
        <v>2</v>
      </c>
      <c r="Y24" s="215">
        <v>2</v>
      </c>
      <c r="Z24" s="27">
        <v>215</v>
      </c>
      <c r="AA24" s="215">
        <v>2</v>
      </c>
      <c r="AB24" s="30">
        <v>2</v>
      </c>
      <c r="AC24" s="30">
        <v>2</v>
      </c>
      <c r="AD24" s="215">
        <v>215</v>
      </c>
      <c r="AE24" s="30">
        <v>2</v>
      </c>
      <c r="AF24" s="27">
        <v>215</v>
      </c>
      <c r="AG24" s="27">
        <v>215</v>
      </c>
      <c r="AH24" s="27">
        <v>215</v>
      </c>
      <c r="AJ24" s="215" t="str">
        <f>VLOOKUP(B24,Analysis!$A$24:$B$32,2,FALSE)</f>
        <v>:crabs:</v>
      </c>
      <c r="AK24" s="215" t="str">
        <f t="shared" ref="AK24:AK25" si="12">AJ24&amp;" [b][url="&amp;A24&amp;"]"&amp;D24&amp;"[/url][/b] TPE: "&amp;AD24&amp;", Regression Class: "&amp;Q24</f>
        <v>:crabs: [b][url=http://probaseballexperience.jcink.net/index.php?showtopic=1092]Bobby Outman - SP[/url][/b] TPE: 215, Regression Class: S2</v>
      </c>
    </row>
    <row r="25" spans="1:38" ht="12.75" customHeight="1">
      <c r="A25" s="227" t="s">
        <v>970</v>
      </c>
      <c r="B25" s="219" t="s">
        <v>3</v>
      </c>
      <c r="C25" s="221" t="s">
        <v>971</v>
      </c>
      <c r="D25" s="221" t="s">
        <v>972</v>
      </c>
      <c r="E25" s="236" t="str">
        <f>TRIM(LEFT(D25,LEN(D25)-4))</f>
        <v>John Cheng</v>
      </c>
      <c r="F25" s="219" t="str">
        <f t="shared" si="10"/>
        <v>SP</v>
      </c>
      <c r="G25" s="224" t="s">
        <v>55</v>
      </c>
      <c r="H25" s="225">
        <v>203</v>
      </c>
      <c r="I25" s="238"/>
      <c r="J25" s="238"/>
      <c r="K25" s="238"/>
      <c r="L25" s="238"/>
      <c r="M25" s="238"/>
      <c r="N25" s="219"/>
      <c r="O25" s="219" t="s">
        <v>126</v>
      </c>
      <c r="P25" s="219">
        <v>11</v>
      </c>
      <c r="Q25" s="219" t="s">
        <v>78</v>
      </c>
      <c r="W25" s="219">
        <v>4</v>
      </c>
      <c r="X25" s="219">
        <v>5</v>
      </c>
      <c r="Y25" s="219">
        <v>6</v>
      </c>
      <c r="Z25" s="219">
        <v>2</v>
      </c>
      <c r="AA25" s="236">
        <v>2</v>
      </c>
      <c r="AB25" s="238">
        <v>2</v>
      </c>
      <c r="AC25" s="238">
        <v>2</v>
      </c>
      <c r="AD25" s="219">
        <v>203</v>
      </c>
      <c r="AE25" s="238"/>
      <c r="AF25" s="219">
        <v>200</v>
      </c>
      <c r="AG25" s="219">
        <v>180</v>
      </c>
      <c r="AH25" s="219">
        <v>158</v>
      </c>
      <c r="AI25" s="219">
        <v>158</v>
      </c>
      <c r="AJ25" s="219" t="str">
        <f>VLOOKUP(B25,Analysis!$A$24:$B$32,2,FALSE)</f>
        <v>:crabs:</v>
      </c>
      <c r="AK25" s="219" t="str">
        <f t="shared" si="12"/>
        <v>:crabs: [b][url=http://probaseballexperience.jcink.net/index.php?showtopic=1246]John Cheng - SP[/url][/b] TPE: 203, Regression Class: S2</v>
      </c>
    </row>
    <row r="26" spans="1:38" ht="18" customHeight="1">
      <c r="A26" s="228" t="s">
        <v>978</v>
      </c>
      <c r="B26" s="215" t="s">
        <v>304</v>
      </c>
      <c r="C26" s="216" t="s">
        <v>980</v>
      </c>
      <c r="D26" s="216" t="s">
        <v>982</v>
      </c>
      <c r="E26" s="27" t="str">
        <f t="shared" ref="E26:E27" si="13">TRIM(LEFT(D26,LEN(D26)-5))</f>
        <v>Pablo Sanchez</v>
      </c>
      <c r="F26" s="27" t="str">
        <f t="shared" si="10"/>
        <v>3B</v>
      </c>
      <c r="G26" s="217" t="s">
        <v>740</v>
      </c>
      <c r="H26" s="215">
        <v>202</v>
      </c>
      <c r="O26" s="215" t="s">
        <v>70</v>
      </c>
      <c r="P26" s="215">
        <v>11</v>
      </c>
      <c r="Q26" s="215" t="s">
        <v>70</v>
      </c>
      <c r="R26" s="215"/>
      <c r="S26" s="215"/>
      <c r="T26" s="215"/>
      <c r="W26" s="215">
        <v>3</v>
      </c>
      <c r="X26" s="215">
        <v>2</v>
      </c>
      <c r="Y26" s="215">
        <v>2</v>
      </c>
      <c r="Z26" s="215">
        <v>2</v>
      </c>
      <c r="AE26" s="215">
        <v>202</v>
      </c>
      <c r="AF26" s="215">
        <v>202</v>
      </c>
      <c r="AG26" s="215">
        <v>202</v>
      </c>
      <c r="AH26" s="215">
        <v>202</v>
      </c>
      <c r="AI26" s="215">
        <v>202</v>
      </c>
      <c r="AJ26" s="215" t="str">
        <f>VLOOKUP(B26,Analysis!$A$24:$B$32,2,FALSE)</f>
        <v>:bulldogs:</v>
      </c>
      <c r="AK26" s="215" t="str">
        <f>AJ26&amp;" [b][url="&amp;A26&amp;"]"&amp;D26&amp;"[/url][/b] TPE: "&amp;H26&amp;", Regression Class: "&amp;Q26</f>
        <v>:bulldogs: [b][url=http://probaseballexperience.jcink.net/index.php?showtopic=106]Pablo Sanchez - 3B[/url][/b] TPE: 202, Regression Class: S1</v>
      </c>
    </row>
    <row r="27" spans="1:38" ht="13">
      <c r="A27" s="227" t="s">
        <v>998</v>
      </c>
      <c r="B27" s="219" t="s">
        <v>304</v>
      </c>
      <c r="C27" s="221" t="s">
        <v>999</v>
      </c>
      <c r="D27" s="221" t="s">
        <v>1001</v>
      </c>
      <c r="E27" s="236" t="str">
        <f t="shared" si="13"/>
        <v>Sleve McDichael</v>
      </c>
      <c r="F27" s="236" t="str">
        <f t="shared" si="10"/>
        <v>RF</v>
      </c>
      <c r="G27" s="224" t="s">
        <v>132</v>
      </c>
      <c r="H27" s="219">
        <v>196</v>
      </c>
      <c r="I27" s="238"/>
      <c r="J27" s="238"/>
      <c r="K27" s="238"/>
      <c r="L27" s="238"/>
      <c r="M27" s="238"/>
      <c r="O27" s="219" t="s">
        <v>33</v>
      </c>
      <c r="P27" s="219">
        <v>14</v>
      </c>
      <c r="Q27" s="219" t="s">
        <v>33</v>
      </c>
      <c r="R27" s="219"/>
      <c r="S27" s="219"/>
      <c r="T27" s="219"/>
      <c r="U27" s="219"/>
      <c r="W27" s="219"/>
      <c r="X27" s="219"/>
      <c r="Y27" s="219">
        <v>6</v>
      </c>
      <c r="Z27" s="219">
        <v>3</v>
      </c>
      <c r="AA27" s="219">
        <v>3</v>
      </c>
      <c r="AB27" s="238">
        <v>1.5</v>
      </c>
      <c r="AD27" s="238"/>
      <c r="AE27" s="219">
        <v>196</v>
      </c>
      <c r="AF27" s="219"/>
      <c r="AG27" s="219"/>
      <c r="AH27" s="219"/>
      <c r="AI27" s="219"/>
    </row>
    <row r="28" spans="1:38" ht="12.75" customHeight="1">
      <c r="A28" s="228" t="s">
        <v>512</v>
      </c>
      <c r="B28" s="215" t="s">
        <v>304</v>
      </c>
      <c r="C28" s="230" t="s">
        <v>513</v>
      </c>
      <c r="D28" s="230" t="s">
        <v>514</v>
      </c>
      <c r="E28" s="27" t="str">
        <f>TRIM(LEFT(D28,LEN(D28)-4))</f>
        <v>Mariano Riviera</v>
      </c>
      <c r="F28" s="27" t="str">
        <f>RIGHT(D28,2)</f>
        <v>CL</v>
      </c>
      <c r="G28" s="231" t="s">
        <v>114</v>
      </c>
      <c r="H28" s="232">
        <v>192</v>
      </c>
      <c r="I28" s="30"/>
      <c r="J28" s="30"/>
      <c r="K28" s="30"/>
      <c r="L28" s="30"/>
      <c r="M28" s="30"/>
      <c r="O28" s="27" t="s">
        <v>78</v>
      </c>
      <c r="P28" s="27">
        <v>22</v>
      </c>
      <c r="Q28" s="27" t="s">
        <v>78</v>
      </c>
      <c r="W28" s="27">
        <v>2</v>
      </c>
      <c r="X28" s="27">
        <v>2</v>
      </c>
      <c r="Y28" s="215">
        <v>0.5</v>
      </c>
      <c r="AC28" s="30">
        <v>2</v>
      </c>
      <c r="AD28" s="30">
        <v>0.5</v>
      </c>
      <c r="AE28" s="233">
        <v>192</v>
      </c>
      <c r="AF28" s="27">
        <v>192</v>
      </c>
      <c r="AG28" s="27">
        <v>192</v>
      </c>
      <c r="AH28" s="27">
        <v>192</v>
      </c>
      <c r="AI28" s="27">
        <v>192</v>
      </c>
      <c r="AJ28" s="27" t="str">
        <f>F28&amp;" - "&amp;E28</f>
        <v>CL - Mariano Riviera</v>
      </c>
    </row>
    <row r="29" spans="1:38" ht="12.75" customHeight="1">
      <c r="A29" s="227" t="s">
        <v>1016</v>
      </c>
      <c r="B29" s="219" t="s">
        <v>304</v>
      </c>
      <c r="C29" s="221" t="s">
        <v>1017</v>
      </c>
      <c r="D29" s="221" t="s">
        <v>1018</v>
      </c>
      <c r="E29" s="236" t="str">
        <f t="shared" ref="E29:E32" si="14">TRIM(LEFT(D29,LEN(D29)-5))</f>
        <v>Michael Rapinsk</v>
      </c>
      <c r="F29" s="236" t="str">
        <f t="shared" ref="F29:F41" si="15">TRIM(RIGHT(D29,2))</f>
        <v>3B</v>
      </c>
      <c r="G29" s="224" t="s">
        <v>76</v>
      </c>
      <c r="H29" s="219">
        <v>190</v>
      </c>
      <c r="O29" s="219" t="s">
        <v>32</v>
      </c>
      <c r="P29" s="219">
        <v>4</v>
      </c>
      <c r="Q29" s="219" t="s">
        <v>32</v>
      </c>
      <c r="R29" s="219"/>
      <c r="S29" s="219"/>
      <c r="T29" s="219"/>
      <c r="W29" s="219">
        <v>5</v>
      </c>
      <c r="X29" s="219">
        <v>5</v>
      </c>
      <c r="Y29" s="219">
        <v>0.5</v>
      </c>
      <c r="Z29" s="219">
        <v>100</v>
      </c>
      <c r="AE29" s="219">
        <v>190</v>
      </c>
      <c r="AF29" s="219">
        <v>100</v>
      </c>
      <c r="AJ29" s="219" t="str">
        <f>VLOOKUP(B29,Analysis!$A$24:$B$32,2,FALSE)</f>
        <v>:bulldogs:</v>
      </c>
      <c r="AK29" s="219" t="str">
        <f t="shared" ref="AK29:AK32" si="16">AJ29&amp;" [b][url="&amp;A29&amp;"]"&amp;D29&amp;"[/url][/b] TPE: "&amp;H29&amp;", Regression Class: "&amp;Q29</f>
        <v>:bulldogs: [b][url=http://probaseballexperience.jcink.net/index.php?showtopic=2183]Michael Rapinski- 3B[/url][/b] TPE: 190, Regression Class: S4</v>
      </c>
    </row>
    <row r="30" spans="1:38" ht="13">
      <c r="A30" s="228" t="s">
        <v>1031</v>
      </c>
      <c r="B30" s="215" t="s">
        <v>304</v>
      </c>
      <c r="C30" s="216" t="s">
        <v>1032</v>
      </c>
      <c r="D30" s="216" t="s">
        <v>1034</v>
      </c>
      <c r="E30" s="27" t="str">
        <f t="shared" si="14"/>
        <v>Ty Justice</v>
      </c>
      <c r="F30" s="27" t="str">
        <f t="shared" si="15"/>
        <v>3B</v>
      </c>
      <c r="G30" s="217" t="s">
        <v>298</v>
      </c>
      <c r="H30" s="65">
        <v>187</v>
      </c>
      <c r="O30" s="215" t="s">
        <v>70</v>
      </c>
      <c r="P30" s="215">
        <v>4</v>
      </c>
      <c r="Q30" s="215" t="s">
        <v>70</v>
      </c>
      <c r="R30" s="215"/>
      <c r="S30" s="215"/>
      <c r="T30" s="215"/>
      <c r="U30" s="215"/>
      <c r="V30" s="215" t="s">
        <v>1036</v>
      </c>
      <c r="AE30" s="65">
        <v>187</v>
      </c>
      <c r="AF30" s="215"/>
      <c r="AG30" s="215"/>
      <c r="AH30" s="215">
        <v>212</v>
      </c>
      <c r="AI30" s="215">
        <v>212</v>
      </c>
      <c r="AJ30" s="215" t="str">
        <f>VLOOKUP(B30,Analysis!$A$24:$B$32,2,FALSE)</f>
        <v>:bulldogs:</v>
      </c>
      <c r="AK30" s="215" t="str">
        <f t="shared" si="16"/>
        <v>:bulldogs: [b][url=http://probaseballexperience.jcink.net/index.php?showtopic=168]Ty Justice - 3B[/url][/b] TPE: 187, Regression Class: S1</v>
      </c>
      <c r="AL30" s="27" t="str">
        <f>F30&amp;" - "&amp;E30</f>
        <v>3B - Ty Justice</v>
      </c>
    </row>
    <row r="31" spans="1:38" ht="13">
      <c r="A31" s="227" t="s">
        <v>1040</v>
      </c>
      <c r="B31" s="219" t="s">
        <v>304</v>
      </c>
      <c r="C31" s="221" t="s">
        <v>1042</v>
      </c>
      <c r="D31" s="221" t="s">
        <v>1044</v>
      </c>
      <c r="E31" s="236" t="str">
        <f t="shared" si="14"/>
        <v>Jim Kekton</v>
      </c>
      <c r="F31" s="236" t="str">
        <f t="shared" si="15"/>
        <v>SS</v>
      </c>
      <c r="G31" s="224" t="s">
        <v>1047</v>
      </c>
      <c r="H31" s="219">
        <v>186</v>
      </c>
      <c r="K31" s="219"/>
      <c r="L31" s="219"/>
      <c r="M31" s="219"/>
      <c r="N31" s="219" t="s">
        <v>1048</v>
      </c>
      <c r="O31" s="219" t="s">
        <v>34</v>
      </c>
      <c r="P31" s="219">
        <v>22</v>
      </c>
      <c r="Q31" s="219" t="s">
        <v>34</v>
      </c>
      <c r="W31" s="219"/>
      <c r="X31" s="219"/>
      <c r="Y31" s="219">
        <v>4.5</v>
      </c>
      <c r="Z31" s="219">
        <v>1.5</v>
      </c>
      <c r="AA31" s="219"/>
      <c r="AB31" s="219">
        <v>1.5</v>
      </c>
      <c r="AC31" s="219"/>
      <c r="AE31" s="219">
        <v>186</v>
      </c>
      <c r="AF31" s="219"/>
      <c r="AJ31" s="219" t="str">
        <f>VLOOKUP(B31,Analysis!$A$24:$B$32,2,FALSE)</f>
        <v>:bulldogs:</v>
      </c>
      <c r="AK31" s="219" t="str">
        <f t="shared" si="16"/>
        <v>:bulldogs: [b][url=http://probaseballexperience.jcink.net/index.php?showtopic=3043&amp;st=0&amp;#entry32473]Jim Kekton - SS[/url][/b] TPE: 186, Regression Class: S6</v>
      </c>
    </row>
    <row r="32" spans="1:38" ht="13">
      <c r="A32" s="228" t="s">
        <v>1064</v>
      </c>
      <c r="B32" s="215" t="s">
        <v>304</v>
      </c>
      <c r="C32" s="230" t="s">
        <v>1065</v>
      </c>
      <c r="D32" s="230" t="s">
        <v>1066</v>
      </c>
      <c r="E32" s="27" t="str">
        <f t="shared" si="14"/>
        <v>Alex Sincario</v>
      </c>
      <c r="F32" s="27" t="str">
        <f t="shared" si="15"/>
        <v>2B</v>
      </c>
      <c r="G32" s="231" t="s">
        <v>151</v>
      </c>
      <c r="H32" s="65">
        <v>181</v>
      </c>
      <c r="O32" s="27" t="s">
        <v>70</v>
      </c>
      <c r="P32" s="27">
        <v>13</v>
      </c>
      <c r="Q32" s="27" t="s">
        <v>70</v>
      </c>
      <c r="W32" s="27">
        <v>3</v>
      </c>
      <c r="AE32" s="65">
        <v>181</v>
      </c>
      <c r="AG32" s="27">
        <v>205</v>
      </c>
      <c r="AH32" s="27">
        <v>205</v>
      </c>
      <c r="AJ32" s="215" t="str">
        <f>VLOOKUP(B32,Analysis!$A$24:$B$32,2,FALSE)</f>
        <v>:bulldogs:</v>
      </c>
      <c r="AK32" s="215" t="str">
        <f t="shared" si="16"/>
        <v>:bulldogs: [b][url=http://probaseballexperience.jcink.net/index.php?showtopic=164]Alex Sincario - 2B[/url][/b] TPE: 181, Regression Class: S1</v>
      </c>
      <c r="AL32" s="27" t="str">
        <f>F32&amp;" - "&amp;E32</f>
        <v>2B - Alex Sincario</v>
      </c>
    </row>
    <row r="33" spans="1:38" ht="12.75" customHeight="1">
      <c r="A33" s="227" t="s">
        <v>1070</v>
      </c>
      <c r="B33" s="219" t="s">
        <v>304</v>
      </c>
      <c r="C33" s="221" t="s">
        <v>1071</v>
      </c>
      <c r="D33" s="221" t="s">
        <v>1072</v>
      </c>
      <c r="E33" s="219" t="str">
        <f t="shared" ref="E33:E34" si="17">TRIM(LEFT(D33,LEN(D33)-4))</f>
        <v>Mahmoud Ajlouni</v>
      </c>
      <c r="F33" s="219" t="str">
        <f t="shared" si="15"/>
        <v>C</v>
      </c>
      <c r="G33" s="224" t="s">
        <v>132</v>
      </c>
      <c r="H33" s="219">
        <v>179</v>
      </c>
      <c r="N33" s="219"/>
      <c r="O33" s="219" t="s">
        <v>70</v>
      </c>
      <c r="P33" s="219">
        <v>87</v>
      </c>
      <c r="Q33" s="219" t="s">
        <v>70</v>
      </c>
      <c r="V33" s="219">
        <v>1</v>
      </c>
      <c r="W33" s="219">
        <v>2</v>
      </c>
      <c r="X33" s="219">
        <v>2</v>
      </c>
      <c r="Y33" s="219">
        <v>0.5</v>
      </c>
      <c r="Z33" s="219">
        <v>149</v>
      </c>
      <c r="AC33" s="238">
        <v>0.5</v>
      </c>
      <c r="AD33" s="225">
        <v>179</v>
      </c>
      <c r="AF33" s="219">
        <v>149</v>
      </c>
      <c r="AG33" s="219">
        <v>149</v>
      </c>
      <c r="AH33" s="236">
        <v>149</v>
      </c>
      <c r="AJ33" s="219" t="str">
        <f>VLOOKUP(B33,Analysis!$A$24:$B$32,2,FALSE)</f>
        <v>:bulldogs:</v>
      </c>
      <c r="AK33" s="219" t="str">
        <f>AJ33&amp;" [b][url="&amp;A33&amp;"]"&amp;D33&amp;"[/url][/b] TPE: "&amp;AD33&amp;", Regression Class: "&amp;Q33</f>
        <v>:bulldogs: [b][url=http://probaseballexperience.jcink.net/index.php?showtopic=248]Mahmoud Ajlouni - C[/url][/b] TPE: 179, Regression Class: S1</v>
      </c>
    </row>
    <row r="34" spans="1:38" ht="18" customHeight="1">
      <c r="B34" s="215" t="s">
        <v>304</v>
      </c>
      <c r="C34" s="255" t="s">
        <v>1075</v>
      </c>
      <c r="D34" s="256" t="s">
        <v>1076</v>
      </c>
      <c r="E34" s="215" t="str">
        <f t="shared" si="17"/>
        <v>Kenga Yunai</v>
      </c>
      <c r="F34" s="215" t="str">
        <f t="shared" si="15"/>
        <v>RF</v>
      </c>
      <c r="G34" s="138" t="s">
        <v>298</v>
      </c>
      <c r="H34" s="65">
        <v>179</v>
      </c>
      <c r="I34" s="27"/>
      <c r="J34" s="27"/>
      <c r="K34" s="257"/>
      <c r="L34" s="257"/>
      <c r="M34" s="257"/>
      <c r="N34" s="27"/>
      <c r="O34" s="65" t="s">
        <v>38</v>
      </c>
      <c r="P34" s="65">
        <v>44</v>
      </c>
      <c r="Q34" s="215" t="s">
        <v>37</v>
      </c>
      <c r="AB34" s="27"/>
      <c r="AD34" s="27"/>
      <c r="AE34" s="65">
        <v>179</v>
      </c>
    </row>
    <row r="35" spans="1:38" ht="12.75" customHeight="1">
      <c r="A35" s="227" t="s">
        <v>1081</v>
      </c>
      <c r="B35" s="219" t="s">
        <v>304</v>
      </c>
      <c r="C35" s="221" t="s">
        <v>1082</v>
      </c>
      <c r="D35" s="221" t="s">
        <v>1083</v>
      </c>
      <c r="E35" s="236" t="str">
        <f t="shared" ref="E35:E39" si="18">TRIM(LEFT(D35,LEN(D35)-5))</f>
        <v>Richard Physt</v>
      </c>
      <c r="F35" s="236" t="str">
        <f t="shared" si="15"/>
        <v>1B</v>
      </c>
      <c r="G35" s="224" t="s">
        <v>132</v>
      </c>
      <c r="H35" s="225">
        <v>172</v>
      </c>
      <c r="N35" s="219"/>
      <c r="O35" s="219" t="s">
        <v>33</v>
      </c>
      <c r="P35" s="219">
        <v>16</v>
      </c>
      <c r="Q35" s="219" t="s">
        <v>32</v>
      </c>
      <c r="R35" s="219"/>
      <c r="S35" s="219"/>
      <c r="T35" s="219"/>
      <c r="W35" s="219">
        <v>1</v>
      </c>
      <c r="X35" s="219">
        <v>3</v>
      </c>
      <c r="Y35" s="219">
        <v>1.5</v>
      </c>
      <c r="AA35" s="219"/>
      <c r="AC35" s="226">
        <v>0.5</v>
      </c>
      <c r="AD35" s="219">
        <v>172</v>
      </c>
      <c r="AJ35" s="219" t="str">
        <f>VLOOKUP(B35,Analysis!$A$24:$B$32,2,FALSE)</f>
        <v>:bulldogs:</v>
      </c>
      <c r="AK35" s="219" t="str">
        <f>AJ35&amp;" [b][url="&amp;A35&amp;"]"&amp;D35&amp;"[/url][/b] TPE: "&amp;AD35&amp;", Regression Class: "&amp;Q35</f>
        <v>:bulldogs: [b][url=http://probaseballexperience.jcink.net/index.php?showtopic=2506]Richard Physt - 1B[/url][/b] TPE: 172, Regression Class: S4</v>
      </c>
    </row>
    <row r="36" spans="1:38" ht="12.75" customHeight="1">
      <c r="A36" s="228" t="s">
        <v>1087</v>
      </c>
      <c r="B36" s="215" t="s">
        <v>304</v>
      </c>
      <c r="C36" s="230" t="s">
        <v>1088</v>
      </c>
      <c r="D36" s="230" t="s">
        <v>1089</v>
      </c>
      <c r="E36" s="27" t="str">
        <f t="shared" si="18"/>
        <v>Cody Braun</v>
      </c>
      <c r="F36" s="27" t="str">
        <f t="shared" si="15"/>
        <v>2B</v>
      </c>
      <c r="G36" s="231" t="s">
        <v>740</v>
      </c>
      <c r="H36" s="215">
        <v>172</v>
      </c>
      <c r="O36" s="27" t="s">
        <v>78</v>
      </c>
      <c r="P36" s="27">
        <v>40</v>
      </c>
      <c r="Q36" s="27" t="s">
        <v>78</v>
      </c>
      <c r="W36" s="27">
        <v>1</v>
      </c>
      <c r="X36" s="27">
        <v>1</v>
      </c>
      <c r="AE36" s="215">
        <v>172</v>
      </c>
      <c r="AF36" s="27">
        <v>172</v>
      </c>
      <c r="AG36" s="27">
        <v>172</v>
      </c>
      <c r="AH36" s="27">
        <v>172</v>
      </c>
      <c r="AI36" s="27">
        <v>172</v>
      </c>
      <c r="AJ36" s="215" t="str">
        <f>VLOOKUP(B36,Analysis!$A$24:$B$32,2,FALSE)</f>
        <v>:bulldogs:</v>
      </c>
      <c r="AK36" s="215" t="str">
        <f t="shared" ref="AK36:AK39" si="19">AJ36&amp;" [b][url="&amp;A36&amp;"]"&amp;D36&amp;"[/url][/b] TPE: "&amp;H36&amp;", Regression Class: "&amp;Q36</f>
        <v>:bulldogs: [b][url=http://probaseballexperience.jcink.net/index.php?showtopic=1075]Cody Braun - 2B[/url][/b] TPE: 172, Regression Class: S2</v>
      </c>
      <c r="AL36" s="27" t="str">
        <f>F36&amp;" - "&amp;E36</f>
        <v>2B - Cody Braun</v>
      </c>
    </row>
    <row r="37" spans="1:38" ht="12.75" customHeight="1">
      <c r="A37" s="227" t="s">
        <v>1109</v>
      </c>
      <c r="B37" s="225" t="s">
        <v>3</v>
      </c>
      <c r="C37" s="221" t="s">
        <v>1110</v>
      </c>
      <c r="D37" s="216" t="s">
        <v>1111</v>
      </c>
      <c r="E37" s="236" t="str">
        <f t="shared" si="18"/>
        <v>Eric Bilitniko</v>
      </c>
      <c r="F37" s="236" t="str">
        <f t="shared" si="15"/>
        <v>C</v>
      </c>
      <c r="G37" s="224" t="s">
        <v>265</v>
      </c>
      <c r="H37" s="219">
        <v>168</v>
      </c>
      <c r="I37" s="238"/>
      <c r="J37" s="238"/>
      <c r="K37" s="238"/>
      <c r="L37" s="238"/>
      <c r="M37" s="238"/>
      <c r="N37" s="219"/>
      <c r="O37" s="219" t="s">
        <v>126</v>
      </c>
      <c r="P37" s="219">
        <v>13</v>
      </c>
      <c r="Q37" s="219" t="s">
        <v>126</v>
      </c>
      <c r="W37" s="219">
        <v>4</v>
      </c>
      <c r="X37" s="219">
        <v>4</v>
      </c>
      <c r="Y37" s="219">
        <v>3</v>
      </c>
      <c r="Z37" s="219"/>
      <c r="AB37" s="238"/>
      <c r="AC37" s="226">
        <v>0.5</v>
      </c>
      <c r="AD37" s="238">
        <v>0.5</v>
      </c>
      <c r="AE37" s="219">
        <v>168</v>
      </c>
      <c r="AF37" s="219">
        <v>100</v>
      </c>
      <c r="AG37" s="219">
        <v>100</v>
      </c>
      <c r="AH37" s="219">
        <v>100</v>
      </c>
      <c r="AI37" s="219">
        <v>100</v>
      </c>
      <c r="AJ37" s="219" t="str">
        <f>VLOOKUP(B37,Analysis!$A$24:$B$32,2,FALSE)</f>
        <v>:crabs:</v>
      </c>
      <c r="AK37" s="219" t="str">
        <f t="shared" si="19"/>
        <v>:crabs: [b][url=http://probaseballexperience.jcink.net/index.php?showtopic=1810]Eric Bilitnikov - C[/url][/b] TPE: 168, Regression Class: S3</v>
      </c>
    </row>
    <row r="38" spans="1:38" ht="18" customHeight="1">
      <c r="A38" s="228" t="s">
        <v>1109</v>
      </c>
      <c r="B38" s="215" t="s">
        <v>304</v>
      </c>
      <c r="C38" s="216" t="s">
        <v>1110</v>
      </c>
      <c r="D38" s="216" t="s">
        <v>1111</v>
      </c>
      <c r="E38" s="27" t="str">
        <f t="shared" si="18"/>
        <v>Eric Bilitniko</v>
      </c>
      <c r="F38" s="27" t="str">
        <f t="shared" si="15"/>
        <v>C</v>
      </c>
      <c r="G38" s="217" t="s">
        <v>265</v>
      </c>
      <c r="H38" s="215">
        <v>168</v>
      </c>
      <c r="I38" s="30"/>
      <c r="J38" s="30"/>
      <c r="K38" s="30"/>
      <c r="L38" s="30"/>
      <c r="M38" s="30"/>
      <c r="N38" s="215"/>
      <c r="O38" s="215" t="s">
        <v>126</v>
      </c>
      <c r="P38" s="215">
        <v>13</v>
      </c>
      <c r="Q38" s="215" t="s">
        <v>126</v>
      </c>
      <c r="W38" s="215">
        <v>4</v>
      </c>
      <c r="X38" s="215">
        <v>4</v>
      </c>
      <c r="Y38" s="215">
        <v>3</v>
      </c>
      <c r="Z38" s="215"/>
      <c r="AB38" s="30"/>
      <c r="AC38" s="30">
        <v>0.5</v>
      </c>
      <c r="AD38" s="30"/>
      <c r="AE38" s="215">
        <v>168</v>
      </c>
      <c r="AF38" s="215">
        <v>100</v>
      </c>
      <c r="AG38" s="215">
        <v>100</v>
      </c>
      <c r="AH38" s="215">
        <v>100</v>
      </c>
      <c r="AI38" s="215">
        <v>100</v>
      </c>
      <c r="AJ38" s="215" t="str">
        <f>VLOOKUP(B38,Analysis!$A$24:$B$32,2,FALSE)</f>
        <v>:bulldogs:</v>
      </c>
      <c r="AK38" s="215" t="str">
        <f t="shared" si="19"/>
        <v>:bulldogs: [b][url=http://probaseballexperience.jcink.net/index.php?showtopic=1810]Eric Bilitnikov - C[/url][/b] TPE: 168, Regression Class: S3</v>
      </c>
    </row>
    <row r="39" spans="1:38" ht="13">
      <c r="A39" s="227" t="s">
        <v>1122</v>
      </c>
      <c r="B39" s="219" t="s">
        <v>304</v>
      </c>
      <c r="C39" s="221" t="s">
        <v>1123</v>
      </c>
      <c r="D39" s="221" t="s">
        <v>1124</v>
      </c>
      <c r="E39" s="236" t="str">
        <f t="shared" si="18"/>
        <v>Jayran Mackson</v>
      </c>
      <c r="F39" s="236" t="str">
        <f t="shared" si="15"/>
        <v>SP</v>
      </c>
      <c r="G39" s="224" t="s">
        <v>55</v>
      </c>
      <c r="H39" s="219">
        <v>164</v>
      </c>
      <c r="I39" s="238"/>
      <c r="J39" s="238"/>
      <c r="K39" s="238"/>
      <c r="L39" s="238"/>
      <c r="M39" s="238"/>
      <c r="N39" s="219"/>
      <c r="O39" s="219" t="s">
        <v>34</v>
      </c>
      <c r="P39" s="219">
        <v>20</v>
      </c>
      <c r="Q39" s="219" t="s">
        <v>34</v>
      </c>
      <c r="R39" s="236" t="s">
        <v>374</v>
      </c>
      <c r="S39" s="236">
        <v>6</v>
      </c>
      <c r="T39" s="236">
        <v>9</v>
      </c>
      <c r="U39" s="236" t="s">
        <v>375</v>
      </c>
      <c r="W39" s="219"/>
      <c r="X39" s="219"/>
      <c r="Y39" s="219"/>
      <c r="Z39" s="219">
        <v>2.5</v>
      </c>
      <c r="AA39" s="236">
        <v>1</v>
      </c>
      <c r="AB39" s="238">
        <v>2.5</v>
      </c>
      <c r="AC39" s="238">
        <v>3</v>
      </c>
      <c r="AD39" s="238"/>
      <c r="AE39" s="219">
        <v>164</v>
      </c>
      <c r="AF39" s="219"/>
      <c r="AG39" s="219"/>
      <c r="AH39" s="219"/>
      <c r="AI39" s="219"/>
      <c r="AJ39" s="219" t="str">
        <f>VLOOKUP(B39,Analysis!$A$24:$B$32,2,FALSE)</f>
        <v>:bulldogs:</v>
      </c>
      <c r="AK39" s="219" t="str">
        <f t="shared" si="19"/>
        <v>:bulldogs: [b][url=http://probaseballexperience.jcink.net/index.php?showtopic=3027]Jayran Mackson - SP[/url][/b] TPE: 164, Regression Class: S6</v>
      </c>
    </row>
    <row r="40" spans="1:38" ht="13">
      <c r="A40" s="228" t="s">
        <v>454</v>
      </c>
      <c r="B40" s="215" t="s">
        <v>304</v>
      </c>
      <c r="C40" s="216" t="s">
        <v>1131</v>
      </c>
      <c r="D40" s="216" t="s">
        <v>1132</v>
      </c>
      <c r="E40" s="27" t="str">
        <f>TRIM(LEFT(D40,LEN(D40)-4))</f>
        <v>Seth Porter</v>
      </c>
      <c r="F40" s="215" t="str">
        <f t="shared" si="15"/>
        <v>SP</v>
      </c>
      <c r="G40" s="217" t="s">
        <v>749</v>
      </c>
      <c r="H40" s="65">
        <v>159</v>
      </c>
      <c r="I40" s="102"/>
      <c r="J40" s="30"/>
      <c r="K40" s="30"/>
      <c r="L40" s="30"/>
      <c r="M40" s="30"/>
      <c r="N40" s="27" t="s">
        <v>273</v>
      </c>
      <c r="O40" s="27" t="s">
        <v>36</v>
      </c>
      <c r="P40" s="215">
        <v>13</v>
      </c>
      <c r="Q40" s="27" t="s">
        <v>36</v>
      </c>
      <c r="Y40" s="215"/>
      <c r="AA40" s="215">
        <v>0</v>
      </c>
      <c r="AB40" s="30">
        <v>4</v>
      </c>
      <c r="AC40" s="215">
        <v>159</v>
      </c>
      <c r="AD40" s="30">
        <v>4</v>
      </c>
    </row>
    <row r="41" spans="1:38" ht="12.75" customHeight="1">
      <c r="A41" s="227" t="s">
        <v>1163</v>
      </c>
      <c r="B41" s="219" t="s">
        <v>304</v>
      </c>
      <c r="C41" s="235" t="s">
        <v>1164</v>
      </c>
      <c r="D41" s="235" t="s">
        <v>1165</v>
      </c>
      <c r="E41" s="236" t="str">
        <f>TRIM(LEFT(D41,LEN(D41)-5))</f>
        <v>Refugio Castr</v>
      </c>
      <c r="F41" s="236" t="str">
        <f t="shared" si="15"/>
        <v>C</v>
      </c>
      <c r="G41" s="237" t="s">
        <v>46</v>
      </c>
      <c r="H41" s="219">
        <v>146</v>
      </c>
      <c r="I41" s="238"/>
      <c r="J41" s="238"/>
      <c r="K41" s="238"/>
      <c r="L41" s="238"/>
      <c r="M41" s="238"/>
      <c r="O41" s="236" t="s">
        <v>34</v>
      </c>
      <c r="P41" s="236">
        <v>15</v>
      </c>
      <c r="Q41" s="236" t="s">
        <v>34</v>
      </c>
      <c r="R41" s="236" t="s">
        <v>374</v>
      </c>
      <c r="S41" s="236">
        <v>6</v>
      </c>
      <c r="T41" s="236">
        <v>14</v>
      </c>
      <c r="Y41" s="219"/>
      <c r="Z41" s="236">
        <v>2</v>
      </c>
      <c r="AA41" s="219">
        <v>3</v>
      </c>
      <c r="AB41" s="238">
        <v>0.5</v>
      </c>
      <c r="AC41" s="238"/>
      <c r="AD41" s="238"/>
      <c r="AE41" s="219">
        <v>146</v>
      </c>
      <c r="AJ41" s="219" t="str">
        <f>VLOOKUP(B41,Analysis!$A$24:$B$32,2,FALSE)</f>
        <v>:bulldogs:</v>
      </c>
      <c r="AK41" s="219" t="str">
        <f>AJ41&amp;" [b][url="&amp;A41&amp;"]"&amp;D41&amp;"[/url][/b] TPE: "&amp;H41&amp;", Regression Class: "&amp;Q41</f>
        <v>:bulldogs: [b][url=http://probaseballexperience.jcink.net/index.php?showtopic=2999]Refugio Castro - C[/url][/b] TPE: 146, Regression Class: S6</v>
      </c>
    </row>
    <row r="43" spans="1:38" ht="12.75" customHeight="1">
      <c r="A43" s="227" t="s">
        <v>1176</v>
      </c>
      <c r="B43" s="219" t="s">
        <v>304</v>
      </c>
      <c r="C43" s="221" t="s">
        <v>1177</v>
      </c>
      <c r="D43" s="221" t="s">
        <v>1178</v>
      </c>
      <c r="E43" s="236" t="str">
        <f>TRIM(LEFT(D43,LEN(D43)-5))</f>
        <v>Ollie Daniels</v>
      </c>
      <c r="F43" s="236" t="str">
        <f t="shared" ref="F43:F49" si="20">TRIM(RIGHT(D43,2))</f>
        <v>CF</v>
      </c>
      <c r="G43" s="224" t="s">
        <v>1180</v>
      </c>
      <c r="H43" s="219">
        <v>140</v>
      </c>
      <c r="I43" s="219"/>
      <c r="J43" s="219"/>
      <c r="N43" s="219"/>
      <c r="O43" s="219" t="s">
        <v>126</v>
      </c>
      <c r="P43" s="219">
        <v>16</v>
      </c>
      <c r="Q43" s="219" t="s">
        <v>126</v>
      </c>
      <c r="R43" s="219"/>
      <c r="S43" s="219"/>
      <c r="T43" s="219"/>
      <c r="W43" s="219">
        <v>4</v>
      </c>
      <c r="X43" s="219">
        <v>4</v>
      </c>
      <c r="Y43" s="219">
        <v>5</v>
      </c>
      <c r="Z43" s="219"/>
      <c r="AA43" s="219"/>
      <c r="AB43" s="219"/>
      <c r="AC43" s="219"/>
      <c r="AD43" s="219"/>
      <c r="AE43" s="219">
        <v>140</v>
      </c>
      <c r="AF43" s="219">
        <v>140</v>
      </c>
      <c r="AG43" s="219">
        <v>100</v>
      </c>
      <c r="AH43" s="219">
        <v>100</v>
      </c>
      <c r="AI43" s="219">
        <v>100</v>
      </c>
      <c r="AJ43" s="219" t="str">
        <f>VLOOKUP(B43,Analysis!$A$24:$B$32,2,FALSE)</f>
        <v>:bulldogs:</v>
      </c>
      <c r="AK43" s="219" t="str">
        <f>AJ43&amp;" [b][url="&amp;A43&amp;"]"&amp;D43&amp;"[/url][/b] TPE: "&amp;H43&amp;", Regression Class: "&amp;Q43</f>
        <v>:bulldogs: [b][url=http://probaseballexperience.jcink.net/index.php?showtopic=1735]Ollie Daniels - CF[/url][/b] TPE: 140, Regression Class: S3</v>
      </c>
    </row>
    <row r="44" spans="1:38" ht="12.75" customHeight="1">
      <c r="A44" s="228" t="s">
        <v>1182</v>
      </c>
      <c r="B44" s="215" t="s">
        <v>304</v>
      </c>
      <c r="C44" s="216" t="s">
        <v>1183</v>
      </c>
      <c r="D44" s="216" t="s">
        <v>1184</v>
      </c>
      <c r="E44" s="27" t="str">
        <f>TRIM(LEFT(D44,LEN(D44)-4))</f>
        <v>CJ Henderson</v>
      </c>
      <c r="F44" s="215" t="str">
        <f t="shared" si="20"/>
        <v>SP</v>
      </c>
      <c r="G44" s="217" t="s">
        <v>1186</v>
      </c>
      <c r="H44" s="65">
        <v>139</v>
      </c>
      <c r="I44" s="102"/>
      <c r="J44" s="30"/>
      <c r="K44" s="30"/>
      <c r="L44" s="30"/>
      <c r="M44" s="30"/>
      <c r="N44" s="27" t="s">
        <v>273</v>
      </c>
      <c r="O44" s="27" t="s">
        <v>36</v>
      </c>
      <c r="P44" s="215">
        <v>31</v>
      </c>
      <c r="Q44" s="215" t="s">
        <v>35</v>
      </c>
      <c r="Y44" s="215"/>
      <c r="AA44" s="215">
        <v>0</v>
      </c>
      <c r="AB44" s="30">
        <v>1</v>
      </c>
      <c r="AC44" s="30">
        <v>1</v>
      </c>
      <c r="AD44" s="215">
        <v>139</v>
      </c>
    </row>
    <row r="45" spans="1:38" ht="12.75" customHeight="1">
      <c r="A45" s="227" t="s">
        <v>1192</v>
      </c>
      <c r="B45" s="219" t="s">
        <v>304</v>
      </c>
      <c r="C45" s="221" t="s">
        <v>1193</v>
      </c>
      <c r="D45" s="221" t="s">
        <v>1194</v>
      </c>
      <c r="E45" s="236" t="str">
        <f t="shared" ref="E45:E49" si="21">TRIM(LEFT(D45,LEN(D45)-5))</f>
        <v>Boogie Flowers</v>
      </c>
      <c r="F45" s="236" t="str">
        <f t="shared" si="20"/>
        <v>3B</v>
      </c>
      <c r="G45" s="224" t="s">
        <v>225</v>
      </c>
      <c r="H45" s="219">
        <v>138</v>
      </c>
      <c r="K45" s="219"/>
      <c r="L45" s="219"/>
      <c r="M45" s="219"/>
      <c r="N45" s="219" t="s">
        <v>417</v>
      </c>
      <c r="O45" s="219" t="s">
        <v>35</v>
      </c>
      <c r="P45" s="219">
        <v>10</v>
      </c>
      <c r="Q45" s="219" t="s">
        <v>34</v>
      </c>
      <c r="R45" s="219"/>
      <c r="S45" s="219"/>
      <c r="T45" s="219"/>
      <c r="U45" s="219"/>
      <c r="W45" s="219"/>
      <c r="X45" s="219"/>
      <c r="Y45" s="219"/>
      <c r="Z45" s="219" t="s">
        <v>257</v>
      </c>
      <c r="AA45" s="219"/>
      <c r="AB45" s="236">
        <v>2</v>
      </c>
      <c r="AC45" s="236">
        <v>2</v>
      </c>
      <c r="AE45" s="219">
        <v>138</v>
      </c>
      <c r="AF45" s="219"/>
      <c r="AG45" s="219"/>
      <c r="AH45" s="219"/>
      <c r="AI45" s="219"/>
      <c r="AJ45" s="219" t="str">
        <f>VLOOKUP(B45,Analysis!$A$24:$B$32,2,FALSE)</f>
        <v>:bulldogs:</v>
      </c>
      <c r="AK45" s="219" t="str">
        <f t="shared" ref="AK45:AK49" si="22">AJ45&amp;" [b][url="&amp;A45&amp;"]"&amp;D45&amp;"[/url][/b] TPE: "&amp;H45&amp;", Regression Class: "&amp;Q45</f>
        <v>:bulldogs: [b][url=http://probaseballexperience.jcink.net/index.php?showtopic=3435]Boogie Flowers - 3B[/url][/b] TPE: 138, Regression Class: S6</v>
      </c>
    </row>
    <row r="46" spans="1:38" ht="12.75" customHeight="1">
      <c r="A46" s="228" t="s">
        <v>1205</v>
      </c>
      <c r="B46" s="215" t="s">
        <v>304</v>
      </c>
      <c r="C46" s="230" t="s">
        <v>1206</v>
      </c>
      <c r="D46" s="230" t="s">
        <v>1207</v>
      </c>
      <c r="E46" s="27" t="str">
        <f t="shared" si="21"/>
        <v>Sam Cheung</v>
      </c>
      <c r="F46" s="27" t="str">
        <f t="shared" si="20"/>
        <v>2B</v>
      </c>
      <c r="G46" s="231" t="s">
        <v>151</v>
      </c>
      <c r="H46" s="215">
        <v>132</v>
      </c>
      <c r="O46" s="27" t="s">
        <v>126</v>
      </c>
      <c r="P46" s="27">
        <v>20</v>
      </c>
      <c r="Q46" s="27" t="s">
        <v>126</v>
      </c>
      <c r="W46" s="27">
        <v>4</v>
      </c>
      <c r="X46" s="27">
        <v>4.5</v>
      </c>
      <c r="AE46" s="215">
        <v>132</v>
      </c>
      <c r="AF46" s="27">
        <v>132</v>
      </c>
      <c r="AG46" s="27">
        <v>132</v>
      </c>
      <c r="AH46" s="27">
        <v>126</v>
      </c>
      <c r="AI46" s="27">
        <v>113</v>
      </c>
      <c r="AJ46" s="215" t="str">
        <f>VLOOKUP(B46,Analysis!$A$24:$B$32,2,FALSE)</f>
        <v>:bulldogs:</v>
      </c>
      <c r="AK46" s="215" t="str">
        <f t="shared" si="22"/>
        <v>:bulldogs: [b][url=http://probaseballexperience.jcink.net/index.php?showtopic=1734]Sam Cheung - 2B[/url][/b] TPE: 132, Regression Class: S3</v>
      </c>
      <c r="AL46" s="27" t="str">
        <f>F46&amp;" - "&amp;E46</f>
        <v>2B - Sam Cheung</v>
      </c>
    </row>
    <row r="47" spans="1:38" ht="12.75" customHeight="1">
      <c r="A47" s="227" t="s">
        <v>1200</v>
      </c>
      <c r="B47" s="219" t="s">
        <v>304</v>
      </c>
      <c r="C47" s="221" t="s">
        <v>1201</v>
      </c>
      <c r="D47" s="221" t="s">
        <v>1202</v>
      </c>
      <c r="E47" s="236" t="str">
        <f t="shared" si="21"/>
        <v>Esteban Julio Ricardo Montoya de la Rosa Ramirez</v>
      </c>
      <c r="F47" s="236" t="str">
        <f t="shared" si="20"/>
        <v>CF</v>
      </c>
      <c r="G47" s="224" t="s">
        <v>159</v>
      </c>
      <c r="H47" s="219">
        <v>132</v>
      </c>
      <c r="N47" s="219" t="s">
        <v>1174</v>
      </c>
      <c r="O47" s="219" t="s">
        <v>33</v>
      </c>
      <c r="P47" s="219">
        <v>31</v>
      </c>
      <c r="Q47" s="219" t="s">
        <v>33</v>
      </c>
      <c r="R47" s="219"/>
      <c r="S47" s="219"/>
      <c r="T47" s="219"/>
      <c r="Y47" s="219">
        <v>5</v>
      </c>
      <c r="Z47" s="219">
        <v>1.5</v>
      </c>
      <c r="AE47" s="219">
        <v>132</v>
      </c>
      <c r="AJ47" s="219" t="str">
        <f>VLOOKUP(B47,Analysis!$A$24:$B$32,2,FALSE)</f>
        <v>:bulldogs:</v>
      </c>
      <c r="AK47" s="219" t="str">
        <f t="shared" si="22"/>
        <v>:bulldogs: [b][url=http://probaseballexperience.jcink.net/index.php?act=ST&amp;f=2&amp;t=2524]Esteban Julio Ricardo Montoya de la Rosa Ramirez - CF[/url][/b] TPE: 132, Regression Class: S5</v>
      </c>
    </row>
    <row r="48" spans="1:38" ht="12.75" customHeight="1">
      <c r="A48" s="228" t="s">
        <v>1212</v>
      </c>
      <c r="B48" s="215" t="s">
        <v>304</v>
      </c>
      <c r="C48" s="216" t="s">
        <v>1213</v>
      </c>
      <c r="D48" s="216" t="s">
        <v>1214</v>
      </c>
      <c r="E48" s="27" t="str">
        <f t="shared" si="21"/>
        <v>Shaun Parrish</v>
      </c>
      <c r="F48" s="27" t="str">
        <f t="shared" si="20"/>
        <v>CF</v>
      </c>
      <c r="G48" s="217" t="s">
        <v>84</v>
      </c>
      <c r="H48" s="215">
        <v>131</v>
      </c>
      <c r="K48" s="215"/>
      <c r="L48" s="215"/>
      <c r="M48" s="215"/>
      <c r="N48" s="215" t="s">
        <v>417</v>
      </c>
      <c r="O48" s="215" t="s">
        <v>35</v>
      </c>
      <c r="P48" s="215">
        <v>21</v>
      </c>
      <c r="Q48" s="215" t="s">
        <v>35</v>
      </c>
      <c r="R48" s="215"/>
      <c r="S48" s="215"/>
      <c r="T48" s="215"/>
      <c r="U48" s="215"/>
      <c r="W48" s="215"/>
      <c r="X48" s="215"/>
      <c r="Y48" s="215"/>
      <c r="Z48" s="215"/>
      <c r="AA48" s="215" t="s">
        <v>257</v>
      </c>
      <c r="AC48" s="215"/>
      <c r="AE48" s="215">
        <v>131</v>
      </c>
      <c r="AF48" s="215"/>
      <c r="AG48" s="215"/>
      <c r="AH48" s="215"/>
      <c r="AI48" s="215"/>
      <c r="AJ48" s="215" t="str">
        <f>VLOOKUP(B48,Analysis!$A$24:$B$32,2,FALSE)</f>
        <v>:bulldogs:</v>
      </c>
      <c r="AK48" s="215" t="str">
        <f t="shared" si="22"/>
        <v>:bulldogs: [b][url=http://probaseballexperience.jcink.net/index.php?showtopic=3621]Shaun Parrish - CF[/url][/b] TPE: 131, Regression Class: S7</v>
      </c>
    </row>
    <row r="49" spans="1:38" ht="12.75" customHeight="1">
      <c r="A49" s="227" t="s">
        <v>1219</v>
      </c>
      <c r="B49" s="219" t="s">
        <v>304</v>
      </c>
      <c r="C49" s="235" t="s">
        <v>1221</v>
      </c>
      <c r="D49" s="235" t="s">
        <v>1222</v>
      </c>
      <c r="E49" s="236" t="str">
        <f t="shared" si="21"/>
        <v>Reggie Malone</v>
      </c>
      <c r="F49" s="236" t="str">
        <f t="shared" si="20"/>
        <v>LF</v>
      </c>
      <c r="G49" s="237" t="s">
        <v>298</v>
      </c>
      <c r="H49" s="219">
        <v>129</v>
      </c>
      <c r="K49" s="219"/>
      <c r="L49" s="219"/>
      <c r="M49" s="219"/>
      <c r="N49" s="236" t="s">
        <v>1225</v>
      </c>
      <c r="O49" s="236" t="s">
        <v>33</v>
      </c>
      <c r="P49" s="236">
        <v>6</v>
      </c>
      <c r="Q49" s="236" t="s">
        <v>33</v>
      </c>
      <c r="X49" s="236">
        <v>3</v>
      </c>
      <c r="Y49" s="219">
        <v>3</v>
      </c>
      <c r="Z49" s="236">
        <v>3</v>
      </c>
      <c r="AE49" s="219">
        <v>129</v>
      </c>
      <c r="AJ49" s="219" t="str">
        <f>VLOOKUP(B49,Analysis!$A$24:$B$32,2,FALSE)</f>
        <v>:bulldogs:</v>
      </c>
      <c r="AK49" s="219" t="str">
        <f t="shared" si="22"/>
        <v>:bulldogs: [b][url=http://probaseballexperience.jcink.net/index.php?showtopic=2615]Reggie Malone - LF[/url][/b] TPE: 129, Regression Class: S5</v>
      </c>
    </row>
    <row r="52" spans="1:38" ht="12.75" customHeight="1">
      <c r="A52" s="31" t="s">
        <v>1238</v>
      </c>
      <c r="B52" s="215" t="s">
        <v>304</v>
      </c>
      <c r="C52" s="230" t="s">
        <v>1240</v>
      </c>
      <c r="D52" s="230" t="s">
        <v>1242</v>
      </c>
      <c r="E52" s="27" t="str">
        <f t="shared" ref="E52:E57" si="23">TRIM(LEFT(D52,LEN(D52)-5))</f>
        <v>Kevin Winter</v>
      </c>
      <c r="F52" s="27" t="str">
        <f t="shared" ref="F52:F117" si="24">TRIM(RIGHT(D52,2))</f>
        <v>C</v>
      </c>
      <c r="G52" s="231" t="s">
        <v>294</v>
      </c>
      <c r="H52" s="27">
        <v>126</v>
      </c>
      <c r="I52" s="30"/>
      <c r="J52" s="30"/>
      <c r="K52" s="30"/>
      <c r="L52" s="30"/>
      <c r="M52" s="30"/>
      <c r="N52" s="218" t="s">
        <v>1243</v>
      </c>
      <c r="O52" s="27" t="s">
        <v>35</v>
      </c>
      <c r="P52" s="27">
        <v>23</v>
      </c>
      <c r="Q52" s="27" t="s">
        <v>34</v>
      </c>
      <c r="AA52" s="27" t="s">
        <v>257</v>
      </c>
      <c r="AB52" s="30">
        <v>3</v>
      </c>
      <c r="AC52" s="157">
        <v>0.5</v>
      </c>
      <c r="AD52" s="27">
        <v>3</v>
      </c>
      <c r="AE52" s="27">
        <v>126</v>
      </c>
    </row>
    <row r="53" spans="1:38" ht="12.75" customHeight="1">
      <c r="A53" s="258" t="s">
        <v>1238</v>
      </c>
      <c r="B53" s="219" t="s">
        <v>304</v>
      </c>
      <c r="C53" s="235" t="s">
        <v>1240</v>
      </c>
      <c r="D53" s="235" t="s">
        <v>1242</v>
      </c>
      <c r="E53" s="236" t="str">
        <f t="shared" si="23"/>
        <v>Kevin Winter</v>
      </c>
      <c r="F53" s="236" t="str">
        <f t="shared" si="24"/>
        <v>C</v>
      </c>
      <c r="G53" s="237" t="s">
        <v>294</v>
      </c>
      <c r="H53" s="236">
        <v>126</v>
      </c>
      <c r="I53" s="238"/>
      <c r="J53" s="238"/>
      <c r="K53" s="238"/>
      <c r="L53" s="238"/>
      <c r="M53" s="238"/>
      <c r="N53" s="236" t="s">
        <v>417</v>
      </c>
      <c r="O53" s="236" t="s">
        <v>35</v>
      </c>
      <c r="P53" s="236">
        <v>23</v>
      </c>
      <c r="Q53" s="236" t="s">
        <v>34</v>
      </c>
      <c r="AA53" s="236" t="s">
        <v>257</v>
      </c>
      <c r="AB53" s="238">
        <v>3</v>
      </c>
      <c r="AC53" s="236">
        <v>3</v>
      </c>
      <c r="AD53" s="238"/>
      <c r="AE53" s="236">
        <v>126</v>
      </c>
    </row>
    <row r="54" spans="1:38" ht="12.75" customHeight="1">
      <c r="A54" s="228" t="s">
        <v>1238</v>
      </c>
      <c r="B54" s="215" t="s">
        <v>304</v>
      </c>
      <c r="C54" s="230" t="s">
        <v>1240</v>
      </c>
      <c r="D54" s="230" t="s">
        <v>1242</v>
      </c>
      <c r="E54" s="27" t="str">
        <f t="shared" si="23"/>
        <v>Kevin Winter</v>
      </c>
      <c r="F54" s="27" t="str">
        <f t="shared" si="24"/>
        <v>C</v>
      </c>
      <c r="G54" s="231" t="s">
        <v>294</v>
      </c>
      <c r="H54" s="215">
        <v>126</v>
      </c>
      <c r="I54" s="30"/>
      <c r="J54" s="30"/>
      <c r="K54" s="30"/>
      <c r="L54" s="30"/>
      <c r="M54" s="30"/>
      <c r="N54" s="27" t="s">
        <v>417</v>
      </c>
      <c r="O54" s="27" t="s">
        <v>35</v>
      </c>
      <c r="P54" s="27">
        <v>23</v>
      </c>
      <c r="Q54" s="27" t="s">
        <v>34</v>
      </c>
      <c r="Y54" s="215"/>
      <c r="AA54" s="215" t="s">
        <v>257</v>
      </c>
      <c r="AB54" s="30">
        <v>3</v>
      </c>
      <c r="AC54" s="27">
        <v>3</v>
      </c>
      <c r="AD54" s="30"/>
      <c r="AE54" s="215">
        <v>126</v>
      </c>
      <c r="AJ54" s="215" t="str">
        <f>VLOOKUP(B54,Analysis!$A$24:$B$32,2,FALSE)</f>
        <v>:bulldogs:</v>
      </c>
      <c r="AK54" s="215" t="str">
        <f t="shared" ref="AK54:AK56" si="25">AJ54&amp;" [b][url="&amp;A54&amp;"]"&amp;D54&amp;"[/url][/b] TPE: "&amp;H54&amp;", Regression Class: "&amp;Q54</f>
        <v>:bulldogs: [b][url=http://probaseballexperience.jcink.net/index.php?showtopic=3272]Kevin Winters - C[/url][/b] TPE: 126, Regression Class: S6</v>
      </c>
    </row>
    <row r="55" spans="1:38" ht="12.75" customHeight="1">
      <c r="A55" s="227" t="s">
        <v>1252</v>
      </c>
      <c r="B55" s="219" t="s">
        <v>304</v>
      </c>
      <c r="C55" s="221" t="s">
        <v>1254</v>
      </c>
      <c r="D55" s="221" t="s">
        <v>1257</v>
      </c>
      <c r="E55" s="236" t="str">
        <f t="shared" si="23"/>
        <v>Thomas Beowulf</v>
      </c>
      <c r="F55" s="236" t="str">
        <f t="shared" si="24"/>
        <v>CF</v>
      </c>
      <c r="G55" s="224" t="s">
        <v>1047</v>
      </c>
      <c r="H55" s="219">
        <v>126</v>
      </c>
      <c r="I55" s="238"/>
      <c r="J55" s="238"/>
      <c r="K55" s="238"/>
      <c r="L55" s="238"/>
      <c r="M55" s="238"/>
      <c r="N55" s="219" t="s">
        <v>523</v>
      </c>
      <c r="O55" s="219" t="s">
        <v>36</v>
      </c>
      <c r="P55" s="219">
        <v>16</v>
      </c>
      <c r="Q55" s="219" t="s">
        <v>36</v>
      </c>
      <c r="W55" s="219"/>
      <c r="X55" s="219"/>
      <c r="Y55" s="219"/>
      <c r="Z55" s="219"/>
      <c r="AA55" s="236">
        <v>0</v>
      </c>
      <c r="AB55" s="238">
        <v>1.5</v>
      </c>
      <c r="AD55" s="238"/>
      <c r="AE55" s="219">
        <v>126</v>
      </c>
      <c r="AF55" s="219"/>
      <c r="AG55" s="219"/>
      <c r="AH55" s="219"/>
      <c r="AI55" s="219"/>
      <c r="AJ55" s="219" t="str">
        <f>VLOOKUP(B55,Analysis!$A$24:$B$32,2,FALSE)</f>
        <v>:bulldogs:</v>
      </c>
      <c r="AK55" s="219" t="str">
        <f t="shared" si="25"/>
        <v>:bulldogs: [b][url=http://probaseballexperience.jcink.net/index.php?showtopic=4076]Thomas Beowulf - CF[/url][/b] TPE: 126, Regression Class: S8</v>
      </c>
    </row>
    <row r="56" spans="1:38" ht="12.75" customHeight="1">
      <c r="A56" s="228" t="s">
        <v>1263</v>
      </c>
      <c r="B56" s="215" t="s">
        <v>304</v>
      </c>
      <c r="C56" s="230" t="s">
        <v>1265</v>
      </c>
      <c r="D56" s="230" t="s">
        <v>1267</v>
      </c>
      <c r="E56" s="27" t="str">
        <f t="shared" si="23"/>
        <v>Eddie Spaghetti</v>
      </c>
      <c r="F56" s="27" t="str">
        <f t="shared" si="24"/>
        <v>3B</v>
      </c>
      <c r="G56" s="231" t="s">
        <v>97</v>
      </c>
      <c r="H56" s="215">
        <v>118</v>
      </c>
      <c r="N56" s="27" t="s">
        <v>1048</v>
      </c>
      <c r="O56" s="27" t="s">
        <v>34</v>
      </c>
      <c r="P56" s="27">
        <v>25</v>
      </c>
      <c r="Q56" s="27" t="s">
        <v>34</v>
      </c>
      <c r="R56" s="27" t="s">
        <v>266</v>
      </c>
      <c r="S56" s="27">
        <v>6</v>
      </c>
      <c r="T56" s="27">
        <v>8</v>
      </c>
      <c r="U56" s="27" t="s">
        <v>375</v>
      </c>
      <c r="Y56" s="215"/>
      <c r="Z56" s="27">
        <v>1</v>
      </c>
      <c r="AA56" s="27">
        <v>1</v>
      </c>
      <c r="AE56" s="215">
        <v>118</v>
      </c>
      <c r="AJ56" s="215" t="str">
        <f>VLOOKUP(B56,Analysis!$A$24:$B$32,2,FALSE)</f>
        <v>:bulldogs:</v>
      </c>
      <c r="AK56" s="215" t="str">
        <f t="shared" si="25"/>
        <v>:bulldogs: [b][url=http://probaseballexperience.jcink.net/index.php?showtopic=3097]Eddie Spaghetti - 3B[/url][/b] TPE: 118, Regression Class: S6</v>
      </c>
    </row>
    <row r="57" spans="1:38" ht="12.75" customHeight="1">
      <c r="A57" s="219"/>
      <c r="B57" s="219" t="s">
        <v>304</v>
      </c>
      <c r="C57" s="221" t="s">
        <v>1269</v>
      </c>
      <c r="D57" s="221" t="s">
        <v>1270</v>
      </c>
      <c r="E57" s="236" t="str">
        <f t="shared" si="23"/>
        <v>Barnaby Earl</v>
      </c>
      <c r="F57" s="236" t="str">
        <f t="shared" si="24"/>
        <v>1B</v>
      </c>
      <c r="G57" s="224" t="s">
        <v>192</v>
      </c>
      <c r="H57" s="219">
        <v>118</v>
      </c>
      <c r="O57" s="219" t="s">
        <v>37</v>
      </c>
      <c r="P57" s="219">
        <v>45</v>
      </c>
      <c r="Q57" s="219" t="s">
        <v>36</v>
      </c>
      <c r="AE57" s="219">
        <v>118</v>
      </c>
    </row>
    <row r="58" spans="1:38" ht="12.75" customHeight="1">
      <c r="A58" s="215"/>
      <c r="B58" s="215" t="s">
        <v>304</v>
      </c>
      <c r="C58" s="216" t="s">
        <v>1273</v>
      </c>
      <c r="D58" s="216" t="s">
        <v>1275</v>
      </c>
      <c r="E58" s="215" t="str">
        <f>TRIM(LEFT(D58,LEN(D58)-4))</f>
        <v>Diego Duque de Estrada</v>
      </c>
      <c r="F58" s="215" t="str">
        <f t="shared" si="24"/>
        <v>SP</v>
      </c>
      <c r="G58" s="217" t="s">
        <v>114</v>
      </c>
      <c r="H58" s="65">
        <v>116</v>
      </c>
      <c r="I58" s="90"/>
      <c r="J58" s="30"/>
      <c r="K58" s="30"/>
      <c r="L58" s="30"/>
      <c r="M58" s="30"/>
      <c r="N58" s="215" t="s">
        <v>459</v>
      </c>
      <c r="O58" s="215" t="s">
        <v>37</v>
      </c>
      <c r="P58" s="215">
        <v>40</v>
      </c>
      <c r="Q58" s="215" t="s">
        <v>37</v>
      </c>
      <c r="W58" s="215"/>
      <c r="X58" s="215"/>
      <c r="Y58" s="215"/>
      <c r="Z58" s="215"/>
      <c r="AB58" s="30" t="s">
        <v>274</v>
      </c>
      <c r="AC58" s="157">
        <v>1</v>
      </c>
      <c r="AD58" s="215">
        <v>116</v>
      </c>
      <c r="AF58" s="215"/>
      <c r="AG58" s="215"/>
      <c r="AH58" s="215"/>
      <c r="AI58" s="215"/>
    </row>
    <row r="59" spans="1:38" ht="12.75" customHeight="1">
      <c r="A59" s="227" t="s">
        <v>1278</v>
      </c>
      <c r="B59" s="219" t="s">
        <v>304</v>
      </c>
      <c r="C59" s="235" t="s">
        <v>1279</v>
      </c>
      <c r="D59" s="235" t="s">
        <v>1281</v>
      </c>
      <c r="E59" s="236" t="str">
        <f t="shared" ref="E59:E60" si="26">TRIM(LEFT(D59,LEN(D59)-5))</f>
        <v>Ike Thompson</v>
      </c>
      <c r="F59" s="236" t="str">
        <f t="shared" si="24"/>
        <v>2B</v>
      </c>
      <c r="G59" s="237" t="s">
        <v>192</v>
      </c>
      <c r="H59" s="219">
        <v>114</v>
      </c>
      <c r="N59" s="236" t="s">
        <v>1284</v>
      </c>
      <c r="O59" s="236" t="s">
        <v>33</v>
      </c>
      <c r="P59" s="236">
        <v>11</v>
      </c>
      <c r="Q59" s="236" t="s">
        <v>33</v>
      </c>
      <c r="X59" s="236">
        <v>2</v>
      </c>
      <c r="Y59" s="219">
        <v>2</v>
      </c>
      <c r="Z59" s="236">
        <v>2</v>
      </c>
      <c r="AE59" s="219">
        <v>114</v>
      </c>
      <c r="AJ59" s="219" t="str">
        <f>VLOOKUP(B59,Analysis!$A$24:$B$32,2,FALSE)</f>
        <v>:bulldogs:</v>
      </c>
      <c r="AK59" s="219" t="str">
        <f t="shared" ref="AK59:AK60" si="27">AJ59&amp;" [b][url="&amp;A59&amp;"]"&amp;D59&amp;"[/url][/b] TPE: "&amp;H59&amp;", Regression Class: "&amp;Q59</f>
        <v>:bulldogs: [b][url=http://probaseballexperience.jcink.net/index.php?showtopic=2571]Ike Thompson - 2B[/url][/b] TPE: 114, Regression Class: S5</v>
      </c>
    </row>
    <row r="60" spans="1:38" ht="13">
      <c r="A60" s="228" t="s">
        <v>1286</v>
      </c>
      <c r="B60" s="215" t="s">
        <v>304</v>
      </c>
      <c r="C60" s="216" t="s">
        <v>1288</v>
      </c>
      <c r="D60" s="216" t="s">
        <v>1289</v>
      </c>
      <c r="E60" s="27" t="str">
        <f t="shared" si="26"/>
        <v>Logan Co</v>
      </c>
      <c r="F60" s="27" t="str">
        <f t="shared" si="24"/>
        <v>C</v>
      </c>
      <c r="G60" s="217" t="s">
        <v>294</v>
      </c>
      <c r="H60" s="215">
        <v>113</v>
      </c>
      <c r="N60" s="215"/>
      <c r="O60" s="215" t="s">
        <v>126</v>
      </c>
      <c r="P60" s="215">
        <v>15</v>
      </c>
      <c r="Q60" s="215" t="s">
        <v>126</v>
      </c>
      <c r="R60" s="215"/>
      <c r="S60" s="215"/>
      <c r="T60" s="215"/>
      <c r="W60" s="215">
        <v>2</v>
      </c>
      <c r="X60" s="215"/>
      <c r="Y60" s="215"/>
      <c r="AE60" s="215">
        <v>113</v>
      </c>
      <c r="AF60" s="215"/>
      <c r="AG60" s="215">
        <v>113</v>
      </c>
      <c r="AH60" s="215">
        <v>113</v>
      </c>
      <c r="AJ60" s="215" t="str">
        <f>VLOOKUP(B60,Analysis!$A$24:$B$32,2,FALSE)</f>
        <v>:bulldogs:</v>
      </c>
      <c r="AK60" s="215" t="str">
        <f t="shared" si="27"/>
        <v>:bulldogs: [b][url=http://probaseballexperience.jcink.net/index.php?showtopic=1799]Logan Cox - C[/url][/b] TPE: 113, Regression Class: S3</v>
      </c>
      <c r="AL60" s="27" t="str">
        <f>F60&amp;" - "&amp;E60</f>
        <v>C - Logan Co</v>
      </c>
    </row>
    <row r="61" spans="1:38" ht="13">
      <c r="A61" s="227" t="s">
        <v>1294</v>
      </c>
      <c r="B61" s="219" t="s">
        <v>304</v>
      </c>
      <c r="C61" s="221" t="s">
        <v>1297</v>
      </c>
      <c r="D61" s="221" t="s">
        <v>1300</v>
      </c>
      <c r="E61" s="236" t="str">
        <f>TRIM(LEFT(D61,LEN(D61)-4))</f>
        <v>Marc Steele</v>
      </c>
      <c r="F61" s="219" t="str">
        <f t="shared" si="24"/>
        <v>RF</v>
      </c>
      <c r="G61" s="224" t="s">
        <v>68</v>
      </c>
      <c r="H61" s="225">
        <v>113</v>
      </c>
      <c r="I61" s="238"/>
      <c r="J61" s="238"/>
      <c r="K61" s="238"/>
      <c r="L61" s="238"/>
      <c r="M61" s="238"/>
      <c r="N61" s="236" t="s">
        <v>516</v>
      </c>
      <c r="O61" s="236" t="s">
        <v>35</v>
      </c>
      <c r="P61" s="219">
        <v>17</v>
      </c>
      <c r="Q61" s="219" t="s">
        <v>35</v>
      </c>
      <c r="Y61" s="219"/>
      <c r="Z61" s="236" t="s">
        <v>257</v>
      </c>
      <c r="AA61" s="219">
        <v>1.5</v>
      </c>
      <c r="AB61" s="238">
        <v>1.5</v>
      </c>
      <c r="AC61" s="219">
        <v>113</v>
      </c>
      <c r="AD61" s="87">
        <v>1.5</v>
      </c>
    </row>
    <row r="62" spans="1:38" ht="13">
      <c r="A62" s="228" t="s">
        <v>1303</v>
      </c>
      <c r="B62" s="215" t="s">
        <v>304</v>
      </c>
      <c r="C62" s="230" t="s">
        <v>1304</v>
      </c>
      <c r="D62" s="230" t="s">
        <v>1306</v>
      </c>
      <c r="E62" s="27" t="str">
        <f t="shared" ref="E62:E64" si="28">TRIM(LEFT(D62,LEN(D62)-5))</f>
        <v>Phil Blunt</v>
      </c>
      <c r="F62" s="27" t="str">
        <f t="shared" si="24"/>
        <v>CF</v>
      </c>
      <c r="G62" s="231" t="s">
        <v>68</v>
      </c>
      <c r="H62" s="215">
        <v>112</v>
      </c>
      <c r="O62" s="215" t="s">
        <v>34</v>
      </c>
      <c r="P62" s="27">
        <v>21</v>
      </c>
      <c r="Q62" s="27" t="s">
        <v>34</v>
      </c>
      <c r="Y62" s="215"/>
      <c r="Z62" s="215"/>
      <c r="AE62" s="215">
        <v>112</v>
      </c>
      <c r="AJ62" s="215" t="str">
        <f>VLOOKUP(B62,Analysis!$A$24:$B$32,2,FALSE)</f>
        <v>:bulldogs:</v>
      </c>
      <c r="AK62" s="215" t="str">
        <f>AJ62&amp;" [b][url="&amp;A62&amp;"]"&amp;D62&amp;"[/url][/b] TPE: "&amp;H62&amp;", Regression Class: "&amp;Q62</f>
        <v>:bulldogs: [b][url=http://probaseballexperience.jcink.net/index.php?showtopic=3080]Phil Blunt - CF[/url][/b] TPE: 112, Regression Class: S6</v>
      </c>
    </row>
    <row r="63" spans="1:38" ht="13">
      <c r="A63" s="227" t="s">
        <v>1310</v>
      </c>
      <c r="B63" s="225" t="s">
        <v>304</v>
      </c>
      <c r="C63" s="221" t="s">
        <v>1312</v>
      </c>
      <c r="D63" s="221" t="s">
        <v>1314</v>
      </c>
      <c r="E63" s="236" t="str">
        <f t="shared" si="28"/>
        <v>Christian Augustine</v>
      </c>
      <c r="F63" s="219" t="str">
        <f t="shared" si="24"/>
        <v>SP</v>
      </c>
      <c r="G63" s="224" t="s">
        <v>114</v>
      </c>
      <c r="H63" s="225">
        <v>111</v>
      </c>
      <c r="I63" s="238"/>
      <c r="J63" s="238"/>
      <c r="K63" s="238"/>
      <c r="L63" s="238"/>
      <c r="M63" s="238"/>
      <c r="N63" s="219"/>
      <c r="O63" s="219" t="s">
        <v>70</v>
      </c>
      <c r="P63" s="219">
        <v>65</v>
      </c>
      <c r="Q63" s="219" t="s">
        <v>70</v>
      </c>
      <c r="V63" s="236">
        <v>0.5</v>
      </c>
      <c r="W63" s="219">
        <v>0.5</v>
      </c>
      <c r="X63" s="219">
        <v>0.5</v>
      </c>
      <c r="Y63" s="219">
        <v>0.5</v>
      </c>
      <c r="Z63" s="219">
        <v>0.5</v>
      </c>
      <c r="AA63" s="236">
        <v>0.5</v>
      </c>
      <c r="AB63" s="238">
        <v>0.5</v>
      </c>
      <c r="AC63" s="226">
        <v>0.5</v>
      </c>
      <c r="AD63" s="219">
        <v>111</v>
      </c>
      <c r="AE63" s="236">
        <v>111</v>
      </c>
      <c r="AF63" s="219">
        <v>111</v>
      </c>
      <c r="AG63" s="219">
        <v>111</v>
      </c>
      <c r="AH63" s="219">
        <v>111</v>
      </c>
      <c r="AI63" s="219"/>
    </row>
    <row r="64" spans="1:38" ht="13">
      <c r="A64" s="228" t="s">
        <v>1318</v>
      </c>
      <c r="B64" s="215" t="s">
        <v>304</v>
      </c>
      <c r="C64" s="216" t="s">
        <v>1319</v>
      </c>
      <c r="D64" s="216" t="s">
        <v>1320</v>
      </c>
      <c r="E64" s="27" t="str">
        <f t="shared" si="28"/>
        <v>Stuart Westerkam</v>
      </c>
      <c r="F64" s="27" t="str">
        <f t="shared" si="24"/>
        <v>C</v>
      </c>
      <c r="G64" s="217" t="s">
        <v>265</v>
      </c>
      <c r="H64" s="215">
        <v>111</v>
      </c>
      <c r="N64" s="215"/>
      <c r="O64" s="215" t="s">
        <v>32</v>
      </c>
      <c r="P64" s="215">
        <v>13</v>
      </c>
      <c r="Q64" s="215" t="s">
        <v>32</v>
      </c>
      <c r="R64" s="215"/>
      <c r="S64" s="215"/>
      <c r="T64" s="215"/>
      <c r="X64" s="215">
        <v>2.5</v>
      </c>
      <c r="Y64" s="215">
        <v>1.25</v>
      </c>
      <c r="Z64" s="215"/>
      <c r="AE64" s="215">
        <v>111</v>
      </c>
      <c r="AJ64" s="215" t="str">
        <f>VLOOKUP(B64,Analysis!$A$24:$B$32,2,FALSE)</f>
        <v>:bulldogs:</v>
      </c>
      <c r="AK64" s="215" t="str">
        <f>AJ64&amp;" [b][url="&amp;A64&amp;"]"&amp;D64&amp;"[/url][/b] TPE: "&amp;H64&amp;", Regression Class: "&amp;Q64</f>
        <v>:bulldogs: [b][url=http://probaseballexperience.jcink.net/index.php?showtopic=2229]Stuart Westerkamp - C[/url][/b] TPE: 111, Regression Class: S4</v>
      </c>
      <c r="AL64" s="27" t="str">
        <f>F64&amp;" - "&amp;E64</f>
        <v>C - Stuart Westerkam</v>
      </c>
    </row>
    <row r="65" spans="1:38" ht="13">
      <c r="A65" s="219"/>
      <c r="B65" s="219" t="s">
        <v>304</v>
      </c>
      <c r="C65" s="235" t="s">
        <v>1325</v>
      </c>
      <c r="D65" s="221" t="s">
        <v>1326</v>
      </c>
      <c r="E65" s="236" t="str">
        <f>TRIM(LEFT(D65,LEN(D65)-4))</f>
        <v>Bishop Chomke</v>
      </c>
      <c r="F65" s="236" t="str">
        <f t="shared" si="24"/>
        <v>RF</v>
      </c>
      <c r="G65" s="237" t="s">
        <v>84</v>
      </c>
      <c r="H65" s="225">
        <v>111</v>
      </c>
      <c r="I65" s="125"/>
      <c r="J65" s="238"/>
      <c r="K65" s="238"/>
      <c r="L65" s="238"/>
      <c r="M65" s="238"/>
      <c r="N65" s="219" t="s">
        <v>273</v>
      </c>
      <c r="O65" s="236" t="s">
        <v>37</v>
      </c>
      <c r="P65" s="236">
        <v>39</v>
      </c>
      <c r="Q65" s="236" t="s">
        <v>37</v>
      </c>
      <c r="Y65" s="219"/>
      <c r="AC65" s="226" t="s">
        <v>274</v>
      </c>
      <c r="AD65" s="226">
        <v>2</v>
      </c>
      <c r="AE65" s="225">
        <v>111</v>
      </c>
    </row>
    <row r="66" spans="1:38" ht="13">
      <c r="A66" s="228" t="s">
        <v>1330</v>
      </c>
      <c r="B66" s="215" t="s">
        <v>304</v>
      </c>
      <c r="C66" s="216" t="s">
        <v>1332</v>
      </c>
      <c r="D66" s="216" t="s">
        <v>1333</v>
      </c>
      <c r="E66" s="27" t="str">
        <f t="shared" ref="E66:E67" si="29">TRIM(LEFT(D66,LEN(D66)-5))</f>
        <v>Alex Rolison</v>
      </c>
      <c r="F66" s="27" t="str">
        <f t="shared" si="24"/>
        <v>SP</v>
      </c>
      <c r="G66" s="217" t="s">
        <v>114</v>
      </c>
      <c r="H66" s="215">
        <v>108</v>
      </c>
      <c r="N66" s="215"/>
      <c r="O66" s="215" t="s">
        <v>32</v>
      </c>
      <c r="P66" s="215">
        <v>8</v>
      </c>
      <c r="Q66" s="215" t="s">
        <v>32</v>
      </c>
      <c r="R66" s="215"/>
      <c r="S66" s="215"/>
      <c r="T66" s="215"/>
      <c r="X66" s="215">
        <v>3</v>
      </c>
      <c r="Y66" s="215">
        <v>1.75</v>
      </c>
      <c r="Z66" s="215"/>
      <c r="AE66" s="215">
        <v>108</v>
      </c>
      <c r="AF66" s="215">
        <v>100</v>
      </c>
      <c r="AG66" s="215" t="e">
        <f>$H66-#REF!</f>
        <v>#REF!</v>
      </c>
      <c r="AJ66" s="215" t="str">
        <f>VLOOKUP(B66,Analysis!$A$24:$B$32,2,FALSE)</f>
        <v>:bulldogs:</v>
      </c>
      <c r="AK66" s="215" t="str">
        <f t="shared" ref="AK66:AK67" si="30">AJ66&amp;" [b][url="&amp;A66&amp;"]"&amp;D66&amp;"[/url][/b] TPE: "&amp;H66&amp;", Regression Class: "&amp;Q66</f>
        <v>:bulldogs: [b][url=http://probaseballexperience.jcink.net/index.php?showtopic=2194]Alex Rolison - SP[/url][/b] TPE: 108, Regression Class: S4</v>
      </c>
      <c r="AL66" s="27" t="str">
        <f>F66&amp;" - "&amp;E66</f>
        <v>SP - Alex Rolison</v>
      </c>
    </row>
    <row r="67" spans="1:38" ht="13">
      <c r="A67" s="227" t="s">
        <v>1338</v>
      </c>
      <c r="B67" s="219" t="s">
        <v>304</v>
      </c>
      <c r="C67" s="221" t="s">
        <v>1339</v>
      </c>
      <c r="D67" s="221" t="s">
        <v>1340</v>
      </c>
      <c r="E67" s="236" t="str">
        <f t="shared" si="29"/>
        <v>King Swamp Tro</v>
      </c>
      <c r="F67" s="236" t="str">
        <f t="shared" si="24"/>
        <v>RF</v>
      </c>
      <c r="G67" s="224" t="s">
        <v>192</v>
      </c>
      <c r="H67" s="219">
        <v>108</v>
      </c>
      <c r="I67" s="219"/>
      <c r="J67" s="219"/>
      <c r="N67" s="219" t="s">
        <v>1174</v>
      </c>
      <c r="O67" s="219" t="s">
        <v>33</v>
      </c>
      <c r="P67" s="219">
        <v>22</v>
      </c>
      <c r="Q67" s="219" t="s">
        <v>33</v>
      </c>
      <c r="R67" s="219"/>
      <c r="S67" s="219"/>
      <c r="T67" s="219"/>
      <c r="W67" s="219"/>
      <c r="X67" s="219"/>
      <c r="Y67" s="219">
        <v>2</v>
      </c>
      <c r="Z67" s="219">
        <f>1.25/2</f>
        <v>0.625</v>
      </c>
      <c r="AA67" s="219"/>
      <c r="AB67" s="219"/>
      <c r="AC67" s="219"/>
      <c r="AD67" s="219"/>
      <c r="AE67" s="219">
        <v>108</v>
      </c>
      <c r="AF67" s="219"/>
      <c r="AG67" s="219"/>
      <c r="AH67" s="219"/>
      <c r="AI67" s="219"/>
      <c r="AJ67" s="219" t="str">
        <f>VLOOKUP(B67,Analysis!$A$24:$B$32,2,FALSE)</f>
        <v>:bulldogs:</v>
      </c>
      <c r="AK67" s="219" t="str">
        <f t="shared" si="30"/>
        <v>:bulldogs: [b][url=http://probaseballexperience.jcink.net/index.php?showtopic=2596]King Swamp Troll RF[/url][/b] TPE: 108, Regression Class: S5</v>
      </c>
    </row>
    <row r="68" spans="1:38" ht="13">
      <c r="A68" s="228" t="s">
        <v>1344</v>
      </c>
      <c r="B68" s="215" t="s">
        <v>304</v>
      </c>
      <c r="C68" s="216" t="s">
        <v>1348</v>
      </c>
      <c r="D68" s="216" t="s">
        <v>1349</v>
      </c>
      <c r="E68" s="27" t="str">
        <f>TRIM(LEFT(D68,LEN(D68)-4))</f>
        <v>Benjamin Beaux</v>
      </c>
      <c r="F68" s="215" t="str">
        <f t="shared" si="24"/>
        <v>SS</v>
      </c>
      <c r="G68" s="217" t="s">
        <v>740</v>
      </c>
      <c r="H68" s="65">
        <v>108</v>
      </c>
      <c r="I68" s="30"/>
      <c r="J68" s="30"/>
      <c r="K68" s="30"/>
      <c r="L68" s="30"/>
      <c r="M68" s="30"/>
      <c r="N68" s="215" t="s">
        <v>417</v>
      </c>
      <c r="O68" s="215" t="s">
        <v>35</v>
      </c>
      <c r="P68" s="215">
        <v>13</v>
      </c>
      <c r="Q68" s="215" t="s">
        <v>34</v>
      </c>
      <c r="W68" s="215"/>
      <c r="X68" s="215"/>
      <c r="Y68" s="215"/>
      <c r="Z68" s="215">
        <v>1</v>
      </c>
      <c r="AA68" s="215">
        <v>1</v>
      </c>
      <c r="AB68" s="30">
        <v>1</v>
      </c>
      <c r="AC68" s="215">
        <v>108</v>
      </c>
      <c r="AD68" s="102">
        <v>1</v>
      </c>
      <c r="AE68" s="215"/>
      <c r="AF68" s="215"/>
      <c r="AG68" s="215"/>
      <c r="AH68" s="215"/>
      <c r="AI68" s="215"/>
    </row>
    <row r="69" spans="1:38" ht="15" customHeight="1">
      <c r="A69" s="227" t="s">
        <v>1352</v>
      </c>
      <c r="B69" s="219" t="s">
        <v>304</v>
      </c>
      <c r="C69" s="221" t="s">
        <v>1354</v>
      </c>
      <c r="D69" s="221" t="s">
        <v>1357</v>
      </c>
      <c r="E69" s="236" t="str">
        <f t="shared" ref="E69:E71" si="31">TRIM(LEFT(D69,LEN(D69)-5))</f>
        <v>Andrew Cathington</v>
      </c>
      <c r="F69" s="236" t="str">
        <f t="shared" si="24"/>
        <v>CF</v>
      </c>
      <c r="G69" s="224" t="s">
        <v>68</v>
      </c>
      <c r="H69" s="219">
        <v>108</v>
      </c>
      <c r="N69" s="219" t="s">
        <v>417</v>
      </c>
      <c r="O69" s="219" t="s">
        <v>35</v>
      </c>
      <c r="P69" s="219">
        <v>15</v>
      </c>
      <c r="Q69" s="219" t="s">
        <v>35</v>
      </c>
      <c r="R69" s="219"/>
      <c r="S69" s="219"/>
      <c r="T69" s="219"/>
      <c r="U69" s="219"/>
      <c r="W69" s="219"/>
      <c r="X69" s="219"/>
      <c r="Y69" s="219"/>
      <c r="Z69" s="219"/>
      <c r="AA69" s="219" t="s">
        <v>257</v>
      </c>
      <c r="AC69" s="219"/>
      <c r="AE69" s="219">
        <v>108</v>
      </c>
      <c r="AF69" s="219"/>
      <c r="AG69" s="219"/>
      <c r="AH69" s="219"/>
      <c r="AI69" s="219"/>
      <c r="AJ69" s="219" t="str">
        <f>VLOOKUP(B69,Analysis!$A$24:$B$32,2,FALSE)</f>
        <v>:bulldogs:</v>
      </c>
      <c r="AK69" s="219" t="str">
        <f t="shared" ref="AK69:AK71" si="32">AJ69&amp;" [b][url="&amp;A69&amp;"]"&amp;D69&amp;"[/url][/b] TPE: "&amp;H69&amp;", Regression Class: "&amp;Q69</f>
        <v>:bulldogs: [b][url=http://probaseballexperience.jcink.net/index.php?showtopic=3610]Andrew Cathington - CF[/url][/b] TPE: 108, Regression Class: S7</v>
      </c>
    </row>
    <row r="70" spans="1:38" ht="13">
      <c r="A70" s="228" t="s">
        <v>1365</v>
      </c>
      <c r="B70" s="215" t="s">
        <v>304</v>
      </c>
      <c r="C70" s="216" t="s">
        <v>1368</v>
      </c>
      <c r="D70" s="216" t="s">
        <v>1370</v>
      </c>
      <c r="E70" s="27" t="str">
        <f t="shared" si="31"/>
        <v>Dino Panini</v>
      </c>
      <c r="F70" s="27" t="str">
        <f t="shared" si="24"/>
        <v>SP</v>
      </c>
      <c r="G70" s="217" t="s">
        <v>820</v>
      </c>
      <c r="H70" s="215">
        <v>108</v>
      </c>
      <c r="K70" s="215"/>
      <c r="L70" s="215"/>
      <c r="M70" s="215"/>
      <c r="N70" s="27" t="s">
        <v>417</v>
      </c>
      <c r="O70" s="215" t="s">
        <v>35</v>
      </c>
      <c r="P70" s="215">
        <v>14</v>
      </c>
      <c r="Q70" s="215" t="s">
        <v>35</v>
      </c>
      <c r="R70" s="215"/>
      <c r="S70" s="215"/>
      <c r="T70" s="215"/>
      <c r="U70" s="215"/>
      <c r="W70" s="215"/>
      <c r="X70" s="215"/>
      <c r="Y70" s="215"/>
      <c r="Z70" s="215" t="s">
        <v>257</v>
      </c>
      <c r="AA70" s="215"/>
      <c r="AB70" s="27">
        <v>1.5</v>
      </c>
      <c r="AC70" s="27">
        <v>1.5</v>
      </c>
      <c r="AE70" s="215">
        <v>108</v>
      </c>
      <c r="AF70" s="215"/>
      <c r="AG70" s="215"/>
      <c r="AH70" s="215"/>
      <c r="AI70" s="215"/>
      <c r="AJ70" s="215" t="str">
        <f>VLOOKUP(B70,Analysis!$A$24:$B$32,2,FALSE)</f>
        <v>:bulldogs:</v>
      </c>
      <c r="AK70" s="215" t="str">
        <f t="shared" si="32"/>
        <v>:bulldogs: [b][url=http://probaseballexperience.jcink.net/index.php?showtopic=3573]Dino Panini - SP[/url][/b] TPE: 108, Regression Class: S7</v>
      </c>
    </row>
    <row r="71" spans="1:38" ht="13">
      <c r="A71" s="227" t="s">
        <v>1373</v>
      </c>
      <c r="B71" s="219" t="s">
        <v>304</v>
      </c>
      <c r="C71" s="221" t="s">
        <v>1376</v>
      </c>
      <c r="D71" s="224" t="s">
        <v>1377</v>
      </c>
      <c r="E71" s="236" t="str">
        <f t="shared" si="31"/>
        <v>Marc Courtremanche</v>
      </c>
      <c r="F71" s="236" t="str">
        <f t="shared" si="24"/>
        <v>3B</v>
      </c>
      <c r="G71" s="224" t="s">
        <v>97</v>
      </c>
      <c r="H71" s="219">
        <v>108</v>
      </c>
      <c r="I71" s="219"/>
      <c r="J71" s="219"/>
      <c r="K71" s="219"/>
      <c r="L71" s="219"/>
      <c r="M71" s="219"/>
      <c r="N71" s="219" t="s">
        <v>110</v>
      </c>
      <c r="O71" s="219" t="s">
        <v>35</v>
      </c>
      <c r="P71" s="219">
        <v>19</v>
      </c>
      <c r="Q71" s="219" t="s">
        <v>35</v>
      </c>
      <c r="R71" s="219"/>
      <c r="S71" s="219"/>
      <c r="T71" s="219"/>
      <c r="U71" s="219"/>
      <c r="W71" s="219"/>
      <c r="X71" s="219"/>
      <c r="Y71" s="219"/>
      <c r="Z71" s="219"/>
      <c r="AA71" s="219" t="s">
        <v>257</v>
      </c>
      <c r="AB71" s="219">
        <v>3</v>
      </c>
      <c r="AC71" s="219">
        <v>3</v>
      </c>
      <c r="AE71" s="219">
        <v>108</v>
      </c>
      <c r="AF71" s="219"/>
      <c r="AG71" s="219"/>
      <c r="AH71" s="219"/>
      <c r="AI71" s="219"/>
      <c r="AJ71" s="219" t="str">
        <f>VLOOKUP(B71,Analysis!$A$24:$B$32,2,FALSE)</f>
        <v>:bulldogs:</v>
      </c>
      <c r="AK71" s="219" t="str">
        <f t="shared" si="32"/>
        <v>:bulldogs: [b][url=http://probaseballexperience.jcink.net/index.php?showtopic=3585]Marc Courtremanche - 3B[/url][/b] TPE: 108, Regression Class: S7</v>
      </c>
    </row>
    <row r="72" spans="1:38" ht="13">
      <c r="A72" s="215"/>
      <c r="B72" s="215" t="s">
        <v>304</v>
      </c>
      <c r="C72" s="216" t="s">
        <v>1379</v>
      </c>
      <c r="D72" s="216" t="s">
        <v>1381</v>
      </c>
      <c r="E72" s="27" t="str">
        <f t="shared" ref="E72:E73" si="33">TRIM(LEFT(D72,LEN(D72)-4))</f>
        <v>Jack Blll</v>
      </c>
      <c r="F72" s="215" t="str">
        <f t="shared" si="24"/>
        <v>CL</v>
      </c>
      <c r="G72" s="217" t="s">
        <v>290</v>
      </c>
      <c r="H72" s="65">
        <v>108</v>
      </c>
      <c r="I72" s="30">
        <v>1.5</v>
      </c>
      <c r="J72" s="102"/>
      <c r="K72" s="30"/>
      <c r="L72" s="30"/>
      <c r="M72" s="30"/>
      <c r="N72" s="215" t="s">
        <v>612</v>
      </c>
      <c r="O72" s="215" t="s">
        <v>37</v>
      </c>
      <c r="P72" s="215">
        <v>35</v>
      </c>
      <c r="Q72" s="215" t="s">
        <v>37</v>
      </c>
      <c r="W72" s="215"/>
      <c r="X72" s="215"/>
      <c r="Y72" s="215"/>
      <c r="Z72" s="215"/>
      <c r="AB72" s="30" t="s">
        <v>274</v>
      </c>
      <c r="AC72" s="65">
        <v>108</v>
      </c>
      <c r="AD72" s="30">
        <v>1.5</v>
      </c>
      <c r="AF72" s="215"/>
      <c r="AG72" s="215"/>
      <c r="AH72" s="215"/>
      <c r="AI72" s="215"/>
    </row>
    <row r="73" spans="1:38" ht="13">
      <c r="A73" s="219"/>
      <c r="B73" s="219" t="s">
        <v>304</v>
      </c>
      <c r="C73" s="221" t="s">
        <v>1385</v>
      </c>
      <c r="D73" s="221" t="s">
        <v>1386</v>
      </c>
      <c r="E73" s="219" t="str">
        <f t="shared" si="33"/>
        <v>Goose Boozer</v>
      </c>
      <c r="F73" s="236" t="str">
        <f t="shared" si="24"/>
        <v>CL</v>
      </c>
      <c r="G73" s="224" t="s">
        <v>109</v>
      </c>
      <c r="H73" s="225">
        <v>108</v>
      </c>
      <c r="I73" s="125"/>
      <c r="J73" s="238"/>
      <c r="K73" s="238"/>
      <c r="L73" s="238"/>
      <c r="M73" s="238"/>
      <c r="N73" s="219" t="s">
        <v>273</v>
      </c>
      <c r="O73" s="219" t="s">
        <v>37</v>
      </c>
      <c r="P73" s="225">
        <v>7</v>
      </c>
      <c r="Q73" s="219" t="s">
        <v>37</v>
      </c>
      <c r="Y73" s="219"/>
      <c r="AC73" s="226" t="s">
        <v>274</v>
      </c>
      <c r="AD73" s="226">
        <v>3</v>
      </c>
      <c r="AE73" s="225">
        <v>108</v>
      </c>
    </row>
    <row r="74" spans="1:38" ht="13">
      <c r="A74" s="215"/>
      <c r="B74" s="215" t="s">
        <v>304</v>
      </c>
      <c r="C74" s="216" t="s">
        <v>1385</v>
      </c>
      <c r="D74" s="216" t="s">
        <v>1386</v>
      </c>
      <c r="E74" s="27" t="str">
        <f t="shared" ref="E74:E78" si="34">TRIM(LEFT(D74,LEN(D74)-5))</f>
        <v>Goose Boozer</v>
      </c>
      <c r="F74" s="27" t="str">
        <f t="shared" si="24"/>
        <v>CL</v>
      </c>
      <c r="G74" s="217" t="s">
        <v>109</v>
      </c>
      <c r="H74" s="215">
        <v>108</v>
      </c>
      <c r="O74" s="215" t="s">
        <v>37</v>
      </c>
      <c r="P74" s="215">
        <v>7</v>
      </c>
      <c r="Q74" s="215" t="s">
        <v>37</v>
      </c>
      <c r="AE74" s="215">
        <v>108</v>
      </c>
    </row>
    <row r="75" spans="1:38" ht="13">
      <c r="A75" s="219"/>
      <c r="B75" s="219" t="s">
        <v>304</v>
      </c>
      <c r="C75" s="235" t="s">
        <v>1394</v>
      </c>
      <c r="D75" s="235" t="s">
        <v>1397</v>
      </c>
      <c r="E75" s="236" t="str">
        <f t="shared" si="34"/>
        <v>Elon Bezos</v>
      </c>
      <c r="F75" s="236" t="str">
        <f t="shared" si="24"/>
        <v>SS</v>
      </c>
      <c r="G75" s="237" t="s">
        <v>565</v>
      </c>
      <c r="H75" s="219">
        <v>108</v>
      </c>
      <c r="I75" s="238"/>
      <c r="J75" s="238"/>
      <c r="K75" s="238"/>
      <c r="L75" s="238"/>
      <c r="M75" s="238"/>
      <c r="N75" s="238"/>
      <c r="O75" s="236" t="s">
        <v>37</v>
      </c>
      <c r="P75" s="236">
        <v>44</v>
      </c>
      <c r="Q75" s="236" t="s">
        <v>37</v>
      </c>
      <c r="Z75" s="219"/>
      <c r="AD75" s="238"/>
      <c r="AE75" s="219">
        <v>108</v>
      </c>
    </row>
    <row r="76" spans="1:38" ht="13">
      <c r="A76" s="228" t="s">
        <v>1400</v>
      </c>
      <c r="B76" s="215" t="s">
        <v>304</v>
      </c>
      <c r="C76" s="216" t="s">
        <v>1403</v>
      </c>
      <c r="D76" s="216" t="s">
        <v>1406</v>
      </c>
      <c r="E76" s="27" t="str">
        <f t="shared" si="34"/>
        <v>TJ Sparks</v>
      </c>
      <c r="F76" s="27" t="str">
        <f t="shared" si="24"/>
        <v>SP</v>
      </c>
      <c r="G76" s="217" t="s">
        <v>114</v>
      </c>
      <c r="H76" s="215">
        <v>105</v>
      </c>
      <c r="N76" s="215"/>
      <c r="O76" s="215" t="s">
        <v>32</v>
      </c>
      <c r="P76" s="215">
        <v>12</v>
      </c>
      <c r="Q76" s="215" t="s">
        <v>32</v>
      </c>
      <c r="R76" s="215"/>
      <c r="S76" s="215"/>
      <c r="T76" s="215"/>
      <c r="X76" s="215">
        <v>3</v>
      </c>
      <c r="Y76" s="215">
        <v>1.5</v>
      </c>
      <c r="Z76" s="215"/>
      <c r="AE76" s="215">
        <v>105</v>
      </c>
      <c r="AF76" s="215">
        <v>100</v>
      </c>
      <c r="AG76" s="215" t="e">
        <f>$H76-#REF!</f>
        <v>#REF!</v>
      </c>
      <c r="AJ76" s="215" t="str">
        <f>VLOOKUP(B76,Analysis!$A$24:$B$32,2,FALSE)</f>
        <v>:bulldogs:</v>
      </c>
      <c r="AK76" s="215" t="str">
        <f t="shared" ref="AK76:AK78" si="35">AJ76&amp;" [b][url="&amp;A76&amp;"]"&amp;D76&amp;"[/url][/b] TPE: "&amp;H76&amp;", Regression Class: "&amp;Q76</f>
        <v>:bulldogs: [b][url=http://probaseballexperience.jcink.net/index.php?showtopic=2190]TJ Sparks - SP[/url][/b] TPE: 105, Regression Class: S4</v>
      </c>
      <c r="AL76" s="27" t="str">
        <f t="shared" ref="AL76:AL78" si="36">F76&amp;" - "&amp;E76</f>
        <v>SP - TJ Sparks</v>
      </c>
    </row>
    <row r="77" spans="1:38" ht="13">
      <c r="A77" s="227" t="s">
        <v>1409</v>
      </c>
      <c r="B77" s="219" t="s">
        <v>304</v>
      </c>
      <c r="C77" s="221" t="s">
        <v>1411</v>
      </c>
      <c r="D77" s="221" t="s">
        <v>1413</v>
      </c>
      <c r="E77" s="236" t="str">
        <f t="shared" si="34"/>
        <v>Gray Goose McGillicuddy</v>
      </c>
      <c r="F77" s="236" t="str">
        <f t="shared" si="24"/>
        <v>CL</v>
      </c>
      <c r="G77" s="224"/>
      <c r="H77" s="219">
        <v>100</v>
      </c>
      <c r="N77" s="253" t="s">
        <v>1415</v>
      </c>
      <c r="O77" s="219" t="s">
        <v>126</v>
      </c>
      <c r="P77" s="219">
        <v>24</v>
      </c>
      <c r="Q77" s="219" t="s">
        <v>78</v>
      </c>
      <c r="R77" s="219"/>
      <c r="S77" s="219"/>
      <c r="T77" s="219"/>
      <c r="U77" s="219"/>
      <c r="V77" s="219" t="s">
        <v>1036</v>
      </c>
      <c r="AC77" s="226">
        <v>0.5</v>
      </c>
      <c r="AE77" s="219">
        <v>100</v>
      </c>
      <c r="AF77" s="219"/>
      <c r="AG77" s="219"/>
      <c r="AH77" s="219">
        <v>100</v>
      </c>
      <c r="AI77" s="219">
        <v>100</v>
      </c>
      <c r="AJ77" s="219" t="str">
        <f>VLOOKUP(B77,Analysis!$A$24:$B$32,2,FALSE)</f>
        <v>:bulldogs:</v>
      </c>
      <c r="AK77" s="219" t="str">
        <f t="shared" si="35"/>
        <v>:bulldogs: [b][url=http://probaseballexperience.jcink.net/index.php?showtopic=1426]Gray Goose McGillicuddy - CL[/url][/b] TPE: 100, Regression Class: S2</v>
      </c>
      <c r="AL77" s="236" t="str">
        <f t="shared" si="36"/>
        <v>CL - Gray Goose McGillicuddy</v>
      </c>
    </row>
    <row r="78" spans="1:38" ht="13">
      <c r="A78" s="228" t="s">
        <v>1418</v>
      </c>
      <c r="B78" s="215" t="s">
        <v>304</v>
      </c>
      <c r="C78" s="216" t="s">
        <v>1419</v>
      </c>
      <c r="D78" s="216" t="s">
        <v>1421</v>
      </c>
      <c r="E78" s="27" t="str">
        <f t="shared" si="34"/>
        <v>Peter R Kotsay</v>
      </c>
      <c r="F78" s="27" t="str">
        <f t="shared" si="24"/>
        <v>CL</v>
      </c>
      <c r="G78" s="217" t="s">
        <v>820</v>
      </c>
      <c r="H78" s="215">
        <v>100</v>
      </c>
      <c r="N78" s="218" t="s">
        <v>1423</v>
      </c>
      <c r="O78" s="215" t="s">
        <v>78</v>
      </c>
      <c r="P78" s="215" t="s">
        <v>1232</v>
      </c>
      <c r="Q78" s="215" t="s">
        <v>78</v>
      </c>
      <c r="R78" s="215"/>
      <c r="S78" s="215"/>
      <c r="T78" s="215"/>
      <c r="U78" s="215"/>
      <c r="V78" s="215" t="s">
        <v>1036</v>
      </c>
      <c r="AC78" s="157">
        <v>0.5</v>
      </c>
      <c r="AE78" s="215">
        <v>100</v>
      </c>
      <c r="AF78" s="215"/>
      <c r="AG78" s="215"/>
      <c r="AH78" s="215">
        <v>100</v>
      </c>
      <c r="AI78" s="215">
        <v>100</v>
      </c>
      <c r="AJ78" s="215" t="str">
        <f>VLOOKUP(B78,Analysis!$A$24:$B$32,2,FALSE)</f>
        <v>:bulldogs:</v>
      </c>
      <c r="AK78" s="215" t="str">
        <f t="shared" si="35"/>
        <v>:bulldogs: [b][url=http://probaseballexperience.jcink.net/index.php?showtopic=1070]Peter R Kotsay - CL[/url][/b] TPE: 100, Regression Class: S2</v>
      </c>
      <c r="AL78" s="27" t="str">
        <f t="shared" si="36"/>
        <v>CL - Peter R Kotsay</v>
      </c>
    </row>
    <row r="79" spans="1:38" ht="13">
      <c r="B79" s="219" t="s">
        <v>304</v>
      </c>
      <c r="C79" s="265" t="s">
        <v>1426</v>
      </c>
      <c r="D79" s="256" t="s">
        <v>1427</v>
      </c>
      <c r="E79" s="219" t="str">
        <f t="shared" ref="E79:E82" si="37">TRIM(LEFT(D79,LEN(D79)-4))</f>
        <v>Gregory Stevens</v>
      </c>
      <c r="F79" s="219" t="str">
        <f t="shared" si="24"/>
        <v>1B</v>
      </c>
      <c r="G79" s="138" t="s">
        <v>97</v>
      </c>
      <c r="H79" s="225">
        <v>100</v>
      </c>
      <c r="I79" s="236"/>
      <c r="J79" s="236"/>
      <c r="K79" s="266"/>
      <c r="L79" s="266"/>
      <c r="M79" s="266"/>
      <c r="N79" s="236"/>
      <c r="O79" s="225" t="s">
        <v>38</v>
      </c>
      <c r="P79" s="225">
        <v>35</v>
      </c>
      <c r="Q79" s="225" t="s">
        <v>38</v>
      </c>
      <c r="AB79" s="236"/>
      <c r="AD79" s="236"/>
      <c r="AE79" s="225">
        <v>100</v>
      </c>
    </row>
    <row r="80" spans="1:38" ht="13">
      <c r="B80" s="215" t="s">
        <v>304</v>
      </c>
      <c r="C80" s="255" t="s">
        <v>1430</v>
      </c>
      <c r="D80" s="256" t="s">
        <v>1433</v>
      </c>
      <c r="E80" s="215" t="str">
        <f t="shared" si="37"/>
        <v>Gary Banks</v>
      </c>
      <c r="F80" s="215" t="str">
        <f t="shared" si="24"/>
        <v>SS</v>
      </c>
      <c r="G80" s="138" t="s">
        <v>554</v>
      </c>
      <c r="H80" s="65">
        <v>100</v>
      </c>
      <c r="I80" s="27"/>
      <c r="J80" s="27"/>
      <c r="K80" s="257"/>
      <c r="L80" s="257"/>
      <c r="M80" s="257"/>
      <c r="N80" s="27"/>
      <c r="O80" s="65" t="s">
        <v>38</v>
      </c>
      <c r="P80" s="65">
        <v>40</v>
      </c>
      <c r="Q80" s="65" t="s">
        <v>38</v>
      </c>
      <c r="AB80" s="27"/>
      <c r="AD80" s="27"/>
      <c r="AE80" s="65">
        <v>100</v>
      </c>
    </row>
    <row r="81" spans="1:58" ht="13">
      <c r="B81" s="219" t="s">
        <v>304</v>
      </c>
      <c r="C81" s="268" t="s">
        <v>1435</v>
      </c>
      <c r="D81" s="256" t="s">
        <v>1436</v>
      </c>
      <c r="E81" s="219" t="str">
        <f t="shared" si="37"/>
        <v>Jared Wideman</v>
      </c>
      <c r="F81" s="219" t="str">
        <f t="shared" si="24"/>
        <v>3B</v>
      </c>
      <c r="G81" s="138" t="s">
        <v>1046</v>
      </c>
      <c r="H81" s="225">
        <v>100</v>
      </c>
      <c r="I81" s="236"/>
      <c r="J81" s="236"/>
      <c r="K81" s="266"/>
      <c r="L81" s="266"/>
      <c r="M81" s="266"/>
      <c r="N81" s="236"/>
      <c r="O81" s="225" t="s">
        <v>38</v>
      </c>
      <c r="P81" s="225">
        <v>52</v>
      </c>
      <c r="Q81" s="225" t="s">
        <v>38</v>
      </c>
      <c r="AB81" s="236"/>
      <c r="AD81" s="236"/>
      <c r="AE81" s="225">
        <v>100</v>
      </c>
    </row>
    <row r="82" spans="1:58" ht="13">
      <c r="B82" s="215" t="s">
        <v>304</v>
      </c>
      <c r="C82" s="255" t="s">
        <v>1441</v>
      </c>
      <c r="D82" s="256" t="s">
        <v>1443</v>
      </c>
      <c r="E82" s="215" t="str">
        <f t="shared" si="37"/>
        <v>Orlando Mcclain</v>
      </c>
      <c r="F82" s="215" t="str">
        <f t="shared" si="24"/>
        <v>C</v>
      </c>
      <c r="G82" s="138" t="s">
        <v>298</v>
      </c>
      <c r="H82" s="65">
        <v>100</v>
      </c>
      <c r="I82" s="27"/>
      <c r="J82" s="27"/>
      <c r="K82" s="257"/>
      <c r="L82" s="257"/>
      <c r="M82" s="257"/>
      <c r="N82" s="27"/>
      <c r="O82" s="65" t="s">
        <v>38</v>
      </c>
      <c r="P82" s="65">
        <v>78</v>
      </c>
      <c r="Q82" s="65" t="s">
        <v>38</v>
      </c>
      <c r="AB82" s="27"/>
      <c r="AD82" s="27"/>
      <c r="AE82" s="65">
        <v>100</v>
      </c>
    </row>
    <row r="83" spans="1:58" ht="13">
      <c r="A83" s="227" t="s">
        <v>1445</v>
      </c>
      <c r="B83" s="219" t="s">
        <v>304</v>
      </c>
      <c r="C83" s="221" t="s">
        <v>1448</v>
      </c>
      <c r="D83" s="221" t="s">
        <v>1450</v>
      </c>
      <c r="E83" s="236" t="str">
        <f>TRIM(LEFT(D83,LEN(D83)-5))</f>
        <v>Nico Evans</v>
      </c>
      <c r="F83" s="236" t="str">
        <f t="shared" si="24"/>
        <v>3B</v>
      </c>
      <c r="G83" s="224"/>
      <c r="H83" s="219">
        <v>100</v>
      </c>
      <c r="O83" s="219" t="s">
        <v>126</v>
      </c>
      <c r="P83" s="219">
        <v>35</v>
      </c>
      <c r="Q83" s="219" t="s">
        <v>126</v>
      </c>
      <c r="R83" s="219"/>
      <c r="S83" s="219"/>
      <c r="T83" s="219"/>
      <c r="U83" s="219"/>
      <c r="V83" s="219" t="s">
        <v>1036</v>
      </c>
      <c r="AE83" s="219">
        <v>100</v>
      </c>
      <c r="AF83" s="219"/>
      <c r="AG83" s="219"/>
      <c r="AH83" s="219">
        <v>100</v>
      </c>
      <c r="AI83" s="219">
        <v>100</v>
      </c>
      <c r="AJ83" s="219" t="str">
        <f>VLOOKUP(B83,Analysis!$A$24:$B$32,2,FALSE)</f>
        <v>:bulldogs:</v>
      </c>
      <c r="AK83" s="219" t="str">
        <f>AJ83&amp;" [b][url="&amp;A83&amp;"]"&amp;D83&amp;"[/url][/b] TPE: "&amp;H83&amp;", Regression Class: "&amp;Q83</f>
        <v>:bulldogs: [b][url=http://probaseballexperience.jcink.net/index.php?showtopic=1673]Nico Evans - 3B[/url][/b] TPE: 100, Regression Class: S3</v>
      </c>
      <c r="AL83" s="236" t="str">
        <f>F83&amp;" - "&amp;E83</f>
        <v>3B - Nico Evans</v>
      </c>
    </row>
    <row r="84" spans="1:58" ht="13">
      <c r="A84" s="40"/>
      <c r="B84" s="121" t="s">
        <v>304</v>
      </c>
      <c r="C84" s="269" t="s">
        <v>1453</v>
      </c>
      <c r="D84" s="270" t="s">
        <v>1456</v>
      </c>
      <c r="E84" s="40" t="str">
        <f>IFERROR(TRIM(LEFT(D84,LEN(D84)-4)),"")</f>
        <v>Alison Wunderland</v>
      </c>
      <c r="F84" s="40" t="str">
        <f t="shared" si="24"/>
        <v>SS</v>
      </c>
      <c r="G84" s="40" t="s">
        <v>159</v>
      </c>
      <c r="H84" s="42">
        <v>100</v>
      </c>
      <c r="I84" s="43"/>
      <c r="J84" s="43"/>
      <c r="K84" s="43"/>
      <c r="L84" s="43"/>
      <c r="M84" s="43"/>
      <c r="N84" s="152"/>
      <c r="O84" s="40" t="s">
        <v>19</v>
      </c>
      <c r="P84" s="42">
        <v>28</v>
      </c>
      <c r="Q84" s="40" t="s">
        <v>19</v>
      </c>
      <c r="R84" s="40"/>
      <c r="S84" s="40"/>
      <c r="T84" s="40"/>
      <c r="U84" s="152"/>
      <c r="V84" s="40"/>
      <c r="W84" s="40"/>
      <c r="X84" s="40"/>
      <c r="Y84" s="40"/>
      <c r="Z84" s="152"/>
      <c r="AA84" s="40"/>
      <c r="AB84" s="43"/>
      <c r="AC84" s="43"/>
      <c r="AD84" s="40" t="s">
        <v>47</v>
      </c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</row>
    <row r="85" spans="1:58" ht="13">
      <c r="A85" s="227" t="s">
        <v>1461</v>
      </c>
      <c r="B85" s="219" t="s">
        <v>304</v>
      </c>
      <c r="C85" s="235" t="s">
        <v>1462</v>
      </c>
      <c r="D85" s="235" t="s">
        <v>1464</v>
      </c>
      <c r="E85" s="236" t="str">
        <f t="shared" ref="E85:E94" si="38">TRIM(LEFT(D85,LEN(D85)-5))</f>
        <v>Cesar Ellis</v>
      </c>
      <c r="F85" s="236" t="str">
        <f t="shared" si="24"/>
        <v>CL</v>
      </c>
      <c r="G85" s="237" t="s">
        <v>55</v>
      </c>
      <c r="H85" s="219">
        <v>100</v>
      </c>
      <c r="K85" s="219"/>
      <c r="L85" s="219"/>
      <c r="M85" s="219"/>
      <c r="O85" s="236" t="s">
        <v>33</v>
      </c>
      <c r="P85" s="236">
        <v>31</v>
      </c>
      <c r="Q85" s="236" t="s">
        <v>33</v>
      </c>
      <c r="Y85" s="219">
        <v>1</v>
      </c>
      <c r="Z85" s="236">
        <v>1</v>
      </c>
      <c r="AA85" s="236">
        <v>1</v>
      </c>
      <c r="AE85" s="219">
        <v>100</v>
      </c>
      <c r="AJ85" s="219" t="str">
        <f>VLOOKUP(B85,Analysis!$A$24:$B$32,2,FALSE)</f>
        <v>:bulldogs:</v>
      </c>
      <c r="AK85" s="219" t="str">
        <f t="shared" ref="AK85:AK93" si="39">AJ85&amp;" [b][url="&amp;A85&amp;"]"&amp;D85&amp;"[/url][/b] TPE: "&amp;H85&amp;", Regression Class: "&amp;Q85</f>
        <v>:bulldogs: [b][url=http://probaseballexperience.jcink.net/index.php?showtopic=2622]Cesar Ellis - CL[/url][/b] TPE: 100, Regression Class: S5</v>
      </c>
    </row>
    <row r="86" spans="1:58" ht="13">
      <c r="A86" s="228" t="s">
        <v>1467</v>
      </c>
      <c r="B86" s="215" t="s">
        <v>304</v>
      </c>
      <c r="C86" s="216" t="s">
        <v>1469</v>
      </c>
      <c r="D86" s="216" t="s">
        <v>1471</v>
      </c>
      <c r="E86" s="27" t="str">
        <f t="shared" si="38"/>
        <v>Leonard Churc</v>
      </c>
      <c r="F86" s="27" t="str">
        <f t="shared" si="24"/>
        <v>2B</v>
      </c>
      <c r="G86" s="217" t="s">
        <v>151</v>
      </c>
      <c r="H86" s="215">
        <v>100</v>
      </c>
      <c r="I86" s="30"/>
      <c r="J86" s="30"/>
      <c r="K86" s="30"/>
      <c r="L86" s="30"/>
      <c r="M86" s="30"/>
      <c r="N86" s="215"/>
      <c r="O86" s="215" t="s">
        <v>34</v>
      </c>
      <c r="P86" s="215">
        <v>12</v>
      </c>
      <c r="Q86" s="215" t="s">
        <v>34</v>
      </c>
      <c r="R86" s="27" t="s">
        <v>374</v>
      </c>
      <c r="S86" s="27">
        <v>6</v>
      </c>
      <c r="T86" s="27">
        <v>7</v>
      </c>
      <c r="W86" s="215"/>
      <c r="X86" s="215"/>
      <c r="Y86" s="215">
        <v>2</v>
      </c>
      <c r="Z86" s="215">
        <v>2</v>
      </c>
      <c r="AA86" s="27">
        <v>2</v>
      </c>
      <c r="AB86" s="30">
        <v>2</v>
      </c>
      <c r="AC86" s="30"/>
      <c r="AD86" s="30"/>
      <c r="AE86" s="215">
        <v>100</v>
      </c>
      <c r="AF86" s="215"/>
      <c r="AG86" s="215"/>
      <c r="AH86" s="215"/>
      <c r="AI86" s="215"/>
      <c r="AJ86" s="215" t="str">
        <f>VLOOKUP(B86,Analysis!$A$24:$B$32,2,FALSE)</f>
        <v>:bulldogs:</v>
      </c>
      <c r="AK86" s="215" t="str">
        <f t="shared" si="39"/>
        <v>:bulldogs: [b][url=http://probaseballexperience.jcink.net/index.php?showtopic=3174]Leonard Church- 2B[/url][/b] TPE: 100, Regression Class: S6</v>
      </c>
    </row>
    <row r="87" spans="1:58" ht="18" customHeight="1">
      <c r="A87" s="227" t="s">
        <v>1473</v>
      </c>
      <c r="B87" s="219" t="s">
        <v>304</v>
      </c>
      <c r="C87" s="221" t="s">
        <v>1475</v>
      </c>
      <c r="D87" s="221" t="s">
        <v>1478</v>
      </c>
      <c r="E87" s="236" t="str">
        <f t="shared" si="38"/>
        <v>Michael Oxar</v>
      </c>
      <c r="F87" s="236" t="str">
        <f t="shared" si="24"/>
        <v>SP</v>
      </c>
      <c r="G87" s="224" t="s">
        <v>699</v>
      </c>
      <c r="H87" s="219">
        <v>100</v>
      </c>
      <c r="I87" s="238"/>
      <c r="J87" s="238"/>
      <c r="K87" s="238"/>
      <c r="L87" s="238"/>
      <c r="M87" s="238"/>
      <c r="N87" s="219"/>
      <c r="O87" s="219" t="s">
        <v>34</v>
      </c>
      <c r="P87" s="219">
        <v>14</v>
      </c>
      <c r="Q87" s="219" t="s">
        <v>34</v>
      </c>
      <c r="R87" s="236" t="s">
        <v>374</v>
      </c>
      <c r="S87" s="236">
        <v>6</v>
      </c>
      <c r="T87" s="236">
        <v>13</v>
      </c>
      <c r="W87" s="219"/>
      <c r="X87" s="219"/>
      <c r="Y87" s="219">
        <v>1.5</v>
      </c>
      <c r="Z87" s="219">
        <v>1.5</v>
      </c>
      <c r="AA87" s="236">
        <v>1.5</v>
      </c>
      <c r="AB87" s="238">
        <v>1.5</v>
      </c>
      <c r="AC87" s="238"/>
      <c r="AD87" s="238"/>
      <c r="AE87" s="219">
        <v>100</v>
      </c>
      <c r="AF87" s="219"/>
      <c r="AG87" s="219"/>
      <c r="AH87" s="219"/>
      <c r="AI87" s="219"/>
      <c r="AJ87" s="219" t="str">
        <f>VLOOKUP(B87,Analysis!$A$24:$B$32,2,FALSE)</f>
        <v>:bulldogs:</v>
      </c>
      <c r="AK87" s="219" t="str">
        <f t="shared" si="39"/>
        <v>:bulldogs: [b][url=http://probaseballexperience.jcink.net/index.php?showtopic=3170]Michael Oxard- SP[/url][/b] TPE: 100, Regression Class: S6</v>
      </c>
    </row>
    <row r="88" spans="1:58" ht="13">
      <c r="A88" s="228" t="s">
        <v>1263</v>
      </c>
      <c r="B88" s="215" t="s">
        <v>304</v>
      </c>
      <c r="C88" s="230" t="s">
        <v>1481</v>
      </c>
      <c r="D88" s="230" t="s">
        <v>1484</v>
      </c>
      <c r="E88" s="27" t="str">
        <f t="shared" si="38"/>
        <v>Justin Morelan</v>
      </c>
      <c r="F88" s="27" t="str">
        <f t="shared" si="24"/>
        <v>3B</v>
      </c>
      <c r="G88" s="231" t="s">
        <v>159</v>
      </c>
      <c r="H88" s="215">
        <v>100</v>
      </c>
      <c r="K88" s="215"/>
      <c r="L88" s="215"/>
      <c r="M88" s="215"/>
      <c r="N88" s="27" t="s">
        <v>942</v>
      </c>
      <c r="O88" s="27" t="s">
        <v>34</v>
      </c>
      <c r="P88" s="27">
        <v>17</v>
      </c>
      <c r="Q88" s="27" t="s">
        <v>34</v>
      </c>
      <c r="R88" s="27" t="s">
        <v>374</v>
      </c>
      <c r="S88" s="27">
        <v>6</v>
      </c>
      <c r="T88" s="27">
        <v>10</v>
      </c>
      <c r="Y88" s="215">
        <v>1.5</v>
      </c>
      <c r="Z88" s="27">
        <v>1.5</v>
      </c>
      <c r="AE88" s="215">
        <v>100</v>
      </c>
      <c r="AJ88" s="215" t="str">
        <f>VLOOKUP(B88,Analysis!$A$24:$B$32,2,FALSE)</f>
        <v>:bulldogs:</v>
      </c>
      <c r="AK88" s="215" t="str">
        <f t="shared" si="39"/>
        <v>:bulldogs: [b][url=http://probaseballexperience.jcink.net/index.php?showtopic=3097]Justin Moreland- 3B[/url][/b] TPE: 100, Regression Class: S6</v>
      </c>
    </row>
    <row r="89" spans="1:58" ht="13">
      <c r="A89" s="227" t="s">
        <v>1487</v>
      </c>
      <c r="B89" s="219" t="s">
        <v>304</v>
      </c>
      <c r="C89" s="221" t="s">
        <v>1489</v>
      </c>
      <c r="D89" s="221" t="s">
        <v>1492</v>
      </c>
      <c r="E89" s="236" t="str">
        <f t="shared" si="38"/>
        <v>Martinez Pedro</v>
      </c>
      <c r="F89" s="236" t="str">
        <f t="shared" si="24"/>
        <v>SP</v>
      </c>
      <c r="G89" s="224" t="s">
        <v>109</v>
      </c>
      <c r="H89" s="219">
        <v>100</v>
      </c>
      <c r="N89" s="219" t="s">
        <v>1048</v>
      </c>
      <c r="O89" s="219" t="s">
        <v>34</v>
      </c>
      <c r="P89" s="219">
        <v>27</v>
      </c>
      <c r="Q89" s="219" t="s">
        <v>34</v>
      </c>
      <c r="W89" s="219"/>
      <c r="X89" s="219"/>
      <c r="Y89" s="219"/>
      <c r="Z89" s="219">
        <v>3</v>
      </c>
      <c r="AA89" s="219">
        <v>0.5</v>
      </c>
      <c r="AB89" s="219">
        <v>1</v>
      </c>
      <c r="AC89" s="219">
        <v>1</v>
      </c>
      <c r="AE89" s="219">
        <v>100</v>
      </c>
      <c r="AF89" s="219"/>
      <c r="AJ89" s="219" t="str">
        <f>VLOOKUP(B89,Analysis!$A$24:$B$32,2,FALSE)</f>
        <v>:bulldogs:</v>
      </c>
      <c r="AK89" s="219" t="str">
        <f t="shared" si="39"/>
        <v>:bulldogs: [b][url=http://probaseballexperience.jcink.net/index.php?showtopic=3186]Martinez Pedro - SP[/url][/b] TPE: 100, Regression Class: S6</v>
      </c>
    </row>
    <row r="90" spans="1:58" ht="13">
      <c r="A90" s="228" t="s">
        <v>1495</v>
      </c>
      <c r="B90" s="215" t="s">
        <v>304</v>
      </c>
      <c r="C90" s="216" t="s">
        <v>1497</v>
      </c>
      <c r="D90" s="216" t="s">
        <v>1498</v>
      </c>
      <c r="E90" s="27" t="str">
        <f t="shared" si="38"/>
        <v>Cole Davenport</v>
      </c>
      <c r="F90" s="27" t="str">
        <f t="shared" si="24"/>
        <v>SP</v>
      </c>
      <c r="G90" s="217" t="s">
        <v>109</v>
      </c>
      <c r="H90" s="215">
        <v>100</v>
      </c>
      <c r="N90" s="215"/>
      <c r="O90" s="215" t="s">
        <v>34</v>
      </c>
      <c r="P90" s="215">
        <v>39</v>
      </c>
      <c r="Q90" s="215" t="s">
        <v>34</v>
      </c>
      <c r="R90" s="215"/>
      <c r="S90" s="215"/>
      <c r="T90" s="215"/>
      <c r="X90" s="215"/>
      <c r="Y90" s="215"/>
      <c r="Z90" s="215"/>
      <c r="AA90" s="215"/>
      <c r="AE90" s="215">
        <v>100</v>
      </c>
      <c r="AF90" s="215"/>
      <c r="AG90" s="215"/>
      <c r="AJ90" s="215" t="str">
        <f>VLOOKUP(B90,Analysis!$A$24:$B$32,2,FALSE)</f>
        <v>:bulldogs:</v>
      </c>
      <c r="AK90" s="215" t="str">
        <f t="shared" si="39"/>
        <v>:bulldogs: [b][url=http://probaseballexperience.jcink.net/index.php?showtopic=2967]Cole Davenport - SP[/url][/b] TPE: 100, Regression Class: S6</v>
      </c>
    </row>
    <row r="91" spans="1:58" ht="13">
      <c r="A91" s="227" t="s">
        <v>1503</v>
      </c>
      <c r="B91" s="219" t="s">
        <v>304</v>
      </c>
      <c r="C91" s="221" t="s">
        <v>1449</v>
      </c>
      <c r="D91" s="221" t="s">
        <v>1505</v>
      </c>
      <c r="E91" s="236" t="str">
        <f t="shared" si="38"/>
        <v>Tiddlywink McTicklestick</v>
      </c>
      <c r="F91" s="236" t="str">
        <f t="shared" si="24"/>
        <v>SP</v>
      </c>
      <c r="G91" s="224" t="s">
        <v>55</v>
      </c>
      <c r="H91" s="219">
        <v>100</v>
      </c>
      <c r="N91" s="219"/>
      <c r="O91" s="219" t="s">
        <v>34</v>
      </c>
      <c r="P91" s="219">
        <v>28</v>
      </c>
      <c r="Q91" s="219" t="s">
        <v>34</v>
      </c>
      <c r="R91" s="219" t="s">
        <v>266</v>
      </c>
      <c r="S91" s="219">
        <v>6</v>
      </c>
      <c r="T91" s="219">
        <v>16</v>
      </c>
      <c r="U91" s="219" t="s">
        <v>375</v>
      </c>
      <c r="Z91" s="219"/>
      <c r="AA91" s="219"/>
      <c r="AE91" s="219">
        <v>100</v>
      </c>
      <c r="AF91" s="219"/>
      <c r="AG91" s="219"/>
      <c r="AH91" s="219"/>
      <c r="AI91" s="219"/>
      <c r="AJ91" s="219" t="str">
        <f>VLOOKUP(B91,Analysis!$A$24:$B$32,2,FALSE)</f>
        <v>:bulldogs:</v>
      </c>
      <c r="AK91" s="219" t="str">
        <f t="shared" si="39"/>
        <v>:bulldogs: [b][url=http://probaseballexperience.jcink.net/index.php?showtopic=2905]Tiddlywink McTicklestick - SP[/url][/b] TPE: 100, Regression Class: S6</v>
      </c>
      <c r="AL91" s="219"/>
      <c r="AM91" s="219"/>
      <c r="AN91" s="219"/>
    </row>
    <row r="92" spans="1:58" ht="13">
      <c r="A92" s="228" t="s">
        <v>1513</v>
      </c>
      <c r="B92" s="215" t="s">
        <v>304</v>
      </c>
      <c r="C92" s="216" t="s">
        <v>1515</v>
      </c>
      <c r="D92" s="216" t="s">
        <v>1517</v>
      </c>
      <c r="E92" s="27" t="str">
        <f t="shared" si="38"/>
        <v>Chase Preza</v>
      </c>
      <c r="F92" s="27" t="str">
        <f t="shared" si="24"/>
        <v>1B</v>
      </c>
      <c r="G92" s="217" t="s">
        <v>225</v>
      </c>
      <c r="H92" s="215">
        <v>100</v>
      </c>
      <c r="N92" s="215"/>
      <c r="O92" s="215" t="s">
        <v>34</v>
      </c>
      <c r="P92" s="215">
        <v>26</v>
      </c>
      <c r="Q92" s="215" t="s">
        <v>34</v>
      </c>
      <c r="R92" s="215" t="s">
        <v>266</v>
      </c>
      <c r="S92" s="215">
        <v>6</v>
      </c>
      <c r="T92" s="215">
        <v>12</v>
      </c>
      <c r="U92" s="215" t="s">
        <v>375</v>
      </c>
      <c r="W92" s="215"/>
      <c r="Z92" s="215"/>
      <c r="AA92" s="215"/>
      <c r="AE92" s="215">
        <v>100</v>
      </c>
      <c r="AF92" s="215"/>
      <c r="AG92" s="215"/>
      <c r="AH92" s="215"/>
      <c r="AI92" s="215"/>
      <c r="AJ92" s="215" t="str">
        <f>VLOOKUP(B92,Analysis!$A$24:$B$32,2,FALSE)</f>
        <v>:bulldogs:</v>
      </c>
      <c r="AK92" s="215" t="str">
        <f t="shared" si="39"/>
        <v>:bulldogs: [b][url=http://probaseballexperience.jcink.net/index.php?showtopic=3008]Chase Preza - 1B[/url][/b] TPE: 100, Regression Class: S6</v>
      </c>
      <c r="AL92" s="215"/>
      <c r="AM92" s="215"/>
      <c r="AN92" s="215"/>
    </row>
    <row r="93" spans="1:58" ht="13">
      <c r="A93" s="227" t="s">
        <v>1521</v>
      </c>
      <c r="B93" s="219" t="s">
        <v>304</v>
      </c>
      <c r="C93" s="221" t="s">
        <v>1528</v>
      </c>
      <c r="D93" s="221" t="s">
        <v>1529</v>
      </c>
      <c r="E93" s="236" t="str">
        <f t="shared" si="38"/>
        <v>Aidan Broderick</v>
      </c>
      <c r="F93" s="236" t="str">
        <f t="shared" si="24"/>
        <v>RF</v>
      </c>
      <c r="G93" s="224" t="s">
        <v>159</v>
      </c>
      <c r="H93" s="219">
        <v>100</v>
      </c>
      <c r="N93" s="219"/>
      <c r="O93" s="219" t="s">
        <v>34</v>
      </c>
      <c r="P93" s="219">
        <v>45</v>
      </c>
      <c r="Q93" s="219" t="s">
        <v>34</v>
      </c>
      <c r="R93" s="219"/>
      <c r="S93" s="219"/>
      <c r="T93" s="219"/>
      <c r="X93" s="219"/>
      <c r="Y93" s="219"/>
      <c r="Z93" s="219"/>
      <c r="AA93" s="219"/>
      <c r="AE93" s="219">
        <v>100</v>
      </c>
      <c r="AF93" s="219"/>
      <c r="AG93" s="219"/>
      <c r="AJ93" s="219" t="str">
        <f>VLOOKUP(B93,Analysis!$A$24:$B$32,2,FALSE)</f>
        <v>:bulldogs:</v>
      </c>
      <c r="AK93" s="219" t="str">
        <f t="shared" si="39"/>
        <v>:bulldogs: [b][url=http://probaseballexperience.jcink.net/index.php?showtopic=2966#]Aidan Broderick - RF[/url][/b] TPE: 100, Regression Class: S6</v>
      </c>
    </row>
    <row r="94" spans="1:58" ht="13">
      <c r="A94" s="228" t="s">
        <v>1534</v>
      </c>
      <c r="B94" s="215" t="s">
        <v>304</v>
      </c>
      <c r="C94" s="230" t="s">
        <v>1483</v>
      </c>
      <c r="D94" s="216" t="s">
        <v>1540</v>
      </c>
      <c r="E94" s="27" t="str">
        <f t="shared" si="38"/>
        <v>Troy Castlefield-Pfloo</v>
      </c>
      <c r="F94" s="27" t="str">
        <f t="shared" si="24"/>
        <v>C</v>
      </c>
      <c r="G94" s="231" t="s">
        <v>132</v>
      </c>
      <c r="H94" s="215">
        <v>100</v>
      </c>
      <c r="I94" s="30"/>
      <c r="J94" s="30"/>
      <c r="K94" s="30"/>
      <c r="L94" s="30"/>
      <c r="M94" s="30"/>
      <c r="N94" s="215" t="s">
        <v>516</v>
      </c>
      <c r="O94" s="27" t="s">
        <v>35</v>
      </c>
      <c r="P94" s="215">
        <v>28</v>
      </c>
      <c r="Q94" s="215" t="s">
        <v>35</v>
      </c>
      <c r="S94" s="215"/>
      <c r="T94" s="215"/>
      <c r="X94" s="215"/>
      <c r="Y94" s="215"/>
      <c r="Z94" s="215" t="s">
        <v>257</v>
      </c>
      <c r="AA94" s="215">
        <v>1</v>
      </c>
      <c r="AB94" s="30">
        <v>1</v>
      </c>
      <c r="AD94" s="30"/>
      <c r="AE94" s="215">
        <v>100</v>
      </c>
    </row>
    <row r="95" spans="1:58" ht="13">
      <c r="A95" s="225"/>
      <c r="B95" s="219" t="s">
        <v>304</v>
      </c>
      <c r="C95" s="277" t="s">
        <v>1542</v>
      </c>
      <c r="D95" s="256" t="s">
        <v>1546</v>
      </c>
      <c r="E95" s="219" t="str">
        <f t="shared" ref="E95:E97" si="40">TRIM(LEFT(D95,LEN(D95)-4))</f>
        <v>Bobby Donger</v>
      </c>
      <c r="F95" s="219" t="str">
        <f t="shared" si="24"/>
        <v>SP</v>
      </c>
      <c r="G95" s="138" t="s">
        <v>109</v>
      </c>
      <c r="H95" s="225">
        <v>100</v>
      </c>
      <c r="I95" s="236"/>
      <c r="J95" s="236"/>
      <c r="K95" s="266"/>
      <c r="L95" s="266"/>
      <c r="M95" s="266"/>
      <c r="N95" s="236"/>
      <c r="O95" s="225" t="s">
        <v>38</v>
      </c>
      <c r="P95" s="225">
        <v>54</v>
      </c>
      <c r="Q95" s="219" t="s">
        <v>37</v>
      </c>
      <c r="AB95" s="236"/>
      <c r="AD95" s="236"/>
      <c r="AE95" s="225">
        <v>100</v>
      </c>
    </row>
    <row r="96" spans="1:58" ht="13">
      <c r="A96" s="65"/>
      <c r="B96" s="215" t="s">
        <v>304</v>
      </c>
      <c r="C96" s="255" t="s">
        <v>1549</v>
      </c>
      <c r="D96" s="256" t="s">
        <v>1551</v>
      </c>
      <c r="E96" s="215" t="str">
        <f t="shared" si="40"/>
        <v>Felix Meier</v>
      </c>
      <c r="F96" s="215" t="str">
        <f t="shared" si="24"/>
        <v>SP</v>
      </c>
      <c r="G96" s="138" t="s">
        <v>109</v>
      </c>
      <c r="H96" s="65">
        <v>100</v>
      </c>
      <c r="I96" s="27"/>
      <c r="J96" s="27"/>
      <c r="K96" s="257"/>
      <c r="L96" s="257"/>
      <c r="M96" s="257"/>
      <c r="N96" s="27"/>
      <c r="O96" s="65" t="s">
        <v>38</v>
      </c>
      <c r="P96" s="65">
        <v>62</v>
      </c>
      <c r="Q96" s="215" t="s">
        <v>37</v>
      </c>
      <c r="AB96" s="27"/>
      <c r="AD96" s="27"/>
      <c r="AE96" s="65">
        <v>100</v>
      </c>
    </row>
    <row r="97" spans="1:60" ht="13">
      <c r="B97" s="219" t="s">
        <v>304</v>
      </c>
      <c r="C97" s="268" t="s">
        <v>1555</v>
      </c>
      <c r="D97" s="256" t="s">
        <v>1559</v>
      </c>
      <c r="E97" s="219" t="str">
        <f t="shared" si="40"/>
        <v>Brady McKenzie</v>
      </c>
      <c r="F97" s="219" t="str">
        <f t="shared" si="24"/>
        <v>SP</v>
      </c>
      <c r="G97" s="138" t="s">
        <v>458</v>
      </c>
      <c r="H97" s="225">
        <v>100</v>
      </c>
      <c r="I97" s="236"/>
      <c r="J97" s="236"/>
      <c r="K97" s="266"/>
      <c r="L97" s="266"/>
      <c r="M97" s="266"/>
      <c r="N97" s="236"/>
      <c r="O97" s="225" t="s">
        <v>38</v>
      </c>
      <c r="P97" s="225">
        <v>70</v>
      </c>
      <c r="Q97" s="219" t="s">
        <v>37</v>
      </c>
      <c r="AB97" s="236"/>
      <c r="AD97" s="236"/>
      <c r="AE97" s="225">
        <v>100</v>
      </c>
    </row>
    <row r="98" spans="1:60" ht="13">
      <c r="A98" s="215"/>
      <c r="B98" s="215" t="s">
        <v>304</v>
      </c>
      <c r="C98" s="216" t="s">
        <v>1564</v>
      </c>
      <c r="D98" s="216" t="s">
        <v>1565</v>
      </c>
      <c r="E98" s="27" t="str">
        <f t="shared" ref="E98:E100" si="41">TRIM(LEFT(D98,LEN(D98)-5))</f>
        <v>Stratfer Wakera</v>
      </c>
      <c r="F98" s="27" t="str">
        <f t="shared" si="24"/>
        <v>SS</v>
      </c>
      <c r="G98" s="217" t="s">
        <v>329</v>
      </c>
      <c r="H98" s="215">
        <v>100</v>
      </c>
      <c r="I98" s="102"/>
      <c r="J98" s="30"/>
      <c r="K98" s="30"/>
      <c r="L98" s="30"/>
      <c r="M98" s="30"/>
      <c r="N98" s="215" t="s">
        <v>1568</v>
      </c>
      <c r="O98" s="215" t="s">
        <v>37</v>
      </c>
      <c r="P98" s="215">
        <v>34</v>
      </c>
      <c r="Q98" s="215" t="s">
        <v>37</v>
      </c>
      <c r="AB98" s="30">
        <v>4</v>
      </c>
      <c r="AD98" s="30">
        <f>2.5/2</f>
        <v>1.25</v>
      </c>
      <c r="AE98" s="215">
        <v>100</v>
      </c>
    </row>
    <row r="99" spans="1:60" ht="13">
      <c r="A99" s="219"/>
      <c r="B99" s="219" t="s">
        <v>304</v>
      </c>
      <c r="C99" s="221" t="s">
        <v>1454</v>
      </c>
      <c r="D99" s="221" t="s">
        <v>1572</v>
      </c>
      <c r="E99" s="236" t="str">
        <f t="shared" si="41"/>
        <v>Billy Bob Booker V</v>
      </c>
      <c r="F99" s="236" t="str">
        <f t="shared" si="24"/>
        <v>2B</v>
      </c>
      <c r="G99" s="224" t="s">
        <v>97</v>
      </c>
      <c r="H99" s="219">
        <v>100</v>
      </c>
      <c r="O99" s="219" t="s">
        <v>37</v>
      </c>
      <c r="P99" s="219">
        <v>50</v>
      </c>
      <c r="Q99" s="219" t="s">
        <v>37</v>
      </c>
      <c r="AE99" s="219">
        <v>100</v>
      </c>
    </row>
    <row r="100" spans="1:60" ht="13">
      <c r="A100" s="215"/>
      <c r="B100" s="215" t="s">
        <v>304</v>
      </c>
      <c r="C100" s="216" t="s">
        <v>1574</v>
      </c>
      <c r="D100" s="216" t="s">
        <v>1577</v>
      </c>
      <c r="E100" s="27" t="str">
        <f t="shared" si="41"/>
        <v>Jaxsin Tyler</v>
      </c>
      <c r="F100" s="27" t="str">
        <f t="shared" si="24"/>
        <v>LF</v>
      </c>
      <c r="G100" s="217" t="s">
        <v>298</v>
      </c>
      <c r="H100" s="215">
        <v>100</v>
      </c>
      <c r="O100" s="215" t="s">
        <v>37</v>
      </c>
      <c r="P100" s="215">
        <v>41</v>
      </c>
      <c r="Q100" s="215" t="s">
        <v>37</v>
      </c>
      <c r="AE100" s="215">
        <v>100</v>
      </c>
    </row>
    <row r="101" spans="1:60" ht="13">
      <c r="A101" s="264"/>
      <c r="B101" s="278" t="s">
        <v>3</v>
      </c>
      <c r="C101" s="279" t="s">
        <v>1512</v>
      </c>
      <c r="D101" s="279" t="s">
        <v>1514</v>
      </c>
      <c r="E101" s="278" t="str">
        <f t="shared" ref="E101:E102" si="42">TRIM(LEFT(D101,LEN(D101)-4))</f>
        <v>Tormund Gingerbomb</v>
      </c>
      <c r="F101" s="278" t="str">
        <f t="shared" si="24"/>
        <v>3B</v>
      </c>
      <c r="G101" s="280" t="s">
        <v>554</v>
      </c>
      <c r="H101" s="281">
        <v>107</v>
      </c>
      <c r="I101" s="282"/>
      <c r="J101" s="282"/>
      <c r="K101" s="283"/>
      <c r="L101" s="278"/>
      <c r="M101" s="278"/>
      <c r="N101" s="284" t="s">
        <v>1519</v>
      </c>
      <c r="O101" s="278" t="s">
        <v>38</v>
      </c>
      <c r="P101" s="281">
        <v>32</v>
      </c>
      <c r="Q101" s="278" t="s">
        <v>38</v>
      </c>
      <c r="R101" s="278"/>
      <c r="S101" s="278"/>
      <c r="T101" s="278"/>
      <c r="U101" s="278"/>
      <c r="V101" s="278"/>
      <c r="W101" s="278"/>
      <c r="X101" s="278"/>
      <c r="Y101" s="278"/>
      <c r="Z101" s="278"/>
      <c r="AA101" s="278"/>
      <c r="AB101" s="278"/>
      <c r="AC101" s="278" t="s">
        <v>274</v>
      </c>
      <c r="AD101" s="281">
        <v>100</v>
      </c>
      <c r="AE101" s="278"/>
      <c r="AF101" s="278"/>
      <c r="AG101" s="278"/>
      <c r="AH101" s="278"/>
      <c r="AI101" s="278"/>
      <c r="AJ101" s="278"/>
      <c r="AK101" s="278"/>
      <c r="AL101" s="278"/>
      <c r="AM101" s="278"/>
      <c r="AN101" s="278"/>
      <c r="AO101" s="278"/>
      <c r="AP101" s="278"/>
      <c r="AQ101" s="278"/>
      <c r="AR101" s="278"/>
      <c r="AS101" s="278"/>
      <c r="AT101" s="278"/>
      <c r="AU101" s="278"/>
      <c r="AV101" s="278"/>
      <c r="AW101" s="278"/>
      <c r="AX101" s="278"/>
      <c r="AY101" s="278"/>
      <c r="AZ101" s="278"/>
      <c r="BA101" s="278"/>
      <c r="BB101" s="278"/>
      <c r="BC101" s="278"/>
      <c r="BD101" s="264"/>
      <c r="BE101" s="264"/>
      <c r="BF101" s="264"/>
      <c r="BG101" s="264"/>
      <c r="BH101" s="264"/>
    </row>
    <row r="102" spans="1:60" ht="13">
      <c r="A102" s="40"/>
      <c r="B102" s="40" t="s">
        <v>3</v>
      </c>
      <c r="C102" s="106" t="s">
        <v>1590</v>
      </c>
      <c r="D102" s="106" t="s">
        <v>1592</v>
      </c>
      <c r="E102" s="40" t="str">
        <f t="shared" si="42"/>
        <v>Glenn Cahill</v>
      </c>
      <c r="F102" s="40" t="str">
        <f t="shared" si="24"/>
        <v>3B</v>
      </c>
      <c r="G102" s="107" t="s">
        <v>132</v>
      </c>
      <c r="H102" s="42">
        <v>100</v>
      </c>
      <c r="I102" s="44"/>
      <c r="J102" s="44"/>
      <c r="K102" s="283"/>
      <c r="L102" s="40"/>
      <c r="M102" s="40"/>
      <c r="N102" s="153" t="s">
        <v>991</v>
      </c>
      <c r="O102" s="40" t="s">
        <v>38</v>
      </c>
      <c r="P102" s="42">
        <v>27</v>
      </c>
      <c r="Q102" s="40" t="s">
        <v>38</v>
      </c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 t="s">
        <v>274</v>
      </c>
      <c r="AD102" s="42">
        <v>100</v>
      </c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</row>
    <row r="103" spans="1:60" ht="13">
      <c r="A103" s="264"/>
      <c r="B103" s="286" t="s">
        <v>304</v>
      </c>
      <c r="C103" s="287" t="s">
        <v>1597</v>
      </c>
      <c r="D103" s="25" t="s">
        <v>1599</v>
      </c>
      <c r="E103" s="264" t="str">
        <f>IFERROR(TRIM(LEFT(D103,LEN(D103)-4)),"")</f>
        <v>Jerome Lome</v>
      </c>
      <c r="F103" s="264" t="str">
        <f t="shared" si="24"/>
        <v>C</v>
      </c>
      <c r="G103" s="286" t="s">
        <v>159</v>
      </c>
      <c r="H103" s="288">
        <v>100</v>
      </c>
      <c r="I103" s="264"/>
      <c r="J103" s="264"/>
      <c r="K103" s="264"/>
      <c r="L103" s="264"/>
      <c r="M103" s="264"/>
      <c r="N103" s="264"/>
      <c r="O103" s="264" t="s">
        <v>19</v>
      </c>
      <c r="P103" s="286">
        <v>54</v>
      </c>
      <c r="Q103" s="264" t="s">
        <v>19</v>
      </c>
      <c r="R103" s="264"/>
      <c r="S103" s="264"/>
      <c r="T103" s="264"/>
      <c r="U103" s="264"/>
      <c r="V103" s="264"/>
      <c r="W103" s="264"/>
      <c r="X103" s="264"/>
      <c r="Y103" s="264"/>
      <c r="Z103" s="264"/>
      <c r="AA103" s="264"/>
      <c r="AB103" s="264"/>
      <c r="AC103" s="264"/>
      <c r="AD103" s="264" t="s">
        <v>47</v>
      </c>
      <c r="AE103" s="264"/>
      <c r="AF103" s="264"/>
      <c r="AG103" s="264"/>
      <c r="AH103" s="264"/>
      <c r="AI103" s="264"/>
      <c r="AJ103" s="264"/>
      <c r="AK103" s="264"/>
      <c r="AL103" s="264"/>
      <c r="AM103" s="264"/>
      <c r="AN103" s="264"/>
      <c r="AO103" s="264"/>
      <c r="AP103" s="264"/>
      <c r="AQ103" s="264"/>
      <c r="AR103" s="264"/>
      <c r="AS103" s="264"/>
      <c r="AT103" s="264"/>
      <c r="AU103" s="264"/>
      <c r="AV103" s="264"/>
      <c r="AW103" s="264"/>
      <c r="AX103" s="264"/>
      <c r="AY103" s="264"/>
      <c r="AZ103" s="264"/>
      <c r="BA103" s="264"/>
      <c r="BB103" s="264"/>
      <c r="BC103" s="264"/>
      <c r="BD103" s="264"/>
      <c r="BE103" s="264"/>
      <c r="BF103" s="264"/>
      <c r="BG103" s="236"/>
      <c r="BH103" s="236"/>
    </row>
    <row r="104" spans="1:60" ht="13">
      <c r="A104" s="27"/>
      <c r="B104" s="121" t="s">
        <v>304</v>
      </c>
      <c r="C104" s="289" t="s">
        <v>1604</v>
      </c>
      <c r="D104" s="119" t="s">
        <v>1606</v>
      </c>
      <c r="E104" s="215" t="str">
        <f t="shared" ref="E104:E106" si="43">IFERROR(TRIM(LEFT(D104,LEN(D104)-4)),"")</f>
        <v>Rickadosz Zimmermencha</v>
      </c>
      <c r="F104" s="215" t="str">
        <f t="shared" si="24"/>
        <v>CL</v>
      </c>
      <c r="G104" s="120" t="s">
        <v>55</v>
      </c>
      <c r="H104" s="121">
        <v>100</v>
      </c>
      <c r="I104" s="40"/>
      <c r="J104" s="40"/>
      <c r="K104" s="40"/>
      <c r="L104" s="40"/>
      <c r="M104" s="40"/>
      <c r="N104" s="40"/>
      <c r="O104" s="121" t="s">
        <v>19</v>
      </c>
      <c r="P104" s="290">
        <v>62</v>
      </c>
      <c r="Q104" s="121" t="s">
        <v>38</v>
      </c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40"/>
      <c r="AD104" s="65" t="s">
        <v>47</v>
      </c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</row>
    <row r="105" spans="1:60" ht="13">
      <c r="A105" s="236"/>
      <c r="B105" s="286" t="s">
        <v>304</v>
      </c>
      <c r="C105" s="287" t="s">
        <v>1610</v>
      </c>
      <c r="D105" s="25" t="s">
        <v>1613</v>
      </c>
      <c r="E105" s="219" t="str">
        <f t="shared" si="43"/>
        <v>Brian Harris</v>
      </c>
      <c r="F105" s="219" t="str">
        <f t="shared" si="24"/>
        <v>SP</v>
      </c>
      <c r="G105" s="286" t="s">
        <v>55</v>
      </c>
      <c r="H105" s="286">
        <v>100</v>
      </c>
      <c r="I105" s="264"/>
      <c r="J105" s="264"/>
      <c r="K105" s="264"/>
      <c r="L105" s="264"/>
      <c r="M105" s="264"/>
      <c r="N105" s="264"/>
      <c r="O105" s="286" t="s">
        <v>19</v>
      </c>
      <c r="P105" s="291">
        <v>70</v>
      </c>
      <c r="Q105" s="286" t="s">
        <v>19</v>
      </c>
      <c r="R105" s="236"/>
      <c r="S105" s="236"/>
      <c r="T105" s="236"/>
      <c r="U105" s="236"/>
      <c r="V105" s="236"/>
      <c r="W105" s="236"/>
      <c r="X105" s="236"/>
      <c r="Y105" s="236"/>
      <c r="Z105" s="236"/>
      <c r="AA105" s="236"/>
      <c r="AB105" s="236"/>
      <c r="AC105" s="264"/>
      <c r="AD105" s="225" t="s">
        <v>47</v>
      </c>
      <c r="AE105" s="236"/>
      <c r="AF105" s="236"/>
      <c r="AG105" s="236"/>
      <c r="AH105" s="236"/>
      <c r="AI105" s="236"/>
      <c r="AJ105" s="236"/>
      <c r="AK105" s="236"/>
      <c r="AL105" s="236"/>
      <c r="AM105" s="236"/>
      <c r="AN105" s="236"/>
      <c r="AO105" s="236"/>
      <c r="AP105" s="236"/>
      <c r="AQ105" s="236"/>
      <c r="AR105" s="236"/>
      <c r="AS105" s="236"/>
      <c r="AT105" s="236"/>
      <c r="AU105" s="236"/>
      <c r="AV105" s="236"/>
      <c r="AW105" s="236"/>
      <c r="AX105" s="236"/>
      <c r="AY105" s="236"/>
      <c r="AZ105" s="236"/>
      <c r="BA105" s="236"/>
      <c r="BB105" s="236"/>
      <c r="BC105" s="236"/>
      <c r="BD105" s="236"/>
      <c r="BE105" s="236"/>
      <c r="BF105" s="236"/>
      <c r="BG105" s="236"/>
      <c r="BH105" s="236"/>
    </row>
    <row r="106" spans="1:60" ht="13">
      <c r="A106" s="27"/>
      <c r="B106" s="121" t="s">
        <v>304</v>
      </c>
      <c r="C106" s="263" t="s">
        <v>1616</v>
      </c>
      <c r="D106" s="119" t="s">
        <v>1618</v>
      </c>
      <c r="E106" s="215" t="str">
        <f t="shared" si="43"/>
        <v>R.A. Johnston</v>
      </c>
      <c r="F106" s="215" t="str">
        <f t="shared" si="24"/>
        <v>SP</v>
      </c>
      <c r="G106" s="120" t="s">
        <v>109</v>
      </c>
      <c r="H106" s="121">
        <v>100</v>
      </c>
      <c r="I106" s="40"/>
      <c r="J106" s="40"/>
      <c r="K106" s="40"/>
      <c r="L106" s="40"/>
      <c r="M106" s="40"/>
      <c r="N106" s="40"/>
      <c r="O106" s="121" t="s">
        <v>19</v>
      </c>
      <c r="P106" s="290">
        <v>78</v>
      </c>
      <c r="Q106" s="121" t="s">
        <v>19</v>
      </c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40"/>
      <c r="AD106" s="65" t="s">
        <v>47</v>
      </c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</row>
    <row r="107" spans="1:60" ht="13">
      <c r="A107" s="264"/>
      <c r="B107" s="264" t="s">
        <v>8</v>
      </c>
      <c r="C107" s="292" t="s">
        <v>1622</v>
      </c>
      <c r="D107" s="293" t="s">
        <v>1624</v>
      </c>
      <c r="E107" s="264" t="str">
        <f t="shared" ref="E107:E115" si="44">IFERROR(TRIM(LEFT(D107,LEN(D107)-4)),"")</f>
        <v>Sancho Webner</v>
      </c>
      <c r="F107" s="264" t="str">
        <f t="shared" si="24"/>
        <v>LF</v>
      </c>
      <c r="G107" s="264" t="s">
        <v>565</v>
      </c>
      <c r="H107" s="288">
        <v>100</v>
      </c>
      <c r="I107" s="294" t="s">
        <v>274</v>
      </c>
      <c r="J107" s="295"/>
      <c r="K107" s="295"/>
      <c r="L107" s="295"/>
      <c r="M107" s="295"/>
      <c r="N107" s="286"/>
      <c r="O107" s="264" t="s">
        <v>19</v>
      </c>
      <c r="P107" s="296">
        <v>36</v>
      </c>
      <c r="Q107" s="264" t="s">
        <v>19</v>
      </c>
      <c r="R107" s="297"/>
      <c r="S107" s="297"/>
      <c r="T107" s="297"/>
      <c r="U107" s="297"/>
      <c r="V107" s="297"/>
      <c r="W107" s="264"/>
      <c r="X107" s="264"/>
      <c r="Y107" s="264"/>
      <c r="Z107" s="297"/>
      <c r="AA107" s="297"/>
      <c r="AB107" s="264"/>
      <c r="AC107" s="295"/>
      <c r="AD107" s="295" t="s">
        <v>47</v>
      </c>
      <c r="AE107" s="264"/>
      <c r="AF107" s="264"/>
      <c r="AG107" s="264"/>
      <c r="AH107" s="264"/>
      <c r="AI107" s="264"/>
      <c r="AJ107" s="264"/>
      <c r="AK107" s="264"/>
      <c r="AL107" s="264"/>
      <c r="AM107" s="264"/>
      <c r="AN107" s="264"/>
      <c r="AO107" s="264"/>
      <c r="AP107" s="264"/>
      <c r="AQ107" s="264"/>
      <c r="AR107" s="264"/>
      <c r="AS107" s="264"/>
      <c r="AT107" s="264"/>
      <c r="AU107" s="264"/>
      <c r="AV107" s="264"/>
      <c r="AW107" s="264"/>
      <c r="AX107" s="264"/>
      <c r="AY107" s="264"/>
      <c r="AZ107" s="264"/>
      <c r="BA107" s="264"/>
      <c r="BB107" s="264"/>
      <c r="BC107" s="264"/>
      <c r="BD107" s="264"/>
      <c r="BE107" s="264"/>
      <c r="BF107" s="264"/>
    </row>
    <row r="108" spans="1:60" ht="13">
      <c r="A108" s="40"/>
      <c r="B108" s="40" t="s">
        <v>8</v>
      </c>
      <c r="C108" s="269" t="s">
        <v>1560</v>
      </c>
      <c r="D108" s="270" t="s">
        <v>1631</v>
      </c>
      <c r="E108" s="40" t="str">
        <f t="shared" si="44"/>
        <v>Orlando Delgado</v>
      </c>
      <c r="F108" s="40" t="str">
        <f t="shared" si="24"/>
        <v>1B</v>
      </c>
      <c r="G108" s="40" t="s">
        <v>97</v>
      </c>
      <c r="H108" s="42">
        <v>100</v>
      </c>
      <c r="I108" s="108" t="s">
        <v>274</v>
      </c>
      <c r="J108" s="43"/>
      <c r="K108" s="43"/>
      <c r="L108" s="43"/>
      <c r="M108" s="43"/>
      <c r="N108" s="121"/>
      <c r="O108" s="40" t="s">
        <v>19</v>
      </c>
      <c r="P108" s="298">
        <v>44</v>
      </c>
      <c r="Q108" s="40" t="s">
        <v>19</v>
      </c>
      <c r="R108" s="152"/>
      <c r="S108" s="152"/>
      <c r="T108" s="152"/>
      <c r="U108" s="152"/>
      <c r="V108" s="152"/>
      <c r="W108" s="40"/>
      <c r="X108" s="40"/>
      <c r="Y108" s="40"/>
      <c r="Z108" s="152"/>
      <c r="AA108" s="152"/>
      <c r="AB108" s="40"/>
      <c r="AC108" s="43"/>
      <c r="AD108" s="43" t="s">
        <v>47</v>
      </c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</row>
    <row r="109" spans="1:60" ht="13">
      <c r="A109" s="264"/>
      <c r="B109" s="264" t="s">
        <v>8</v>
      </c>
      <c r="C109" s="292" t="s">
        <v>1405</v>
      </c>
      <c r="D109" s="293" t="s">
        <v>1407</v>
      </c>
      <c r="E109" s="264" t="str">
        <f t="shared" si="44"/>
        <v>Dinero Torres</v>
      </c>
      <c r="F109" s="264" t="str">
        <f t="shared" si="24"/>
        <v>SP</v>
      </c>
      <c r="G109" s="299" t="s">
        <v>109</v>
      </c>
      <c r="H109" s="288">
        <v>108</v>
      </c>
      <c r="I109" s="294" t="s">
        <v>274</v>
      </c>
      <c r="J109" s="295"/>
      <c r="K109" s="295"/>
      <c r="L109" s="295"/>
      <c r="M109" s="295"/>
      <c r="N109" s="297"/>
      <c r="O109" s="264" t="s">
        <v>19</v>
      </c>
      <c r="P109" s="296">
        <v>52</v>
      </c>
      <c r="Q109" s="264" t="s">
        <v>38</v>
      </c>
      <c r="R109" s="297"/>
      <c r="S109" s="297"/>
      <c r="T109" s="297"/>
      <c r="U109" s="297"/>
      <c r="V109" s="297"/>
      <c r="W109" s="264"/>
      <c r="X109" s="264"/>
      <c r="Y109" s="264"/>
      <c r="Z109" s="297"/>
      <c r="AA109" s="297"/>
      <c r="AB109" s="264"/>
      <c r="AC109" s="295"/>
      <c r="AD109" s="295" t="s">
        <v>47</v>
      </c>
      <c r="AE109" s="264"/>
      <c r="AF109" s="264"/>
      <c r="AG109" s="264"/>
      <c r="AH109" s="264"/>
      <c r="AI109" s="264"/>
      <c r="AJ109" s="264"/>
      <c r="AK109" s="264"/>
      <c r="AL109" s="264"/>
      <c r="AM109" s="264"/>
      <c r="AN109" s="264"/>
      <c r="AO109" s="264"/>
      <c r="AP109" s="264"/>
      <c r="AQ109" s="264"/>
      <c r="AR109" s="264"/>
      <c r="AS109" s="264"/>
      <c r="AT109" s="264"/>
      <c r="AU109" s="264"/>
      <c r="AV109" s="264"/>
      <c r="AW109" s="264"/>
      <c r="AX109" s="264"/>
      <c r="AY109" s="264"/>
      <c r="AZ109" s="264"/>
      <c r="BA109" s="264"/>
      <c r="BB109" s="264"/>
      <c r="BC109" s="264"/>
      <c r="BD109" s="264"/>
      <c r="BE109" s="264"/>
      <c r="BF109" s="264"/>
    </row>
    <row r="110" spans="1:60" ht="13">
      <c r="A110" s="40"/>
      <c r="B110" s="40" t="s">
        <v>8</v>
      </c>
      <c r="C110" s="269" t="s">
        <v>1641</v>
      </c>
      <c r="D110" s="270" t="s">
        <v>1643</v>
      </c>
      <c r="E110" s="40" t="str">
        <f t="shared" si="44"/>
        <v>Jerry Parker</v>
      </c>
      <c r="F110" s="40" t="str">
        <f t="shared" si="24"/>
        <v>SP</v>
      </c>
      <c r="G110" s="300" t="s">
        <v>114</v>
      </c>
      <c r="H110" s="42">
        <v>138</v>
      </c>
      <c r="I110" s="108" t="s">
        <v>274</v>
      </c>
      <c r="J110" s="43"/>
      <c r="K110" s="43"/>
      <c r="L110" s="43"/>
      <c r="M110" s="43"/>
      <c r="N110" s="152"/>
      <c r="O110" s="40" t="s">
        <v>19</v>
      </c>
      <c r="P110" s="298">
        <v>60</v>
      </c>
      <c r="Q110" s="40" t="s">
        <v>38</v>
      </c>
      <c r="R110" s="152"/>
      <c r="S110" s="152"/>
      <c r="T110" s="152"/>
      <c r="U110" s="152"/>
      <c r="V110" s="152"/>
      <c r="W110" s="40"/>
      <c r="X110" s="40"/>
      <c r="Y110" s="40"/>
      <c r="Z110" s="152"/>
      <c r="AA110" s="152"/>
      <c r="AB110" s="40"/>
      <c r="AC110" s="43"/>
      <c r="AD110" s="43" t="s">
        <v>47</v>
      </c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</row>
    <row r="111" spans="1:60" ht="12.75" customHeight="1">
      <c r="A111" s="264"/>
      <c r="B111" s="264" t="s">
        <v>13</v>
      </c>
      <c r="C111" s="292" t="s">
        <v>1647</v>
      </c>
      <c r="D111" s="293" t="s">
        <v>1649</v>
      </c>
      <c r="E111" s="264" t="str">
        <f t="shared" si="44"/>
        <v>Jack Goff</v>
      </c>
      <c r="F111" s="264" t="str">
        <f t="shared" si="24"/>
        <v>SP</v>
      </c>
      <c r="G111" s="299" t="s">
        <v>55</v>
      </c>
      <c r="H111" s="288">
        <v>100</v>
      </c>
      <c r="I111" s="295"/>
      <c r="J111" s="295"/>
      <c r="K111" s="295"/>
      <c r="L111" s="295"/>
      <c r="M111" s="295"/>
      <c r="N111" s="297"/>
      <c r="O111" s="264" t="s">
        <v>19</v>
      </c>
      <c r="P111" s="296">
        <v>73</v>
      </c>
      <c r="Q111" s="264" t="s">
        <v>38</v>
      </c>
      <c r="R111" s="264"/>
      <c r="S111" s="264"/>
      <c r="T111" s="264"/>
      <c r="U111" s="264"/>
      <c r="V111" s="264"/>
      <c r="W111" s="264"/>
      <c r="X111" s="264"/>
      <c r="Y111" s="264"/>
      <c r="Z111" s="264"/>
      <c r="AA111" s="264"/>
      <c r="AB111" s="295"/>
      <c r="AC111" s="295"/>
      <c r="AD111" s="264" t="s">
        <v>47</v>
      </c>
      <c r="AE111" s="264"/>
      <c r="AF111" s="264"/>
      <c r="AG111" s="264"/>
      <c r="AH111" s="264"/>
      <c r="AI111" s="264"/>
      <c r="AJ111" s="264"/>
      <c r="AK111" s="264"/>
      <c r="AL111" s="264"/>
      <c r="AM111" s="264"/>
      <c r="AN111" s="264"/>
      <c r="AO111" s="264"/>
      <c r="AP111" s="264"/>
      <c r="AQ111" s="264"/>
      <c r="AR111" s="264"/>
      <c r="AS111" s="264"/>
      <c r="AT111" s="264"/>
      <c r="AU111" s="264"/>
      <c r="AV111" s="264"/>
      <c r="AW111" s="264"/>
      <c r="AX111" s="264"/>
      <c r="AY111" s="264"/>
      <c r="AZ111" s="264"/>
      <c r="BA111" s="264"/>
      <c r="BB111" s="264"/>
      <c r="BC111" s="264"/>
      <c r="BD111" s="264"/>
      <c r="BE111" s="264"/>
      <c r="BF111" s="264"/>
    </row>
    <row r="112" spans="1:60" ht="13">
      <c r="A112" s="152"/>
      <c r="B112" s="152" t="s">
        <v>5</v>
      </c>
      <c r="C112" s="301" t="s">
        <v>1652</v>
      </c>
      <c r="D112" s="302" t="s">
        <v>1655</v>
      </c>
      <c r="E112" s="152" t="str">
        <f t="shared" si="44"/>
        <v>Pete Davidson</v>
      </c>
      <c r="F112" s="152" t="str">
        <f t="shared" si="24"/>
        <v>SS</v>
      </c>
      <c r="G112" s="152" t="s">
        <v>159</v>
      </c>
      <c r="H112" s="109">
        <v>100</v>
      </c>
      <c r="I112" s="43"/>
      <c r="J112" s="43"/>
      <c r="K112" s="43"/>
      <c r="L112" s="43"/>
      <c r="M112" s="43"/>
      <c r="N112" s="152"/>
      <c r="O112" s="152" t="s">
        <v>19</v>
      </c>
      <c r="P112" s="303">
        <v>39</v>
      </c>
      <c r="Q112" s="152" t="s">
        <v>19</v>
      </c>
      <c r="R112" s="152"/>
      <c r="S112" s="152"/>
      <c r="T112" s="152"/>
      <c r="U112" s="40"/>
      <c r="V112" s="40"/>
      <c r="W112" s="152"/>
      <c r="X112" s="152"/>
      <c r="Y112" s="152"/>
      <c r="Z112" s="152"/>
      <c r="AA112" s="152"/>
      <c r="AB112" s="40"/>
      <c r="AC112" s="43"/>
      <c r="AD112" s="43" t="s">
        <v>47</v>
      </c>
      <c r="AE112" s="152"/>
      <c r="AF112" s="152"/>
      <c r="AG112" s="152"/>
      <c r="AH112" s="152"/>
      <c r="AI112" s="152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27"/>
      <c r="BH112" s="27"/>
    </row>
    <row r="113" spans="1:60" ht="13">
      <c r="A113" s="297"/>
      <c r="B113" s="297" t="s">
        <v>5</v>
      </c>
      <c r="C113" s="304" t="s">
        <v>1575</v>
      </c>
      <c r="D113" s="305" t="s">
        <v>1570</v>
      </c>
      <c r="E113" s="297" t="str">
        <f t="shared" si="44"/>
        <v>Albert Blueballs</v>
      </c>
      <c r="F113" s="297" t="str">
        <f t="shared" si="24"/>
        <v>1B</v>
      </c>
      <c r="G113" s="297" t="s">
        <v>97</v>
      </c>
      <c r="H113" s="306">
        <v>100</v>
      </c>
      <c r="I113" s="295"/>
      <c r="J113" s="295"/>
      <c r="K113" s="295"/>
      <c r="L113" s="295"/>
      <c r="M113" s="295"/>
      <c r="N113" s="297"/>
      <c r="O113" s="297" t="s">
        <v>19</v>
      </c>
      <c r="P113" s="307">
        <v>55</v>
      </c>
      <c r="Q113" s="297" t="s">
        <v>38</v>
      </c>
      <c r="R113" s="297"/>
      <c r="S113" s="297"/>
      <c r="T113" s="297"/>
      <c r="U113" s="264"/>
      <c r="V113" s="264"/>
      <c r="W113" s="297"/>
      <c r="X113" s="297"/>
      <c r="Y113" s="297"/>
      <c r="Z113" s="297"/>
      <c r="AA113" s="297"/>
      <c r="AB113" s="264"/>
      <c r="AC113" s="295"/>
      <c r="AD113" s="295" t="s">
        <v>47</v>
      </c>
      <c r="AE113" s="297"/>
      <c r="AF113" s="297"/>
      <c r="AG113" s="297"/>
      <c r="AH113" s="297"/>
      <c r="AI113" s="297"/>
      <c r="AJ113" s="264"/>
      <c r="AK113" s="264"/>
      <c r="AL113" s="264"/>
      <c r="AM113" s="264"/>
      <c r="AN113" s="264"/>
      <c r="AO113" s="264"/>
      <c r="AP113" s="264"/>
      <c r="AQ113" s="264"/>
      <c r="AR113" s="264"/>
      <c r="AS113" s="264"/>
      <c r="AT113" s="264"/>
      <c r="AU113" s="264"/>
      <c r="AV113" s="264"/>
      <c r="AW113" s="264"/>
      <c r="AX113" s="264"/>
      <c r="AY113" s="264"/>
      <c r="AZ113" s="264"/>
      <c r="BA113" s="264"/>
      <c r="BB113" s="264"/>
      <c r="BC113" s="264"/>
      <c r="BD113" s="264"/>
      <c r="BE113" s="264"/>
      <c r="BF113" s="264"/>
      <c r="BG113" s="236"/>
      <c r="BH113" s="236"/>
    </row>
    <row r="114" spans="1:60" ht="13">
      <c r="A114" s="152"/>
      <c r="B114" s="152" t="s">
        <v>5</v>
      </c>
      <c r="C114" s="301" t="s">
        <v>1665</v>
      </c>
      <c r="D114" s="302" t="s">
        <v>1667</v>
      </c>
      <c r="E114" s="152" t="str">
        <f t="shared" si="44"/>
        <v>Espen Knutsen Jr.</v>
      </c>
      <c r="F114" s="152" t="str">
        <f t="shared" si="24"/>
        <v>CL</v>
      </c>
      <c r="G114" s="308" t="s">
        <v>114</v>
      </c>
      <c r="H114" s="109">
        <v>108</v>
      </c>
      <c r="I114" s="43"/>
      <c r="J114" s="43"/>
      <c r="K114" s="43"/>
      <c r="L114" s="43"/>
      <c r="M114" s="43"/>
      <c r="N114" s="152"/>
      <c r="O114" s="152" t="s">
        <v>19</v>
      </c>
      <c r="P114" s="303">
        <v>63</v>
      </c>
      <c r="Q114" s="152" t="s">
        <v>38</v>
      </c>
      <c r="R114" s="152"/>
      <c r="S114" s="152"/>
      <c r="T114" s="152"/>
      <c r="U114" s="40"/>
      <c r="V114" s="40"/>
      <c r="W114" s="152"/>
      <c r="X114" s="152"/>
      <c r="Y114" s="152"/>
      <c r="Z114" s="152"/>
      <c r="AA114" s="152"/>
      <c r="AB114" s="40"/>
      <c r="AC114" s="43"/>
      <c r="AD114" s="43" t="s">
        <v>47</v>
      </c>
      <c r="AE114" s="152"/>
      <c r="AF114" s="152"/>
      <c r="AG114" s="152"/>
      <c r="AH114" s="152"/>
      <c r="AI114" s="152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27"/>
      <c r="BH114" s="27"/>
    </row>
    <row r="115" spans="1:60" ht="13">
      <c r="A115" s="297"/>
      <c r="B115" s="297" t="s">
        <v>5</v>
      </c>
      <c r="C115" s="304" t="s">
        <v>1672</v>
      </c>
      <c r="D115" s="305" t="s">
        <v>1674</v>
      </c>
      <c r="E115" s="297" t="str">
        <f t="shared" si="44"/>
        <v>Jax Duggan</v>
      </c>
      <c r="F115" s="297" t="str">
        <f t="shared" si="24"/>
        <v>C</v>
      </c>
      <c r="G115" s="297" t="s">
        <v>159</v>
      </c>
      <c r="H115" s="306">
        <v>100</v>
      </c>
      <c r="I115" s="295"/>
      <c r="J115" s="295"/>
      <c r="K115" s="295"/>
      <c r="L115" s="295"/>
      <c r="M115" s="295"/>
      <c r="N115" s="297"/>
      <c r="O115" s="297" t="s">
        <v>19</v>
      </c>
      <c r="P115" s="307">
        <v>71</v>
      </c>
      <c r="Q115" s="297" t="s">
        <v>19</v>
      </c>
      <c r="R115" s="297"/>
      <c r="S115" s="297"/>
      <c r="T115" s="297"/>
      <c r="U115" s="264"/>
      <c r="V115" s="264"/>
      <c r="W115" s="297"/>
      <c r="X115" s="297"/>
      <c r="Y115" s="297"/>
      <c r="Z115" s="297"/>
      <c r="AA115" s="297"/>
      <c r="AB115" s="264"/>
      <c r="AC115" s="295"/>
      <c r="AD115" s="295" t="s">
        <v>47</v>
      </c>
      <c r="AE115" s="297"/>
      <c r="AF115" s="297"/>
      <c r="AG115" s="297"/>
      <c r="AH115" s="297"/>
      <c r="AI115" s="297"/>
      <c r="AJ115" s="264"/>
      <c r="AK115" s="264"/>
      <c r="AL115" s="264"/>
      <c r="AM115" s="264"/>
      <c r="AN115" s="264"/>
      <c r="AO115" s="264"/>
      <c r="AP115" s="264"/>
      <c r="AQ115" s="264"/>
      <c r="AR115" s="264"/>
      <c r="AS115" s="264"/>
      <c r="AT115" s="264"/>
      <c r="AU115" s="264"/>
      <c r="AV115" s="264"/>
      <c r="AW115" s="264"/>
      <c r="AX115" s="264"/>
      <c r="AY115" s="264"/>
      <c r="AZ115" s="264"/>
      <c r="BA115" s="264"/>
      <c r="BB115" s="264"/>
      <c r="BC115" s="264"/>
      <c r="BD115" s="264"/>
      <c r="BE115" s="264"/>
      <c r="BF115" s="264"/>
      <c r="BG115" s="236"/>
      <c r="BH115" s="236"/>
    </row>
    <row r="116" spans="1:60" ht="12.75" customHeight="1">
      <c r="A116" s="65"/>
      <c r="B116" s="215" t="s">
        <v>11</v>
      </c>
      <c r="C116" s="216" t="s">
        <v>1581</v>
      </c>
      <c r="D116" s="216" t="s">
        <v>1583</v>
      </c>
      <c r="E116" s="215" t="str">
        <f>TRIM(LEFT(D116,LEN(D116)-4))</f>
        <v>Dante Zarazel</v>
      </c>
      <c r="F116" s="215" t="str">
        <f t="shared" si="24"/>
        <v>CF</v>
      </c>
      <c r="G116" s="309" t="s">
        <v>565</v>
      </c>
      <c r="H116" s="65">
        <v>100</v>
      </c>
      <c r="I116" s="157">
        <v>0.5</v>
      </c>
      <c r="J116" s="157"/>
      <c r="K116" s="125"/>
      <c r="L116" s="257"/>
      <c r="M116" s="257"/>
      <c r="N116" s="27"/>
      <c r="O116" s="65" t="s">
        <v>38</v>
      </c>
      <c r="P116" s="65">
        <v>39</v>
      </c>
      <c r="Q116" s="215" t="s">
        <v>37</v>
      </c>
      <c r="AB116" s="27"/>
      <c r="AD116" s="157" t="s">
        <v>274</v>
      </c>
      <c r="AE116" s="65">
        <v>100</v>
      </c>
    </row>
    <row r="117" spans="1:60" ht="13">
      <c r="A117" s="264"/>
      <c r="B117" s="264" t="s">
        <v>11</v>
      </c>
      <c r="C117" s="310" t="s">
        <v>1682</v>
      </c>
      <c r="D117" s="293" t="s">
        <v>1684</v>
      </c>
      <c r="E117" s="264" t="str">
        <f>IFERROR(TRIM(LEFT(D117,LEN(D117)-4)),"")</f>
        <v>Lucky Luciano</v>
      </c>
      <c r="F117" s="264" t="str">
        <f t="shared" si="24"/>
        <v>SP</v>
      </c>
      <c r="G117" s="299" t="s">
        <v>55</v>
      </c>
      <c r="H117" s="288">
        <v>100</v>
      </c>
      <c r="I117" s="294"/>
      <c r="J117" s="294"/>
      <c r="K117" s="294"/>
      <c r="L117" s="295"/>
      <c r="M117" s="295"/>
      <c r="N117" s="286"/>
      <c r="O117" s="264" t="s">
        <v>19</v>
      </c>
      <c r="P117" s="288">
        <v>41</v>
      </c>
      <c r="Q117" s="264" t="s">
        <v>19</v>
      </c>
      <c r="R117" s="297"/>
      <c r="S117" s="297"/>
      <c r="T117" s="297"/>
      <c r="U117" s="297"/>
      <c r="V117" s="297"/>
      <c r="W117" s="264"/>
      <c r="X117" s="264"/>
      <c r="Y117" s="264"/>
      <c r="Z117" s="297"/>
      <c r="AA117" s="297"/>
      <c r="AB117" s="264"/>
      <c r="AC117" s="295"/>
      <c r="AD117" s="295" t="s">
        <v>47</v>
      </c>
      <c r="AE117" s="264"/>
      <c r="AF117" s="264"/>
      <c r="AG117" s="264"/>
      <c r="AH117" s="264"/>
      <c r="AI117" s="264"/>
      <c r="AJ117" s="264"/>
      <c r="AK117" s="264"/>
      <c r="AL117" s="264"/>
      <c r="AM117" s="264"/>
      <c r="AN117" s="264"/>
      <c r="AO117" s="264"/>
      <c r="AP117" s="264"/>
      <c r="AQ117" s="264"/>
      <c r="AR117" s="264"/>
      <c r="AS117" s="264"/>
      <c r="AT117" s="264"/>
      <c r="AU117" s="264"/>
      <c r="AV117" s="264"/>
      <c r="AW117" s="264"/>
      <c r="AX117" s="264"/>
      <c r="AY117" s="264"/>
      <c r="AZ117" s="264"/>
      <c r="BA117" s="264"/>
      <c r="BB117" s="264"/>
      <c r="BC117" s="264"/>
      <c r="BD117" s="264"/>
      <c r="BE117" s="264"/>
      <c r="BF117" s="264"/>
      <c r="BG117" s="236"/>
      <c r="BH117" s="236"/>
    </row>
    <row r="119" spans="1:60" ht="13">
      <c r="A119" s="236"/>
      <c r="B119" s="236"/>
      <c r="C119" s="311"/>
      <c r="D119" s="237"/>
      <c r="E119" s="236"/>
      <c r="F119" s="236"/>
      <c r="G119" s="237"/>
      <c r="H119" s="236"/>
      <c r="I119" s="236"/>
      <c r="J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36"/>
      <c r="X119" s="236"/>
      <c r="Y119" s="236"/>
      <c r="Z119" s="236"/>
      <c r="AA119" s="236"/>
      <c r="AB119" s="236"/>
      <c r="AC119" s="236"/>
      <c r="AD119" s="236"/>
      <c r="AE119" s="236"/>
      <c r="AF119" s="236"/>
      <c r="AG119" s="236"/>
      <c r="AH119" s="236"/>
      <c r="AI119" s="236"/>
      <c r="AJ119" s="236"/>
      <c r="AK119" s="236"/>
      <c r="AL119" s="236"/>
      <c r="AM119" s="236"/>
      <c r="AN119" s="236"/>
      <c r="AO119" s="236"/>
      <c r="AP119" s="236"/>
      <c r="AQ119" s="236"/>
      <c r="AR119" s="236"/>
      <c r="AS119" s="236"/>
      <c r="AT119" s="236"/>
      <c r="AU119" s="236"/>
      <c r="AV119" s="236"/>
      <c r="AW119" s="236"/>
      <c r="AX119" s="236"/>
      <c r="AY119" s="236"/>
      <c r="AZ119" s="236"/>
      <c r="BA119" s="236"/>
      <c r="BB119" s="236"/>
      <c r="BC119" s="236"/>
      <c r="BD119" s="236"/>
      <c r="BE119" s="236"/>
      <c r="BF119" s="236"/>
      <c r="BG119" s="236"/>
      <c r="BH119" s="236"/>
    </row>
    <row r="120" spans="1:60" ht="13">
      <c r="A120" s="27"/>
      <c r="B120" s="27"/>
      <c r="C120" s="312"/>
      <c r="D120" s="231"/>
      <c r="E120" s="27"/>
      <c r="F120" s="27"/>
      <c r="G120" s="231"/>
      <c r="H120" s="27"/>
      <c r="I120" s="27"/>
      <c r="J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</row>
    <row r="121" spans="1:60" ht="13">
      <c r="A121" s="236"/>
      <c r="B121" s="236"/>
      <c r="C121" s="311"/>
      <c r="D121" s="237"/>
      <c r="E121" s="236"/>
      <c r="F121" s="236"/>
      <c r="G121" s="237"/>
      <c r="H121" s="236"/>
      <c r="I121" s="236"/>
      <c r="J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  <c r="AK121" s="236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236"/>
      <c r="BD121" s="236"/>
      <c r="BE121" s="236"/>
      <c r="BF121" s="236"/>
      <c r="BG121" s="236"/>
      <c r="BH121" s="236"/>
    </row>
    <row r="122" spans="1:60" ht="13">
      <c r="A122" s="27"/>
      <c r="B122" s="27"/>
      <c r="C122" s="312"/>
      <c r="D122" s="231"/>
      <c r="E122" s="27"/>
      <c r="F122" s="27"/>
      <c r="G122" s="231"/>
      <c r="H122" s="27"/>
      <c r="I122" s="27"/>
      <c r="J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</row>
    <row r="123" spans="1:60" ht="13">
      <c r="A123" s="236"/>
      <c r="B123" s="236"/>
      <c r="C123" s="311"/>
      <c r="D123" s="237"/>
      <c r="E123" s="236"/>
      <c r="F123" s="236"/>
      <c r="G123" s="237"/>
      <c r="H123" s="236"/>
      <c r="I123" s="236"/>
      <c r="J123" s="236"/>
      <c r="N123" s="236"/>
      <c r="O123" s="236"/>
      <c r="P123" s="236"/>
      <c r="Q123" s="236"/>
      <c r="R123" s="236"/>
      <c r="S123" s="236"/>
      <c r="T123" s="236"/>
      <c r="U123" s="236"/>
      <c r="V123" s="236"/>
      <c r="W123" s="236"/>
      <c r="X123" s="236"/>
      <c r="Y123" s="236"/>
      <c r="Z123" s="236"/>
      <c r="AA123" s="236"/>
      <c r="AB123" s="236"/>
      <c r="AC123" s="236"/>
      <c r="AD123" s="236"/>
      <c r="AE123" s="236"/>
      <c r="AF123" s="236"/>
      <c r="AG123" s="236"/>
      <c r="AH123" s="236"/>
      <c r="AI123" s="236"/>
      <c r="AJ123" s="236"/>
      <c r="AK123" s="236"/>
      <c r="AL123" s="236"/>
      <c r="AM123" s="236"/>
      <c r="AN123" s="236"/>
      <c r="AO123" s="236"/>
      <c r="AP123" s="236"/>
      <c r="AQ123" s="236"/>
      <c r="AR123" s="236"/>
      <c r="AS123" s="236"/>
      <c r="AT123" s="236"/>
      <c r="AU123" s="236"/>
      <c r="AV123" s="236"/>
      <c r="AW123" s="236"/>
      <c r="AX123" s="236"/>
      <c r="AY123" s="236"/>
      <c r="AZ123" s="236"/>
      <c r="BA123" s="236"/>
      <c r="BB123" s="236"/>
      <c r="BC123" s="236"/>
      <c r="BD123" s="236"/>
      <c r="BE123" s="236"/>
      <c r="BF123" s="236"/>
      <c r="BG123" s="236"/>
      <c r="BH123" s="236"/>
    </row>
    <row r="124" spans="1:60" ht="13">
      <c r="A124" s="27"/>
      <c r="B124" s="27"/>
      <c r="C124" s="312"/>
      <c r="D124" s="231"/>
      <c r="E124" s="27"/>
      <c r="F124" s="27"/>
      <c r="G124" s="231"/>
      <c r="H124" s="27"/>
      <c r="I124" s="27"/>
      <c r="J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</row>
    <row r="125" spans="1:60" ht="13">
      <c r="A125" s="236"/>
      <c r="B125" s="236"/>
      <c r="C125" s="311"/>
      <c r="D125" s="237"/>
      <c r="E125" s="236"/>
      <c r="F125" s="236"/>
      <c r="G125" s="237"/>
      <c r="H125" s="236"/>
      <c r="I125" s="236"/>
      <c r="J125" s="236"/>
      <c r="N125" s="236"/>
      <c r="O125" s="236"/>
      <c r="P125" s="236"/>
      <c r="Q125" s="236"/>
      <c r="R125" s="236"/>
      <c r="S125" s="236"/>
      <c r="T125" s="236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6"/>
      <c r="AI125" s="236"/>
      <c r="AJ125" s="236"/>
      <c r="AK125" s="236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6"/>
      <c r="BB125" s="236"/>
      <c r="BC125" s="236"/>
      <c r="BD125" s="236"/>
      <c r="BE125" s="236"/>
      <c r="BF125" s="236"/>
      <c r="BG125" s="236"/>
      <c r="BH125" s="236"/>
    </row>
    <row r="126" spans="1:60" ht="13">
      <c r="A126" s="27"/>
      <c r="B126" s="27"/>
      <c r="C126" s="312"/>
      <c r="D126" s="231"/>
      <c r="E126" s="27"/>
      <c r="F126" s="27"/>
      <c r="G126" s="231"/>
      <c r="H126" s="27"/>
      <c r="I126" s="27"/>
      <c r="J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</row>
    <row r="127" spans="1:60" ht="13">
      <c r="A127" s="236"/>
      <c r="B127" s="236"/>
      <c r="C127" s="311"/>
      <c r="D127" s="237"/>
      <c r="E127" s="236"/>
      <c r="F127" s="236"/>
      <c r="G127" s="237"/>
      <c r="H127" s="236"/>
      <c r="I127" s="236"/>
      <c r="J127" s="236"/>
      <c r="N127" s="236"/>
      <c r="O127" s="236"/>
      <c r="P127" s="236"/>
      <c r="Q127" s="236"/>
      <c r="R127" s="236"/>
      <c r="S127" s="236"/>
      <c r="T127" s="236"/>
      <c r="U127" s="236"/>
      <c r="V127" s="236"/>
      <c r="W127" s="236"/>
      <c r="X127" s="236"/>
      <c r="Y127" s="236"/>
      <c r="Z127" s="236"/>
      <c r="AA127" s="236"/>
      <c r="AB127" s="236"/>
      <c r="AC127" s="236"/>
      <c r="AD127" s="236"/>
      <c r="AE127" s="236"/>
      <c r="AF127" s="236"/>
      <c r="AG127" s="236"/>
      <c r="AH127" s="236"/>
      <c r="AI127" s="236"/>
      <c r="AJ127" s="236"/>
      <c r="AK127" s="236"/>
      <c r="AL127" s="236"/>
      <c r="AM127" s="236"/>
      <c r="AN127" s="236"/>
      <c r="AO127" s="236"/>
      <c r="AP127" s="236"/>
      <c r="AQ127" s="236"/>
      <c r="AR127" s="236"/>
      <c r="AS127" s="236"/>
      <c r="AT127" s="236"/>
      <c r="AU127" s="236"/>
      <c r="AV127" s="236"/>
      <c r="AW127" s="236"/>
      <c r="AX127" s="236"/>
      <c r="AY127" s="236"/>
      <c r="AZ127" s="236"/>
      <c r="BA127" s="236"/>
      <c r="BB127" s="236"/>
      <c r="BC127" s="236"/>
      <c r="BD127" s="236"/>
      <c r="BE127" s="236"/>
      <c r="BF127" s="236"/>
      <c r="BG127" s="236"/>
      <c r="BH127" s="236"/>
    </row>
    <row r="128" spans="1:60" ht="13">
      <c r="A128" s="27"/>
      <c r="B128" s="27"/>
      <c r="C128" s="312"/>
      <c r="D128" s="231"/>
      <c r="E128" s="27"/>
      <c r="F128" s="27"/>
      <c r="G128" s="231"/>
      <c r="H128" s="27"/>
      <c r="I128" s="27"/>
      <c r="J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</row>
    <row r="129" spans="1:60" ht="13">
      <c r="A129" s="236"/>
      <c r="B129" s="236"/>
      <c r="C129" s="311"/>
      <c r="D129" s="237"/>
      <c r="E129" s="236"/>
      <c r="F129" s="236"/>
      <c r="G129" s="237"/>
      <c r="H129" s="236"/>
      <c r="I129" s="236"/>
      <c r="J129" s="236"/>
      <c r="N129" s="236"/>
      <c r="O129" s="236"/>
      <c r="P129" s="236"/>
      <c r="Q129" s="236"/>
      <c r="R129" s="236"/>
      <c r="S129" s="236"/>
      <c r="T129" s="236"/>
      <c r="U129" s="236"/>
      <c r="V129" s="236"/>
      <c r="W129" s="236"/>
      <c r="X129" s="236"/>
      <c r="Y129" s="236"/>
      <c r="Z129" s="236"/>
      <c r="AA129" s="236"/>
      <c r="AB129" s="236"/>
      <c r="AC129" s="236"/>
      <c r="AD129" s="236"/>
      <c r="AE129" s="236"/>
      <c r="AF129" s="236"/>
      <c r="AG129" s="236"/>
      <c r="AH129" s="236"/>
      <c r="AI129" s="236"/>
      <c r="AJ129" s="236"/>
      <c r="AK129" s="236"/>
      <c r="AL129" s="236"/>
      <c r="AM129" s="236"/>
      <c r="AN129" s="236"/>
      <c r="AO129" s="236"/>
      <c r="AP129" s="236"/>
      <c r="AQ129" s="236"/>
      <c r="AR129" s="236"/>
      <c r="AS129" s="236"/>
      <c r="AT129" s="236"/>
      <c r="AU129" s="236"/>
      <c r="AV129" s="236"/>
      <c r="AW129" s="236"/>
      <c r="AX129" s="236"/>
      <c r="AY129" s="236"/>
      <c r="AZ129" s="236"/>
      <c r="BA129" s="236"/>
      <c r="BB129" s="236"/>
      <c r="BC129" s="236"/>
      <c r="BD129" s="236"/>
      <c r="BE129" s="236"/>
      <c r="BF129" s="236"/>
      <c r="BG129" s="236"/>
      <c r="BH129" s="236"/>
    </row>
    <row r="130" spans="1:60" ht="13">
      <c r="A130" s="27"/>
      <c r="B130" s="27"/>
      <c r="C130" s="312"/>
      <c r="D130" s="231"/>
      <c r="E130" s="27"/>
      <c r="F130" s="27"/>
      <c r="G130" s="231"/>
      <c r="H130" s="27"/>
      <c r="I130" s="27"/>
      <c r="J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</row>
    <row r="131" spans="1:60" ht="13">
      <c r="A131" s="236"/>
      <c r="B131" s="236"/>
      <c r="C131" s="311"/>
      <c r="D131" s="237"/>
      <c r="E131" s="236"/>
      <c r="F131" s="236"/>
      <c r="G131" s="237"/>
      <c r="H131" s="236"/>
      <c r="I131" s="236"/>
      <c r="J131" s="236"/>
      <c r="N131" s="236"/>
      <c r="O131" s="236"/>
      <c r="P131" s="236"/>
      <c r="Q131" s="236"/>
      <c r="R131" s="236"/>
      <c r="S131" s="236"/>
      <c r="T131" s="236"/>
      <c r="U131" s="236"/>
      <c r="V131" s="236"/>
      <c r="W131" s="236"/>
      <c r="X131" s="236"/>
      <c r="Y131" s="236"/>
      <c r="Z131" s="236"/>
      <c r="AA131" s="236"/>
      <c r="AB131" s="236"/>
      <c r="AC131" s="236"/>
      <c r="AD131" s="236"/>
      <c r="AE131" s="236"/>
      <c r="AF131" s="236"/>
      <c r="AG131" s="236"/>
      <c r="AH131" s="236"/>
      <c r="AI131" s="236"/>
      <c r="AJ131" s="236"/>
      <c r="AK131" s="236"/>
      <c r="AL131" s="236"/>
      <c r="AM131" s="236"/>
      <c r="AN131" s="236"/>
      <c r="AO131" s="236"/>
      <c r="AP131" s="236"/>
      <c r="AQ131" s="236"/>
      <c r="AR131" s="236"/>
      <c r="AS131" s="236"/>
      <c r="AT131" s="236"/>
      <c r="AU131" s="236"/>
      <c r="AV131" s="236"/>
      <c r="AW131" s="236"/>
      <c r="AX131" s="236"/>
      <c r="AY131" s="236"/>
      <c r="AZ131" s="236"/>
      <c r="BA131" s="236"/>
      <c r="BB131" s="236"/>
      <c r="BC131" s="236"/>
      <c r="BD131" s="236"/>
      <c r="BE131" s="236"/>
      <c r="BF131" s="236"/>
      <c r="BG131" s="236"/>
      <c r="BH131" s="236"/>
    </row>
    <row r="132" spans="1:60" ht="13">
      <c r="A132" s="27"/>
      <c r="B132" s="27"/>
      <c r="C132" s="312"/>
      <c r="D132" s="231"/>
      <c r="E132" s="27"/>
      <c r="F132" s="27"/>
      <c r="G132" s="231"/>
      <c r="H132" s="27"/>
      <c r="I132" s="27"/>
      <c r="J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</row>
    <row r="133" spans="1:60" ht="13">
      <c r="A133" s="236"/>
      <c r="B133" s="236"/>
      <c r="C133" s="311"/>
      <c r="D133" s="237"/>
      <c r="E133" s="236"/>
      <c r="F133" s="236"/>
      <c r="G133" s="237"/>
      <c r="H133" s="236"/>
      <c r="I133" s="236"/>
      <c r="J133" s="236"/>
      <c r="N133" s="236"/>
      <c r="O133" s="236"/>
      <c r="P133" s="236"/>
      <c r="Q133" s="236"/>
      <c r="R133" s="236"/>
      <c r="S133" s="236"/>
      <c r="T133" s="236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6"/>
      <c r="AI133" s="236"/>
      <c r="AJ133" s="236"/>
      <c r="AK133" s="236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6"/>
      <c r="BB133" s="236"/>
      <c r="BC133" s="236"/>
      <c r="BD133" s="236"/>
      <c r="BE133" s="236"/>
      <c r="BF133" s="236"/>
      <c r="BG133" s="236"/>
      <c r="BH133" s="236"/>
    </row>
    <row r="134" spans="1:60" ht="13">
      <c r="A134" s="27"/>
      <c r="B134" s="27"/>
      <c r="C134" s="312"/>
      <c r="D134" s="231"/>
      <c r="E134" s="27"/>
      <c r="F134" s="27"/>
      <c r="G134" s="231"/>
      <c r="H134" s="27"/>
      <c r="I134" s="27"/>
      <c r="J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</row>
    <row r="135" spans="1:60" ht="13">
      <c r="A135" s="236"/>
      <c r="B135" s="236"/>
      <c r="C135" s="311"/>
      <c r="D135" s="237"/>
      <c r="E135" s="236"/>
      <c r="F135" s="236"/>
      <c r="G135" s="237"/>
      <c r="H135" s="236"/>
      <c r="I135" s="236"/>
      <c r="J135" s="236"/>
      <c r="N135" s="236"/>
      <c r="O135" s="236"/>
      <c r="P135" s="236"/>
      <c r="Q135" s="236"/>
      <c r="R135" s="236"/>
      <c r="S135" s="236"/>
      <c r="T135" s="236"/>
      <c r="U135" s="236"/>
      <c r="V135" s="236"/>
      <c r="W135" s="236"/>
      <c r="X135" s="236"/>
      <c r="Y135" s="236"/>
      <c r="Z135" s="236"/>
      <c r="AA135" s="236"/>
      <c r="AB135" s="236"/>
      <c r="AC135" s="236"/>
      <c r="AD135" s="236"/>
      <c r="AE135" s="236"/>
      <c r="AF135" s="236"/>
      <c r="AG135" s="236"/>
      <c r="AH135" s="236"/>
      <c r="AI135" s="236"/>
      <c r="AJ135" s="236"/>
      <c r="AK135" s="236"/>
      <c r="AL135" s="236"/>
      <c r="AM135" s="236"/>
      <c r="AN135" s="236"/>
      <c r="AO135" s="236"/>
      <c r="AP135" s="236"/>
      <c r="AQ135" s="236"/>
      <c r="AR135" s="236"/>
      <c r="AS135" s="236"/>
      <c r="AT135" s="236"/>
      <c r="AU135" s="236"/>
      <c r="AV135" s="236"/>
      <c r="AW135" s="236"/>
      <c r="AX135" s="236"/>
      <c r="AY135" s="236"/>
      <c r="AZ135" s="236"/>
      <c r="BA135" s="236"/>
      <c r="BB135" s="236"/>
      <c r="BC135" s="236"/>
      <c r="BD135" s="236"/>
      <c r="BE135" s="236"/>
      <c r="BF135" s="236"/>
      <c r="BG135" s="236"/>
      <c r="BH135" s="236"/>
    </row>
    <row r="136" spans="1:60" ht="13">
      <c r="A136" s="27"/>
      <c r="B136" s="27"/>
      <c r="C136" s="312"/>
      <c r="D136" s="231"/>
      <c r="E136" s="27"/>
      <c r="F136" s="27"/>
      <c r="G136" s="231"/>
      <c r="H136" s="27"/>
      <c r="I136" s="27"/>
      <c r="J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</row>
    <row r="137" spans="1:60" ht="13">
      <c r="A137" s="236"/>
      <c r="B137" s="236"/>
      <c r="C137" s="311"/>
      <c r="D137" s="237"/>
      <c r="E137" s="236"/>
      <c r="F137" s="236"/>
      <c r="G137" s="237"/>
      <c r="H137" s="236"/>
      <c r="I137" s="236"/>
      <c r="J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36"/>
      <c r="X137" s="236"/>
      <c r="Y137" s="236"/>
      <c r="Z137" s="236"/>
      <c r="AA137" s="236"/>
      <c r="AB137" s="236"/>
      <c r="AC137" s="236"/>
      <c r="AD137" s="236"/>
      <c r="AE137" s="236"/>
      <c r="AF137" s="236"/>
      <c r="AG137" s="236"/>
      <c r="AH137" s="236"/>
      <c r="AI137" s="236"/>
      <c r="AJ137" s="236"/>
      <c r="AK137" s="236"/>
      <c r="AL137" s="236"/>
      <c r="AM137" s="236"/>
      <c r="AN137" s="236"/>
      <c r="AO137" s="236"/>
      <c r="AP137" s="236"/>
      <c r="AQ137" s="236"/>
      <c r="AR137" s="236"/>
      <c r="AS137" s="236"/>
      <c r="AT137" s="236"/>
      <c r="AU137" s="236"/>
      <c r="AV137" s="236"/>
      <c r="AW137" s="236"/>
      <c r="AX137" s="236"/>
      <c r="AY137" s="236"/>
      <c r="AZ137" s="236"/>
      <c r="BA137" s="236"/>
      <c r="BB137" s="236"/>
      <c r="BC137" s="236"/>
      <c r="BD137" s="236"/>
      <c r="BE137" s="236"/>
      <c r="BF137" s="236"/>
      <c r="BG137" s="236"/>
      <c r="BH137" s="236"/>
    </row>
    <row r="138" spans="1:60" ht="13">
      <c r="A138" s="27"/>
      <c r="B138" s="27"/>
      <c r="C138" s="312"/>
      <c r="D138" s="231"/>
      <c r="E138" s="27"/>
      <c r="F138" s="27"/>
      <c r="G138" s="231"/>
      <c r="H138" s="27"/>
      <c r="I138" s="27"/>
      <c r="J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</row>
    <row r="139" spans="1:60" ht="13">
      <c r="A139" s="236"/>
      <c r="B139" s="236"/>
      <c r="C139" s="311"/>
      <c r="D139" s="237"/>
      <c r="E139" s="236"/>
      <c r="F139" s="236"/>
      <c r="G139" s="237"/>
      <c r="H139" s="236"/>
      <c r="I139" s="236"/>
      <c r="J139" s="236"/>
      <c r="N139" s="236"/>
      <c r="O139" s="236"/>
      <c r="P139" s="236"/>
      <c r="Q139" s="236"/>
      <c r="R139" s="236"/>
      <c r="S139" s="236"/>
      <c r="T139" s="236"/>
      <c r="U139" s="236"/>
      <c r="V139" s="236"/>
      <c r="W139" s="236"/>
      <c r="X139" s="236"/>
      <c r="Y139" s="236"/>
      <c r="Z139" s="236"/>
      <c r="AA139" s="236"/>
      <c r="AB139" s="236"/>
      <c r="AC139" s="236"/>
      <c r="AD139" s="236"/>
      <c r="AE139" s="236"/>
      <c r="AF139" s="236"/>
      <c r="AG139" s="236"/>
      <c r="AH139" s="236"/>
      <c r="AI139" s="236"/>
      <c r="AJ139" s="236"/>
      <c r="AK139" s="236"/>
      <c r="AL139" s="236"/>
      <c r="AM139" s="236"/>
      <c r="AN139" s="236"/>
      <c r="AO139" s="236"/>
      <c r="AP139" s="236"/>
      <c r="AQ139" s="236"/>
      <c r="AR139" s="236"/>
      <c r="AS139" s="236"/>
      <c r="AT139" s="236"/>
      <c r="AU139" s="236"/>
      <c r="AV139" s="236"/>
      <c r="AW139" s="236"/>
      <c r="AX139" s="236"/>
      <c r="AY139" s="236"/>
      <c r="AZ139" s="236"/>
      <c r="BA139" s="236"/>
      <c r="BB139" s="236"/>
      <c r="BC139" s="236"/>
      <c r="BD139" s="236"/>
      <c r="BE139" s="236"/>
      <c r="BF139" s="236"/>
      <c r="BG139" s="236"/>
      <c r="BH139" s="236"/>
    </row>
    <row r="140" spans="1:60" ht="13">
      <c r="A140" s="27"/>
      <c r="B140" s="27"/>
      <c r="C140" s="312"/>
      <c r="D140" s="231"/>
      <c r="E140" s="27"/>
      <c r="F140" s="27"/>
      <c r="G140" s="231"/>
      <c r="H140" s="27"/>
      <c r="I140" s="27"/>
      <c r="J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</row>
    <row r="141" spans="1:60" ht="13">
      <c r="A141" s="236"/>
      <c r="B141" s="236"/>
      <c r="C141" s="311"/>
      <c r="D141" s="237"/>
      <c r="E141" s="236"/>
      <c r="F141" s="236"/>
      <c r="G141" s="237"/>
      <c r="H141" s="236"/>
      <c r="I141" s="236"/>
      <c r="J141" s="236"/>
      <c r="N141" s="236"/>
      <c r="O141" s="236"/>
      <c r="P141" s="236"/>
      <c r="Q141" s="236"/>
      <c r="R141" s="236"/>
      <c r="S141" s="236"/>
      <c r="T141" s="236"/>
      <c r="U141" s="236"/>
      <c r="V141" s="236"/>
      <c r="W141" s="236"/>
      <c r="X141" s="236"/>
      <c r="Y141" s="236"/>
      <c r="Z141" s="236"/>
      <c r="AA141" s="236"/>
      <c r="AB141" s="236"/>
      <c r="AC141" s="236"/>
      <c r="AD141" s="236"/>
      <c r="AE141" s="236"/>
      <c r="AF141" s="236"/>
      <c r="AG141" s="236"/>
      <c r="AH141" s="236"/>
      <c r="AI141" s="236"/>
      <c r="AJ141" s="236"/>
      <c r="AK141" s="236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6"/>
      <c r="BB141" s="236"/>
      <c r="BC141" s="236"/>
      <c r="BD141" s="236"/>
      <c r="BE141" s="236"/>
      <c r="BF141" s="236"/>
      <c r="BG141" s="236"/>
      <c r="BH141" s="236"/>
    </row>
    <row r="142" spans="1:60" ht="13">
      <c r="A142" s="27"/>
      <c r="B142" s="27"/>
      <c r="C142" s="312"/>
      <c r="D142" s="231"/>
      <c r="E142" s="27"/>
      <c r="F142" s="27"/>
      <c r="G142" s="231"/>
      <c r="H142" s="27"/>
      <c r="I142" s="27"/>
      <c r="J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</row>
    <row r="143" spans="1:60" ht="13">
      <c r="A143" s="236"/>
      <c r="B143" s="236"/>
      <c r="C143" s="311"/>
      <c r="D143" s="237"/>
      <c r="E143" s="236"/>
      <c r="F143" s="236"/>
      <c r="G143" s="237"/>
      <c r="H143" s="236"/>
      <c r="I143" s="236"/>
      <c r="J143" s="236"/>
      <c r="N143" s="236"/>
      <c r="O143" s="236"/>
      <c r="P143" s="236"/>
      <c r="Q143" s="236"/>
      <c r="R143" s="236"/>
      <c r="S143" s="236"/>
      <c r="T143" s="236"/>
      <c r="U143" s="236"/>
      <c r="V143" s="236"/>
      <c r="W143" s="236"/>
      <c r="X143" s="236"/>
      <c r="Y143" s="236"/>
      <c r="Z143" s="236"/>
      <c r="AA143" s="236"/>
      <c r="AB143" s="236"/>
      <c r="AC143" s="236"/>
      <c r="AD143" s="236"/>
      <c r="AE143" s="236"/>
      <c r="AF143" s="236"/>
      <c r="AG143" s="236"/>
      <c r="AH143" s="236"/>
      <c r="AI143" s="236"/>
      <c r="AJ143" s="236"/>
      <c r="AK143" s="236"/>
      <c r="AL143" s="236"/>
      <c r="AM143" s="236"/>
      <c r="AN143" s="236"/>
      <c r="AO143" s="236"/>
      <c r="AP143" s="236"/>
      <c r="AQ143" s="236"/>
      <c r="AR143" s="236"/>
      <c r="AS143" s="236"/>
      <c r="AT143" s="236"/>
      <c r="AU143" s="236"/>
      <c r="AV143" s="236"/>
      <c r="AW143" s="236"/>
      <c r="AX143" s="236"/>
      <c r="AY143" s="236"/>
      <c r="AZ143" s="236"/>
      <c r="BA143" s="236"/>
      <c r="BB143" s="236"/>
      <c r="BC143" s="236"/>
      <c r="BD143" s="236"/>
      <c r="BE143" s="236"/>
      <c r="BF143" s="236"/>
      <c r="BG143" s="236"/>
      <c r="BH143" s="236"/>
    </row>
    <row r="144" spans="1:60" ht="13">
      <c r="A144" s="27"/>
      <c r="B144" s="27"/>
      <c r="C144" s="312"/>
      <c r="D144" s="231"/>
      <c r="E144" s="27"/>
      <c r="F144" s="27"/>
      <c r="G144" s="231"/>
      <c r="H144" s="27"/>
      <c r="I144" s="27"/>
      <c r="J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</row>
    <row r="145" spans="1:60" ht="13">
      <c r="A145" s="236"/>
      <c r="B145" s="236"/>
      <c r="C145" s="311"/>
      <c r="D145" s="237"/>
      <c r="E145" s="236"/>
      <c r="F145" s="236"/>
      <c r="G145" s="237"/>
      <c r="H145" s="236"/>
      <c r="I145" s="236"/>
      <c r="J145" s="236"/>
      <c r="N145" s="236"/>
      <c r="O145" s="236"/>
      <c r="P145" s="236"/>
      <c r="Q145" s="236"/>
      <c r="R145" s="236"/>
      <c r="S145" s="236"/>
      <c r="T145" s="236"/>
      <c r="U145" s="236"/>
      <c r="V145" s="236"/>
      <c r="W145" s="236"/>
      <c r="X145" s="236"/>
      <c r="Y145" s="236"/>
      <c r="Z145" s="236"/>
      <c r="AA145" s="236"/>
      <c r="AB145" s="236"/>
      <c r="AC145" s="236"/>
      <c r="AD145" s="236"/>
      <c r="AE145" s="236"/>
      <c r="AF145" s="236"/>
      <c r="AG145" s="236"/>
      <c r="AH145" s="236"/>
      <c r="AI145" s="236"/>
      <c r="AJ145" s="236"/>
      <c r="AK145" s="236"/>
      <c r="AL145" s="236"/>
      <c r="AM145" s="236"/>
      <c r="AN145" s="236"/>
      <c r="AO145" s="236"/>
      <c r="AP145" s="236"/>
      <c r="AQ145" s="236"/>
      <c r="AR145" s="236"/>
      <c r="AS145" s="236"/>
      <c r="AT145" s="236"/>
      <c r="AU145" s="236"/>
      <c r="AV145" s="236"/>
      <c r="AW145" s="236"/>
      <c r="AX145" s="236"/>
      <c r="AY145" s="236"/>
      <c r="AZ145" s="236"/>
      <c r="BA145" s="236"/>
      <c r="BB145" s="236"/>
      <c r="BC145" s="236"/>
      <c r="BD145" s="236"/>
      <c r="BE145" s="236"/>
      <c r="BF145" s="236"/>
      <c r="BG145" s="236"/>
      <c r="BH145" s="236"/>
    </row>
    <row r="146" spans="1:60" ht="13">
      <c r="A146" s="27"/>
      <c r="B146" s="27"/>
      <c r="C146" s="312"/>
      <c r="D146" s="231"/>
      <c r="E146" s="27"/>
      <c r="F146" s="27"/>
      <c r="G146" s="231"/>
      <c r="H146" s="27"/>
      <c r="I146" s="27"/>
      <c r="J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</row>
    <row r="147" spans="1:60" ht="13">
      <c r="A147" s="236"/>
      <c r="B147" s="236"/>
      <c r="C147" s="311"/>
      <c r="D147" s="237"/>
      <c r="E147" s="236"/>
      <c r="F147" s="236"/>
      <c r="G147" s="237"/>
      <c r="H147" s="236"/>
      <c r="I147" s="236"/>
      <c r="J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36"/>
      <c r="X147" s="236"/>
      <c r="Y147" s="236"/>
      <c r="Z147" s="236"/>
      <c r="AA147" s="236"/>
      <c r="AB147" s="236"/>
      <c r="AC147" s="236"/>
      <c r="AD147" s="236"/>
      <c r="AE147" s="236"/>
      <c r="AF147" s="236"/>
      <c r="AG147" s="236"/>
      <c r="AH147" s="236"/>
      <c r="AI147" s="236"/>
      <c r="AJ147" s="236"/>
      <c r="AK147" s="236"/>
      <c r="AL147" s="236"/>
      <c r="AM147" s="236"/>
      <c r="AN147" s="236"/>
      <c r="AO147" s="236"/>
      <c r="AP147" s="236"/>
      <c r="AQ147" s="236"/>
      <c r="AR147" s="236"/>
      <c r="AS147" s="236"/>
      <c r="AT147" s="236"/>
      <c r="AU147" s="236"/>
      <c r="AV147" s="236"/>
      <c r="AW147" s="236"/>
      <c r="AX147" s="236"/>
      <c r="AY147" s="236"/>
      <c r="AZ147" s="236"/>
      <c r="BA147" s="236"/>
      <c r="BB147" s="236"/>
      <c r="BC147" s="236"/>
      <c r="BD147" s="236"/>
      <c r="BE147" s="236"/>
      <c r="BF147" s="236"/>
      <c r="BG147" s="236"/>
      <c r="BH147" s="236"/>
    </row>
    <row r="148" spans="1:60" ht="13">
      <c r="A148" s="27"/>
      <c r="B148" s="27"/>
      <c r="C148" s="312"/>
      <c r="D148" s="231"/>
      <c r="E148" s="27"/>
      <c r="F148" s="27"/>
      <c r="G148" s="231"/>
      <c r="H148" s="27"/>
      <c r="I148" s="27"/>
      <c r="J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</row>
    <row r="149" spans="1:60" ht="13">
      <c r="A149" s="236"/>
      <c r="B149" s="236"/>
      <c r="C149" s="311"/>
      <c r="D149" s="237"/>
      <c r="E149" s="236"/>
      <c r="F149" s="236"/>
      <c r="G149" s="237"/>
      <c r="H149" s="236"/>
      <c r="I149" s="236"/>
      <c r="J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  <c r="AO149" s="236"/>
      <c r="AP149" s="236"/>
      <c r="AQ149" s="236"/>
      <c r="AR149" s="236"/>
      <c r="AS149" s="236"/>
      <c r="AT149" s="236"/>
      <c r="AU149" s="236"/>
      <c r="AV149" s="236"/>
      <c r="AW149" s="236"/>
      <c r="AX149" s="236"/>
      <c r="AY149" s="236"/>
      <c r="AZ149" s="236"/>
      <c r="BA149" s="236"/>
      <c r="BB149" s="236"/>
      <c r="BC149" s="236"/>
      <c r="BD149" s="236"/>
      <c r="BE149" s="236"/>
      <c r="BF149" s="236"/>
      <c r="BG149" s="236"/>
      <c r="BH149" s="236"/>
    </row>
    <row r="150" spans="1:60" ht="13">
      <c r="A150" s="27"/>
      <c r="B150" s="27"/>
      <c r="C150" s="312"/>
      <c r="D150" s="231"/>
      <c r="E150" s="27"/>
      <c r="F150" s="27"/>
      <c r="G150" s="231"/>
      <c r="H150" s="27"/>
      <c r="I150" s="27"/>
      <c r="J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</row>
    <row r="151" spans="1:60" ht="13">
      <c r="A151" s="236"/>
      <c r="B151" s="236"/>
      <c r="C151" s="311"/>
      <c r="D151" s="237"/>
      <c r="E151" s="236"/>
      <c r="F151" s="236"/>
      <c r="G151" s="237"/>
      <c r="H151" s="236"/>
      <c r="I151" s="236"/>
      <c r="J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  <c r="AO151" s="236"/>
      <c r="AP151" s="236"/>
      <c r="AQ151" s="236"/>
      <c r="AR151" s="236"/>
      <c r="AS151" s="236"/>
      <c r="AT151" s="236"/>
      <c r="AU151" s="236"/>
      <c r="AV151" s="236"/>
      <c r="AW151" s="236"/>
      <c r="AX151" s="236"/>
      <c r="AY151" s="236"/>
      <c r="AZ151" s="236"/>
      <c r="BA151" s="236"/>
      <c r="BB151" s="236"/>
      <c r="BC151" s="236"/>
      <c r="BD151" s="236"/>
      <c r="BE151" s="236"/>
      <c r="BF151" s="236"/>
      <c r="BG151" s="236"/>
      <c r="BH151" s="236"/>
    </row>
    <row r="152" spans="1:60" ht="13">
      <c r="A152" s="27"/>
      <c r="B152" s="27"/>
      <c r="C152" s="312"/>
      <c r="D152" s="231"/>
      <c r="E152" s="27"/>
      <c r="F152" s="27"/>
      <c r="G152" s="231"/>
      <c r="H152" s="27"/>
      <c r="I152" s="27"/>
      <c r="J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</row>
    <row r="153" spans="1:60" ht="13">
      <c r="A153" s="236"/>
      <c r="B153" s="236"/>
      <c r="C153" s="311"/>
      <c r="D153" s="237"/>
      <c r="E153" s="236"/>
      <c r="F153" s="236"/>
      <c r="G153" s="237"/>
      <c r="H153" s="236"/>
      <c r="I153" s="236"/>
      <c r="J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  <c r="AO153" s="236"/>
      <c r="AP153" s="236"/>
      <c r="AQ153" s="236"/>
      <c r="AR153" s="236"/>
      <c r="AS153" s="236"/>
      <c r="AT153" s="236"/>
      <c r="AU153" s="236"/>
      <c r="AV153" s="236"/>
      <c r="AW153" s="236"/>
      <c r="AX153" s="236"/>
      <c r="AY153" s="236"/>
      <c r="AZ153" s="236"/>
      <c r="BA153" s="236"/>
      <c r="BB153" s="236"/>
      <c r="BC153" s="236"/>
      <c r="BD153" s="236"/>
      <c r="BE153" s="236"/>
      <c r="BF153" s="236"/>
      <c r="BG153" s="236"/>
      <c r="BH153" s="236"/>
    </row>
    <row r="154" spans="1:60" ht="13">
      <c r="A154" s="27"/>
      <c r="B154" s="27"/>
      <c r="C154" s="312"/>
      <c r="D154" s="231"/>
      <c r="E154" s="27"/>
      <c r="F154" s="27"/>
      <c r="G154" s="231"/>
      <c r="H154" s="27"/>
      <c r="I154" s="27"/>
      <c r="J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</row>
    <row r="155" spans="1:60" ht="13">
      <c r="A155" s="236"/>
      <c r="B155" s="236"/>
      <c r="C155" s="311"/>
      <c r="D155" s="237"/>
      <c r="E155" s="236"/>
      <c r="F155" s="236"/>
      <c r="G155" s="237"/>
      <c r="H155" s="236"/>
      <c r="I155" s="236"/>
      <c r="J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  <c r="AO155" s="236"/>
      <c r="AP155" s="236"/>
      <c r="AQ155" s="236"/>
      <c r="AR155" s="236"/>
      <c r="AS155" s="236"/>
      <c r="AT155" s="236"/>
      <c r="AU155" s="236"/>
      <c r="AV155" s="236"/>
      <c r="AW155" s="236"/>
      <c r="AX155" s="236"/>
      <c r="AY155" s="236"/>
      <c r="AZ155" s="236"/>
      <c r="BA155" s="236"/>
      <c r="BB155" s="236"/>
      <c r="BC155" s="236"/>
      <c r="BD155" s="236"/>
      <c r="BE155" s="236"/>
      <c r="BF155" s="236"/>
      <c r="BG155" s="236"/>
      <c r="BH155" s="236"/>
    </row>
    <row r="156" spans="1:60" ht="13">
      <c r="A156" s="27"/>
      <c r="B156" s="27"/>
      <c r="C156" s="312"/>
      <c r="D156" s="231"/>
      <c r="E156" s="27"/>
      <c r="F156" s="27"/>
      <c r="G156" s="231"/>
      <c r="H156" s="27"/>
      <c r="I156" s="27"/>
      <c r="J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</row>
    <row r="157" spans="1:60" ht="13">
      <c r="A157" s="236"/>
      <c r="B157" s="236"/>
      <c r="C157" s="311"/>
      <c r="D157" s="237"/>
      <c r="E157" s="236"/>
      <c r="F157" s="236"/>
      <c r="G157" s="237"/>
      <c r="H157" s="236"/>
      <c r="I157" s="236"/>
      <c r="J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6"/>
      <c r="BB157" s="236"/>
      <c r="BC157" s="236"/>
      <c r="BD157" s="236"/>
      <c r="BE157" s="236"/>
      <c r="BF157" s="236"/>
      <c r="BG157" s="236"/>
      <c r="BH157" s="236"/>
    </row>
    <row r="158" spans="1:60" ht="13">
      <c r="A158" s="27"/>
      <c r="B158" s="27"/>
      <c r="C158" s="312"/>
      <c r="D158" s="231"/>
      <c r="E158" s="27"/>
      <c r="F158" s="27"/>
      <c r="G158" s="231"/>
      <c r="H158" s="27"/>
      <c r="I158" s="27"/>
      <c r="J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</row>
    <row r="159" spans="1:60" ht="13">
      <c r="A159" s="236"/>
      <c r="B159" s="236"/>
      <c r="C159" s="311"/>
      <c r="D159" s="237"/>
      <c r="E159" s="236"/>
      <c r="F159" s="236"/>
      <c r="G159" s="237"/>
      <c r="H159" s="236"/>
      <c r="I159" s="236"/>
      <c r="J159" s="236"/>
      <c r="N159" s="236"/>
      <c r="O159" s="236"/>
      <c r="P159" s="236"/>
      <c r="Q159" s="236"/>
      <c r="R159" s="236"/>
      <c r="S159" s="236"/>
      <c r="T159" s="236"/>
      <c r="U159" s="236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  <c r="AO159" s="236"/>
      <c r="AP159" s="236"/>
      <c r="AQ159" s="236"/>
      <c r="AR159" s="236"/>
      <c r="AS159" s="236"/>
      <c r="AT159" s="236"/>
      <c r="AU159" s="236"/>
      <c r="AV159" s="236"/>
      <c r="AW159" s="236"/>
      <c r="AX159" s="236"/>
      <c r="AY159" s="236"/>
      <c r="AZ159" s="236"/>
      <c r="BA159" s="236"/>
      <c r="BB159" s="236"/>
      <c r="BC159" s="236"/>
      <c r="BD159" s="236"/>
      <c r="BE159" s="236"/>
      <c r="BF159" s="236"/>
      <c r="BG159" s="236"/>
      <c r="BH159" s="236"/>
    </row>
    <row r="160" spans="1:60" ht="13">
      <c r="A160" s="27"/>
      <c r="B160" s="27"/>
      <c r="C160" s="312"/>
      <c r="D160" s="231"/>
      <c r="E160" s="27"/>
      <c r="F160" s="27"/>
      <c r="G160" s="231"/>
      <c r="H160" s="27"/>
      <c r="I160" s="27"/>
      <c r="J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</row>
    <row r="161" spans="1:60" ht="13">
      <c r="A161" s="236"/>
      <c r="B161" s="236"/>
      <c r="C161" s="311"/>
      <c r="D161" s="237"/>
      <c r="E161" s="236"/>
      <c r="F161" s="236"/>
      <c r="G161" s="237"/>
      <c r="H161" s="236"/>
      <c r="I161" s="236"/>
      <c r="J161" s="236"/>
      <c r="N161" s="236"/>
      <c r="O161" s="236"/>
      <c r="P161" s="236"/>
      <c r="Q161" s="236"/>
      <c r="R161" s="236"/>
      <c r="S161" s="236"/>
      <c r="T161" s="236"/>
      <c r="U161" s="236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  <c r="AO161" s="236"/>
      <c r="AP161" s="236"/>
      <c r="AQ161" s="236"/>
      <c r="AR161" s="236"/>
      <c r="AS161" s="236"/>
      <c r="AT161" s="236"/>
      <c r="AU161" s="236"/>
      <c r="AV161" s="236"/>
      <c r="AW161" s="236"/>
      <c r="AX161" s="236"/>
      <c r="AY161" s="236"/>
      <c r="AZ161" s="236"/>
      <c r="BA161" s="236"/>
      <c r="BB161" s="236"/>
      <c r="BC161" s="236"/>
      <c r="BD161" s="236"/>
      <c r="BE161" s="236"/>
      <c r="BF161" s="236"/>
      <c r="BG161" s="236"/>
      <c r="BH161" s="236"/>
    </row>
    <row r="162" spans="1:60" ht="13">
      <c r="A162" s="27"/>
      <c r="B162" s="27"/>
      <c r="C162" s="312"/>
      <c r="D162" s="231"/>
      <c r="E162" s="27"/>
      <c r="F162" s="27"/>
      <c r="G162" s="231"/>
      <c r="H162" s="27"/>
      <c r="I162" s="27"/>
      <c r="J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</row>
    <row r="163" spans="1:60" ht="13">
      <c r="A163" s="236"/>
      <c r="B163" s="236"/>
      <c r="C163" s="311"/>
      <c r="D163" s="237"/>
      <c r="E163" s="236"/>
      <c r="F163" s="236"/>
      <c r="G163" s="237"/>
      <c r="H163" s="236"/>
      <c r="I163" s="236"/>
      <c r="J163" s="236"/>
      <c r="N163" s="236"/>
      <c r="O163" s="236"/>
      <c r="P163" s="236"/>
      <c r="Q163" s="236"/>
      <c r="R163" s="236"/>
      <c r="S163" s="236"/>
      <c r="T163" s="236"/>
      <c r="U163" s="236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  <c r="AO163" s="236"/>
      <c r="AP163" s="236"/>
      <c r="AQ163" s="236"/>
      <c r="AR163" s="236"/>
      <c r="AS163" s="236"/>
      <c r="AT163" s="236"/>
      <c r="AU163" s="236"/>
      <c r="AV163" s="236"/>
      <c r="AW163" s="236"/>
      <c r="AX163" s="236"/>
      <c r="AY163" s="236"/>
      <c r="AZ163" s="236"/>
      <c r="BA163" s="236"/>
      <c r="BB163" s="236"/>
      <c r="BC163" s="236"/>
      <c r="BD163" s="236"/>
      <c r="BE163" s="236"/>
      <c r="BF163" s="236"/>
      <c r="BG163" s="236"/>
      <c r="BH163" s="236"/>
    </row>
    <row r="164" spans="1:60" ht="13">
      <c r="A164" s="27"/>
      <c r="B164" s="27"/>
      <c r="C164" s="312"/>
      <c r="D164" s="231"/>
      <c r="E164" s="27"/>
      <c r="F164" s="27"/>
      <c r="G164" s="231"/>
      <c r="H164" s="27"/>
      <c r="I164" s="27"/>
      <c r="J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</row>
    <row r="165" spans="1:60" ht="13">
      <c r="A165" s="236"/>
      <c r="B165" s="236"/>
      <c r="C165" s="311"/>
      <c r="D165" s="237"/>
      <c r="E165" s="236"/>
      <c r="F165" s="236"/>
      <c r="G165" s="237"/>
      <c r="H165" s="236"/>
      <c r="I165" s="236"/>
      <c r="J165" s="236"/>
      <c r="N165" s="236"/>
      <c r="O165" s="236"/>
      <c r="P165" s="236"/>
      <c r="Q165" s="236"/>
      <c r="R165" s="236"/>
      <c r="S165" s="236"/>
      <c r="T165" s="236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6"/>
      <c r="BB165" s="236"/>
      <c r="BC165" s="236"/>
      <c r="BD165" s="236"/>
      <c r="BE165" s="236"/>
      <c r="BF165" s="236"/>
      <c r="BG165" s="236"/>
      <c r="BH165" s="236"/>
    </row>
    <row r="166" spans="1:60" ht="13">
      <c r="A166" s="27"/>
      <c r="B166" s="27"/>
      <c r="C166" s="312"/>
      <c r="D166" s="231"/>
      <c r="E166" s="27"/>
      <c r="F166" s="27"/>
      <c r="G166" s="231"/>
      <c r="H166" s="27"/>
      <c r="I166" s="27"/>
      <c r="J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</row>
    <row r="167" spans="1:60" ht="13">
      <c r="A167" s="236"/>
      <c r="B167" s="236"/>
      <c r="C167" s="311"/>
      <c r="D167" s="237"/>
      <c r="E167" s="236"/>
      <c r="F167" s="236"/>
      <c r="G167" s="237"/>
      <c r="H167" s="236"/>
      <c r="I167" s="236"/>
      <c r="J167" s="236"/>
      <c r="N167" s="236"/>
      <c r="O167" s="23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  <c r="AO167" s="236"/>
      <c r="AP167" s="236"/>
      <c r="AQ167" s="236"/>
      <c r="AR167" s="236"/>
      <c r="AS167" s="236"/>
      <c r="AT167" s="236"/>
      <c r="AU167" s="236"/>
      <c r="AV167" s="236"/>
      <c r="AW167" s="236"/>
      <c r="AX167" s="236"/>
      <c r="AY167" s="236"/>
      <c r="AZ167" s="236"/>
      <c r="BA167" s="236"/>
      <c r="BB167" s="236"/>
      <c r="BC167" s="236"/>
      <c r="BD167" s="236"/>
      <c r="BE167" s="236"/>
      <c r="BF167" s="236"/>
      <c r="BG167" s="236"/>
      <c r="BH167" s="236"/>
    </row>
    <row r="168" spans="1:60" ht="13">
      <c r="A168" s="27"/>
      <c r="B168" s="27"/>
      <c r="C168" s="312"/>
      <c r="D168" s="231"/>
      <c r="E168" s="27"/>
      <c r="F168" s="27"/>
      <c r="G168" s="231"/>
      <c r="H168" s="27"/>
      <c r="I168" s="27"/>
      <c r="J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</row>
    <row r="169" spans="1:60" ht="13">
      <c r="A169" s="236"/>
      <c r="B169" s="236"/>
      <c r="C169" s="311"/>
      <c r="D169" s="237"/>
      <c r="E169" s="236"/>
      <c r="F169" s="236"/>
      <c r="G169" s="237"/>
      <c r="H169" s="236"/>
      <c r="I169" s="236"/>
      <c r="J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6"/>
      <c r="AI169" s="236"/>
      <c r="AJ169" s="236"/>
      <c r="AK169" s="236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6"/>
      <c r="BB169" s="236"/>
      <c r="BC169" s="236"/>
      <c r="BD169" s="236"/>
      <c r="BE169" s="236"/>
      <c r="BF169" s="236"/>
      <c r="BG169" s="236"/>
      <c r="BH169" s="236"/>
    </row>
    <row r="170" spans="1:60" ht="13">
      <c r="A170" s="27"/>
      <c r="B170" s="27"/>
      <c r="C170" s="312"/>
      <c r="D170" s="231"/>
      <c r="E170" s="27"/>
      <c r="F170" s="27"/>
      <c r="G170" s="231"/>
      <c r="H170" s="27"/>
      <c r="I170" s="27"/>
      <c r="J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</row>
    <row r="171" spans="1:60" ht="13">
      <c r="A171" s="236"/>
      <c r="B171" s="236"/>
      <c r="C171" s="311"/>
      <c r="D171" s="237"/>
      <c r="E171" s="236"/>
      <c r="F171" s="236"/>
      <c r="G171" s="237"/>
      <c r="H171" s="236"/>
      <c r="I171" s="236"/>
      <c r="J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236"/>
      <c r="AH171" s="236"/>
      <c r="AI171" s="236"/>
      <c r="AJ171" s="236"/>
      <c r="AK171" s="236"/>
      <c r="AL171" s="236"/>
      <c r="AM171" s="236"/>
      <c r="AN171" s="236"/>
      <c r="AO171" s="236"/>
      <c r="AP171" s="236"/>
      <c r="AQ171" s="236"/>
      <c r="AR171" s="236"/>
      <c r="AS171" s="236"/>
      <c r="AT171" s="236"/>
      <c r="AU171" s="236"/>
      <c r="AV171" s="236"/>
      <c r="AW171" s="236"/>
      <c r="AX171" s="236"/>
      <c r="AY171" s="236"/>
      <c r="AZ171" s="236"/>
      <c r="BA171" s="236"/>
      <c r="BB171" s="236"/>
      <c r="BC171" s="236"/>
      <c r="BD171" s="236"/>
      <c r="BE171" s="236"/>
      <c r="BF171" s="236"/>
      <c r="BG171" s="236"/>
      <c r="BH171" s="236"/>
    </row>
    <row r="172" spans="1:60" ht="13">
      <c r="A172" s="27"/>
      <c r="B172" s="27"/>
      <c r="C172" s="312"/>
      <c r="D172" s="231"/>
      <c r="E172" s="27"/>
      <c r="F172" s="27"/>
      <c r="G172" s="231"/>
      <c r="H172" s="27"/>
      <c r="I172" s="27"/>
      <c r="J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</row>
    <row r="173" spans="1:60" ht="13">
      <c r="A173" s="236"/>
      <c r="B173" s="236"/>
      <c r="C173" s="311"/>
      <c r="D173" s="237"/>
      <c r="E173" s="236"/>
      <c r="F173" s="236"/>
      <c r="G173" s="237"/>
      <c r="H173" s="236"/>
      <c r="I173" s="236"/>
      <c r="J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6"/>
      <c r="AI173" s="236"/>
      <c r="AJ173" s="236"/>
      <c r="AK173" s="236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6"/>
      <c r="BB173" s="236"/>
      <c r="BC173" s="236"/>
      <c r="BD173" s="236"/>
      <c r="BE173" s="236"/>
      <c r="BF173" s="236"/>
      <c r="BG173" s="236"/>
      <c r="BH173" s="236"/>
    </row>
    <row r="174" spans="1:60" ht="13">
      <c r="A174" s="27"/>
      <c r="B174" s="27"/>
      <c r="C174" s="312"/>
      <c r="D174" s="231"/>
      <c r="E174" s="27"/>
      <c r="F174" s="27"/>
      <c r="G174" s="231"/>
      <c r="H174" s="27"/>
      <c r="I174" s="27"/>
      <c r="J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</row>
    <row r="175" spans="1:60" ht="13">
      <c r="A175" s="236"/>
      <c r="B175" s="236"/>
      <c r="C175" s="311"/>
      <c r="D175" s="237"/>
      <c r="E175" s="236"/>
      <c r="F175" s="236"/>
      <c r="G175" s="237"/>
      <c r="H175" s="236"/>
      <c r="I175" s="236"/>
      <c r="J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236"/>
      <c r="AH175" s="236"/>
      <c r="AI175" s="236"/>
      <c r="AJ175" s="236"/>
      <c r="AK175" s="236"/>
      <c r="AL175" s="236"/>
      <c r="AM175" s="236"/>
      <c r="AN175" s="236"/>
      <c r="AO175" s="236"/>
      <c r="AP175" s="236"/>
      <c r="AQ175" s="236"/>
      <c r="AR175" s="236"/>
      <c r="AS175" s="236"/>
      <c r="AT175" s="236"/>
      <c r="AU175" s="236"/>
      <c r="AV175" s="236"/>
      <c r="AW175" s="236"/>
      <c r="AX175" s="236"/>
      <c r="AY175" s="236"/>
      <c r="AZ175" s="236"/>
      <c r="BA175" s="236"/>
      <c r="BB175" s="236"/>
      <c r="BC175" s="236"/>
      <c r="BD175" s="236"/>
      <c r="BE175" s="236"/>
      <c r="BF175" s="236"/>
      <c r="BG175" s="236"/>
      <c r="BH175" s="236"/>
    </row>
    <row r="176" spans="1:60" ht="13">
      <c r="A176" s="27"/>
      <c r="B176" s="27"/>
      <c r="C176" s="312"/>
      <c r="D176" s="231"/>
      <c r="E176" s="27"/>
      <c r="F176" s="27"/>
      <c r="G176" s="231"/>
      <c r="H176" s="27"/>
      <c r="I176" s="27"/>
      <c r="J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</row>
    <row r="177" spans="1:60" ht="13">
      <c r="A177" s="236"/>
      <c r="B177" s="236"/>
      <c r="C177" s="311"/>
      <c r="D177" s="237"/>
      <c r="E177" s="236"/>
      <c r="F177" s="236"/>
      <c r="G177" s="237"/>
      <c r="H177" s="236"/>
      <c r="I177" s="236"/>
      <c r="J177" s="236"/>
      <c r="N177" s="236"/>
      <c r="O177" s="236"/>
      <c r="P177" s="236"/>
      <c r="Q177" s="236"/>
      <c r="R177" s="236"/>
      <c r="S177" s="236"/>
      <c r="T177" s="236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6"/>
      <c r="AI177" s="236"/>
      <c r="AJ177" s="236"/>
      <c r="AK177" s="236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6"/>
      <c r="BB177" s="236"/>
      <c r="BC177" s="236"/>
      <c r="BD177" s="236"/>
      <c r="BE177" s="236"/>
      <c r="BF177" s="236"/>
      <c r="BG177" s="236"/>
      <c r="BH177" s="236"/>
    </row>
    <row r="178" spans="1:60" ht="13">
      <c r="A178" s="27"/>
      <c r="B178" s="27"/>
      <c r="C178" s="312"/>
      <c r="D178" s="231"/>
      <c r="E178" s="27"/>
      <c r="F178" s="27"/>
      <c r="G178" s="231"/>
      <c r="H178" s="27"/>
      <c r="I178" s="27"/>
      <c r="J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</row>
    <row r="179" spans="1:60" ht="13">
      <c r="A179" s="236"/>
      <c r="B179" s="236"/>
      <c r="C179" s="311"/>
      <c r="D179" s="237"/>
      <c r="E179" s="236"/>
      <c r="F179" s="236"/>
      <c r="G179" s="237"/>
      <c r="H179" s="236"/>
      <c r="I179" s="236"/>
      <c r="J179" s="236"/>
      <c r="N179" s="236"/>
      <c r="O179" s="236"/>
      <c r="P179" s="236"/>
      <c r="Q179" s="236"/>
      <c r="R179" s="236"/>
      <c r="S179" s="236"/>
      <c r="T179" s="236"/>
      <c r="U179" s="236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236"/>
      <c r="AH179" s="236"/>
      <c r="AI179" s="236"/>
      <c r="AJ179" s="236"/>
      <c r="AK179" s="236"/>
      <c r="AL179" s="236"/>
      <c r="AM179" s="236"/>
      <c r="AN179" s="236"/>
      <c r="AO179" s="236"/>
      <c r="AP179" s="236"/>
      <c r="AQ179" s="236"/>
      <c r="AR179" s="236"/>
      <c r="AS179" s="236"/>
      <c r="AT179" s="236"/>
      <c r="AU179" s="236"/>
      <c r="AV179" s="236"/>
      <c r="AW179" s="236"/>
      <c r="AX179" s="236"/>
      <c r="AY179" s="236"/>
      <c r="AZ179" s="236"/>
      <c r="BA179" s="236"/>
      <c r="BB179" s="236"/>
      <c r="BC179" s="236"/>
      <c r="BD179" s="236"/>
      <c r="BE179" s="236"/>
      <c r="BF179" s="236"/>
      <c r="BG179" s="236"/>
      <c r="BH179" s="236"/>
    </row>
    <row r="180" spans="1:60" ht="13">
      <c r="A180" s="27"/>
      <c r="B180" s="27"/>
      <c r="C180" s="312"/>
      <c r="D180" s="231"/>
      <c r="E180" s="27"/>
      <c r="F180" s="27"/>
      <c r="G180" s="231"/>
      <c r="H180" s="27"/>
      <c r="I180" s="27"/>
      <c r="J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</row>
    <row r="181" spans="1:60" ht="13">
      <c r="A181" s="236"/>
      <c r="B181" s="236"/>
      <c r="C181" s="311"/>
      <c r="D181" s="237"/>
      <c r="E181" s="236"/>
      <c r="F181" s="236"/>
      <c r="G181" s="237"/>
      <c r="H181" s="236"/>
      <c r="I181" s="236"/>
      <c r="J181" s="236"/>
      <c r="N181" s="236"/>
      <c r="O181" s="236"/>
      <c r="P181" s="236"/>
      <c r="Q181" s="236"/>
      <c r="R181" s="236"/>
      <c r="S181" s="236"/>
      <c r="T181" s="236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6"/>
      <c r="AI181" s="236"/>
      <c r="AJ181" s="236"/>
      <c r="AK181" s="236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6"/>
      <c r="BB181" s="236"/>
      <c r="BC181" s="236"/>
      <c r="BD181" s="236"/>
      <c r="BE181" s="236"/>
      <c r="BF181" s="236"/>
      <c r="BG181" s="236"/>
      <c r="BH181" s="236"/>
    </row>
    <row r="182" spans="1:60" ht="13">
      <c r="A182" s="27"/>
      <c r="B182" s="27"/>
      <c r="C182" s="312"/>
      <c r="D182" s="231"/>
      <c r="E182" s="27"/>
      <c r="F182" s="27"/>
      <c r="G182" s="231"/>
      <c r="H182" s="27"/>
      <c r="I182" s="27"/>
      <c r="J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</row>
    <row r="183" spans="1:60" ht="13">
      <c r="A183" s="236"/>
      <c r="B183" s="236"/>
      <c r="C183" s="311"/>
      <c r="D183" s="237"/>
      <c r="E183" s="236"/>
      <c r="F183" s="236"/>
      <c r="G183" s="237"/>
      <c r="H183" s="236"/>
      <c r="I183" s="236"/>
      <c r="J183" s="236"/>
      <c r="N183" s="236"/>
      <c r="O183" s="236"/>
      <c r="P183" s="236"/>
      <c r="Q183" s="236"/>
      <c r="R183" s="236"/>
      <c r="S183" s="236"/>
      <c r="T183" s="236"/>
      <c r="U183" s="236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236"/>
      <c r="AH183" s="236"/>
      <c r="AI183" s="236"/>
      <c r="AJ183" s="236"/>
      <c r="AK183" s="236"/>
      <c r="AL183" s="236"/>
      <c r="AM183" s="236"/>
      <c r="AN183" s="236"/>
      <c r="AO183" s="236"/>
      <c r="AP183" s="236"/>
      <c r="AQ183" s="236"/>
      <c r="AR183" s="236"/>
      <c r="AS183" s="236"/>
      <c r="AT183" s="236"/>
      <c r="AU183" s="236"/>
      <c r="AV183" s="236"/>
      <c r="AW183" s="236"/>
      <c r="AX183" s="236"/>
      <c r="AY183" s="236"/>
      <c r="AZ183" s="236"/>
      <c r="BA183" s="236"/>
      <c r="BB183" s="236"/>
      <c r="BC183" s="236"/>
      <c r="BD183" s="236"/>
      <c r="BE183" s="236"/>
      <c r="BF183" s="236"/>
      <c r="BG183" s="236"/>
      <c r="BH183" s="236"/>
    </row>
    <row r="184" spans="1:60" ht="13">
      <c r="A184" s="27"/>
      <c r="B184" s="27"/>
      <c r="C184" s="312"/>
      <c r="D184" s="231"/>
      <c r="E184" s="27"/>
      <c r="F184" s="27"/>
      <c r="G184" s="231"/>
      <c r="H184" s="27"/>
      <c r="I184" s="27"/>
      <c r="J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</row>
    <row r="185" spans="1:60" ht="13">
      <c r="A185" s="236"/>
      <c r="B185" s="236"/>
      <c r="C185" s="311"/>
      <c r="D185" s="237"/>
      <c r="E185" s="236"/>
      <c r="F185" s="236"/>
      <c r="G185" s="237"/>
      <c r="H185" s="236"/>
      <c r="I185" s="236"/>
      <c r="J185" s="236"/>
      <c r="N185" s="236"/>
      <c r="O185" s="236"/>
      <c r="P185" s="236"/>
      <c r="Q185" s="236"/>
      <c r="R185" s="236"/>
      <c r="S185" s="236"/>
      <c r="T185" s="236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6"/>
      <c r="AI185" s="236"/>
      <c r="AJ185" s="236"/>
      <c r="AK185" s="236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6"/>
      <c r="BB185" s="236"/>
      <c r="BC185" s="236"/>
      <c r="BD185" s="236"/>
      <c r="BE185" s="236"/>
      <c r="BF185" s="236"/>
      <c r="BG185" s="236"/>
      <c r="BH185" s="236"/>
    </row>
    <row r="186" spans="1:60" ht="13">
      <c r="A186" s="27"/>
      <c r="B186" s="27"/>
      <c r="C186" s="312"/>
      <c r="D186" s="231"/>
      <c r="E186" s="27"/>
      <c r="F186" s="27"/>
      <c r="G186" s="231"/>
      <c r="H186" s="27"/>
      <c r="I186" s="27"/>
      <c r="J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</row>
    <row r="187" spans="1:60" ht="13">
      <c r="A187" s="236"/>
      <c r="B187" s="236"/>
      <c r="C187" s="311"/>
      <c r="D187" s="237"/>
      <c r="E187" s="236"/>
      <c r="F187" s="236"/>
      <c r="G187" s="237"/>
      <c r="H187" s="236"/>
      <c r="I187" s="236"/>
      <c r="J187" s="236"/>
      <c r="N187" s="236"/>
      <c r="O187" s="236"/>
      <c r="P187" s="236"/>
      <c r="Q187" s="236"/>
      <c r="R187" s="236"/>
      <c r="S187" s="236"/>
      <c r="T187" s="236"/>
      <c r="U187" s="236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236"/>
      <c r="AH187" s="236"/>
      <c r="AI187" s="236"/>
      <c r="AJ187" s="236"/>
      <c r="AK187" s="236"/>
      <c r="AL187" s="236"/>
      <c r="AM187" s="236"/>
      <c r="AN187" s="236"/>
      <c r="AO187" s="236"/>
      <c r="AP187" s="236"/>
      <c r="AQ187" s="236"/>
      <c r="AR187" s="236"/>
      <c r="AS187" s="236"/>
      <c r="AT187" s="236"/>
      <c r="AU187" s="236"/>
      <c r="AV187" s="236"/>
      <c r="AW187" s="236"/>
      <c r="AX187" s="236"/>
      <c r="AY187" s="236"/>
      <c r="AZ187" s="236"/>
      <c r="BA187" s="236"/>
      <c r="BB187" s="236"/>
      <c r="BC187" s="236"/>
      <c r="BD187" s="236"/>
      <c r="BE187" s="236"/>
      <c r="BF187" s="236"/>
      <c r="BG187" s="236"/>
      <c r="BH187" s="236"/>
    </row>
    <row r="188" spans="1:60" ht="13">
      <c r="A188" s="27"/>
      <c r="B188" s="27"/>
      <c r="C188" s="312"/>
      <c r="D188" s="231"/>
      <c r="E188" s="27"/>
      <c r="F188" s="27"/>
      <c r="G188" s="231"/>
      <c r="H188" s="27"/>
      <c r="I188" s="27"/>
      <c r="J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</row>
    <row r="189" spans="1:60" ht="13">
      <c r="A189" s="236"/>
      <c r="B189" s="236"/>
      <c r="C189" s="311"/>
      <c r="D189" s="237"/>
      <c r="E189" s="236"/>
      <c r="F189" s="236"/>
      <c r="G189" s="237"/>
      <c r="H189" s="236"/>
      <c r="I189" s="236"/>
      <c r="J189" s="236"/>
      <c r="N189" s="236"/>
      <c r="O189" s="236"/>
      <c r="P189" s="236"/>
      <c r="Q189" s="236"/>
      <c r="R189" s="236"/>
      <c r="S189" s="236"/>
      <c r="T189" s="236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6"/>
      <c r="AI189" s="236"/>
      <c r="AJ189" s="236"/>
      <c r="AK189" s="236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6"/>
      <c r="BB189" s="236"/>
      <c r="BC189" s="236"/>
      <c r="BD189" s="236"/>
      <c r="BE189" s="236"/>
      <c r="BF189" s="236"/>
      <c r="BG189" s="236"/>
      <c r="BH189" s="236"/>
    </row>
    <row r="190" spans="1:60" ht="13">
      <c r="A190" s="27"/>
      <c r="B190" s="27"/>
      <c r="C190" s="312"/>
      <c r="D190" s="231"/>
      <c r="E190" s="27"/>
      <c r="F190" s="27"/>
      <c r="G190" s="231"/>
      <c r="H190" s="27"/>
      <c r="I190" s="27"/>
      <c r="J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</row>
    <row r="191" spans="1:60" ht="13">
      <c r="A191" s="236"/>
      <c r="B191" s="236"/>
      <c r="C191" s="311"/>
      <c r="D191" s="237"/>
      <c r="E191" s="236"/>
      <c r="F191" s="236"/>
      <c r="G191" s="237"/>
      <c r="H191" s="236"/>
      <c r="I191" s="236"/>
      <c r="J191" s="236"/>
      <c r="N191" s="236"/>
      <c r="O191" s="236"/>
      <c r="P191" s="236"/>
      <c r="Q191" s="236"/>
      <c r="R191" s="236"/>
      <c r="S191" s="236"/>
      <c r="T191" s="236"/>
      <c r="U191" s="236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236"/>
      <c r="AH191" s="236"/>
      <c r="AI191" s="236"/>
      <c r="AJ191" s="236"/>
      <c r="AK191" s="236"/>
      <c r="AL191" s="236"/>
      <c r="AM191" s="236"/>
      <c r="AN191" s="236"/>
      <c r="AO191" s="236"/>
      <c r="AP191" s="236"/>
      <c r="AQ191" s="236"/>
      <c r="AR191" s="236"/>
      <c r="AS191" s="236"/>
      <c r="AT191" s="236"/>
      <c r="AU191" s="236"/>
      <c r="AV191" s="236"/>
      <c r="AW191" s="236"/>
      <c r="AX191" s="236"/>
      <c r="AY191" s="236"/>
      <c r="AZ191" s="236"/>
      <c r="BA191" s="236"/>
      <c r="BB191" s="236"/>
      <c r="BC191" s="236"/>
      <c r="BD191" s="236"/>
      <c r="BE191" s="236"/>
      <c r="BF191" s="236"/>
      <c r="BG191" s="236"/>
      <c r="BH191" s="236"/>
    </row>
    <row r="192" spans="1:60" ht="13">
      <c r="A192" s="27"/>
      <c r="B192" s="27"/>
      <c r="C192" s="312"/>
      <c r="D192" s="231"/>
      <c r="E192" s="27"/>
      <c r="F192" s="27"/>
      <c r="G192" s="231"/>
      <c r="H192" s="27"/>
      <c r="I192" s="27"/>
      <c r="J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</row>
    <row r="193" spans="1:60" ht="13">
      <c r="A193" s="236"/>
      <c r="B193" s="236"/>
      <c r="C193" s="311"/>
      <c r="D193" s="237"/>
      <c r="E193" s="236"/>
      <c r="F193" s="236"/>
      <c r="G193" s="237"/>
      <c r="H193" s="236"/>
      <c r="I193" s="236"/>
      <c r="J193" s="236"/>
      <c r="N193" s="236"/>
      <c r="O193" s="236"/>
      <c r="P193" s="236"/>
      <c r="Q193" s="236"/>
      <c r="R193" s="236"/>
      <c r="S193" s="236"/>
      <c r="T193" s="236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6"/>
      <c r="AI193" s="236"/>
      <c r="AJ193" s="236"/>
      <c r="AK193" s="236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6"/>
      <c r="BB193" s="236"/>
      <c r="BC193" s="236"/>
      <c r="BD193" s="236"/>
      <c r="BE193" s="236"/>
      <c r="BF193" s="236"/>
      <c r="BG193" s="236"/>
      <c r="BH193" s="236"/>
    </row>
    <row r="194" spans="1:60" ht="13">
      <c r="A194" s="27"/>
      <c r="B194" s="27"/>
      <c r="C194" s="312"/>
      <c r="D194" s="231"/>
      <c r="E194" s="27"/>
      <c r="F194" s="27"/>
      <c r="G194" s="231"/>
      <c r="H194" s="27"/>
      <c r="I194" s="27"/>
      <c r="J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</row>
    <row r="195" spans="1:60" ht="13">
      <c r="A195" s="236"/>
      <c r="B195" s="236"/>
      <c r="C195" s="311"/>
      <c r="D195" s="237"/>
      <c r="E195" s="236"/>
      <c r="F195" s="236"/>
      <c r="G195" s="237"/>
      <c r="H195" s="236"/>
      <c r="I195" s="236"/>
      <c r="J195" s="236"/>
      <c r="N195" s="236"/>
      <c r="O195" s="236"/>
      <c r="P195" s="236"/>
      <c r="Q195" s="236"/>
      <c r="R195" s="236"/>
      <c r="S195" s="236"/>
      <c r="T195" s="236"/>
      <c r="U195" s="236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236"/>
      <c r="AH195" s="236"/>
      <c r="AI195" s="236"/>
      <c r="AJ195" s="236"/>
      <c r="AK195" s="236"/>
      <c r="AL195" s="236"/>
      <c r="AM195" s="236"/>
      <c r="AN195" s="236"/>
      <c r="AO195" s="236"/>
      <c r="AP195" s="236"/>
      <c r="AQ195" s="236"/>
      <c r="AR195" s="236"/>
      <c r="AS195" s="236"/>
      <c r="AT195" s="236"/>
      <c r="AU195" s="236"/>
      <c r="AV195" s="236"/>
      <c r="AW195" s="236"/>
      <c r="AX195" s="236"/>
      <c r="AY195" s="236"/>
      <c r="AZ195" s="236"/>
      <c r="BA195" s="236"/>
      <c r="BB195" s="236"/>
      <c r="BC195" s="236"/>
      <c r="BD195" s="236"/>
      <c r="BE195" s="236"/>
      <c r="BF195" s="236"/>
      <c r="BG195" s="236"/>
      <c r="BH195" s="236"/>
    </row>
    <row r="196" spans="1:60" ht="13">
      <c r="A196" s="27"/>
      <c r="B196" s="27"/>
      <c r="C196" s="312"/>
      <c r="D196" s="231"/>
      <c r="E196" s="27"/>
      <c r="F196" s="27"/>
      <c r="G196" s="231"/>
      <c r="H196" s="27"/>
      <c r="I196" s="27"/>
      <c r="J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</row>
    <row r="197" spans="1:60" ht="13">
      <c r="A197" s="236"/>
      <c r="B197" s="236"/>
      <c r="C197" s="311"/>
      <c r="D197" s="237"/>
      <c r="E197" s="236"/>
      <c r="F197" s="236"/>
      <c r="G197" s="237"/>
      <c r="H197" s="236"/>
      <c r="I197" s="236"/>
      <c r="J197" s="236"/>
      <c r="N197" s="236"/>
      <c r="O197" s="236"/>
      <c r="P197" s="236"/>
      <c r="Q197" s="236"/>
      <c r="R197" s="236"/>
      <c r="S197" s="236"/>
      <c r="T197" s="236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6"/>
      <c r="AI197" s="236"/>
      <c r="AJ197" s="236"/>
      <c r="AK197" s="236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6"/>
      <c r="BB197" s="236"/>
      <c r="BC197" s="236"/>
      <c r="BD197" s="236"/>
      <c r="BE197" s="236"/>
      <c r="BF197" s="236"/>
      <c r="BG197" s="236"/>
      <c r="BH197" s="236"/>
    </row>
    <row r="198" spans="1:60" ht="13">
      <c r="A198" s="27"/>
      <c r="B198" s="27"/>
      <c r="C198" s="312"/>
      <c r="D198" s="231"/>
      <c r="E198" s="27"/>
      <c r="F198" s="27"/>
      <c r="G198" s="231"/>
      <c r="H198" s="27"/>
      <c r="I198" s="27"/>
      <c r="J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</row>
    <row r="199" spans="1:60" ht="13">
      <c r="A199" s="236"/>
      <c r="B199" s="236"/>
      <c r="C199" s="311"/>
      <c r="D199" s="237"/>
      <c r="E199" s="236"/>
      <c r="F199" s="236"/>
      <c r="G199" s="237"/>
      <c r="H199" s="236"/>
      <c r="I199" s="236"/>
      <c r="J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236"/>
      <c r="AH199" s="236"/>
      <c r="AI199" s="236"/>
      <c r="AJ199" s="236"/>
      <c r="AK199" s="236"/>
      <c r="AL199" s="236"/>
      <c r="AM199" s="236"/>
      <c r="AN199" s="236"/>
      <c r="AO199" s="236"/>
      <c r="AP199" s="236"/>
      <c r="AQ199" s="236"/>
      <c r="AR199" s="236"/>
      <c r="AS199" s="236"/>
      <c r="AT199" s="236"/>
      <c r="AU199" s="236"/>
      <c r="AV199" s="236"/>
      <c r="AW199" s="236"/>
      <c r="AX199" s="236"/>
      <c r="AY199" s="236"/>
      <c r="AZ199" s="236"/>
      <c r="BA199" s="236"/>
      <c r="BB199" s="236"/>
      <c r="BC199" s="236"/>
      <c r="BD199" s="236"/>
      <c r="BE199" s="236"/>
      <c r="BF199" s="236"/>
      <c r="BG199" s="236"/>
      <c r="BH199" s="236"/>
    </row>
    <row r="200" spans="1:60" ht="13">
      <c r="A200" s="27"/>
      <c r="B200" s="27"/>
      <c r="C200" s="312"/>
      <c r="D200" s="231"/>
      <c r="E200" s="27"/>
      <c r="F200" s="27"/>
      <c r="G200" s="231"/>
      <c r="H200" s="27"/>
      <c r="I200" s="27"/>
      <c r="J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</row>
    <row r="201" spans="1:60" ht="13">
      <c r="A201" s="236"/>
      <c r="B201" s="236"/>
      <c r="C201" s="311"/>
      <c r="D201" s="237"/>
      <c r="E201" s="236"/>
      <c r="F201" s="236"/>
      <c r="G201" s="237"/>
      <c r="H201" s="236"/>
      <c r="I201" s="236"/>
      <c r="J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236"/>
      <c r="AH201" s="236"/>
      <c r="AI201" s="236"/>
      <c r="AJ201" s="236"/>
      <c r="AK201" s="236"/>
      <c r="AL201" s="236"/>
      <c r="AM201" s="236"/>
      <c r="AN201" s="236"/>
      <c r="AO201" s="236"/>
      <c r="AP201" s="236"/>
      <c r="AQ201" s="236"/>
      <c r="AR201" s="236"/>
      <c r="AS201" s="236"/>
      <c r="AT201" s="236"/>
      <c r="AU201" s="236"/>
      <c r="AV201" s="236"/>
      <c r="AW201" s="236"/>
      <c r="AX201" s="236"/>
      <c r="AY201" s="236"/>
      <c r="AZ201" s="236"/>
      <c r="BA201" s="236"/>
      <c r="BB201" s="236"/>
      <c r="BC201" s="236"/>
      <c r="BD201" s="236"/>
      <c r="BE201" s="236"/>
      <c r="BF201" s="236"/>
      <c r="BG201" s="236"/>
      <c r="BH201" s="236"/>
    </row>
    <row r="202" spans="1:60" ht="13">
      <c r="A202" s="27"/>
      <c r="B202" s="27"/>
      <c r="C202" s="312"/>
      <c r="D202" s="231"/>
      <c r="E202" s="27"/>
      <c r="F202" s="27"/>
      <c r="G202" s="231"/>
      <c r="H202" s="27"/>
      <c r="I202" s="27"/>
      <c r="J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</row>
    <row r="203" spans="1:60" ht="13">
      <c r="A203" s="236"/>
      <c r="B203" s="236"/>
      <c r="C203" s="311"/>
      <c r="D203" s="237"/>
      <c r="E203" s="236"/>
      <c r="F203" s="236"/>
      <c r="G203" s="237"/>
      <c r="H203" s="236"/>
      <c r="I203" s="236"/>
      <c r="J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236"/>
      <c r="AH203" s="236"/>
      <c r="AI203" s="236"/>
      <c r="AJ203" s="236"/>
      <c r="AK203" s="236"/>
      <c r="AL203" s="236"/>
      <c r="AM203" s="236"/>
      <c r="AN203" s="236"/>
      <c r="AO203" s="236"/>
      <c r="AP203" s="236"/>
      <c r="AQ203" s="236"/>
      <c r="AR203" s="236"/>
      <c r="AS203" s="236"/>
      <c r="AT203" s="236"/>
      <c r="AU203" s="236"/>
      <c r="AV203" s="236"/>
      <c r="AW203" s="236"/>
      <c r="AX203" s="236"/>
      <c r="AY203" s="236"/>
      <c r="AZ203" s="236"/>
      <c r="BA203" s="236"/>
      <c r="BB203" s="236"/>
      <c r="BC203" s="236"/>
      <c r="BD203" s="236"/>
      <c r="BE203" s="236"/>
      <c r="BF203" s="236"/>
      <c r="BG203" s="236"/>
      <c r="BH203" s="236"/>
    </row>
    <row r="204" spans="1:60" ht="13">
      <c r="A204" s="27"/>
      <c r="B204" s="27"/>
      <c r="C204" s="312"/>
      <c r="D204" s="231"/>
      <c r="E204" s="27"/>
      <c r="F204" s="27"/>
      <c r="G204" s="231"/>
      <c r="H204" s="27"/>
      <c r="I204" s="27"/>
      <c r="J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</row>
    <row r="205" spans="1:60" ht="13">
      <c r="A205" s="236"/>
      <c r="B205" s="236"/>
      <c r="C205" s="311"/>
      <c r="D205" s="237"/>
      <c r="E205" s="236"/>
      <c r="F205" s="236"/>
      <c r="G205" s="237"/>
      <c r="H205" s="236"/>
      <c r="I205" s="236"/>
      <c r="J205" s="236"/>
      <c r="N205" s="236"/>
      <c r="O205" s="236"/>
      <c r="P205" s="236"/>
      <c r="Q205" s="236"/>
      <c r="R205" s="236"/>
      <c r="S205" s="236"/>
      <c r="T205" s="236"/>
      <c r="U205" s="236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236"/>
      <c r="AQ205" s="236"/>
      <c r="AR205" s="236"/>
      <c r="AS205" s="236"/>
      <c r="AT205" s="236"/>
      <c r="AU205" s="236"/>
      <c r="AV205" s="236"/>
      <c r="AW205" s="236"/>
      <c r="AX205" s="236"/>
      <c r="AY205" s="236"/>
      <c r="AZ205" s="236"/>
      <c r="BA205" s="236"/>
      <c r="BB205" s="236"/>
      <c r="BC205" s="236"/>
      <c r="BD205" s="236"/>
      <c r="BE205" s="236"/>
      <c r="BF205" s="236"/>
      <c r="BG205" s="236"/>
      <c r="BH205" s="236"/>
    </row>
    <row r="206" spans="1:60" ht="13">
      <c r="A206" s="27"/>
      <c r="B206" s="27"/>
      <c r="C206" s="312"/>
      <c r="D206" s="231"/>
      <c r="E206" s="27"/>
      <c r="F206" s="27"/>
      <c r="G206" s="231"/>
      <c r="H206" s="27"/>
      <c r="I206" s="27"/>
      <c r="J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</row>
    <row r="207" spans="1:60" ht="13">
      <c r="A207" s="236"/>
      <c r="B207" s="236"/>
      <c r="C207" s="311"/>
      <c r="D207" s="237"/>
      <c r="E207" s="236"/>
      <c r="F207" s="236"/>
      <c r="G207" s="237"/>
      <c r="H207" s="236"/>
      <c r="I207" s="236"/>
      <c r="J207" s="236"/>
      <c r="N207" s="236"/>
      <c r="O207" s="236"/>
      <c r="P207" s="236"/>
      <c r="Q207" s="236"/>
      <c r="R207" s="236"/>
      <c r="S207" s="236"/>
      <c r="T207" s="236"/>
      <c r="U207" s="236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236"/>
      <c r="AH207" s="236"/>
      <c r="AI207" s="236"/>
      <c r="AJ207" s="236"/>
      <c r="AK207" s="236"/>
      <c r="AL207" s="236"/>
      <c r="AM207" s="236"/>
      <c r="AN207" s="236"/>
      <c r="AO207" s="236"/>
      <c r="AP207" s="236"/>
      <c r="AQ207" s="236"/>
      <c r="AR207" s="236"/>
      <c r="AS207" s="236"/>
      <c r="AT207" s="236"/>
      <c r="AU207" s="236"/>
      <c r="AV207" s="236"/>
      <c r="AW207" s="236"/>
      <c r="AX207" s="236"/>
      <c r="AY207" s="236"/>
      <c r="AZ207" s="236"/>
      <c r="BA207" s="236"/>
      <c r="BB207" s="236"/>
      <c r="BC207" s="236"/>
      <c r="BD207" s="236"/>
      <c r="BE207" s="236"/>
      <c r="BF207" s="236"/>
      <c r="BG207" s="236"/>
      <c r="BH207" s="236"/>
    </row>
    <row r="208" spans="1:60" ht="13">
      <c r="A208" s="27"/>
      <c r="B208" s="27"/>
      <c r="C208" s="312"/>
      <c r="D208" s="231"/>
      <c r="E208" s="27"/>
      <c r="F208" s="27"/>
      <c r="G208" s="231"/>
      <c r="H208" s="27"/>
      <c r="I208" s="27"/>
      <c r="J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</row>
    <row r="209" spans="1:60" ht="13">
      <c r="A209" s="236"/>
      <c r="B209" s="236"/>
      <c r="C209" s="311"/>
      <c r="D209" s="237"/>
      <c r="E209" s="236"/>
      <c r="F209" s="236"/>
      <c r="G209" s="237"/>
      <c r="H209" s="236"/>
      <c r="I209" s="236"/>
      <c r="J209" s="236"/>
      <c r="N209" s="236"/>
      <c r="O209" s="236"/>
      <c r="P209" s="236"/>
      <c r="Q209" s="236"/>
      <c r="R209" s="236"/>
      <c r="S209" s="236"/>
      <c r="T209" s="236"/>
      <c r="U209" s="236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236"/>
      <c r="AH209" s="236"/>
      <c r="AI209" s="236"/>
      <c r="AJ209" s="236"/>
      <c r="AK209" s="236"/>
      <c r="AL209" s="236"/>
      <c r="AM209" s="236"/>
      <c r="AN209" s="236"/>
      <c r="AO209" s="236"/>
      <c r="AP209" s="236"/>
      <c r="AQ209" s="236"/>
      <c r="AR209" s="236"/>
      <c r="AS209" s="236"/>
      <c r="AT209" s="236"/>
      <c r="AU209" s="236"/>
      <c r="AV209" s="236"/>
      <c r="AW209" s="236"/>
      <c r="AX209" s="236"/>
      <c r="AY209" s="236"/>
      <c r="AZ209" s="236"/>
      <c r="BA209" s="236"/>
      <c r="BB209" s="236"/>
      <c r="BC209" s="236"/>
      <c r="BD209" s="236"/>
      <c r="BE209" s="236"/>
      <c r="BF209" s="236"/>
      <c r="BG209" s="236"/>
      <c r="BH209" s="236"/>
    </row>
    <row r="210" spans="1:60" ht="13">
      <c r="A210" s="27"/>
      <c r="B210" s="27"/>
      <c r="C210" s="312"/>
      <c r="D210" s="231"/>
      <c r="E210" s="27"/>
      <c r="F210" s="27"/>
      <c r="G210" s="231"/>
      <c r="H210" s="27"/>
      <c r="I210" s="27"/>
      <c r="J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</row>
    <row r="211" spans="1:60" ht="13">
      <c r="A211" s="236"/>
      <c r="B211" s="236"/>
      <c r="C211" s="311"/>
      <c r="D211" s="237"/>
      <c r="E211" s="236"/>
      <c r="F211" s="236"/>
      <c r="G211" s="237"/>
      <c r="H211" s="236"/>
      <c r="I211" s="236"/>
      <c r="J211" s="236"/>
      <c r="N211" s="236"/>
      <c r="O211" s="236"/>
      <c r="P211" s="236"/>
      <c r="Q211" s="236"/>
      <c r="R211" s="236"/>
      <c r="S211" s="236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236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236"/>
      <c r="BD211" s="236"/>
      <c r="BE211" s="236"/>
      <c r="BF211" s="236"/>
      <c r="BG211" s="236"/>
      <c r="BH211" s="236"/>
    </row>
    <row r="212" spans="1:60" ht="13">
      <c r="A212" s="27"/>
      <c r="B212" s="27"/>
      <c r="C212" s="312"/>
      <c r="D212" s="231"/>
      <c r="E212" s="27"/>
      <c r="F212" s="27"/>
      <c r="G212" s="231"/>
      <c r="H212" s="27"/>
      <c r="I212" s="27"/>
      <c r="J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</row>
    <row r="213" spans="1:60" ht="13">
      <c r="A213" s="236"/>
      <c r="B213" s="236"/>
      <c r="C213" s="311"/>
      <c r="D213" s="237"/>
      <c r="E213" s="236"/>
      <c r="F213" s="236"/>
      <c r="G213" s="237"/>
      <c r="H213" s="236"/>
      <c r="I213" s="236"/>
      <c r="J213" s="236"/>
      <c r="N213" s="236"/>
      <c r="O213" s="236"/>
      <c r="P213" s="236"/>
      <c r="Q213" s="236"/>
      <c r="R213" s="236"/>
      <c r="S213" s="236"/>
      <c r="T213" s="236"/>
      <c r="U213" s="236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236"/>
      <c r="AH213" s="236"/>
      <c r="AI213" s="236"/>
      <c r="AJ213" s="236"/>
      <c r="AK213" s="236"/>
      <c r="AL213" s="236"/>
      <c r="AM213" s="236"/>
      <c r="AN213" s="236"/>
      <c r="AO213" s="236"/>
      <c r="AP213" s="236"/>
      <c r="AQ213" s="236"/>
      <c r="AR213" s="236"/>
      <c r="AS213" s="236"/>
      <c r="AT213" s="236"/>
      <c r="AU213" s="236"/>
      <c r="AV213" s="236"/>
      <c r="AW213" s="236"/>
      <c r="AX213" s="236"/>
      <c r="AY213" s="236"/>
      <c r="AZ213" s="236"/>
      <c r="BA213" s="236"/>
      <c r="BB213" s="236"/>
      <c r="BC213" s="236"/>
      <c r="BD213" s="236"/>
      <c r="BE213" s="236"/>
      <c r="BF213" s="236"/>
      <c r="BG213" s="236"/>
      <c r="BH213" s="236"/>
    </row>
    <row r="214" spans="1:60" ht="13">
      <c r="A214" s="27"/>
      <c r="B214" s="27"/>
      <c r="C214" s="312"/>
      <c r="D214" s="231"/>
      <c r="E214" s="27"/>
      <c r="F214" s="27"/>
      <c r="G214" s="231"/>
      <c r="H214" s="27"/>
      <c r="I214" s="27"/>
      <c r="J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</row>
    <row r="215" spans="1:60" ht="13">
      <c r="A215" s="236"/>
      <c r="B215" s="236"/>
      <c r="C215" s="311"/>
      <c r="D215" s="237"/>
      <c r="E215" s="236"/>
      <c r="F215" s="236"/>
      <c r="G215" s="237"/>
      <c r="H215" s="236"/>
      <c r="I215" s="236"/>
      <c r="J215" s="236"/>
      <c r="N215" s="236"/>
      <c r="O215" s="236"/>
      <c r="P215" s="236"/>
      <c r="Q215" s="236"/>
      <c r="R215" s="236"/>
      <c r="S215" s="236"/>
      <c r="T215" s="236"/>
      <c r="U215" s="236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236"/>
      <c r="AH215" s="236"/>
      <c r="AI215" s="236"/>
      <c r="AJ215" s="236"/>
      <c r="AK215" s="236"/>
      <c r="AL215" s="236"/>
      <c r="AM215" s="236"/>
      <c r="AN215" s="236"/>
      <c r="AO215" s="236"/>
      <c r="AP215" s="236"/>
      <c r="AQ215" s="236"/>
      <c r="AR215" s="236"/>
      <c r="AS215" s="236"/>
      <c r="AT215" s="236"/>
      <c r="AU215" s="236"/>
      <c r="AV215" s="236"/>
      <c r="AW215" s="236"/>
      <c r="AX215" s="236"/>
      <c r="AY215" s="236"/>
      <c r="AZ215" s="236"/>
      <c r="BA215" s="236"/>
      <c r="BB215" s="236"/>
      <c r="BC215" s="236"/>
      <c r="BD215" s="236"/>
      <c r="BE215" s="236"/>
      <c r="BF215" s="236"/>
      <c r="BG215" s="236"/>
      <c r="BH215" s="236"/>
    </row>
    <row r="216" spans="1:60" ht="13">
      <c r="A216" s="27"/>
      <c r="B216" s="27"/>
      <c r="C216" s="312"/>
      <c r="D216" s="231"/>
      <c r="E216" s="27"/>
      <c r="F216" s="27"/>
      <c r="G216" s="231"/>
      <c r="H216" s="27"/>
      <c r="I216" s="27"/>
      <c r="J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</row>
    <row r="217" spans="1:60" ht="13">
      <c r="A217" s="236"/>
      <c r="B217" s="236"/>
      <c r="C217" s="311"/>
      <c r="D217" s="237"/>
      <c r="E217" s="236"/>
      <c r="F217" s="236"/>
      <c r="G217" s="237"/>
      <c r="H217" s="236"/>
      <c r="I217" s="236"/>
      <c r="J217" s="236"/>
      <c r="N217" s="236"/>
      <c r="O217" s="236"/>
      <c r="P217" s="236"/>
      <c r="Q217" s="236"/>
      <c r="R217" s="236"/>
      <c r="S217" s="236"/>
      <c r="T217" s="236"/>
      <c r="U217" s="236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236"/>
      <c r="AQ217" s="236"/>
      <c r="AR217" s="236"/>
      <c r="AS217" s="236"/>
      <c r="AT217" s="236"/>
      <c r="AU217" s="236"/>
      <c r="AV217" s="236"/>
      <c r="AW217" s="236"/>
      <c r="AX217" s="236"/>
      <c r="AY217" s="236"/>
      <c r="AZ217" s="236"/>
      <c r="BA217" s="236"/>
      <c r="BB217" s="236"/>
      <c r="BC217" s="236"/>
      <c r="BD217" s="236"/>
      <c r="BE217" s="236"/>
      <c r="BF217" s="236"/>
      <c r="BG217" s="236"/>
      <c r="BH217" s="236"/>
    </row>
    <row r="218" spans="1:60" ht="13">
      <c r="A218" s="27"/>
      <c r="B218" s="27"/>
      <c r="C218" s="312"/>
      <c r="D218" s="231"/>
      <c r="E218" s="27"/>
      <c r="F218" s="27"/>
      <c r="G218" s="231"/>
      <c r="H218" s="27"/>
      <c r="I218" s="27"/>
      <c r="J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</row>
    <row r="219" spans="1:60" ht="13">
      <c r="A219" s="236"/>
      <c r="B219" s="236"/>
      <c r="C219" s="311"/>
      <c r="D219" s="237"/>
      <c r="E219" s="236"/>
      <c r="F219" s="236"/>
      <c r="G219" s="237"/>
      <c r="H219" s="236"/>
      <c r="I219" s="236"/>
      <c r="J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236"/>
      <c r="AH219" s="236"/>
      <c r="AI219" s="236"/>
      <c r="AJ219" s="236"/>
      <c r="AK219" s="236"/>
      <c r="AL219" s="236"/>
      <c r="AM219" s="236"/>
      <c r="AN219" s="236"/>
      <c r="AO219" s="236"/>
      <c r="AP219" s="236"/>
      <c r="AQ219" s="236"/>
      <c r="AR219" s="236"/>
      <c r="AS219" s="236"/>
      <c r="AT219" s="236"/>
      <c r="AU219" s="236"/>
      <c r="AV219" s="236"/>
      <c r="AW219" s="236"/>
      <c r="AX219" s="236"/>
      <c r="AY219" s="236"/>
      <c r="AZ219" s="236"/>
      <c r="BA219" s="236"/>
      <c r="BB219" s="236"/>
      <c r="BC219" s="236"/>
      <c r="BD219" s="236"/>
      <c r="BE219" s="236"/>
      <c r="BF219" s="236"/>
      <c r="BG219" s="236"/>
      <c r="BH219" s="236"/>
    </row>
    <row r="220" spans="1:60" ht="13">
      <c r="A220" s="27"/>
      <c r="B220" s="27"/>
      <c r="C220" s="312"/>
      <c r="D220" s="231"/>
      <c r="E220" s="27"/>
      <c r="F220" s="27"/>
      <c r="G220" s="231"/>
      <c r="H220" s="27"/>
      <c r="I220" s="27"/>
      <c r="J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</row>
    <row r="221" spans="1:60" ht="13">
      <c r="A221" s="236"/>
      <c r="B221" s="236"/>
      <c r="C221" s="311"/>
      <c r="D221" s="237"/>
      <c r="E221" s="236"/>
      <c r="F221" s="236"/>
      <c r="G221" s="237"/>
      <c r="H221" s="236"/>
      <c r="I221" s="236"/>
      <c r="J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236"/>
      <c r="AH221" s="236"/>
      <c r="AI221" s="236"/>
      <c r="AJ221" s="236"/>
      <c r="AK221" s="236"/>
      <c r="AL221" s="236"/>
      <c r="AM221" s="236"/>
      <c r="AN221" s="236"/>
      <c r="AO221" s="236"/>
      <c r="AP221" s="236"/>
      <c r="AQ221" s="236"/>
      <c r="AR221" s="236"/>
      <c r="AS221" s="236"/>
      <c r="AT221" s="236"/>
      <c r="AU221" s="236"/>
      <c r="AV221" s="236"/>
      <c r="AW221" s="236"/>
      <c r="AX221" s="236"/>
      <c r="AY221" s="236"/>
      <c r="AZ221" s="236"/>
      <c r="BA221" s="236"/>
      <c r="BB221" s="236"/>
      <c r="BC221" s="236"/>
      <c r="BD221" s="236"/>
      <c r="BE221" s="236"/>
      <c r="BF221" s="236"/>
      <c r="BG221" s="236"/>
      <c r="BH221" s="236"/>
    </row>
    <row r="222" spans="1:60" ht="13">
      <c r="A222" s="27"/>
      <c r="B222" s="27"/>
      <c r="C222" s="312"/>
      <c r="D222" s="231"/>
      <c r="E222" s="27"/>
      <c r="F222" s="27"/>
      <c r="G222" s="231"/>
      <c r="H222" s="27"/>
      <c r="I222" s="27"/>
      <c r="J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</row>
    <row r="223" spans="1:60" ht="13">
      <c r="A223" s="236"/>
      <c r="B223" s="236"/>
      <c r="C223" s="311"/>
      <c r="D223" s="237"/>
      <c r="E223" s="236"/>
      <c r="F223" s="236"/>
      <c r="G223" s="237"/>
      <c r="H223" s="236"/>
      <c r="I223" s="236"/>
      <c r="J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  <c r="AN223" s="236"/>
      <c r="AO223" s="236"/>
      <c r="AP223" s="236"/>
      <c r="AQ223" s="236"/>
      <c r="AR223" s="236"/>
      <c r="AS223" s="236"/>
      <c r="AT223" s="236"/>
      <c r="AU223" s="236"/>
      <c r="AV223" s="236"/>
      <c r="AW223" s="236"/>
      <c r="AX223" s="236"/>
      <c r="AY223" s="236"/>
      <c r="AZ223" s="236"/>
      <c r="BA223" s="236"/>
      <c r="BB223" s="236"/>
      <c r="BC223" s="236"/>
      <c r="BD223" s="236"/>
      <c r="BE223" s="236"/>
      <c r="BF223" s="236"/>
      <c r="BG223" s="236"/>
      <c r="BH223" s="236"/>
    </row>
    <row r="224" spans="1:60" ht="13">
      <c r="A224" s="27"/>
      <c r="B224" s="27"/>
      <c r="C224" s="312"/>
      <c r="D224" s="231"/>
      <c r="E224" s="27"/>
      <c r="F224" s="27"/>
      <c r="G224" s="231"/>
      <c r="H224" s="27"/>
      <c r="I224" s="27"/>
      <c r="J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</row>
    <row r="225" spans="1:60" ht="13">
      <c r="A225" s="236"/>
      <c r="B225" s="236"/>
      <c r="C225" s="311"/>
      <c r="D225" s="237"/>
      <c r="E225" s="236"/>
      <c r="F225" s="236"/>
      <c r="G225" s="237"/>
      <c r="H225" s="236"/>
      <c r="I225" s="236"/>
      <c r="J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236"/>
      <c r="AH225" s="236"/>
      <c r="AI225" s="236"/>
      <c r="AJ225" s="236"/>
      <c r="AK225" s="236"/>
      <c r="AL225" s="236"/>
      <c r="AM225" s="236"/>
      <c r="AN225" s="236"/>
      <c r="AO225" s="236"/>
      <c r="AP225" s="236"/>
      <c r="AQ225" s="236"/>
      <c r="AR225" s="236"/>
      <c r="AS225" s="236"/>
      <c r="AT225" s="236"/>
      <c r="AU225" s="236"/>
      <c r="AV225" s="236"/>
      <c r="AW225" s="236"/>
      <c r="AX225" s="236"/>
      <c r="AY225" s="236"/>
      <c r="AZ225" s="236"/>
      <c r="BA225" s="236"/>
      <c r="BB225" s="236"/>
      <c r="BC225" s="236"/>
      <c r="BD225" s="236"/>
      <c r="BE225" s="236"/>
      <c r="BF225" s="236"/>
      <c r="BG225" s="236"/>
      <c r="BH225" s="236"/>
    </row>
    <row r="226" spans="1:60" ht="13">
      <c r="A226" s="27"/>
      <c r="B226" s="27"/>
      <c r="C226" s="312"/>
      <c r="D226" s="231"/>
      <c r="E226" s="27"/>
      <c r="F226" s="27"/>
      <c r="G226" s="231"/>
      <c r="H226" s="27"/>
      <c r="I226" s="27"/>
      <c r="J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</row>
    <row r="227" spans="1:60" ht="13">
      <c r="A227" s="236"/>
      <c r="B227" s="236"/>
      <c r="C227" s="311"/>
      <c r="D227" s="237"/>
      <c r="E227" s="236"/>
      <c r="F227" s="236"/>
      <c r="G227" s="237"/>
      <c r="H227" s="236"/>
      <c r="I227" s="236"/>
      <c r="J227" s="236"/>
      <c r="N227" s="236"/>
      <c r="O227" s="236"/>
      <c r="P227" s="236"/>
      <c r="Q227" s="236"/>
      <c r="R227" s="236"/>
      <c r="S227" s="236"/>
      <c r="T227" s="236"/>
      <c r="U227" s="236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236"/>
      <c r="AH227" s="236"/>
      <c r="AI227" s="236"/>
      <c r="AJ227" s="236"/>
      <c r="AK227" s="236"/>
      <c r="AL227" s="236"/>
      <c r="AM227" s="236"/>
      <c r="AN227" s="236"/>
      <c r="AO227" s="236"/>
      <c r="AP227" s="236"/>
      <c r="AQ227" s="236"/>
      <c r="AR227" s="236"/>
      <c r="AS227" s="236"/>
      <c r="AT227" s="236"/>
      <c r="AU227" s="236"/>
      <c r="AV227" s="236"/>
      <c r="AW227" s="236"/>
      <c r="AX227" s="236"/>
      <c r="AY227" s="236"/>
      <c r="AZ227" s="236"/>
      <c r="BA227" s="236"/>
      <c r="BB227" s="236"/>
      <c r="BC227" s="236"/>
      <c r="BD227" s="236"/>
      <c r="BE227" s="236"/>
      <c r="BF227" s="236"/>
      <c r="BG227" s="236"/>
      <c r="BH227" s="236"/>
    </row>
    <row r="228" spans="1:60" ht="13">
      <c r="A228" s="27"/>
      <c r="B228" s="27"/>
      <c r="C228" s="312"/>
      <c r="D228" s="231"/>
      <c r="E228" s="27"/>
      <c r="F228" s="27"/>
      <c r="G228" s="231"/>
      <c r="H228" s="27"/>
      <c r="I228" s="27"/>
      <c r="J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</row>
    <row r="229" spans="1:60" ht="13">
      <c r="A229" s="236"/>
      <c r="B229" s="236"/>
      <c r="C229" s="311"/>
      <c r="D229" s="237"/>
      <c r="E229" s="236"/>
      <c r="F229" s="236"/>
      <c r="G229" s="237"/>
      <c r="H229" s="236"/>
      <c r="I229" s="236"/>
      <c r="J229" s="236"/>
      <c r="N229" s="236"/>
      <c r="O229" s="236"/>
      <c r="P229" s="236"/>
      <c r="Q229" s="236"/>
      <c r="R229" s="236"/>
      <c r="S229" s="236"/>
      <c r="T229" s="236"/>
      <c r="U229" s="236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236"/>
      <c r="AH229" s="236"/>
      <c r="AI229" s="236"/>
      <c r="AJ229" s="236"/>
      <c r="AK229" s="236"/>
      <c r="AL229" s="236"/>
      <c r="AM229" s="236"/>
      <c r="AN229" s="236"/>
      <c r="AO229" s="236"/>
      <c r="AP229" s="236"/>
      <c r="AQ229" s="236"/>
      <c r="AR229" s="236"/>
      <c r="AS229" s="236"/>
      <c r="AT229" s="236"/>
      <c r="AU229" s="236"/>
      <c r="AV229" s="236"/>
      <c r="AW229" s="236"/>
      <c r="AX229" s="236"/>
      <c r="AY229" s="236"/>
      <c r="AZ229" s="236"/>
      <c r="BA229" s="236"/>
      <c r="BB229" s="236"/>
      <c r="BC229" s="236"/>
      <c r="BD229" s="236"/>
      <c r="BE229" s="236"/>
      <c r="BF229" s="236"/>
      <c r="BG229" s="236"/>
      <c r="BH229" s="236"/>
    </row>
    <row r="230" spans="1:60" ht="13">
      <c r="A230" s="27"/>
      <c r="B230" s="27"/>
      <c r="C230" s="312"/>
      <c r="D230" s="231"/>
      <c r="E230" s="27"/>
      <c r="F230" s="27"/>
      <c r="G230" s="231"/>
      <c r="H230" s="27"/>
      <c r="I230" s="27"/>
      <c r="J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</row>
    <row r="231" spans="1:60" ht="13">
      <c r="A231" s="236"/>
      <c r="B231" s="236"/>
      <c r="C231" s="311"/>
      <c r="D231" s="237"/>
      <c r="E231" s="236"/>
      <c r="F231" s="236"/>
      <c r="G231" s="237"/>
      <c r="H231" s="236"/>
      <c r="I231" s="236"/>
      <c r="J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236"/>
      <c r="AH231" s="236"/>
      <c r="AI231" s="236"/>
      <c r="AJ231" s="236"/>
      <c r="AK231" s="236"/>
      <c r="AL231" s="236"/>
      <c r="AM231" s="236"/>
      <c r="AN231" s="236"/>
      <c r="AO231" s="236"/>
      <c r="AP231" s="236"/>
      <c r="AQ231" s="236"/>
      <c r="AR231" s="236"/>
      <c r="AS231" s="236"/>
      <c r="AT231" s="236"/>
      <c r="AU231" s="236"/>
      <c r="AV231" s="236"/>
      <c r="AW231" s="236"/>
      <c r="AX231" s="236"/>
      <c r="AY231" s="236"/>
      <c r="AZ231" s="236"/>
      <c r="BA231" s="236"/>
      <c r="BB231" s="236"/>
      <c r="BC231" s="236"/>
      <c r="BD231" s="236"/>
      <c r="BE231" s="236"/>
      <c r="BF231" s="236"/>
      <c r="BG231" s="236"/>
      <c r="BH231" s="236"/>
    </row>
    <row r="232" spans="1:60" ht="13">
      <c r="A232" s="27"/>
      <c r="B232" s="27"/>
      <c r="C232" s="312"/>
      <c r="D232" s="231"/>
      <c r="E232" s="27"/>
      <c r="F232" s="27"/>
      <c r="G232" s="231"/>
      <c r="H232" s="27"/>
      <c r="I232" s="27"/>
      <c r="J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</row>
    <row r="233" spans="1:60" ht="13">
      <c r="A233" s="236"/>
      <c r="B233" s="236"/>
      <c r="C233" s="311"/>
      <c r="D233" s="237"/>
      <c r="E233" s="236"/>
      <c r="F233" s="236"/>
      <c r="G233" s="237"/>
      <c r="H233" s="236"/>
      <c r="I233" s="236"/>
      <c r="J233" s="236"/>
      <c r="N233" s="236"/>
      <c r="O233" s="236"/>
      <c r="P233" s="236"/>
      <c r="Q233" s="236"/>
      <c r="R233" s="236"/>
      <c r="S233" s="236"/>
      <c r="T233" s="236"/>
      <c r="U233" s="236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236"/>
      <c r="AH233" s="236"/>
      <c r="AI233" s="236"/>
      <c r="AJ233" s="236"/>
      <c r="AK233" s="236"/>
      <c r="AL233" s="236"/>
      <c r="AM233" s="236"/>
      <c r="AN233" s="236"/>
      <c r="AO233" s="236"/>
      <c r="AP233" s="236"/>
      <c r="AQ233" s="236"/>
      <c r="AR233" s="236"/>
      <c r="AS233" s="236"/>
      <c r="AT233" s="236"/>
      <c r="AU233" s="236"/>
      <c r="AV233" s="236"/>
      <c r="AW233" s="236"/>
      <c r="AX233" s="236"/>
      <c r="AY233" s="236"/>
      <c r="AZ233" s="236"/>
      <c r="BA233" s="236"/>
      <c r="BB233" s="236"/>
      <c r="BC233" s="236"/>
      <c r="BD233" s="236"/>
      <c r="BE233" s="236"/>
      <c r="BF233" s="236"/>
      <c r="BG233" s="236"/>
      <c r="BH233" s="236"/>
    </row>
    <row r="234" spans="1:60" ht="13">
      <c r="A234" s="27"/>
      <c r="B234" s="27"/>
      <c r="C234" s="312"/>
      <c r="D234" s="231"/>
      <c r="E234" s="27"/>
      <c r="F234" s="27"/>
      <c r="G234" s="231"/>
      <c r="H234" s="27"/>
      <c r="I234" s="27"/>
      <c r="J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</row>
    <row r="235" spans="1:60" ht="13">
      <c r="A235" s="236"/>
      <c r="B235" s="236"/>
      <c r="C235" s="311"/>
      <c r="D235" s="237"/>
      <c r="E235" s="236"/>
      <c r="F235" s="236"/>
      <c r="G235" s="237"/>
      <c r="H235" s="236"/>
      <c r="I235" s="236"/>
      <c r="J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236"/>
      <c r="AH235" s="236"/>
      <c r="AI235" s="236"/>
      <c r="AJ235" s="236"/>
      <c r="AK235" s="236"/>
      <c r="AL235" s="236"/>
      <c r="AM235" s="236"/>
      <c r="AN235" s="236"/>
      <c r="AO235" s="236"/>
      <c r="AP235" s="236"/>
      <c r="AQ235" s="236"/>
      <c r="AR235" s="236"/>
      <c r="AS235" s="236"/>
      <c r="AT235" s="236"/>
      <c r="AU235" s="236"/>
      <c r="AV235" s="236"/>
      <c r="AW235" s="236"/>
      <c r="AX235" s="236"/>
      <c r="AY235" s="236"/>
      <c r="AZ235" s="236"/>
      <c r="BA235" s="236"/>
      <c r="BB235" s="236"/>
      <c r="BC235" s="236"/>
      <c r="BD235" s="236"/>
      <c r="BE235" s="236"/>
      <c r="BF235" s="236"/>
      <c r="BG235" s="236"/>
      <c r="BH235" s="236"/>
    </row>
    <row r="236" spans="1:60" ht="13">
      <c r="A236" s="27"/>
      <c r="B236" s="27"/>
      <c r="C236" s="312"/>
      <c r="D236" s="231"/>
      <c r="E236" s="27"/>
      <c r="F236" s="27"/>
      <c r="G236" s="231"/>
      <c r="H236" s="27"/>
      <c r="I236" s="27"/>
      <c r="J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</row>
    <row r="237" spans="1:60" ht="13">
      <c r="A237" s="236"/>
      <c r="B237" s="236"/>
      <c r="C237" s="311"/>
      <c r="D237" s="237"/>
      <c r="E237" s="236"/>
      <c r="F237" s="236"/>
      <c r="G237" s="237"/>
      <c r="H237" s="236"/>
      <c r="I237" s="236"/>
      <c r="J237" s="236"/>
      <c r="N237" s="236"/>
      <c r="O237" s="236"/>
      <c r="P237" s="236"/>
      <c r="Q237" s="236"/>
      <c r="R237" s="236"/>
      <c r="S237" s="236"/>
      <c r="T237" s="236"/>
      <c r="U237" s="236"/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236"/>
      <c r="AH237" s="236"/>
      <c r="AI237" s="236"/>
      <c r="AJ237" s="236"/>
      <c r="AK237" s="236"/>
      <c r="AL237" s="236"/>
      <c r="AM237" s="236"/>
      <c r="AN237" s="236"/>
      <c r="AO237" s="236"/>
      <c r="AP237" s="236"/>
      <c r="AQ237" s="236"/>
      <c r="AR237" s="236"/>
      <c r="AS237" s="236"/>
      <c r="AT237" s="236"/>
      <c r="AU237" s="236"/>
      <c r="AV237" s="236"/>
      <c r="AW237" s="236"/>
      <c r="AX237" s="236"/>
      <c r="AY237" s="236"/>
      <c r="AZ237" s="236"/>
      <c r="BA237" s="236"/>
      <c r="BB237" s="236"/>
      <c r="BC237" s="236"/>
      <c r="BD237" s="236"/>
      <c r="BE237" s="236"/>
      <c r="BF237" s="236"/>
      <c r="BG237" s="236"/>
      <c r="BH237" s="236"/>
    </row>
    <row r="238" spans="1:60" ht="13">
      <c r="A238" s="27"/>
      <c r="B238" s="27"/>
      <c r="C238" s="312"/>
      <c r="D238" s="231"/>
      <c r="E238" s="27"/>
      <c r="F238" s="27"/>
      <c r="G238" s="231"/>
      <c r="H238" s="27"/>
      <c r="I238" s="27"/>
      <c r="J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</row>
    <row r="239" spans="1:60" ht="13">
      <c r="A239" s="236"/>
      <c r="B239" s="236"/>
      <c r="C239" s="311"/>
      <c r="D239" s="237"/>
      <c r="E239" s="236"/>
      <c r="F239" s="236"/>
      <c r="G239" s="237"/>
      <c r="H239" s="236"/>
      <c r="I239" s="236"/>
      <c r="J239" s="236"/>
      <c r="N239" s="236"/>
      <c r="O239" s="236"/>
      <c r="P239" s="236"/>
      <c r="Q239" s="236"/>
      <c r="R239" s="236"/>
      <c r="S239" s="236"/>
      <c r="T239" s="236"/>
      <c r="U239" s="236"/>
      <c r="V239" s="236"/>
      <c r="W239" s="236"/>
      <c r="X239" s="236"/>
      <c r="Y239" s="236"/>
      <c r="Z239" s="236"/>
      <c r="AA239" s="236"/>
      <c r="AB239" s="236"/>
      <c r="AC239" s="236"/>
      <c r="AD239" s="236"/>
      <c r="AE239" s="236"/>
      <c r="AF239" s="236"/>
      <c r="AG239" s="236"/>
      <c r="AH239" s="236"/>
      <c r="AI239" s="236"/>
      <c r="AJ239" s="236"/>
      <c r="AK239" s="236"/>
      <c r="AL239" s="236"/>
      <c r="AM239" s="236"/>
      <c r="AN239" s="236"/>
      <c r="AO239" s="236"/>
      <c r="AP239" s="236"/>
      <c r="AQ239" s="236"/>
      <c r="AR239" s="236"/>
      <c r="AS239" s="236"/>
      <c r="AT239" s="236"/>
      <c r="AU239" s="236"/>
      <c r="AV239" s="236"/>
      <c r="AW239" s="236"/>
      <c r="AX239" s="236"/>
      <c r="AY239" s="236"/>
      <c r="AZ239" s="236"/>
      <c r="BA239" s="236"/>
      <c r="BB239" s="236"/>
      <c r="BC239" s="236"/>
      <c r="BD239" s="236"/>
      <c r="BE239" s="236"/>
      <c r="BF239" s="236"/>
      <c r="BG239" s="236"/>
      <c r="BH239" s="236"/>
    </row>
    <row r="240" spans="1:60" ht="13">
      <c r="A240" s="27"/>
      <c r="B240" s="27"/>
      <c r="C240" s="312"/>
      <c r="D240" s="231"/>
      <c r="E240" s="27"/>
      <c r="F240" s="27"/>
      <c r="G240" s="231"/>
      <c r="H240" s="27"/>
      <c r="I240" s="27"/>
      <c r="J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</row>
    <row r="241" spans="1:60" ht="13">
      <c r="A241" s="236"/>
      <c r="B241" s="236"/>
      <c r="C241" s="311"/>
      <c r="D241" s="237"/>
      <c r="E241" s="236"/>
      <c r="F241" s="236"/>
      <c r="G241" s="237"/>
      <c r="H241" s="236"/>
      <c r="I241" s="236"/>
      <c r="J241" s="236"/>
      <c r="N241" s="236"/>
      <c r="O241" s="236"/>
      <c r="P241" s="236"/>
      <c r="Q241" s="236"/>
      <c r="R241" s="236"/>
      <c r="S241" s="236"/>
      <c r="T241" s="236"/>
      <c r="U241" s="236"/>
      <c r="V241" s="236"/>
      <c r="W241" s="236"/>
      <c r="X241" s="236"/>
      <c r="Y241" s="236"/>
      <c r="Z241" s="236"/>
      <c r="AA241" s="236"/>
      <c r="AB241" s="236"/>
      <c r="AC241" s="236"/>
      <c r="AD241" s="236"/>
      <c r="AE241" s="236"/>
      <c r="AF241" s="236"/>
      <c r="AG241" s="236"/>
      <c r="AH241" s="236"/>
      <c r="AI241" s="236"/>
      <c r="AJ241" s="236"/>
      <c r="AK241" s="236"/>
      <c r="AL241" s="236"/>
      <c r="AM241" s="236"/>
      <c r="AN241" s="236"/>
      <c r="AO241" s="236"/>
      <c r="AP241" s="236"/>
      <c r="AQ241" s="236"/>
      <c r="AR241" s="236"/>
      <c r="AS241" s="236"/>
      <c r="AT241" s="236"/>
      <c r="AU241" s="236"/>
      <c r="AV241" s="236"/>
      <c r="AW241" s="236"/>
      <c r="AX241" s="236"/>
      <c r="AY241" s="236"/>
      <c r="AZ241" s="236"/>
      <c r="BA241" s="236"/>
      <c r="BB241" s="236"/>
      <c r="BC241" s="236"/>
      <c r="BD241" s="236"/>
      <c r="BE241" s="236"/>
      <c r="BF241" s="236"/>
      <c r="BG241" s="236"/>
      <c r="BH241" s="236"/>
    </row>
    <row r="242" spans="1:60" ht="13">
      <c r="A242" s="27"/>
      <c r="B242" s="27"/>
      <c r="C242" s="312"/>
      <c r="D242" s="231"/>
      <c r="E242" s="27"/>
      <c r="F242" s="27"/>
      <c r="G242" s="231"/>
      <c r="H242" s="27"/>
      <c r="I242" s="27"/>
      <c r="J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</row>
    <row r="243" spans="1:60" ht="13">
      <c r="A243" s="236"/>
      <c r="B243" s="236"/>
      <c r="C243" s="311"/>
      <c r="D243" s="237"/>
      <c r="E243" s="236"/>
      <c r="F243" s="236"/>
      <c r="G243" s="237"/>
      <c r="H243" s="236"/>
      <c r="I243" s="236"/>
      <c r="J243" s="236"/>
      <c r="N243" s="236"/>
      <c r="O243" s="236"/>
      <c r="P243" s="236"/>
      <c r="Q243" s="236"/>
      <c r="R243" s="236"/>
      <c r="S243" s="236"/>
      <c r="T243" s="236"/>
      <c r="U243" s="236"/>
      <c r="V243" s="236"/>
      <c r="W243" s="236"/>
      <c r="X243" s="236"/>
      <c r="Y243" s="236"/>
      <c r="Z243" s="236"/>
      <c r="AA243" s="236"/>
      <c r="AB243" s="236"/>
      <c r="AC243" s="236"/>
      <c r="AD243" s="236"/>
      <c r="AE243" s="236"/>
      <c r="AF243" s="236"/>
      <c r="AG243" s="236"/>
      <c r="AH243" s="236"/>
      <c r="AI243" s="236"/>
      <c r="AJ243" s="236"/>
      <c r="AK243" s="236"/>
      <c r="AL243" s="236"/>
      <c r="AM243" s="236"/>
      <c r="AN243" s="236"/>
      <c r="AO243" s="236"/>
      <c r="AP243" s="236"/>
      <c r="AQ243" s="236"/>
      <c r="AR243" s="236"/>
      <c r="AS243" s="236"/>
      <c r="AT243" s="236"/>
      <c r="AU243" s="236"/>
      <c r="AV243" s="236"/>
      <c r="AW243" s="236"/>
      <c r="AX243" s="236"/>
      <c r="AY243" s="236"/>
      <c r="AZ243" s="236"/>
      <c r="BA243" s="236"/>
      <c r="BB243" s="236"/>
      <c r="BC243" s="236"/>
      <c r="BD243" s="236"/>
      <c r="BE243" s="236"/>
      <c r="BF243" s="236"/>
      <c r="BG243" s="236"/>
      <c r="BH243" s="236"/>
    </row>
    <row r="244" spans="1:60" ht="13">
      <c r="A244" s="27"/>
      <c r="B244" s="27"/>
      <c r="C244" s="312"/>
      <c r="D244" s="231"/>
      <c r="E244" s="27"/>
      <c r="F244" s="27"/>
      <c r="G244" s="231"/>
      <c r="H244" s="27"/>
      <c r="I244" s="27"/>
      <c r="J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</row>
    <row r="245" spans="1:60" ht="13">
      <c r="A245" s="236"/>
      <c r="B245" s="236"/>
      <c r="C245" s="311"/>
      <c r="D245" s="237"/>
      <c r="E245" s="236"/>
      <c r="F245" s="236"/>
      <c r="G245" s="237"/>
      <c r="H245" s="236"/>
      <c r="I245" s="236"/>
      <c r="J245" s="236"/>
      <c r="N245" s="236"/>
      <c r="O245" s="236"/>
      <c r="P245" s="236"/>
      <c r="Q245" s="236"/>
      <c r="R245" s="236"/>
      <c r="S245" s="236"/>
      <c r="T245" s="236"/>
      <c r="U245" s="236"/>
      <c r="V245" s="236"/>
      <c r="W245" s="236"/>
      <c r="X245" s="236"/>
      <c r="Y245" s="236"/>
      <c r="Z245" s="236"/>
      <c r="AA245" s="236"/>
      <c r="AB245" s="236"/>
      <c r="AC245" s="236"/>
      <c r="AD245" s="236"/>
      <c r="AE245" s="236"/>
      <c r="AF245" s="236"/>
      <c r="AG245" s="236"/>
      <c r="AH245" s="236"/>
      <c r="AI245" s="236"/>
      <c r="AJ245" s="236"/>
      <c r="AK245" s="236"/>
      <c r="AL245" s="236"/>
      <c r="AM245" s="236"/>
      <c r="AN245" s="236"/>
      <c r="AO245" s="236"/>
      <c r="AP245" s="236"/>
      <c r="AQ245" s="236"/>
      <c r="AR245" s="236"/>
      <c r="AS245" s="236"/>
      <c r="AT245" s="236"/>
      <c r="AU245" s="236"/>
      <c r="AV245" s="236"/>
      <c r="AW245" s="236"/>
      <c r="AX245" s="236"/>
      <c r="AY245" s="236"/>
      <c r="AZ245" s="236"/>
      <c r="BA245" s="236"/>
      <c r="BB245" s="236"/>
      <c r="BC245" s="236"/>
      <c r="BD245" s="236"/>
      <c r="BE245" s="236"/>
      <c r="BF245" s="236"/>
      <c r="BG245" s="236"/>
      <c r="BH245" s="236"/>
    </row>
    <row r="246" spans="1:60" ht="13">
      <c r="A246" s="27"/>
      <c r="B246" s="27"/>
      <c r="C246" s="312"/>
      <c r="D246" s="231"/>
      <c r="E246" s="27"/>
      <c r="F246" s="27"/>
      <c r="G246" s="231"/>
      <c r="H246" s="27"/>
      <c r="I246" s="27"/>
      <c r="J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</row>
    <row r="247" spans="1:60" ht="13">
      <c r="A247" s="236"/>
      <c r="B247" s="236"/>
      <c r="C247" s="311"/>
      <c r="D247" s="237"/>
      <c r="E247" s="236"/>
      <c r="F247" s="236"/>
      <c r="G247" s="237"/>
      <c r="H247" s="236"/>
      <c r="I247" s="236"/>
      <c r="J247" s="236"/>
      <c r="N247" s="236"/>
      <c r="O247" s="236"/>
      <c r="P247" s="236"/>
      <c r="Q247" s="236"/>
      <c r="R247" s="236"/>
      <c r="S247" s="236"/>
      <c r="T247" s="236"/>
      <c r="U247" s="236"/>
      <c r="V247" s="236"/>
      <c r="W247" s="236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236"/>
      <c r="AH247" s="236"/>
      <c r="AI247" s="236"/>
      <c r="AJ247" s="236"/>
      <c r="AK247" s="236"/>
      <c r="AL247" s="236"/>
      <c r="AM247" s="236"/>
      <c r="AN247" s="236"/>
      <c r="AO247" s="236"/>
      <c r="AP247" s="236"/>
      <c r="AQ247" s="236"/>
      <c r="AR247" s="236"/>
      <c r="AS247" s="236"/>
      <c r="AT247" s="236"/>
      <c r="AU247" s="236"/>
      <c r="AV247" s="236"/>
      <c r="AW247" s="236"/>
      <c r="AX247" s="236"/>
      <c r="AY247" s="236"/>
      <c r="AZ247" s="236"/>
      <c r="BA247" s="236"/>
      <c r="BB247" s="236"/>
      <c r="BC247" s="236"/>
      <c r="BD247" s="236"/>
      <c r="BE247" s="236"/>
      <c r="BF247" s="236"/>
      <c r="BG247" s="236"/>
      <c r="BH247" s="236"/>
    </row>
    <row r="248" spans="1:60" ht="13">
      <c r="A248" s="27"/>
      <c r="B248" s="27"/>
      <c r="C248" s="312"/>
      <c r="D248" s="231"/>
      <c r="E248" s="27"/>
      <c r="F248" s="27"/>
      <c r="G248" s="231"/>
      <c r="H248" s="27"/>
      <c r="I248" s="27"/>
      <c r="J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</row>
    <row r="249" spans="1:60" ht="13">
      <c r="A249" s="236"/>
      <c r="B249" s="236"/>
      <c r="C249" s="311"/>
      <c r="D249" s="237"/>
      <c r="E249" s="236"/>
      <c r="F249" s="236"/>
      <c r="G249" s="237"/>
      <c r="H249" s="236"/>
      <c r="I249" s="236"/>
      <c r="J249" s="236"/>
      <c r="N249" s="236"/>
      <c r="O249" s="236"/>
      <c r="P249" s="236"/>
      <c r="Q249" s="236"/>
      <c r="R249" s="236"/>
      <c r="S249" s="236"/>
      <c r="T249" s="236"/>
      <c r="U249" s="236"/>
      <c r="V249" s="236"/>
      <c r="W249" s="236"/>
      <c r="X249" s="236"/>
      <c r="Y249" s="236"/>
      <c r="Z249" s="236"/>
      <c r="AA249" s="236"/>
      <c r="AB249" s="236"/>
      <c r="AC249" s="236"/>
      <c r="AD249" s="236"/>
      <c r="AE249" s="236"/>
      <c r="AF249" s="236"/>
      <c r="AG249" s="236"/>
      <c r="AH249" s="236"/>
      <c r="AI249" s="236"/>
      <c r="AJ249" s="236"/>
      <c r="AK249" s="236"/>
      <c r="AL249" s="236"/>
      <c r="AM249" s="236"/>
      <c r="AN249" s="236"/>
      <c r="AO249" s="236"/>
      <c r="AP249" s="236"/>
      <c r="AQ249" s="236"/>
      <c r="AR249" s="236"/>
      <c r="AS249" s="236"/>
      <c r="AT249" s="236"/>
      <c r="AU249" s="236"/>
      <c r="AV249" s="236"/>
      <c r="AW249" s="236"/>
      <c r="AX249" s="236"/>
      <c r="AY249" s="236"/>
      <c r="AZ249" s="236"/>
      <c r="BA249" s="236"/>
      <c r="BB249" s="236"/>
      <c r="BC249" s="236"/>
      <c r="BD249" s="236"/>
      <c r="BE249" s="236"/>
      <c r="BF249" s="236"/>
      <c r="BG249" s="236"/>
      <c r="BH249" s="236"/>
    </row>
    <row r="250" spans="1:60" ht="13">
      <c r="A250" s="27"/>
      <c r="B250" s="27"/>
      <c r="C250" s="312"/>
      <c r="D250" s="231"/>
      <c r="E250" s="27"/>
      <c r="F250" s="27"/>
      <c r="G250" s="231"/>
      <c r="H250" s="27"/>
      <c r="I250" s="27"/>
      <c r="J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</row>
    <row r="251" spans="1:60" ht="13">
      <c r="A251" s="236"/>
      <c r="B251" s="236"/>
      <c r="C251" s="311"/>
      <c r="D251" s="237"/>
      <c r="E251" s="236"/>
      <c r="F251" s="236"/>
      <c r="G251" s="237"/>
      <c r="H251" s="236"/>
      <c r="I251" s="236"/>
      <c r="J251" s="236"/>
      <c r="N251" s="236"/>
      <c r="O251" s="236"/>
      <c r="P251" s="236"/>
      <c r="Q251" s="236"/>
      <c r="R251" s="236"/>
      <c r="S251" s="236"/>
      <c r="T251" s="236"/>
      <c r="U251" s="236"/>
      <c r="V251" s="236"/>
      <c r="W251" s="236"/>
      <c r="X251" s="236"/>
      <c r="Y251" s="236"/>
      <c r="Z251" s="236"/>
      <c r="AA251" s="236"/>
      <c r="AB251" s="236"/>
      <c r="AC251" s="236"/>
      <c r="AD251" s="236"/>
      <c r="AE251" s="236"/>
      <c r="AF251" s="236"/>
      <c r="AG251" s="236"/>
      <c r="AH251" s="236"/>
      <c r="AI251" s="236"/>
      <c r="AJ251" s="236"/>
      <c r="AK251" s="236"/>
      <c r="AL251" s="236"/>
      <c r="AM251" s="236"/>
      <c r="AN251" s="236"/>
      <c r="AO251" s="236"/>
      <c r="AP251" s="236"/>
      <c r="AQ251" s="236"/>
      <c r="AR251" s="236"/>
      <c r="AS251" s="236"/>
      <c r="AT251" s="236"/>
      <c r="AU251" s="236"/>
      <c r="AV251" s="236"/>
      <c r="AW251" s="236"/>
      <c r="AX251" s="236"/>
      <c r="AY251" s="236"/>
      <c r="AZ251" s="236"/>
      <c r="BA251" s="236"/>
      <c r="BB251" s="236"/>
      <c r="BC251" s="236"/>
      <c r="BD251" s="236"/>
      <c r="BE251" s="236"/>
      <c r="BF251" s="236"/>
      <c r="BG251" s="236"/>
      <c r="BH251" s="236"/>
    </row>
    <row r="252" spans="1:60" ht="13">
      <c r="A252" s="27"/>
      <c r="B252" s="27"/>
      <c r="C252" s="312"/>
      <c r="D252" s="231"/>
      <c r="E252" s="27"/>
      <c r="F252" s="27"/>
      <c r="G252" s="231"/>
      <c r="H252" s="27"/>
      <c r="I252" s="27"/>
      <c r="J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</row>
    <row r="253" spans="1:60" ht="13">
      <c r="A253" s="236"/>
      <c r="B253" s="236"/>
      <c r="C253" s="311"/>
      <c r="D253" s="237"/>
      <c r="E253" s="236"/>
      <c r="F253" s="236"/>
      <c r="G253" s="237"/>
      <c r="H253" s="236"/>
      <c r="I253" s="236"/>
      <c r="J253" s="236"/>
      <c r="N253" s="236"/>
      <c r="O253" s="236"/>
      <c r="P253" s="236"/>
      <c r="Q253" s="236"/>
      <c r="R253" s="236"/>
      <c r="S253" s="236"/>
      <c r="T253" s="236"/>
      <c r="U253" s="236"/>
      <c r="V253" s="236"/>
      <c r="W253" s="236"/>
      <c r="X253" s="236"/>
      <c r="Y253" s="236"/>
      <c r="Z253" s="236"/>
      <c r="AA253" s="236"/>
      <c r="AB253" s="236"/>
      <c r="AC253" s="236"/>
      <c r="AD253" s="236"/>
      <c r="AE253" s="236"/>
      <c r="AF253" s="236"/>
      <c r="AG253" s="236"/>
      <c r="AH253" s="236"/>
      <c r="AI253" s="236"/>
      <c r="AJ253" s="236"/>
      <c r="AK253" s="236"/>
      <c r="AL253" s="236"/>
      <c r="AM253" s="236"/>
      <c r="AN253" s="236"/>
      <c r="AO253" s="236"/>
      <c r="AP253" s="236"/>
      <c r="AQ253" s="236"/>
      <c r="AR253" s="236"/>
      <c r="AS253" s="236"/>
      <c r="AT253" s="236"/>
      <c r="AU253" s="236"/>
      <c r="AV253" s="236"/>
      <c r="AW253" s="236"/>
      <c r="AX253" s="236"/>
      <c r="AY253" s="236"/>
      <c r="AZ253" s="236"/>
      <c r="BA253" s="236"/>
      <c r="BB253" s="236"/>
      <c r="BC253" s="236"/>
      <c r="BD253" s="236"/>
      <c r="BE253" s="236"/>
      <c r="BF253" s="236"/>
      <c r="BG253" s="236"/>
      <c r="BH253" s="236"/>
    </row>
    <row r="254" spans="1:60" ht="13">
      <c r="A254" s="27"/>
      <c r="B254" s="27"/>
      <c r="C254" s="312"/>
      <c r="D254" s="231"/>
      <c r="E254" s="27"/>
      <c r="F254" s="27"/>
      <c r="G254" s="231"/>
      <c r="H254" s="27"/>
      <c r="I254" s="27"/>
      <c r="J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</row>
    <row r="255" spans="1:60" ht="13">
      <c r="A255" s="236"/>
      <c r="B255" s="236"/>
      <c r="C255" s="311"/>
      <c r="D255" s="237"/>
      <c r="E255" s="236"/>
      <c r="F255" s="236"/>
      <c r="G255" s="237"/>
      <c r="H255" s="236"/>
      <c r="I255" s="236"/>
      <c r="J255" s="236"/>
      <c r="N255" s="236"/>
      <c r="O255" s="236"/>
      <c r="P255" s="236"/>
      <c r="Q255" s="236"/>
      <c r="R255" s="236"/>
      <c r="S255" s="236"/>
      <c r="T255" s="236"/>
      <c r="U255" s="236"/>
      <c r="V255" s="236"/>
      <c r="W255" s="236"/>
      <c r="X255" s="236"/>
      <c r="Y255" s="236"/>
      <c r="Z255" s="236"/>
      <c r="AA255" s="236"/>
      <c r="AB255" s="236"/>
      <c r="AC255" s="236"/>
      <c r="AD255" s="236"/>
      <c r="AE255" s="236"/>
      <c r="AF255" s="236"/>
      <c r="AG255" s="236"/>
      <c r="AH255" s="236"/>
      <c r="AI255" s="236"/>
      <c r="AJ255" s="236"/>
      <c r="AK255" s="236"/>
      <c r="AL255" s="236"/>
      <c r="AM255" s="236"/>
      <c r="AN255" s="236"/>
      <c r="AO255" s="236"/>
      <c r="AP255" s="236"/>
      <c r="AQ255" s="236"/>
      <c r="AR255" s="236"/>
      <c r="AS255" s="236"/>
      <c r="AT255" s="236"/>
      <c r="AU255" s="236"/>
      <c r="AV255" s="236"/>
      <c r="AW255" s="236"/>
      <c r="AX255" s="236"/>
      <c r="AY255" s="236"/>
      <c r="AZ255" s="236"/>
      <c r="BA255" s="236"/>
      <c r="BB255" s="236"/>
      <c r="BC255" s="236"/>
      <c r="BD255" s="236"/>
      <c r="BE255" s="236"/>
      <c r="BF255" s="236"/>
      <c r="BG255" s="236"/>
      <c r="BH255" s="236"/>
    </row>
    <row r="256" spans="1:60" ht="13">
      <c r="A256" s="27"/>
      <c r="B256" s="27"/>
      <c r="C256" s="312"/>
      <c r="D256" s="231"/>
      <c r="E256" s="27"/>
      <c r="F256" s="27"/>
      <c r="G256" s="231"/>
      <c r="H256" s="27"/>
      <c r="I256" s="27"/>
      <c r="J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</row>
    <row r="257" spans="1:60" ht="13">
      <c r="A257" s="236"/>
      <c r="B257" s="236"/>
      <c r="C257" s="311"/>
      <c r="D257" s="237"/>
      <c r="E257" s="236"/>
      <c r="F257" s="236"/>
      <c r="G257" s="237"/>
      <c r="H257" s="236"/>
      <c r="I257" s="236"/>
      <c r="J257" s="236"/>
      <c r="N257" s="236"/>
      <c r="O257" s="236"/>
      <c r="P257" s="236"/>
      <c r="Q257" s="236"/>
      <c r="R257" s="236"/>
      <c r="S257" s="236"/>
      <c r="T257" s="236"/>
      <c r="U257" s="236"/>
      <c r="V257" s="236"/>
      <c r="W257" s="236"/>
      <c r="X257" s="236"/>
      <c r="Y257" s="236"/>
      <c r="Z257" s="236"/>
      <c r="AA257" s="236"/>
      <c r="AB257" s="236"/>
      <c r="AC257" s="236"/>
      <c r="AD257" s="236"/>
      <c r="AE257" s="236"/>
      <c r="AF257" s="236"/>
      <c r="AG257" s="236"/>
      <c r="AH257" s="236"/>
      <c r="AI257" s="236"/>
      <c r="AJ257" s="236"/>
      <c r="AK257" s="236"/>
      <c r="AL257" s="236"/>
      <c r="AM257" s="236"/>
      <c r="AN257" s="236"/>
      <c r="AO257" s="236"/>
      <c r="AP257" s="236"/>
      <c r="AQ257" s="236"/>
      <c r="AR257" s="236"/>
      <c r="AS257" s="236"/>
      <c r="AT257" s="236"/>
      <c r="AU257" s="236"/>
      <c r="AV257" s="236"/>
      <c r="AW257" s="236"/>
      <c r="AX257" s="236"/>
      <c r="AY257" s="236"/>
      <c r="AZ257" s="236"/>
      <c r="BA257" s="236"/>
      <c r="BB257" s="236"/>
      <c r="BC257" s="236"/>
      <c r="BD257" s="236"/>
      <c r="BE257" s="236"/>
      <c r="BF257" s="236"/>
      <c r="BG257" s="236"/>
      <c r="BH257" s="236"/>
    </row>
    <row r="258" spans="1:60" ht="13">
      <c r="A258" s="27"/>
      <c r="B258" s="27"/>
      <c r="C258" s="312"/>
      <c r="D258" s="231"/>
      <c r="E258" s="27"/>
      <c r="F258" s="27"/>
      <c r="G258" s="231"/>
      <c r="H258" s="27"/>
      <c r="I258" s="27"/>
      <c r="J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</row>
    <row r="259" spans="1:60" ht="13">
      <c r="A259" s="236"/>
      <c r="B259" s="236"/>
      <c r="C259" s="311"/>
      <c r="D259" s="237"/>
      <c r="E259" s="236"/>
      <c r="F259" s="236"/>
      <c r="G259" s="237"/>
      <c r="H259" s="236"/>
      <c r="I259" s="236"/>
      <c r="J259" s="236"/>
      <c r="N259" s="236"/>
      <c r="O259" s="236"/>
      <c r="P259" s="236"/>
      <c r="Q259" s="236"/>
      <c r="R259" s="236"/>
      <c r="S259" s="236"/>
      <c r="T259" s="236"/>
      <c r="U259" s="236"/>
      <c r="V259" s="236"/>
      <c r="W259" s="236"/>
      <c r="X259" s="236"/>
      <c r="Y259" s="236"/>
      <c r="Z259" s="236"/>
      <c r="AA259" s="236"/>
      <c r="AB259" s="236"/>
      <c r="AC259" s="236"/>
      <c r="AD259" s="236"/>
      <c r="AE259" s="236"/>
      <c r="AF259" s="236"/>
      <c r="AG259" s="236"/>
      <c r="AH259" s="236"/>
      <c r="AI259" s="236"/>
      <c r="AJ259" s="236"/>
      <c r="AK259" s="236"/>
      <c r="AL259" s="236"/>
      <c r="AM259" s="236"/>
      <c r="AN259" s="236"/>
      <c r="AO259" s="236"/>
      <c r="AP259" s="236"/>
      <c r="AQ259" s="236"/>
      <c r="AR259" s="236"/>
      <c r="AS259" s="236"/>
      <c r="AT259" s="236"/>
      <c r="AU259" s="236"/>
      <c r="AV259" s="236"/>
      <c r="AW259" s="236"/>
      <c r="AX259" s="236"/>
      <c r="AY259" s="236"/>
      <c r="AZ259" s="236"/>
      <c r="BA259" s="236"/>
      <c r="BB259" s="236"/>
      <c r="BC259" s="236"/>
      <c r="BD259" s="236"/>
      <c r="BE259" s="236"/>
      <c r="BF259" s="236"/>
      <c r="BG259" s="236"/>
      <c r="BH259" s="236"/>
    </row>
    <row r="260" spans="1:60" ht="13">
      <c r="A260" s="27"/>
      <c r="B260" s="27"/>
      <c r="C260" s="312"/>
      <c r="D260" s="231"/>
      <c r="E260" s="27"/>
      <c r="F260" s="27"/>
      <c r="G260" s="231"/>
      <c r="H260" s="27"/>
      <c r="I260" s="27"/>
      <c r="J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</row>
    <row r="261" spans="1:60" ht="13">
      <c r="A261" s="236"/>
      <c r="B261" s="236"/>
      <c r="C261" s="311"/>
      <c r="D261" s="237"/>
      <c r="E261" s="236"/>
      <c r="F261" s="236"/>
      <c r="G261" s="237"/>
      <c r="H261" s="236"/>
      <c r="I261" s="236"/>
      <c r="J261" s="236"/>
      <c r="N261" s="236"/>
      <c r="O261" s="236"/>
      <c r="P261" s="236"/>
      <c r="Q261" s="236"/>
      <c r="R261" s="236"/>
      <c r="S261" s="236"/>
      <c r="T261" s="236"/>
      <c r="U261" s="236"/>
      <c r="V261" s="236"/>
      <c r="W261" s="236"/>
      <c r="X261" s="236"/>
      <c r="Y261" s="236"/>
      <c r="Z261" s="236"/>
      <c r="AA261" s="236"/>
      <c r="AB261" s="236"/>
      <c r="AC261" s="236"/>
      <c r="AD261" s="236"/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236"/>
      <c r="AQ261" s="236"/>
      <c r="AR261" s="236"/>
      <c r="AS261" s="236"/>
      <c r="AT261" s="236"/>
      <c r="AU261" s="236"/>
      <c r="AV261" s="236"/>
      <c r="AW261" s="236"/>
      <c r="AX261" s="236"/>
      <c r="AY261" s="236"/>
      <c r="AZ261" s="236"/>
      <c r="BA261" s="236"/>
      <c r="BB261" s="236"/>
      <c r="BC261" s="236"/>
      <c r="BD261" s="236"/>
      <c r="BE261" s="236"/>
      <c r="BF261" s="236"/>
      <c r="BG261" s="236"/>
      <c r="BH261" s="236"/>
    </row>
    <row r="262" spans="1:60" ht="13">
      <c r="A262" s="27"/>
      <c r="B262" s="27"/>
      <c r="C262" s="312"/>
      <c r="D262" s="231"/>
      <c r="E262" s="27"/>
      <c r="F262" s="27"/>
      <c r="G262" s="231"/>
      <c r="H262" s="27"/>
      <c r="I262" s="27"/>
      <c r="J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</row>
    <row r="263" spans="1:60" ht="13">
      <c r="A263" s="236"/>
      <c r="B263" s="236"/>
      <c r="C263" s="311"/>
      <c r="D263" s="237"/>
      <c r="E263" s="236"/>
      <c r="F263" s="236"/>
      <c r="G263" s="237"/>
      <c r="H263" s="236"/>
      <c r="I263" s="236"/>
      <c r="J263" s="236"/>
      <c r="N263" s="236"/>
      <c r="O263" s="236"/>
      <c r="P263" s="236"/>
      <c r="Q263" s="236"/>
      <c r="R263" s="236"/>
      <c r="S263" s="236"/>
      <c r="T263" s="236"/>
      <c r="U263" s="236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236"/>
      <c r="AH263" s="236"/>
      <c r="AI263" s="236"/>
      <c r="AJ263" s="236"/>
      <c r="AK263" s="236"/>
      <c r="AL263" s="236"/>
      <c r="AM263" s="236"/>
      <c r="AN263" s="236"/>
      <c r="AO263" s="236"/>
      <c r="AP263" s="236"/>
      <c r="AQ263" s="236"/>
      <c r="AR263" s="236"/>
      <c r="AS263" s="236"/>
      <c r="AT263" s="236"/>
      <c r="AU263" s="236"/>
      <c r="AV263" s="236"/>
      <c r="AW263" s="236"/>
      <c r="AX263" s="236"/>
      <c r="AY263" s="236"/>
      <c r="AZ263" s="236"/>
      <c r="BA263" s="236"/>
      <c r="BB263" s="236"/>
      <c r="BC263" s="236"/>
      <c r="BD263" s="236"/>
      <c r="BE263" s="236"/>
      <c r="BF263" s="236"/>
      <c r="BG263" s="236"/>
      <c r="BH263" s="236"/>
    </row>
    <row r="264" spans="1:60" ht="13">
      <c r="A264" s="27"/>
      <c r="B264" s="27"/>
      <c r="C264" s="312"/>
      <c r="D264" s="231"/>
      <c r="E264" s="27"/>
      <c r="F264" s="27"/>
      <c r="G264" s="231"/>
      <c r="H264" s="27"/>
      <c r="I264" s="27"/>
      <c r="J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</row>
    <row r="265" spans="1:60" ht="13">
      <c r="A265" s="236"/>
      <c r="B265" s="236"/>
      <c r="C265" s="311"/>
      <c r="D265" s="237"/>
      <c r="E265" s="236"/>
      <c r="F265" s="236"/>
      <c r="G265" s="237"/>
      <c r="H265" s="236"/>
      <c r="I265" s="236"/>
      <c r="J265" s="236"/>
      <c r="N265" s="236"/>
      <c r="O265" s="236"/>
      <c r="P265" s="236"/>
      <c r="Q265" s="236"/>
      <c r="R265" s="236"/>
      <c r="S265" s="236"/>
      <c r="T265" s="236"/>
      <c r="U265" s="236"/>
      <c r="V265" s="236"/>
      <c r="W265" s="236"/>
      <c r="X265" s="236"/>
      <c r="Y265" s="236"/>
      <c r="Z265" s="236"/>
      <c r="AA265" s="236"/>
      <c r="AB265" s="236"/>
      <c r="AC265" s="236"/>
      <c r="AD265" s="236"/>
      <c r="AE265" s="236"/>
      <c r="AF265" s="236"/>
      <c r="AG265" s="236"/>
      <c r="AH265" s="236"/>
      <c r="AI265" s="236"/>
      <c r="AJ265" s="236"/>
      <c r="AK265" s="236"/>
      <c r="AL265" s="236"/>
      <c r="AM265" s="236"/>
      <c r="AN265" s="236"/>
      <c r="AO265" s="236"/>
      <c r="AP265" s="236"/>
      <c r="AQ265" s="236"/>
      <c r="AR265" s="236"/>
      <c r="AS265" s="236"/>
      <c r="AT265" s="236"/>
      <c r="AU265" s="236"/>
      <c r="AV265" s="236"/>
      <c r="AW265" s="236"/>
      <c r="AX265" s="236"/>
      <c r="AY265" s="236"/>
      <c r="AZ265" s="236"/>
      <c r="BA265" s="236"/>
      <c r="BB265" s="236"/>
      <c r="BC265" s="236"/>
      <c r="BD265" s="236"/>
      <c r="BE265" s="236"/>
      <c r="BF265" s="236"/>
      <c r="BG265" s="236"/>
      <c r="BH265" s="236"/>
    </row>
    <row r="266" spans="1:60" ht="13">
      <c r="A266" s="27"/>
      <c r="B266" s="27"/>
      <c r="C266" s="312"/>
      <c r="D266" s="231"/>
      <c r="E266" s="27"/>
      <c r="F266" s="27"/>
      <c r="G266" s="231"/>
      <c r="H266" s="27"/>
      <c r="I266" s="27"/>
      <c r="J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</row>
    <row r="267" spans="1:60" ht="13">
      <c r="A267" s="236"/>
      <c r="B267" s="236"/>
      <c r="C267" s="311"/>
      <c r="D267" s="237"/>
      <c r="E267" s="236"/>
      <c r="F267" s="236"/>
      <c r="G267" s="237"/>
      <c r="H267" s="236"/>
      <c r="I267" s="236"/>
      <c r="J267" s="236"/>
      <c r="N267" s="236"/>
      <c r="O267" s="236"/>
      <c r="P267" s="236"/>
      <c r="Q267" s="236"/>
      <c r="R267" s="236"/>
      <c r="S267" s="236"/>
      <c r="T267" s="236"/>
      <c r="U267" s="236"/>
      <c r="V267" s="236"/>
      <c r="W267" s="236"/>
      <c r="X267" s="236"/>
      <c r="Y267" s="236"/>
      <c r="Z267" s="236"/>
      <c r="AA267" s="236"/>
      <c r="AB267" s="236"/>
      <c r="AC267" s="236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</row>
    <row r="268" spans="1:60" ht="13">
      <c r="A268" s="27"/>
      <c r="B268" s="27"/>
      <c r="C268" s="312"/>
      <c r="D268" s="231"/>
      <c r="E268" s="27"/>
      <c r="F268" s="27"/>
      <c r="G268" s="231"/>
      <c r="H268" s="27"/>
      <c r="I268" s="27"/>
      <c r="J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</row>
    <row r="269" spans="1:60" ht="13">
      <c r="A269" s="236"/>
      <c r="B269" s="236"/>
      <c r="C269" s="311"/>
      <c r="D269" s="237"/>
      <c r="E269" s="236"/>
      <c r="F269" s="236"/>
      <c r="G269" s="237"/>
      <c r="H269" s="236"/>
      <c r="I269" s="236"/>
      <c r="J269" s="236"/>
      <c r="N269" s="236"/>
      <c r="O269" s="236"/>
      <c r="P269" s="236"/>
      <c r="Q269" s="236"/>
      <c r="R269" s="236"/>
      <c r="S269" s="236"/>
      <c r="T269" s="236"/>
      <c r="U269" s="236"/>
      <c r="V269" s="236"/>
      <c r="W269" s="236"/>
      <c r="X269" s="236"/>
      <c r="Y269" s="236"/>
      <c r="Z269" s="236"/>
      <c r="AA269" s="236"/>
      <c r="AB269" s="236"/>
      <c r="AC269" s="236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  <c r="AN269" s="236"/>
      <c r="AO269" s="236"/>
      <c r="AP269" s="236"/>
      <c r="AQ269" s="236"/>
      <c r="AR269" s="236"/>
      <c r="AS269" s="236"/>
      <c r="AT269" s="236"/>
      <c r="AU269" s="236"/>
      <c r="AV269" s="236"/>
      <c r="AW269" s="236"/>
      <c r="AX269" s="236"/>
      <c r="AY269" s="236"/>
      <c r="AZ269" s="236"/>
      <c r="BA269" s="236"/>
      <c r="BB269" s="236"/>
      <c r="BC269" s="236"/>
      <c r="BD269" s="236"/>
      <c r="BE269" s="236"/>
      <c r="BF269" s="236"/>
      <c r="BG269" s="236"/>
      <c r="BH269" s="236"/>
    </row>
    <row r="270" spans="1:60" ht="13">
      <c r="A270" s="27"/>
      <c r="B270" s="27"/>
      <c r="C270" s="312"/>
      <c r="D270" s="231"/>
      <c r="E270" s="27"/>
      <c r="F270" s="27"/>
      <c r="G270" s="231"/>
      <c r="H270" s="27"/>
      <c r="I270" s="27"/>
      <c r="J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</row>
    <row r="271" spans="1:60" ht="13">
      <c r="A271" s="236"/>
      <c r="B271" s="236"/>
      <c r="C271" s="311"/>
      <c r="D271" s="237"/>
      <c r="E271" s="236"/>
      <c r="F271" s="236"/>
      <c r="G271" s="237"/>
      <c r="H271" s="236"/>
      <c r="I271" s="236"/>
      <c r="J271" s="236"/>
      <c r="N271" s="236"/>
      <c r="O271" s="236"/>
      <c r="P271" s="236"/>
      <c r="Q271" s="236"/>
      <c r="R271" s="236"/>
      <c r="S271" s="236"/>
      <c r="T271" s="236"/>
      <c r="U271" s="236"/>
      <c r="V271" s="236"/>
      <c r="W271" s="236"/>
      <c r="X271" s="236"/>
      <c r="Y271" s="236"/>
      <c r="Z271" s="236"/>
      <c r="AA271" s="236"/>
      <c r="AB271" s="236"/>
      <c r="AC271" s="236"/>
      <c r="AD271" s="236"/>
      <c r="AE271" s="236"/>
      <c r="AF271" s="236"/>
      <c r="AG271" s="236"/>
      <c r="AH271" s="236"/>
      <c r="AI271" s="236"/>
      <c r="AJ271" s="236"/>
      <c r="AK271" s="236"/>
      <c r="AL271" s="236"/>
      <c r="AM271" s="236"/>
      <c r="AN271" s="236"/>
      <c r="AO271" s="236"/>
      <c r="AP271" s="236"/>
      <c r="AQ271" s="236"/>
      <c r="AR271" s="236"/>
      <c r="AS271" s="236"/>
      <c r="AT271" s="236"/>
      <c r="AU271" s="236"/>
      <c r="AV271" s="236"/>
      <c r="AW271" s="236"/>
      <c r="AX271" s="236"/>
      <c r="AY271" s="236"/>
      <c r="AZ271" s="236"/>
      <c r="BA271" s="236"/>
      <c r="BB271" s="236"/>
      <c r="BC271" s="236"/>
      <c r="BD271" s="236"/>
      <c r="BE271" s="236"/>
      <c r="BF271" s="236"/>
      <c r="BG271" s="236"/>
      <c r="BH271" s="236"/>
    </row>
    <row r="272" spans="1:60" ht="13">
      <c r="A272" s="27"/>
      <c r="B272" s="27"/>
      <c r="C272" s="312"/>
      <c r="D272" s="231"/>
      <c r="E272" s="27"/>
      <c r="F272" s="27"/>
      <c r="G272" s="231"/>
      <c r="H272" s="27"/>
      <c r="I272" s="27"/>
      <c r="J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</row>
    <row r="273" spans="1:60" ht="13">
      <c r="A273" s="236"/>
      <c r="B273" s="236"/>
      <c r="C273" s="311"/>
      <c r="D273" s="237"/>
      <c r="E273" s="236"/>
      <c r="F273" s="236"/>
      <c r="G273" s="237"/>
      <c r="H273" s="236"/>
      <c r="I273" s="236"/>
      <c r="J273" s="236"/>
      <c r="N273" s="236"/>
      <c r="O273" s="236"/>
      <c r="P273" s="236"/>
      <c r="Q273" s="236"/>
      <c r="R273" s="236"/>
      <c r="S273" s="236"/>
      <c r="T273" s="236"/>
      <c r="U273" s="236"/>
      <c r="V273" s="236"/>
      <c r="W273" s="236"/>
      <c r="X273" s="236"/>
      <c r="Y273" s="236"/>
      <c r="Z273" s="236"/>
      <c r="AA273" s="236"/>
      <c r="AB273" s="236"/>
      <c r="AC273" s="236"/>
      <c r="AD273" s="236"/>
      <c r="AE273" s="236"/>
      <c r="AF273" s="236"/>
      <c r="AG273" s="236"/>
      <c r="AH273" s="236"/>
      <c r="AI273" s="236"/>
      <c r="AJ273" s="236"/>
      <c r="AK273" s="236"/>
      <c r="AL273" s="236"/>
      <c r="AM273" s="236"/>
      <c r="AN273" s="236"/>
      <c r="AO273" s="236"/>
      <c r="AP273" s="236"/>
      <c r="AQ273" s="236"/>
      <c r="AR273" s="236"/>
      <c r="AS273" s="236"/>
      <c r="AT273" s="236"/>
      <c r="AU273" s="236"/>
      <c r="AV273" s="236"/>
      <c r="AW273" s="236"/>
      <c r="AX273" s="236"/>
      <c r="AY273" s="236"/>
      <c r="AZ273" s="236"/>
      <c r="BA273" s="236"/>
      <c r="BB273" s="236"/>
      <c r="BC273" s="236"/>
      <c r="BD273" s="236"/>
      <c r="BE273" s="236"/>
      <c r="BF273" s="236"/>
      <c r="BG273" s="236"/>
      <c r="BH273" s="236"/>
    </row>
    <row r="274" spans="1:60" ht="13">
      <c r="A274" s="27"/>
      <c r="B274" s="27"/>
      <c r="C274" s="312"/>
      <c r="D274" s="231"/>
      <c r="E274" s="27"/>
      <c r="F274" s="27"/>
      <c r="G274" s="231"/>
      <c r="H274" s="27"/>
      <c r="I274" s="27"/>
      <c r="J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</row>
    <row r="275" spans="1:60" ht="13">
      <c r="A275" s="236"/>
      <c r="B275" s="236"/>
      <c r="C275" s="311"/>
      <c r="D275" s="237"/>
      <c r="E275" s="236"/>
      <c r="F275" s="236"/>
      <c r="G275" s="237"/>
      <c r="H275" s="236"/>
      <c r="I275" s="236"/>
      <c r="J275" s="236"/>
      <c r="N275" s="236"/>
      <c r="O275" s="236"/>
      <c r="P275" s="236"/>
      <c r="Q275" s="236"/>
      <c r="R275" s="236"/>
      <c r="S275" s="236"/>
      <c r="T275" s="236"/>
      <c r="U275" s="236"/>
      <c r="V275" s="236"/>
      <c r="W275" s="236"/>
      <c r="X275" s="236"/>
      <c r="Y275" s="236"/>
      <c r="Z275" s="236"/>
      <c r="AA275" s="236"/>
      <c r="AB275" s="236"/>
      <c r="AC275" s="236"/>
      <c r="AD275" s="236"/>
      <c r="AE275" s="236"/>
      <c r="AF275" s="236"/>
      <c r="AG275" s="236"/>
      <c r="AH275" s="236"/>
      <c r="AI275" s="236"/>
      <c r="AJ275" s="236"/>
      <c r="AK275" s="236"/>
      <c r="AL275" s="236"/>
      <c r="AM275" s="236"/>
      <c r="AN275" s="236"/>
      <c r="AO275" s="236"/>
      <c r="AP275" s="236"/>
      <c r="AQ275" s="236"/>
      <c r="AR275" s="236"/>
      <c r="AS275" s="236"/>
      <c r="AT275" s="236"/>
      <c r="AU275" s="236"/>
      <c r="AV275" s="236"/>
      <c r="AW275" s="236"/>
      <c r="AX275" s="236"/>
      <c r="AY275" s="236"/>
      <c r="AZ275" s="236"/>
      <c r="BA275" s="236"/>
      <c r="BB275" s="236"/>
      <c r="BC275" s="236"/>
      <c r="BD275" s="236"/>
      <c r="BE275" s="236"/>
      <c r="BF275" s="236"/>
      <c r="BG275" s="236"/>
      <c r="BH275" s="236"/>
    </row>
    <row r="276" spans="1:60" ht="13">
      <c r="A276" s="27"/>
      <c r="B276" s="27"/>
      <c r="C276" s="312"/>
      <c r="D276" s="231"/>
      <c r="E276" s="27"/>
      <c r="F276" s="27"/>
      <c r="G276" s="231"/>
      <c r="H276" s="27"/>
      <c r="I276" s="27"/>
      <c r="J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</row>
    <row r="277" spans="1:60" ht="13">
      <c r="A277" s="236"/>
      <c r="B277" s="236"/>
      <c r="C277" s="311"/>
      <c r="D277" s="237"/>
      <c r="E277" s="236"/>
      <c r="F277" s="236"/>
      <c r="G277" s="237"/>
      <c r="H277" s="236"/>
      <c r="I277" s="236"/>
      <c r="J277" s="236"/>
      <c r="N277" s="236"/>
      <c r="O277" s="236"/>
      <c r="P277" s="236"/>
      <c r="Q277" s="236"/>
      <c r="R277" s="236"/>
      <c r="S277" s="236"/>
      <c r="T277" s="236"/>
      <c r="U277" s="236"/>
      <c r="V277" s="236"/>
      <c r="W277" s="236"/>
      <c r="X277" s="236"/>
      <c r="Y277" s="236"/>
      <c r="Z277" s="236"/>
      <c r="AA277" s="236"/>
      <c r="AB277" s="236"/>
      <c r="AC277" s="236"/>
      <c r="AD277" s="236"/>
      <c r="AE277" s="236"/>
      <c r="AF277" s="236"/>
      <c r="AG277" s="236"/>
      <c r="AH277" s="236"/>
      <c r="AI277" s="236"/>
      <c r="AJ277" s="236"/>
      <c r="AK277" s="236"/>
      <c r="AL277" s="236"/>
      <c r="AM277" s="236"/>
      <c r="AN277" s="236"/>
      <c r="AO277" s="236"/>
      <c r="AP277" s="236"/>
      <c r="AQ277" s="236"/>
      <c r="AR277" s="236"/>
      <c r="AS277" s="236"/>
      <c r="AT277" s="236"/>
      <c r="AU277" s="236"/>
      <c r="AV277" s="236"/>
      <c r="AW277" s="236"/>
      <c r="AX277" s="236"/>
      <c r="AY277" s="236"/>
      <c r="AZ277" s="236"/>
      <c r="BA277" s="236"/>
      <c r="BB277" s="236"/>
      <c r="BC277" s="236"/>
      <c r="BD277" s="236"/>
      <c r="BE277" s="236"/>
      <c r="BF277" s="236"/>
      <c r="BG277" s="236"/>
      <c r="BH277" s="236"/>
    </row>
    <row r="278" spans="1:60" ht="13">
      <c r="A278" s="27"/>
      <c r="B278" s="27"/>
      <c r="C278" s="312"/>
      <c r="D278" s="231"/>
      <c r="E278" s="27"/>
      <c r="F278" s="27"/>
      <c r="G278" s="231"/>
      <c r="H278" s="27"/>
      <c r="I278" s="27"/>
      <c r="J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</row>
    <row r="279" spans="1:60" ht="13">
      <c r="A279" s="236"/>
      <c r="B279" s="236"/>
      <c r="C279" s="311"/>
      <c r="D279" s="237"/>
      <c r="E279" s="236"/>
      <c r="F279" s="236"/>
      <c r="G279" s="237"/>
      <c r="H279" s="236"/>
      <c r="I279" s="236"/>
      <c r="J279" s="236"/>
      <c r="N279" s="236"/>
      <c r="O279" s="236"/>
      <c r="P279" s="236"/>
      <c r="Q279" s="236"/>
      <c r="R279" s="236"/>
      <c r="S279" s="236"/>
      <c r="T279" s="236"/>
      <c r="U279" s="236"/>
      <c r="V279" s="236"/>
      <c r="W279" s="236"/>
      <c r="X279" s="236"/>
      <c r="Y279" s="236"/>
      <c r="Z279" s="236"/>
      <c r="AA279" s="236"/>
      <c r="AB279" s="236"/>
      <c r="AC279" s="236"/>
      <c r="AD279" s="236"/>
      <c r="AE279" s="236"/>
      <c r="AF279" s="236"/>
      <c r="AG279" s="236"/>
      <c r="AH279" s="236"/>
      <c r="AI279" s="236"/>
      <c r="AJ279" s="236"/>
      <c r="AK279" s="236"/>
      <c r="AL279" s="236"/>
      <c r="AM279" s="236"/>
      <c r="AN279" s="236"/>
      <c r="AO279" s="236"/>
      <c r="AP279" s="236"/>
      <c r="AQ279" s="236"/>
      <c r="AR279" s="236"/>
      <c r="AS279" s="236"/>
      <c r="AT279" s="236"/>
      <c r="AU279" s="236"/>
      <c r="AV279" s="236"/>
      <c r="AW279" s="236"/>
      <c r="AX279" s="236"/>
      <c r="AY279" s="236"/>
      <c r="AZ279" s="236"/>
      <c r="BA279" s="236"/>
      <c r="BB279" s="236"/>
      <c r="BC279" s="236"/>
      <c r="BD279" s="236"/>
      <c r="BE279" s="236"/>
      <c r="BF279" s="236"/>
      <c r="BG279" s="236"/>
      <c r="BH279" s="236"/>
    </row>
    <row r="280" spans="1:60" ht="13">
      <c r="A280" s="27"/>
      <c r="B280" s="27"/>
      <c r="C280" s="312"/>
      <c r="D280" s="231"/>
      <c r="E280" s="27"/>
      <c r="F280" s="27"/>
      <c r="G280" s="231"/>
      <c r="H280" s="27"/>
      <c r="I280" s="27"/>
      <c r="J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</row>
    <row r="281" spans="1:60" ht="13">
      <c r="A281" s="236"/>
      <c r="B281" s="236"/>
      <c r="C281" s="311"/>
      <c r="D281" s="237"/>
      <c r="E281" s="236"/>
      <c r="F281" s="236"/>
      <c r="G281" s="237"/>
      <c r="H281" s="236"/>
      <c r="I281" s="236"/>
      <c r="J281" s="236"/>
      <c r="N281" s="236"/>
      <c r="O281" s="236"/>
      <c r="P281" s="236"/>
      <c r="Q281" s="236"/>
      <c r="R281" s="236"/>
      <c r="S281" s="236"/>
      <c r="T281" s="236"/>
      <c r="U281" s="236"/>
      <c r="V281" s="236"/>
      <c r="W281" s="236"/>
      <c r="X281" s="236"/>
      <c r="Y281" s="236"/>
      <c r="Z281" s="236"/>
      <c r="AA281" s="236"/>
      <c r="AB281" s="236"/>
      <c r="AC281" s="236"/>
      <c r="AD281" s="236"/>
      <c r="AE281" s="236"/>
      <c r="AF281" s="236"/>
      <c r="AG281" s="236"/>
      <c r="AH281" s="236"/>
      <c r="AI281" s="236"/>
      <c r="AJ281" s="236"/>
      <c r="AK281" s="236"/>
      <c r="AL281" s="236"/>
      <c r="AM281" s="236"/>
      <c r="AN281" s="236"/>
      <c r="AO281" s="236"/>
      <c r="AP281" s="236"/>
      <c r="AQ281" s="236"/>
      <c r="AR281" s="236"/>
      <c r="AS281" s="236"/>
      <c r="AT281" s="236"/>
      <c r="AU281" s="236"/>
      <c r="AV281" s="236"/>
      <c r="AW281" s="236"/>
      <c r="AX281" s="236"/>
      <c r="AY281" s="236"/>
      <c r="AZ281" s="236"/>
      <c r="BA281" s="236"/>
      <c r="BB281" s="236"/>
      <c r="BC281" s="236"/>
      <c r="BD281" s="236"/>
      <c r="BE281" s="236"/>
      <c r="BF281" s="236"/>
      <c r="BG281" s="236"/>
      <c r="BH281" s="236"/>
    </row>
    <row r="282" spans="1:60" ht="13">
      <c r="A282" s="27"/>
      <c r="B282" s="27"/>
      <c r="C282" s="312"/>
      <c r="D282" s="231"/>
      <c r="E282" s="27"/>
      <c r="F282" s="27"/>
      <c r="G282" s="231"/>
      <c r="H282" s="27"/>
      <c r="I282" s="27"/>
      <c r="J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</row>
    <row r="283" spans="1:60" ht="13">
      <c r="A283" s="236"/>
      <c r="B283" s="236"/>
      <c r="C283" s="311"/>
      <c r="D283" s="237"/>
      <c r="E283" s="236"/>
      <c r="F283" s="236"/>
      <c r="G283" s="237"/>
      <c r="H283" s="236"/>
      <c r="I283" s="236"/>
      <c r="J283" s="236"/>
      <c r="N283" s="236"/>
      <c r="O283" s="236"/>
      <c r="P283" s="236"/>
      <c r="Q283" s="236"/>
      <c r="R283" s="236"/>
      <c r="S283" s="236"/>
      <c r="T283" s="236"/>
      <c r="U283" s="236"/>
      <c r="V283" s="236"/>
      <c r="W283" s="236"/>
      <c r="X283" s="236"/>
      <c r="Y283" s="236"/>
      <c r="Z283" s="236"/>
      <c r="AA283" s="236"/>
      <c r="AB283" s="236"/>
      <c r="AC283" s="236"/>
      <c r="AD283" s="236"/>
      <c r="AE283" s="236"/>
      <c r="AF283" s="236"/>
      <c r="AG283" s="236"/>
      <c r="AH283" s="236"/>
      <c r="AI283" s="236"/>
      <c r="AJ283" s="236"/>
      <c r="AK283" s="236"/>
      <c r="AL283" s="236"/>
      <c r="AM283" s="236"/>
      <c r="AN283" s="236"/>
      <c r="AO283" s="236"/>
      <c r="AP283" s="236"/>
      <c r="AQ283" s="236"/>
      <c r="AR283" s="236"/>
      <c r="AS283" s="236"/>
      <c r="AT283" s="236"/>
      <c r="AU283" s="236"/>
      <c r="AV283" s="236"/>
      <c r="AW283" s="236"/>
      <c r="AX283" s="236"/>
      <c r="AY283" s="236"/>
      <c r="AZ283" s="236"/>
      <c r="BA283" s="236"/>
      <c r="BB283" s="236"/>
      <c r="BC283" s="236"/>
      <c r="BD283" s="236"/>
      <c r="BE283" s="236"/>
      <c r="BF283" s="236"/>
      <c r="BG283" s="236"/>
      <c r="BH283" s="236"/>
    </row>
    <row r="284" spans="1:60" ht="13">
      <c r="A284" s="27"/>
      <c r="B284" s="27"/>
      <c r="C284" s="312"/>
      <c r="D284" s="231"/>
      <c r="E284" s="27"/>
      <c r="F284" s="27"/>
      <c r="G284" s="231"/>
      <c r="H284" s="27"/>
      <c r="I284" s="27"/>
      <c r="J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</row>
    <row r="285" spans="1:60" ht="13">
      <c r="A285" s="236"/>
      <c r="B285" s="236"/>
      <c r="C285" s="311"/>
      <c r="D285" s="237"/>
      <c r="E285" s="236"/>
      <c r="F285" s="236"/>
      <c r="G285" s="237"/>
      <c r="H285" s="236"/>
      <c r="I285" s="236"/>
      <c r="J285" s="236"/>
      <c r="N285" s="236"/>
      <c r="O285" s="236"/>
      <c r="P285" s="236"/>
      <c r="Q285" s="236"/>
      <c r="R285" s="236"/>
      <c r="S285" s="236"/>
      <c r="T285" s="236"/>
      <c r="U285" s="236"/>
      <c r="V285" s="236"/>
      <c r="W285" s="236"/>
      <c r="X285" s="236"/>
      <c r="Y285" s="236"/>
      <c r="Z285" s="236"/>
      <c r="AA285" s="236"/>
      <c r="AB285" s="236"/>
      <c r="AC285" s="236"/>
      <c r="AD285" s="236"/>
      <c r="AE285" s="236"/>
      <c r="AF285" s="236"/>
      <c r="AG285" s="236"/>
      <c r="AH285" s="236"/>
      <c r="AI285" s="236"/>
      <c r="AJ285" s="236"/>
      <c r="AK285" s="236"/>
      <c r="AL285" s="236"/>
      <c r="AM285" s="236"/>
      <c r="AN285" s="236"/>
      <c r="AO285" s="236"/>
      <c r="AP285" s="236"/>
      <c r="AQ285" s="236"/>
      <c r="AR285" s="236"/>
      <c r="AS285" s="236"/>
      <c r="AT285" s="236"/>
      <c r="AU285" s="236"/>
      <c r="AV285" s="236"/>
      <c r="AW285" s="236"/>
      <c r="AX285" s="236"/>
      <c r="AY285" s="236"/>
      <c r="AZ285" s="236"/>
      <c r="BA285" s="236"/>
      <c r="BB285" s="236"/>
      <c r="BC285" s="236"/>
      <c r="BD285" s="236"/>
      <c r="BE285" s="236"/>
      <c r="BF285" s="236"/>
      <c r="BG285" s="236"/>
      <c r="BH285" s="236"/>
    </row>
    <row r="286" spans="1:60" ht="13">
      <c r="A286" s="27"/>
      <c r="B286" s="27"/>
      <c r="C286" s="312"/>
      <c r="D286" s="231"/>
      <c r="E286" s="27"/>
      <c r="F286" s="27"/>
      <c r="G286" s="231"/>
      <c r="H286" s="27"/>
      <c r="I286" s="27"/>
      <c r="J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</row>
    <row r="287" spans="1:60" ht="13">
      <c r="A287" s="236"/>
      <c r="B287" s="236"/>
      <c r="C287" s="311"/>
      <c r="D287" s="237"/>
      <c r="E287" s="236"/>
      <c r="F287" s="236"/>
      <c r="G287" s="237"/>
      <c r="H287" s="236"/>
      <c r="I287" s="236"/>
      <c r="J287" s="236"/>
      <c r="N287" s="236"/>
      <c r="O287" s="236"/>
      <c r="P287" s="236"/>
      <c r="Q287" s="236"/>
      <c r="R287" s="236"/>
      <c r="S287" s="236"/>
      <c r="T287" s="236"/>
      <c r="U287" s="236"/>
      <c r="V287" s="236"/>
      <c r="W287" s="236"/>
      <c r="X287" s="236"/>
      <c r="Y287" s="236"/>
      <c r="Z287" s="236"/>
      <c r="AA287" s="236"/>
      <c r="AB287" s="236"/>
      <c r="AC287" s="236"/>
      <c r="AD287" s="236"/>
      <c r="AE287" s="236"/>
      <c r="AF287" s="236"/>
      <c r="AG287" s="236"/>
      <c r="AH287" s="236"/>
      <c r="AI287" s="236"/>
      <c r="AJ287" s="236"/>
      <c r="AK287" s="236"/>
      <c r="AL287" s="236"/>
      <c r="AM287" s="236"/>
      <c r="AN287" s="236"/>
      <c r="AO287" s="236"/>
      <c r="AP287" s="236"/>
      <c r="AQ287" s="236"/>
      <c r="AR287" s="236"/>
      <c r="AS287" s="236"/>
      <c r="AT287" s="236"/>
      <c r="AU287" s="236"/>
      <c r="AV287" s="236"/>
      <c r="AW287" s="236"/>
      <c r="AX287" s="236"/>
      <c r="AY287" s="236"/>
      <c r="AZ287" s="236"/>
      <c r="BA287" s="236"/>
      <c r="BB287" s="236"/>
      <c r="BC287" s="236"/>
      <c r="BD287" s="236"/>
      <c r="BE287" s="236"/>
      <c r="BF287" s="236"/>
      <c r="BG287" s="236"/>
      <c r="BH287" s="236"/>
    </row>
    <row r="288" spans="1:60" ht="13">
      <c r="A288" s="27"/>
      <c r="B288" s="27"/>
      <c r="C288" s="312"/>
      <c r="D288" s="231"/>
      <c r="E288" s="27"/>
      <c r="F288" s="27"/>
      <c r="G288" s="231"/>
      <c r="H288" s="27"/>
      <c r="I288" s="27"/>
      <c r="J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</row>
    <row r="289" spans="1:60" ht="13">
      <c r="A289" s="236"/>
      <c r="B289" s="236"/>
      <c r="C289" s="311"/>
      <c r="D289" s="237"/>
      <c r="E289" s="236"/>
      <c r="F289" s="236"/>
      <c r="G289" s="237"/>
      <c r="H289" s="236"/>
      <c r="I289" s="236"/>
      <c r="J289" s="236"/>
      <c r="N289" s="236"/>
      <c r="O289" s="236"/>
      <c r="P289" s="236"/>
      <c r="Q289" s="236"/>
      <c r="R289" s="236"/>
      <c r="S289" s="236"/>
      <c r="T289" s="236"/>
      <c r="U289" s="236"/>
      <c r="V289" s="236"/>
      <c r="W289" s="236"/>
      <c r="X289" s="236"/>
      <c r="Y289" s="236"/>
      <c r="Z289" s="236"/>
      <c r="AA289" s="236"/>
      <c r="AB289" s="236"/>
      <c r="AC289" s="236"/>
      <c r="AD289" s="236"/>
      <c r="AE289" s="236"/>
      <c r="AF289" s="236"/>
      <c r="AG289" s="236"/>
      <c r="AH289" s="236"/>
      <c r="AI289" s="236"/>
      <c r="AJ289" s="236"/>
      <c r="AK289" s="236"/>
      <c r="AL289" s="236"/>
      <c r="AM289" s="236"/>
      <c r="AN289" s="236"/>
      <c r="AO289" s="236"/>
      <c r="AP289" s="236"/>
      <c r="AQ289" s="236"/>
      <c r="AR289" s="236"/>
      <c r="AS289" s="236"/>
      <c r="AT289" s="236"/>
      <c r="AU289" s="236"/>
      <c r="AV289" s="236"/>
      <c r="AW289" s="236"/>
      <c r="AX289" s="236"/>
      <c r="AY289" s="236"/>
      <c r="AZ289" s="236"/>
      <c r="BA289" s="236"/>
      <c r="BB289" s="236"/>
      <c r="BC289" s="236"/>
      <c r="BD289" s="236"/>
      <c r="BE289" s="236"/>
      <c r="BF289" s="236"/>
      <c r="BG289" s="236"/>
      <c r="BH289" s="236"/>
    </row>
    <row r="290" spans="1:60" ht="13">
      <c r="A290" s="27"/>
      <c r="B290" s="27"/>
      <c r="C290" s="312"/>
      <c r="D290" s="231"/>
      <c r="E290" s="27"/>
      <c r="F290" s="27"/>
      <c r="G290" s="231"/>
      <c r="H290" s="27"/>
      <c r="I290" s="27"/>
      <c r="J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</row>
    <row r="291" spans="1:60" ht="13">
      <c r="A291" s="236"/>
      <c r="B291" s="236"/>
      <c r="C291" s="311"/>
      <c r="D291" s="237"/>
      <c r="E291" s="236"/>
      <c r="F291" s="236"/>
      <c r="G291" s="237"/>
      <c r="H291" s="236"/>
      <c r="I291" s="236"/>
      <c r="J291" s="236"/>
      <c r="N291" s="236"/>
      <c r="O291" s="236"/>
      <c r="P291" s="236"/>
      <c r="Q291" s="236"/>
      <c r="R291" s="236"/>
      <c r="S291" s="236"/>
      <c r="T291" s="236"/>
      <c r="U291" s="236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  <c r="AG291" s="236"/>
      <c r="AH291" s="236"/>
      <c r="AI291" s="236"/>
      <c r="AJ291" s="236"/>
      <c r="AK291" s="236"/>
      <c r="AL291" s="236"/>
      <c r="AM291" s="236"/>
      <c r="AN291" s="236"/>
      <c r="AO291" s="236"/>
      <c r="AP291" s="236"/>
      <c r="AQ291" s="236"/>
      <c r="AR291" s="236"/>
      <c r="AS291" s="236"/>
      <c r="AT291" s="236"/>
      <c r="AU291" s="236"/>
      <c r="AV291" s="236"/>
      <c r="AW291" s="236"/>
      <c r="AX291" s="236"/>
      <c r="AY291" s="236"/>
      <c r="AZ291" s="236"/>
      <c r="BA291" s="236"/>
      <c r="BB291" s="236"/>
      <c r="BC291" s="236"/>
      <c r="BD291" s="236"/>
      <c r="BE291" s="236"/>
      <c r="BF291" s="236"/>
      <c r="BG291" s="236"/>
      <c r="BH291" s="236"/>
    </row>
    <row r="292" spans="1:60" ht="13">
      <c r="A292" s="27"/>
      <c r="B292" s="27"/>
      <c r="C292" s="312"/>
      <c r="D292" s="231"/>
      <c r="E292" s="27"/>
      <c r="F292" s="27"/>
      <c r="G292" s="231"/>
      <c r="H292" s="27"/>
      <c r="I292" s="27"/>
      <c r="J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</row>
    <row r="293" spans="1:60" ht="13">
      <c r="A293" s="236"/>
      <c r="B293" s="236"/>
      <c r="C293" s="311"/>
      <c r="D293" s="237"/>
      <c r="E293" s="236"/>
      <c r="F293" s="236"/>
      <c r="G293" s="237"/>
      <c r="H293" s="236"/>
      <c r="I293" s="236"/>
      <c r="J293" s="236"/>
      <c r="N293" s="236"/>
      <c r="O293" s="236"/>
      <c r="P293" s="236"/>
      <c r="Q293" s="236"/>
      <c r="R293" s="236"/>
      <c r="S293" s="236"/>
      <c r="T293" s="236"/>
      <c r="U293" s="236"/>
      <c r="V293" s="236"/>
      <c r="W293" s="236"/>
      <c r="X293" s="236"/>
      <c r="Y293" s="236"/>
      <c r="Z293" s="236"/>
      <c r="AA293" s="236"/>
      <c r="AB293" s="236"/>
      <c r="AC293" s="236"/>
      <c r="AD293" s="236"/>
      <c r="AE293" s="236"/>
      <c r="AF293" s="236"/>
      <c r="AG293" s="236"/>
      <c r="AH293" s="236"/>
      <c r="AI293" s="236"/>
      <c r="AJ293" s="236"/>
      <c r="AK293" s="236"/>
      <c r="AL293" s="236"/>
      <c r="AM293" s="236"/>
      <c r="AN293" s="236"/>
      <c r="AO293" s="236"/>
      <c r="AP293" s="236"/>
      <c r="AQ293" s="236"/>
      <c r="AR293" s="236"/>
      <c r="AS293" s="236"/>
      <c r="AT293" s="236"/>
      <c r="AU293" s="236"/>
      <c r="AV293" s="236"/>
      <c r="AW293" s="236"/>
      <c r="AX293" s="236"/>
      <c r="AY293" s="236"/>
      <c r="AZ293" s="236"/>
      <c r="BA293" s="236"/>
      <c r="BB293" s="236"/>
      <c r="BC293" s="236"/>
      <c r="BD293" s="236"/>
      <c r="BE293" s="236"/>
      <c r="BF293" s="236"/>
      <c r="BG293" s="236"/>
      <c r="BH293" s="236"/>
    </row>
    <row r="294" spans="1:60" ht="13">
      <c r="A294" s="27"/>
      <c r="B294" s="27"/>
      <c r="C294" s="312"/>
      <c r="D294" s="231"/>
      <c r="E294" s="27"/>
      <c r="F294" s="27"/>
      <c r="G294" s="231"/>
      <c r="H294" s="27"/>
      <c r="I294" s="27"/>
      <c r="J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</row>
    <row r="295" spans="1:60" ht="13">
      <c r="A295" s="236"/>
      <c r="B295" s="236"/>
      <c r="C295" s="311"/>
      <c r="D295" s="237"/>
      <c r="E295" s="236"/>
      <c r="F295" s="236"/>
      <c r="G295" s="237"/>
      <c r="H295" s="236"/>
      <c r="I295" s="236"/>
      <c r="J295" s="236"/>
      <c r="N295" s="236"/>
      <c r="O295" s="236"/>
      <c r="P295" s="236"/>
      <c r="Q295" s="236"/>
      <c r="R295" s="236"/>
      <c r="S295" s="236"/>
      <c r="T295" s="236"/>
      <c r="U295" s="236"/>
      <c r="V295" s="236"/>
      <c r="W295" s="236"/>
      <c r="X295" s="236"/>
      <c r="Y295" s="236"/>
      <c r="Z295" s="236"/>
      <c r="AA295" s="236"/>
      <c r="AB295" s="236"/>
      <c r="AC295" s="236"/>
      <c r="AD295" s="236"/>
      <c r="AE295" s="236"/>
      <c r="AF295" s="236"/>
      <c r="AG295" s="236"/>
      <c r="AH295" s="236"/>
      <c r="AI295" s="236"/>
      <c r="AJ295" s="236"/>
      <c r="AK295" s="236"/>
      <c r="AL295" s="236"/>
      <c r="AM295" s="236"/>
      <c r="AN295" s="236"/>
      <c r="AO295" s="236"/>
      <c r="AP295" s="236"/>
      <c r="AQ295" s="236"/>
      <c r="AR295" s="236"/>
      <c r="AS295" s="236"/>
      <c r="AT295" s="236"/>
      <c r="AU295" s="236"/>
      <c r="AV295" s="236"/>
      <c r="AW295" s="236"/>
      <c r="AX295" s="236"/>
      <c r="AY295" s="236"/>
      <c r="AZ295" s="236"/>
      <c r="BA295" s="236"/>
      <c r="BB295" s="236"/>
      <c r="BC295" s="236"/>
      <c r="BD295" s="236"/>
      <c r="BE295" s="236"/>
      <c r="BF295" s="236"/>
      <c r="BG295" s="236"/>
      <c r="BH295" s="236"/>
    </row>
    <row r="296" spans="1:60" ht="13">
      <c r="A296" s="27"/>
      <c r="B296" s="27"/>
      <c r="C296" s="312"/>
      <c r="D296" s="231"/>
      <c r="E296" s="27"/>
      <c r="F296" s="27"/>
      <c r="G296" s="231"/>
      <c r="H296" s="27"/>
      <c r="I296" s="27"/>
      <c r="J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</row>
    <row r="297" spans="1:60" ht="13">
      <c r="A297" s="236"/>
      <c r="B297" s="236"/>
      <c r="C297" s="311"/>
      <c r="D297" s="237"/>
      <c r="E297" s="236"/>
      <c r="F297" s="236"/>
      <c r="G297" s="237"/>
      <c r="H297" s="236"/>
      <c r="I297" s="236"/>
      <c r="J297" s="236"/>
      <c r="N297" s="236"/>
      <c r="O297" s="236"/>
      <c r="P297" s="236"/>
      <c r="Q297" s="236"/>
      <c r="R297" s="236"/>
      <c r="S297" s="236"/>
      <c r="T297" s="236"/>
      <c r="U297" s="236"/>
      <c r="V297" s="236"/>
      <c r="W297" s="236"/>
      <c r="X297" s="236"/>
      <c r="Y297" s="236"/>
      <c r="Z297" s="236"/>
      <c r="AA297" s="236"/>
      <c r="AB297" s="236"/>
      <c r="AC297" s="236"/>
      <c r="AD297" s="236"/>
      <c r="AE297" s="236"/>
      <c r="AF297" s="236"/>
      <c r="AG297" s="236"/>
      <c r="AH297" s="236"/>
      <c r="AI297" s="236"/>
      <c r="AJ297" s="236"/>
      <c r="AK297" s="236"/>
      <c r="AL297" s="236"/>
      <c r="AM297" s="236"/>
      <c r="AN297" s="236"/>
      <c r="AO297" s="236"/>
      <c r="AP297" s="236"/>
      <c r="AQ297" s="236"/>
      <c r="AR297" s="236"/>
      <c r="AS297" s="236"/>
      <c r="AT297" s="236"/>
      <c r="AU297" s="236"/>
      <c r="AV297" s="236"/>
      <c r="AW297" s="236"/>
      <c r="AX297" s="236"/>
      <c r="AY297" s="236"/>
      <c r="AZ297" s="236"/>
      <c r="BA297" s="236"/>
      <c r="BB297" s="236"/>
      <c r="BC297" s="236"/>
      <c r="BD297" s="236"/>
      <c r="BE297" s="236"/>
      <c r="BF297" s="236"/>
      <c r="BG297" s="236"/>
      <c r="BH297" s="236"/>
    </row>
    <row r="298" spans="1:60" ht="13">
      <c r="A298" s="27"/>
      <c r="B298" s="27"/>
      <c r="C298" s="312"/>
      <c r="D298" s="231"/>
      <c r="E298" s="27"/>
      <c r="F298" s="27"/>
      <c r="G298" s="231"/>
      <c r="H298" s="27"/>
      <c r="I298" s="27"/>
      <c r="J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</row>
    <row r="299" spans="1:60" ht="13">
      <c r="A299" s="236"/>
      <c r="B299" s="236"/>
      <c r="C299" s="311"/>
      <c r="D299" s="237"/>
      <c r="E299" s="236"/>
      <c r="F299" s="236"/>
      <c r="G299" s="237"/>
      <c r="H299" s="236"/>
      <c r="I299" s="236"/>
      <c r="J299" s="236"/>
      <c r="N299" s="236"/>
      <c r="O299" s="236"/>
      <c r="P299" s="236"/>
      <c r="Q299" s="236"/>
      <c r="R299" s="236"/>
      <c r="S299" s="236"/>
      <c r="T299" s="236"/>
      <c r="U299" s="236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236"/>
      <c r="AH299" s="236"/>
      <c r="AI299" s="236"/>
      <c r="AJ299" s="236"/>
      <c r="AK299" s="236"/>
      <c r="AL299" s="236"/>
      <c r="AM299" s="236"/>
      <c r="AN299" s="236"/>
      <c r="AO299" s="236"/>
      <c r="AP299" s="236"/>
      <c r="AQ299" s="236"/>
      <c r="AR299" s="236"/>
      <c r="AS299" s="236"/>
      <c r="AT299" s="236"/>
      <c r="AU299" s="236"/>
      <c r="AV299" s="236"/>
      <c r="AW299" s="236"/>
      <c r="AX299" s="236"/>
      <c r="AY299" s="236"/>
      <c r="AZ299" s="236"/>
      <c r="BA299" s="236"/>
      <c r="BB299" s="236"/>
      <c r="BC299" s="236"/>
      <c r="BD299" s="236"/>
      <c r="BE299" s="236"/>
      <c r="BF299" s="236"/>
      <c r="BG299" s="236"/>
      <c r="BH299" s="236"/>
    </row>
    <row r="300" spans="1:60" ht="13">
      <c r="A300" s="27"/>
      <c r="B300" s="27"/>
      <c r="C300" s="312"/>
      <c r="D300" s="231"/>
      <c r="E300" s="27"/>
      <c r="F300" s="27"/>
      <c r="G300" s="231"/>
      <c r="H300" s="27"/>
      <c r="I300" s="27"/>
      <c r="J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</row>
    <row r="301" spans="1:60" ht="13">
      <c r="A301" s="236"/>
      <c r="B301" s="236"/>
      <c r="C301" s="311"/>
      <c r="D301" s="237"/>
      <c r="E301" s="236"/>
      <c r="F301" s="236"/>
      <c r="G301" s="237"/>
      <c r="H301" s="236"/>
      <c r="I301" s="236"/>
      <c r="J301" s="236"/>
      <c r="N301" s="236"/>
      <c r="O301" s="236"/>
      <c r="P301" s="236"/>
      <c r="Q301" s="236"/>
      <c r="R301" s="236"/>
      <c r="S301" s="236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236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236"/>
      <c r="BD301" s="236"/>
      <c r="BE301" s="236"/>
      <c r="BF301" s="236"/>
      <c r="BG301" s="236"/>
      <c r="BH301" s="236"/>
    </row>
    <row r="302" spans="1:60" ht="13">
      <c r="A302" s="27"/>
      <c r="B302" s="27"/>
      <c r="C302" s="312"/>
      <c r="D302" s="231"/>
      <c r="E302" s="27"/>
      <c r="F302" s="27"/>
      <c r="G302" s="231"/>
      <c r="H302" s="27"/>
      <c r="I302" s="27"/>
      <c r="J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</row>
    <row r="303" spans="1:60" ht="13">
      <c r="A303" s="236"/>
      <c r="B303" s="236"/>
      <c r="C303" s="311"/>
      <c r="D303" s="237"/>
      <c r="E303" s="236"/>
      <c r="F303" s="236"/>
      <c r="G303" s="237"/>
      <c r="H303" s="236"/>
      <c r="I303" s="236"/>
      <c r="J303" s="236"/>
      <c r="N303" s="236"/>
      <c r="O303" s="236"/>
      <c r="P303" s="236"/>
      <c r="Q303" s="236"/>
      <c r="R303" s="236"/>
      <c r="S303" s="236"/>
      <c r="T303" s="236"/>
      <c r="U303" s="236"/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236"/>
      <c r="AH303" s="236"/>
      <c r="AI303" s="236"/>
      <c r="AJ303" s="236"/>
      <c r="AK303" s="236"/>
      <c r="AL303" s="236"/>
      <c r="AM303" s="236"/>
      <c r="AN303" s="236"/>
      <c r="AO303" s="236"/>
      <c r="AP303" s="236"/>
      <c r="AQ303" s="236"/>
      <c r="AR303" s="236"/>
      <c r="AS303" s="236"/>
      <c r="AT303" s="236"/>
      <c r="AU303" s="236"/>
      <c r="AV303" s="236"/>
      <c r="AW303" s="236"/>
      <c r="AX303" s="236"/>
      <c r="AY303" s="236"/>
      <c r="AZ303" s="236"/>
      <c r="BA303" s="236"/>
      <c r="BB303" s="236"/>
      <c r="BC303" s="236"/>
      <c r="BD303" s="236"/>
      <c r="BE303" s="236"/>
      <c r="BF303" s="236"/>
      <c r="BG303" s="236"/>
      <c r="BH303" s="236"/>
    </row>
    <row r="304" spans="1:60" ht="13">
      <c r="A304" s="27"/>
      <c r="B304" s="27"/>
      <c r="C304" s="312"/>
      <c r="D304" s="231"/>
      <c r="E304" s="27"/>
      <c r="F304" s="27"/>
      <c r="G304" s="231"/>
      <c r="H304" s="27"/>
      <c r="I304" s="27"/>
      <c r="J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</row>
    <row r="305" spans="1:60" ht="13">
      <c r="A305" s="236"/>
      <c r="B305" s="236"/>
      <c r="C305" s="311"/>
      <c r="D305" s="237"/>
      <c r="E305" s="236"/>
      <c r="F305" s="236"/>
      <c r="G305" s="237"/>
      <c r="H305" s="236"/>
      <c r="I305" s="236"/>
      <c r="J305" s="236"/>
      <c r="N305" s="236"/>
      <c r="O305" s="236"/>
      <c r="P305" s="236"/>
      <c r="Q305" s="236"/>
      <c r="R305" s="236"/>
      <c r="S305" s="236"/>
      <c r="T305" s="236"/>
      <c r="U305" s="236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236"/>
      <c r="AH305" s="236"/>
      <c r="AI305" s="236"/>
      <c r="AJ305" s="236"/>
      <c r="AK305" s="236"/>
      <c r="AL305" s="236"/>
      <c r="AM305" s="236"/>
      <c r="AN305" s="236"/>
      <c r="AO305" s="236"/>
      <c r="AP305" s="236"/>
      <c r="AQ305" s="236"/>
      <c r="AR305" s="236"/>
      <c r="AS305" s="236"/>
      <c r="AT305" s="236"/>
      <c r="AU305" s="236"/>
      <c r="AV305" s="236"/>
      <c r="AW305" s="236"/>
      <c r="AX305" s="236"/>
      <c r="AY305" s="236"/>
      <c r="AZ305" s="236"/>
      <c r="BA305" s="236"/>
      <c r="BB305" s="236"/>
      <c r="BC305" s="236"/>
      <c r="BD305" s="236"/>
      <c r="BE305" s="236"/>
      <c r="BF305" s="236"/>
      <c r="BG305" s="236"/>
      <c r="BH305" s="236"/>
    </row>
    <row r="306" spans="1:60" ht="13">
      <c r="A306" s="27"/>
      <c r="B306" s="27"/>
      <c r="C306" s="312"/>
      <c r="D306" s="231"/>
      <c r="E306" s="27"/>
      <c r="F306" s="27"/>
      <c r="G306" s="231"/>
      <c r="H306" s="27"/>
      <c r="I306" s="27"/>
      <c r="J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</row>
    <row r="307" spans="1:60" ht="13">
      <c r="A307" s="236"/>
      <c r="B307" s="236"/>
      <c r="C307" s="311"/>
      <c r="D307" s="237"/>
      <c r="E307" s="236"/>
      <c r="F307" s="236"/>
      <c r="G307" s="237"/>
      <c r="H307" s="236"/>
      <c r="I307" s="236"/>
      <c r="J307" s="236"/>
      <c r="N307" s="236"/>
      <c r="O307" s="236"/>
      <c r="P307" s="236"/>
      <c r="Q307" s="236"/>
      <c r="R307" s="236"/>
      <c r="S307" s="236"/>
      <c r="T307" s="236"/>
      <c r="U307" s="236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236"/>
      <c r="AH307" s="236"/>
      <c r="AI307" s="236"/>
      <c r="AJ307" s="236"/>
      <c r="AK307" s="236"/>
      <c r="AL307" s="236"/>
      <c r="AM307" s="236"/>
      <c r="AN307" s="236"/>
      <c r="AO307" s="236"/>
      <c r="AP307" s="236"/>
      <c r="AQ307" s="236"/>
      <c r="AR307" s="236"/>
      <c r="AS307" s="236"/>
      <c r="AT307" s="236"/>
      <c r="AU307" s="236"/>
      <c r="AV307" s="236"/>
      <c r="AW307" s="236"/>
      <c r="AX307" s="236"/>
      <c r="AY307" s="236"/>
      <c r="AZ307" s="236"/>
      <c r="BA307" s="236"/>
      <c r="BB307" s="236"/>
      <c r="BC307" s="236"/>
      <c r="BD307" s="236"/>
      <c r="BE307" s="236"/>
      <c r="BF307" s="236"/>
      <c r="BG307" s="236"/>
      <c r="BH307" s="236"/>
    </row>
    <row r="308" spans="1:60" ht="13">
      <c r="A308" s="27"/>
      <c r="B308" s="27"/>
      <c r="C308" s="312"/>
      <c r="D308" s="231"/>
      <c r="E308" s="27"/>
      <c r="F308" s="27"/>
      <c r="G308" s="231"/>
      <c r="H308" s="27"/>
      <c r="I308" s="27"/>
      <c r="J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</row>
    <row r="309" spans="1:60" ht="13">
      <c r="A309" s="236"/>
      <c r="B309" s="236"/>
      <c r="C309" s="311"/>
      <c r="D309" s="237"/>
      <c r="E309" s="236"/>
      <c r="F309" s="236"/>
      <c r="G309" s="237"/>
      <c r="H309" s="236"/>
      <c r="I309" s="236"/>
      <c r="J309" s="236"/>
      <c r="N309" s="236"/>
      <c r="O309" s="236"/>
      <c r="P309" s="236"/>
      <c r="Q309" s="236"/>
      <c r="R309" s="236"/>
      <c r="S309" s="236"/>
      <c r="T309" s="236"/>
      <c r="U309" s="236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236"/>
      <c r="AH309" s="236"/>
      <c r="AI309" s="236"/>
      <c r="AJ309" s="236"/>
      <c r="AK309" s="236"/>
      <c r="AL309" s="236"/>
      <c r="AM309" s="236"/>
      <c r="AN309" s="236"/>
      <c r="AO309" s="236"/>
      <c r="AP309" s="236"/>
      <c r="AQ309" s="236"/>
      <c r="AR309" s="236"/>
      <c r="AS309" s="236"/>
      <c r="AT309" s="236"/>
      <c r="AU309" s="236"/>
      <c r="AV309" s="236"/>
      <c r="AW309" s="236"/>
      <c r="AX309" s="236"/>
      <c r="AY309" s="236"/>
      <c r="AZ309" s="236"/>
      <c r="BA309" s="236"/>
      <c r="BB309" s="236"/>
      <c r="BC309" s="236"/>
      <c r="BD309" s="236"/>
      <c r="BE309" s="236"/>
      <c r="BF309" s="236"/>
      <c r="BG309" s="236"/>
      <c r="BH309" s="236"/>
    </row>
    <row r="310" spans="1:60" ht="13">
      <c r="A310" s="27"/>
      <c r="B310" s="27"/>
      <c r="C310" s="312"/>
      <c r="D310" s="231"/>
      <c r="E310" s="27"/>
      <c r="F310" s="27"/>
      <c r="G310" s="231"/>
      <c r="H310" s="27"/>
      <c r="I310" s="27"/>
      <c r="J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</row>
    <row r="311" spans="1:60" ht="13">
      <c r="A311" s="236"/>
      <c r="B311" s="236"/>
      <c r="C311" s="311"/>
      <c r="D311" s="237"/>
      <c r="E311" s="236"/>
      <c r="F311" s="236"/>
      <c r="G311" s="237"/>
      <c r="H311" s="236"/>
      <c r="I311" s="236"/>
      <c r="J311" s="236"/>
      <c r="N311" s="236"/>
      <c r="O311" s="236"/>
      <c r="P311" s="236"/>
      <c r="Q311" s="236"/>
      <c r="R311" s="236"/>
      <c r="S311" s="236"/>
      <c r="T311" s="236"/>
      <c r="U311" s="236"/>
      <c r="V311" s="236"/>
      <c r="W311" s="236"/>
      <c r="X311" s="236"/>
      <c r="Y311" s="236"/>
      <c r="Z311" s="236"/>
      <c r="AA311" s="236"/>
      <c r="AB311" s="236"/>
      <c r="AC311" s="236"/>
      <c r="AD311" s="236"/>
      <c r="AE311" s="236"/>
      <c r="AF311" s="236"/>
      <c r="AG311" s="236"/>
      <c r="AH311" s="236"/>
      <c r="AI311" s="236"/>
      <c r="AJ311" s="236"/>
      <c r="AK311" s="236"/>
      <c r="AL311" s="236"/>
      <c r="AM311" s="236"/>
      <c r="AN311" s="236"/>
      <c r="AO311" s="236"/>
      <c r="AP311" s="236"/>
      <c r="AQ311" s="236"/>
      <c r="AR311" s="236"/>
      <c r="AS311" s="236"/>
      <c r="AT311" s="236"/>
      <c r="AU311" s="236"/>
      <c r="AV311" s="236"/>
      <c r="AW311" s="236"/>
      <c r="AX311" s="236"/>
      <c r="AY311" s="236"/>
      <c r="AZ311" s="236"/>
      <c r="BA311" s="236"/>
      <c r="BB311" s="236"/>
      <c r="BC311" s="236"/>
      <c r="BD311" s="236"/>
      <c r="BE311" s="236"/>
      <c r="BF311" s="236"/>
      <c r="BG311" s="236"/>
      <c r="BH311" s="236"/>
    </row>
    <row r="312" spans="1:60" ht="13">
      <c r="A312" s="27"/>
      <c r="B312" s="27"/>
      <c r="C312" s="312"/>
      <c r="D312" s="231"/>
      <c r="E312" s="27"/>
      <c r="F312" s="27"/>
      <c r="G312" s="231"/>
      <c r="H312" s="27"/>
      <c r="I312" s="27"/>
      <c r="J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</row>
    <row r="313" spans="1:60" ht="13">
      <c r="A313" s="236"/>
      <c r="B313" s="236"/>
      <c r="C313" s="311"/>
      <c r="D313" s="237"/>
      <c r="E313" s="236"/>
      <c r="F313" s="236"/>
      <c r="G313" s="237"/>
      <c r="H313" s="236"/>
      <c r="I313" s="236"/>
      <c r="J313" s="236"/>
      <c r="N313" s="236"/>
      <c r="O313" s="236"/>
      <c r="P313" s="236"/>
      <c r="Q313" s="236"/>
      <c r="R313" s="236"/>
      <c r="S313" s="236"/>
      <c r="T313" s="236"/>
      <c r="U313" s="236"/>
      <c r="V313" s="236"/>
      <c r="W313" s="236"/>
      <c r="X313" s="236"/>
      <c r="Y313" s="236"/>
      <c r="Z313" s="236"/>
      <c r="AA313" s="236"/>
      <c r="AB313" s="236"/>
      <c r="AC313" s="236"/>
      <c r="AD313" s="236"/>
      <c r="AE313" s="236"/>
      <c r="AF313" s="236"/>
      <c r="AG313" s="236"/>
      <c r="AH313" s="236"/>
      <c r="AI313" s="236"/>
      <c r="AJ313" s="236"/>
      <c r="AK313" s="236"/>
      <c r="AL313" s="236"/>
      <c r="AM313" s="236"/>
      <c r="AN313" s="236"/>
      <c r="AO313" s="236"/>
      <c r="AP313" s="236"/>
      <c r="AQ313" s="236"/>
      <c r="AR313" s="236"/>
      <c r="AS313" s="236"/>
      <c r="AT313" s="236"/>
      <c r="AU313" s="236"/>
      <c r="AV313" s="236"/>
      <c r="AW313" s="236"/>
      <c r="AX313" s="236"/>
      <c r="AY313" s="236"/>
      <c r="AZ313" s="236"/>
      <c r="BA313" s="236"/>
      <c r="BB313" s="236"/>
      <c r="BC313" s="236"/>
      <c r="BD313" s="236"/>
      <c r="BE313" s="236"/>
      <c r="BF313" s="236"/>
      <c r="BG313" s="236"/>
      <c r="BH313" s="236"/>
    </row>
    <row r="314" spans="1:60" ht="13">
      <c r="A314" s="27"/>
      <c r="B314" s="27"/>
      <c r="C314" s="312"/>
      <c r="D314" s="231"/>
      <c r="E314" s="27"/>
      <c r="F314" s="27"/>
      <c r="G314" s="231"/>
      <c r="H314" s="27"/>
      <c r="I314" s="27"/>
      <c r="J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</row>
    <row r="315" spans="1:60" ht="13">
      <c r="A315" s="236"/>
      <c r="B315" s="236"/>
      <c r="C315" s="311"/>
      <c r="D315" s="237"/>
      <c r="E315" s="236"/>
      <c r="F315" s="236"/>
      <c r="G315" s="237"/>
      <c r="H315" s="236"/>
      <c r="I315" s="236"/>
      <c r="J315" s="236"/>
      <c r="N315" s="236"/>
      <c r="O315" s="236"/>
      <c r="P315" s="236"/>
      <c r="Q315" s="236"/>
      <c r="R315" s="236"/>
      <c r="S315" s="236"/>
      <c r="T315" s="236"/>
      <c r="U315" s="236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236"/>
      <c r="AH315" s="236"/>
      <c r="AI315" s="236"/>
      <c r="AJ315" s="236"/>
      <c r="AK315" s="236"/>
      <c r="AL315" s="236"/>
      <c r="AM315" s="236"/>
      <c r="AN315" s="236"/>
      <c r="AO315" s="236"/>
      <c r="AP315" s="236"/>
      <c r="AQ315" s="236"/>
      <c r="AR315" s="236"/>
      <c r="AS315" s="236"/>
      <c r="AT315" s="236"/>
      <c r="AU315" s="236"/>
      <c r="AV315" s="236"/>
      <c r="AW315" s="236"/>
      <c r="AX315" s="236"/>
      <c r="AY315" s="236"/>
      <c r="AZ315" s="236"/>
      <c r="BA315" s="236"/>
      <c r="BB315" s="236"/>
      <c r="BC315" s="236"/>
      <c r="BD315" s="236"/>
      <c r="BE315" s="236"/>
      <c r="BF315" s="236"/>
      <c r="BG315" s="236"/>
      <c r="BH315" s="236"/>
    </row>
    <row r="316" spans="1:60" ht="13">
      <c r="A316" s="27"/>
      <c r="B316" s="27"/>
      <c r="C316" s="312"/>
      <c r="D316" s="231"/>
      <c r="E316" s="27"/>
      <c r="F316" s="27"/>
      <c r="G316" s="231"/>
      <c r="H316" s="27"/>
      <c r="I316" s="27"/>
      <c r="J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</row>
    <row r="317" spans="1:60" ht="13">
      <c r="A317" s="236"/>
      <c r="B317" s="236"/>
      <c r="C317" s="311"/>
      <c r="D317" s="237"/>
      <c r="E317" s="236"/>
      <c r="F317" s="236"/>
      <c r="G317" s="237"/>
      <c r="H317" s="236"/>
      <c r="I317" s="236"/>
      <c r="J317" s="236"/>
      <c r="N317" s="236"/>
      <c r="O317" s="236"/>
      <c r="P317" s="236"/>
      <c r="Q317" s="236"/>
      <c r="R317" s="236"/>
      <c r="S317" s="236"/>
      <c r="T317" s="236"/>
      <c r="U317" s="236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236"/>
      <c r="AH317" s="236"/>
      <c r="AI317" s="236"/>
      <c r="AJ317" s="236"/>
      <c r="AK317" s="236"/>
      <c r="AL317" s="236"/>
      <c r="AM317" s="236"/>
      <c r="AN317" s="236"/>
      <c r="AO317" s="236"/>
      <c r="AP317" s="236"/>
      <c r="AQ317" s="236"/>
      <c r="AR317" s="236"/>
      <c r="AS317" s="236"/>
      <c r="AT317" s="236"/>
      <c r="AU317" s="236"/>
      <c r="AV317" s="236"/>
      <c r="AW317" s="236"/>
      <c r="AX317" s="236"/>
      <c r="AY317" s="236"/>
      <c r="AZ317" s="236"/>
      <c r="BA317" s="236"/>
      <c r="BB317" s="236"/>
      <c r="BC317" s="236"/>
      <c r="BD317" s="236"/>
      <c r="BE317" s="236"/>
      <c r="BF317" s="236"/>
      <c r="BG317" s="236"/>
      <c r="BH317" s="236"/>
    </row>
    <row r="318" spans="1:60" ht="13">
      <c r="A318" s="27"/>
      <c r="B318" s="27"/>
      <c r="C318" s="312"/>
      <c r="D318" s="231"/>
      <c r="E318" s="27"/>
      <c r="F318" s="27"/>
      <c r="G318" s="231"/>
      <c r="H318" s="27"/>
      <c r="I318" s="27"/>
      <c r="J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</row>
    <row r="319" spans="1:60" ht="13">
      <c r="A319" s="236"/>
      <c r="B319" s="236"/>
      <c r="C319" s="311"/>
      <c r="D319" s="237"/>
      <c r="E319" s="236"/>
      <c r="F319" s="236"/>
      <c r="G319" s="237"/>
      <c r="H319" s="236"/>
      <c r="I319" s="236"/>
      <c r="J319" s="236"/>
      <c r="N319" s="236"/>
      <c r="O319" s="236"/>
      <c r="P319" s="236"/>
      <c r="Q319" s="236"/>
      <c r="R319" s="236"/>
      <c r="S319" s="236"/>
      <c r="T319" s="236"/>
      <c r="U319" s="236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236"/>
      <c r="AH319" s="236"/>
      <c r="AI319" s="236"/>
      <c r="AJ319" s="236"/>
      <c r="AK319" s="236"/>
      <c r="AL319" s="236"/>
      <c r="AM319" s="236"/>
      <c r="AN319" s="236"/>
      <c r="AO319" s="236"/>
      <c r="AP319" s="236"/>
      <c r="AQ319" s="236"/>
      <c r="AR319" s="236"/>
      <c r="AS319" s="236"/>
      <c r="AT319" s="236"/>
      <c r="AU319" s="236"/>
      <c r="AV319" s="236"/>
      <c r="AW319" s="236"/>
      <c r="AX319" s="236"/>
      <c r="AY319" s="236"/>
      <c r="AZ319" s="236"/>
      <c r="BA319" s="236"/>
      <c r="BB319" s="236"/>
      <c r="BC319" s="236"/>
      <c r="BD319" s="236"/>
      <c r="BE319" s="236"/>
      <c r="BF319" s="236"/>
      <c r="BG319" s="236"/>
      <c r="BH319" s="236"/>
    </row>
    <row r="320" spans="1:60" ht="13">
      <c r="A320" s="27"/>
      <c r="B320" s="27"/>
      <c r="C320" s="312"/>
      <c r="D320" s="231"/>
      <c r="E320" s="27"/>
      <c r="F320" s="27"/>
      <c r="G320" s="231"/>
      <c r="H320" s="27"/>
      <c r="I320" s="27"/>
      <c r="J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</row>
    <row r="321" spans="1:60" ht="13">
      <c r="A321" s="236"/>
      <c r="B321" s="236"/>
      <c r="C321" s="311"/>
      <c r="D321" s="237"/>
      <c r="E321" s="236"/>
      <c r="F321" s="236"/>
      <c r="G321" s="237"/>
      <c r="H321" s="236"/>
      <c r="I321" s="236"/>
      <c r="J321" s="236"/>
      <c r="N321" s="236"/>
      <c r="O321" s="236"/>
      <c r="P321" s="236"/>
      <c r="Q321" s="236"/>
      <c r="R321" s="236"/>
      <c r="S321" s="236"/>
      <c r="T321" s="236"/>
      <c r="U321" s="236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236"/>
      <c r="AH321" s="236"/>
      <c r="AI321" s="236"/>
      <c r="AJ321" s="236"/>
      <c r="AK321" s="236"/>
      <c r="AL321" s="236"/>
      <c r="AM321" s="236"/>
      <c r="AN321" s="236"/>
      <c r="AO321" s="236"/>
      <c r="AP321" s="236"/>
      <c r="AQ321" s="236"/>
      <c r="AR321" s="236"/>
      <c r="AS321" s="236"/>
      <c r="AT321" s="236"/>
      <c r="AU321" s="236"/>
      <c r="AV321" s="236"/>
      <c r="AW321" s="236"/>
      <c r="AX321" s="236"/>
      <c r="AY321" s="236"/>
      <c r="AZ321" s="236"/>
      <c r="BA321" s="236"/>
      <c r="BB321" s="236"/>
      <c r="BC321" s="236"/>
      <c r="BD321" s="236"/>
      <c r="BE321" s="236"/>
      <c r="BF321" s="236"/>
      <c r="BG321" s="236"/>
      <c r="BH321" s="236"/>
    </row>
    <row r="322" spans="1:60" ht="13">
      <c r="A322" s="27"/>
      <c r="B322" s="27"/>
      <c r="C322" s="312"/>
      <c r="D322" s="231"/>
      <c r="E322" s="27"/>
      <c r="F322" s="27"/>
      <c r="G322" s="231"/>
      <c r="H322" s="27"/>
      <c r="I322" s="27"/>
      <c r="J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</row>
    <row r="323" spans="1:60" ht="13">
      <c r="A323" s="236"/>
      <c r="B323" s="236"/>
      <c r="C323" s="311"/>
      <c r="D323" s="237"/>
      <c r="E323" s="236"/>
      <c r="F323" s="236"/>
      <c r="G323" s="237"/>
      <c r="H323" s="236"/>
      <c r="I323" s="236"/>
      <c r="J323" s="236"/>
      <c r="N323" s="236"/>
      <c r="O323" s="236"/>
      <c r="P323" s="236"/>
      <c r="Q323" s="236"/>
      <c r="R323" s="236"/>
      <c r="S323" s="236"/>
      <c r="T323" s="236"/>
      <c r="U323" s="236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236"/>
      <c r="AH323" s="236"/>
      <c r="AI323" s="236"/>
      <c r="AJ323" s="236"/>
      <c r="AK323" s="236"/>
      <c r="AL323" s="236"/>
      <c r="AM323" s="236"/>
      <c r="AN323" s="236"/>
      <c r="AO323" s="236"/>
      <c r="AP323" s="236"/>
      <c r="AQ323" s="236"/>
      <c r="AR323" s="236"/>
      <c r="AS323" s="236"/>
      <c r="AT323" s="236"/>
      <c r="AU323" s="236"/>
      <c r="AV323" s="236"/>
      <c r="AW323" s="236"/>
      <c r="AX323" s="236"/>
      <c r="AY323" s="236"/>
      <c r="AZ323" s="236"/>
      <c r="BA323" s="236"/>
      <c r="BB323" s="236"/>
      <c r="BC323" s="236"/>
      <c r="BD323" s="236"/>
      <c r="BE323" s="236"/>
      <c r="BF323" s="236"/>
      <c r="BG323" s="236"/>
      <c r="BH323" s="236"/>
    </row>
    <row r="324" spans="1:60" ht="13">
      <c r="A324" s="27"/>
      <c r="B324" s="27"/>
      <c r="C324" s="312"/>
      <c r="D324" s="231"/>
      <c r="E324" s="27"/>
      <c r="F324" s="27"/>
      <c r="G324" s="231"/>
      <c r="H324" s="27"/>
      <c r="I324" s="27"/>
      <c r="J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</row>
    <row r="325" spans="1:60" ht="13">
      <c r="A325" s="236"/>
      <c r="B325" s="236"/>
      <c r="C325" s="311"/>
      <c r="D325" s="237"/>
      <c r="E325" s="236"/>
      <c r="F325" s="236"/>
      <c r="G325" s="237"/>
      <c r="H325" s="236"/>
      <c r="I325" s="236"/>
      <c r="J325" s="236"/>
      <c r="N325" s="236"/>
      <c r="O325" s="236"/>
      <c r="P325" s="236"/>
      <c r="Q325" s="236"/>
      <c r="R325" s="236"/>
      <c r="S325" s="236"/>
      <c r="T325" s="236"/>
      <c r="U325" s="236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236"/>
      <c r="AH325" s="236"/>
      <c r="AI325" s="236"/>
      <c r="AJ325" s="236"/>
      <c r="AK325" s="236"/>
      <c r="AL325" s="236"/>
      <c r="AM325" s="236"/>
      <c r="AN325" s="236"/>
      <c r="AO325" s="236"/>
      <c r="AP325" s="236"/>
      <c r="AQ325" s="236"/>
      <c r="AR325" s="236"/>
      <c r="AS325" s="236"/>
      <c r="AT325" s="236"/>
      <c r="AU325" s="236"/>
      <c r="AV325" s="236"/>
      <c r="AW325" s="236"/>
      <c r="AX325" s="236"/>
      <c r="AY325" s="236"/>
      <c r="AZ325" s="236"/>
      <c r="BA325" s="236"/>
      <c r="BB325" s="236"/>
      <c r="BC325" s="236"/>
      <c r="BD325" s="236"/>
      <c r="BE325" s="236"/>
      <c r="BF325" s="236"/>
      <c r="BG325" s="236"/>
      <c r="BH325" s="236"/>
    </row>
    <row r="326" spans="1:60" ht="13">
      <c r="A326" s="27"/>
      <c r="B326" s="27"/>
      <c r="C326" s="312"/>
      <c r="D326" s="231"/>
      <c r="E326" s="27"/>
      <c r="F326" s="27"/>
      <c r="G326" s="231"/>
      <c r="H326" s="27"/>
      <c r="I326" s="27"/>
      <c r="J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</row>
    <row r="327" spans="1:60" ht="13">
      <c r="A327" s="236"/>
      <c r="B327" s="236"/>
      <c r="C327" s="311"/>
      <c r="D327" s="237"/>
      <c r="E327" s="236"/>
      <c r="F327" s="236"/>
      <c r="G327" s="237"/>
      <c r="H327" s="236"/>
      <c r="I327" s="236"/>
      <c r="J327" s="236"/>
      <c r="N327" s="236"/>
      <c r="O327" s="236"/>
      <c r="P327" s="236"/>
      <c r="Q327" s="236"/>
      <c r="R327" s="236"/>
      <c r="S327" s="236"/>
      <c r="T327" s="236"/>
      <c r="U327" s="236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236"/>
      <c r="AH327" s="236"/>
      <c r="AI327" s="236"/>
      <c r="AJ327" s="236"/>
      <c r="AK327" s="236"/>
      <c r="AL327" s="236"/>
      <c r="AM327" s="236"/>
      <c r="AN327" s="236"/>
      <c r="AO327" s="236"/>
      <c r="AP327" s="236"/>
      <c r="AQ327" s="236"/>
      <c r="AR327" s="236"/>
      <c r="AS327" s="236"/>
      <c r="AT327" s="236"/>
      <c r="AU327" s="236"/>
      <c r="AV327" s="236"/>
      <c r="AW327" s="236"/>
      <c r="AX327" s="236"/>
      <c r="AY327" s="236"/>
      <c r="AZ327" s="236"/>
      <c r="BA327" s="236"/>
      <c r="BB327" s="236"/>
      <c r="BC327" s="236"/>
      <c r="BD327" s="236"/>
      <c r="BE327" s="236"/>
      <c r="BF327" s="236"/>
      <c r="BG327" s="236"/>
      <c r="BH327" s="236"/>
    </row>
    <row r="328" spans="1:60" ht="13">
      <c r="A328" s="27"/>
      <c r="B328" s="27"/>
      <c r="C328" s="312"/>
      <c r="D328" s="231"/>
      <c r="E328" s="27"/>
      <c r="F328" s="27"/>
      <c r="G328" s="231"/>
      <c r="H328" s="27"/>
      <c r="I328" s="27"/>
      <c r="J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</row>
    <row r="329" spans="1:60" ht="13">
      <c r="A329" s="236"/>
      <c r="B329" s="236"/>
      <c r="C329" s="311"/>
      <c r="D329" s="237"/>
      <c r="E329" s="236"/>
      <c r="F329" s="236"/>
      <c r="G329" s="237"/>
      <c r="H329" s="236"/>
      <c r="I329" s="236"/>
      <c r="J329" s="236"/>
      <c r="N329" s="236"/>
      <c r="O329" s="236"/>
      <c r="P329" s="236"/>
      <c r="Q329" s="236"/>
      <c r="R329" s="236"/>
      <c r="S329" s="236"/>
      <c r="T329" s="236"/>
      <c r="U329" s="236"/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236"/>
      <c r="AH329" s="236"/>
      <c r="AI329" s="236"/>
      <c r="AJ329" s="236"/>
      <c r="AK329" s="236"/>
      <c r="AL329" s="236"/>
      <c r="AM329" s="236"/>
      <c r="AN329" s="236"/>
      <c r="AO329" s="236"/>
      <c r="AP329" s="236"/>
      <c r="AQ329" s="236"/>
      <c r="AR329" s="236"/>
      <c r="AS329" s="236"/>
      <c r="AT329" s="236"/>
      <c r="AU329" s="236"/>
      <c r="AV329" s="236"/>
      <c r="AW329" s="236"/>
      <c r="AX329" s="236"/>
      <c r="AY329" s="236"/>
      <c r="AZ329" s="236"/>
      <c r="BA329" s="236"/>
      <c r="BB329" s="236"/>
      <c r="BC329" s="236"/>
      <c r="BD329" s="236"/>
      <c r="BE329" s="236"/>
      <c r="BF329" s="236"/>
      <c r="BG329" s="236"/>
      <c r="BH329" s="236"/>
    </row>
    <row r="330" spans="1:60" ht="13">
      <c r="A330" s="27"/>
      <c r="B330" s="27"/>
      <c r="C330" s="312"/>
      <c r="D330" s="231"/>
      <c r="E330" s="27"/>
      <c r="F330" s="27"/>
      <c r="G330" s="231"/>
      <c r="H330" s="27"/>
      <c r="I330" s="27"/>
      <c r="J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</row>
    <row r="331" spans="1:60" ht="13">
      <c r="A331" s="236"/>
      <c r="B331" s="236"/>
      <c r="C331" s="311"/>
      <c r="D331" s="237"/>
      <c r="E331" s="236"/>
      <c r="F331" s="236"/>
      <c r="G331" s="237"/>
      <c r="H331" s="236"/>
      <c r="I331" s="236"/>
      <c r="J331" s="236"/>
      <c r="N331" s="236"/>
      <c r="O331" s="236"/>
      <c r="P331" s="236"/>
      <c r="Q331" s="236"/>
      <c r="R331" s="236"/>
      <c r="S331" s="236"/>
      <c r="T331" s="236"/>
      <c r="U331" s="236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236"/>
      <c r="AH331" s="236"/>
      <c r="AI331" s="236"/>
      <c r="AJ331" s="236"/>
      <c r="AK331" s="236"/>
      <c r="AL331" s="236"/>
      <c r="AM331" s="236"/>
      <c r="AN331" s="236"/>
      <c r="AO331" s="236"/>
      <c r="AP331" s="236"/>
      <c r="AQ331" s="236"/>
      <c r="AR331" s="236"/>
      <c r="AS331" s="236"/>
      <c r="AT331" s="236"/>
      <c r="AU331" s="236"/>
      <c r="AV331" s="236"/>
      <c r="AW331" s="236"/>
      <c r="AX331" s="236"/>
      <c r="AY331" s="236"/>
      <c r="AZ331" s="236"/>
      <c r="BA331" s="236"/>
      <c r="BB331" s="236"/>
      <c r="BC331" s="236"/>
      <c r="BD331" s="236"/>
      <c r="BE331" s="236"/>
      <c r="BF331" s="236"/>
      <c r="BG331" s="236"/>
      <c r="BH331" s="236"/>
    </row>
    <row r="332" spans="1:60" ht="13">
      <c r="A332" s="27"/>
      <c r="B332" s="27"/>
      <c r="C332" s="312"/>
      <c r="D332" s="231"/>
      <c r="E332" s="27"/>
      <c r="F332" s="27"/>
      <c r="G332" s="231"/>
      <c r="H332" s="27"/>
      <c r="I332" s="27"/>
      <c r="J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</row>
    <row r="333" spans="1:60" ht="13">
      <c r="A333" s="236"/>
      <c r="B333" s="236"/>
      <c r="C333" s="311"/>
      <c r="D333" s="237"/>
      <c r="E333" s="236"/>
      <c r="F333" s="236"/>
      <c r="G333" s="237"/>
      <c r="H333" s="236"/>
      <c r="I333" s="236"/>
      <c r="J333" s="236"/>
      <c r="N333" s="236"/>
      <c r="O333" s="236"/>
      <c r="P333" s="236"/>
      <c r="Q333" s="236"/>
      <c r="R333" s="236"/>
      <c r="S333" s="236"/>
      <c r="T333" s="236"/>
      <c r="U333" s="236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236"/>
      <c r="AH333" s="236"/>
      <c r="AI333" s="236"/>
      <c r="AJ333" s="236"/>
      <c r="AK333" s="236"/>
      <c r="AL333" s="236"/>
      <c r="AM333" s="236"/>
      <c r="AN333" s="236"/>
      <c r="AO333" s="236"/>
      <c r="AP333" s="236"/>
      <c r="AQ333" s="236"/>
      <c r="AR333" s="236"/>
      <c r="AS333" s="236"/>
      <c r="AT333" s="236"/>
      <c r="AU333" s="236"/>
      <c r="AV333" s="236"/>
      <c r="AW333" s="236"/>
      <c r="AX333" s="236"/>
      <c r="AY333" s="236"/>
      <c r="AZ333" s="236"/>
      <c r="BA333" s="236"/>
      <c r="BB333" s="236"/>
      <c r="BC333" s="236"/>
      <c r="BD333" s="236"/>
      <c r="BE333" s="236"/>
      <c r="BF333" s="236"/>
      <c r="BG333" s="236"/>
      <c r="BH333" s="236"/>
    </row>
    <row r="334" spans="1:60" ht="13">
      <c r="A334" s="27"/>
      <c r="B334" s="27"/>
      <c r="C334" s="312"/>
      <c r="D334" s="231"/>
      <c r="E334" s="27"/>
      <c r="F334" s="27"/>
      <c r="G334" s="231"/>
      <c r="H334" s="27"/>
      <c r="I334" s="27"/>
      <c r="J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</row>
    <row r="335" spans="1:60" ht="13">
      <c r="A335" s="236"/>
      <c r="B335" s="236"/>
      <c r="C335" s="311"/>
      <c r="D335" s="237"/>
      <c r="E335" s="236"/>
      <c r="F335" s="236"/>
      <c r="G335" s="237"/>
      <c r="H335" s="236"/>
      <c r="I335" s="236"/>
      <c r="J335" s="236"/>
      <c r="N335" s="236"/>
      <c r="O335" s="236"/>
      <c r="P335" s="236"/>
      <c r="Q335" s="236"/>
      <c r="R335" s="236"/>
      <c r="S335" s="236"/>
      <c r="T335" s="236"/>
      <c r="U335" s="236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36"/>
      <c r="AW335" s="236"/>
      <c r="AX335" s="236"/>
      <c r="AY335" s="236"/>
      <c r="AZ335" s="236"/>
      <c r="BA335" s="236"/>
      <c r="BB335" s="236"/>
      <c r="BC335" s="236"/>
      <c r="BD335" s="236"/>
      <c r="BE335" s="236"/>
      <c r="BF335" s="236"/>
      <c r="BG335" s="236"/>
      <c r="BH335" s="236"/>
    </row>
    <row r="336" spans="1:60" ht="13">
      <c r="A336" s="27"/>
      <c r="B336" s="27"/>
      <c r="C336" s="312"/>
      <c r="D336" s="231"/>
      <c r="E336" s="27"/>
      <c r="F336" s="27"/>
      <c r="G336" s="231"/>
      <c r="H336" s="27"/>
      <c r="I336" s="27"/>
      <c r="J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</row>
    <row r="337" spans="1:60" ht="13">
      <c r="A337" s="236"/>
      <c r="B337" s="236"/>
      <c r="C337" s="311"/>
      <c r="D337" s="237"/>
      <c r="E337" s="236"/>
      <c r="F337" s="236"/>
      <c r="G337" s="237"/>
      <c r="H337" s="236"/>
      <c r="I337" s="236"/>
      <c r="J337" s="236"/>
      <c r="N337" s="236"/>
      <c r="O337" s="236"/>
      <c r="P337" s="236"/>
      <c r="Q337" s="236"/>
      <c r="R337" s="236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236"/>
      <c r="AH337" s="236"/>
      <c r="AI337" s="236"/>
      <c r="AJ337" s="236"/>
      <c r="AK337" s="236"/>
      <c r="AL337" s="236"/>
      <c r="AM337" s="236"/>
      <c r="AN337" s="236"/>
      <c r="AO337" s="236"/>
      <c r="AP337" s="236"/>
      <c r="AQ337" s="236"/>
      <c r="AR337" s="236"/>
      <c r="AS337" s="236"/>
      <c r="AT337" s="236"/>
      <c r="AU337" s="236"/>
      <c r="AV337" s="236"/>
      <c r="AW337" s="236"/>
      <c r="AX337" s="236"/>
      <c r="AY337" s="236"/>
      <c r="AZ337" s="236"/>
      <c r="BA337" s="236"/>
      <c r="BB337" s="236"/>
      <c r="BC337" s="236"/>
      <c r="BD337" s="236"/>
      <c r="BE337" s="236"/>
      <c r="BF337" s="236"/>
      <c r="BG337" s="236"/>
      <c r="BH337" s="236"/>
    </row>
    <row r="338" spans="1:60" ht="13">
      <c r="A338" s="27"/>
      <c r="B338" s="27"/>
      <c r="C338" s="312"/>
      <c r="D338" s="231"/>
      <c r="E338" s="27"/>
      <c r="F338" s="27"/>
      <c r="G338" s="231"/>
      <c r="H338" s="27"/>
      <c r="I338" s="27"/>
      <c r="J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</row>
    <row r="339" spans="1:60" ht="13">
      <c r="A339" s="236"/>
      <c r="B339" s="236"/>
      <c r="C339" s="311"/>
      <c r="D339" s="237"/>
      <c r="E339" s="236"/>
      <c r="F339" s="236"/>
      <c r="G339" s="237"/>
      <c r="H339" s="236"/>
      <c r="I339" s="236"/>
      <c r="J339" s="236"/>
      <c r="N339" s="236"/>
      <c r="O339" s="236"/>
      <c r="P339" s="236"/>
      <c r="Q339" s="236"/>
      <c r="R339" s="236"/>
      <c r="S339" s="236"/>
      <c r="T339" s="236"/>
      <c r="U339" s="236"/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236"/>
      <c r="AH339" s="236"/>
      <c r="AI339" s="236"/>
      <c r="AJ339" s="236"/>
      <c r="AK339" s="236"/>
      <c r="AL339" s="236"/>
      <c r="AM339" s="236"/>
      <c r="AN339" s="236"/>
      <c r="AO339" s="236"/>
      <c r="AP339" s="236"/>
      <c r="AQ339" s="236"/>
      <c r="AR339" s="236"/>
      <c r="AS339" s="236"/>
      <c r="AT339" s="236"/>
      <c r="AU339" s="236"/>
      <c r="AV339" s="236"/>
      <c r="AW339" s="236"/>
      <c r="AX339" s="236"/>
      <c r="AY339" s="236"/>
      <c r="AZ339" s="236"/>
      <c r="BA339" s="236"/>
      <c r="BB339" s="236"/>
      <c r="BC339" s="236"/>
      <c r="BD339" s="236"/>
      <c r="BE339" s="236"/>
      <c r="BF339" s="236"/>
      <c r="BG339" s="236"/>
      <c r="BH339" s="236"/>
    </row>
    <row r="340" spans="1:60" ht="13">
      <c r="A340" s="27"/>
      <c r="B340" s="27"/>
      <c r="C340" s="312"/>
      <c r="D340" s="231"/>
      <c r="E340" s="27"/>
      <c r="F340" s="27"/>
      <c r="G340" s="231"/>
      <c r="H340" s="27"/>
      <c r="I340" s="27"/>
      <c r="J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</row>
    <row r="341" spans="1:60" ht="13">
      <c r="A341" s="236"/>
      <c r="B341" s="236"/>
      <c r="C341" s="311"/>
      <c r="D341" s="237"/>
      <c r="E341" s="236"/>
      <c r="F341" s="236"/>
      <c r="G341" s="237"/>
      <c r="H341" s="236"/>
      <c r="I341" s="236"/>
      <c r="J341" s="236"/>
      <c r="N341" s="236"/>
      <c r="O341" s="236"/>
      <c r="P341" s="236"/>
      <c r="Q341" s="236"/>
      <c r="R341" s="236"/>
      <c r="S341" s="236"/>
      <c r="T341" s="236"/>
      <c r="U341" s="236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236"/>
      <c r="AH341" s="236"/>
      <c r="AI341" s="236"/>
      <c r="AJ341" s="236"/>
      <c r="AK341" s="236"/>
      <c r="AL341" s="236"/>
      <c r="AM341" s="236"/>
      <c r="AN341" s="236"/>
      <c r="AO341" s="236"/>
      <c r="AP341" s="236"/>
      <c r="AQ341" s="236"/>
      <c r="AR341" s="236"/>
      <c r="AS341" s="236"/>
      <c r="AT341" s="236"/>
      <c r="AU341" s="236"/>
      <c r="AV341" s="236"/>
      <c r="AW341" s="236"/>
      <c r="AX341" s="236"/>
      <c r="AY341" s="236"/>
      <c r="AZ341" s="236"/>
      <c r="BA341" s="236"/>
      <c r="BB341" s="236"/>
      <c r="BC341" s="236"/>
      <c r="BD341" s="236"/>
      <c r="BE341" s="236"/>
      <c r="BF341" s="236"/>
      <c r="BG341" s="236"/>
      <c r="BH341" s="236"/>
    </row>
    <row r="342" spans="1:60" ht="13">
      <c r="A342" s="27"/>
      <c r="B342" s="27"/>
      <c r="C342" s="312"/>
      <c r="D342" s="231"/>
      <c r="E342" s="27"/>
      <c r="F342" s="27"/>
      <c r="G342" s="231"/>
      <c r="H342" s="27"/>
      <c r="I342" s="27"/>
      <c r="J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</row>
    <row r="343" spans="1:60" ht="13">
      <c r="A343" s="236"/>
      <c r="B343" s="236"/>
      <c r="C343" s="311"/>
      <c r="D343" s="237"/>
      <c r="E343" s="236"/>
      <c r="F343" s="236"/>
      <c r="G343" s="237"/>
      <c r="H343" s="236"/>
      <c r="I343" s="236"/>
      <c r="J343" s="236"/>
      <c r="N343" s="236"/>
      <c r="O343" s="236"/>
      <c r="P343" s="236"/>
      <c r="Q343" s="236"/>
      <c r="R343" s="236"/>
      <c r="S343" s="236"/>
      <c r="T343" s="236"/>
      <c r="U343" s="236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236"/>
      <c r="AH343" s="236"/>
      <c r="AI343" s="236"/>
      <c r="AJ343" s="236"/>
      <c r="AK343" s="236"/>
      <c r="AL343" s="236"/>
      <c r="AM343" s="236"/>
      <c r="AN343" s="236"/>
      <c r="AO343" s="236"/>
      <c r="AP343" s="236"/>
      <c r="AQ343" s="236"/>
      <c r="AR343" s="236"/>
      <c r="AS343" s="236"/>
      <c r="AT343" s="236"/>
      <c r="AU343" s="236"/>
      <c r="AV343" s="236"/>
      <c r="AW343" s="236"/>
      <c r="AX343" s="236"/>
      <c r="AY343" s="236"/>
      <c r="AZ343" s="236"/>
      <c r="BA343" s="236"/>
      <c r="BB343" s="236"/>
      <c r="BC343" s="236"/>
      <c r="BD343" s="236"/>
      <c r="BE343" s="236"/>
      <c r="BF343" s="236"/>
      <c r="BG343" s="236"/>
      <c r="BH343" s="236"/>
    </row>
    <row r="344" spans="1:60" ht="13">
      <c r="A344" s="27"/>
      <c r="B344" s="27"/>
      <c r="C344" s="312"/>
      <c r="D344" s="231"/>
      <c r="E344" s="27"/>
      <c r="F344" s="27"/>
      <c r="G344" s="231"/>
      <c r="H344" s="27"/>
      <c r="I344" s="27"/>
      <c r="J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</row>
    <row r="345" spans="1:60" ht="13">
      <c r="A345" s="236"/>
      <c r="B345" s="236"/>
      <c r="C345" s="311"/>
      <c r="D345" s="237"/>
      <c r="E345" s="236"/>
      <c r="F345" s="236"/>
      <c r="G345" s="237"/>
      <c r="H345" s="236"/>
      <c r="I345" s="236"/>
      <c r="J345" s="236"/>
      <c r="N345" s="236"/>
      <c r="O345" s="236"/>
      <c r="P345" s="236"/>
      <c r="Q345" s="236"/>
      <c r="R345" s="236"/>
      <c r="S345" s="236"/>
      <c r="T345" s="236"/>
      <c r="U345" s="236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236"/>
      <c r="AH345" s="236"/>
      <c r="AI345" s="236"/>
      <c r="AJ345" s="236"/>
      <c r="AK345" s="236"/>
      <c r="AL345" s="236"/>
      <c r="AM345" s="236"/>
      <c r="AN345" s="236"/>
      <c r="AO345" s="236"/>
      <c r="AP345" s="236"/>
      <c r="AQ345" s="236"/>
      <c r="AR345" s="236"/>
      <c r="AS345" s="236"/>
      <c r="AT345" s="236"/>
      <c r="AU345" s="236"/>
      <c r="AV345" s="236"/>
      <c r="AW345" s="236"/>
      <c r="AX345" s="236"/>
      <c r="AY345" s="236"/>
      <c r="AZ345" s="236"/>
      <c r="BA345" s="236"/>
      <c r="BB345" s="236"/>
      <c r="BC345" s="236"/>
      <c r="BD345" s="236"/>
      <c r="BE345" s="236"/>
      <c r="BF345" s="236"/>
      <c r="BG345" s="236"/>
      <c r="BH345" s="236"/>
    </row>
    <row r="346" spans="1:60" ht="13">
      <c r="A346" s="27"/>
      <c r="B346" s="27"/>
      <c r="C346" s="312"/>
      <c r="D346" s="231"/>
      <c r="E346" s="27"/>
      <c r="F346" s="27"/>
      <c r="G346" s="231"/>
      <c r="H346" s="27"/>
      <c r="I346" s="27"/>
      <c r="J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</row>
    <row r="347" spans="1:60" ht="13">
      <c r="A347" s="236"/>
      <c r="B347" s="236"/>
      <c r="C347" s="311"/>
      <c r="D347" s="237"/>
      <c r="E347" s="236"/>
      <c r="F347" s="236"/>
      <c r="G347" s="237"/>
      <c r="H347" s="236"/>
      <c r="I347" s="236"/>
      <c r="J347" s="236"/>
      <c r="N347" s="236"/>
      <c r="O347" s="236"/>
      <c r="P347" s="236"/>
      <c r="Q347" s="236"/>
      <c r="R347" s="236"/>
      <c r="S347" s="236"/>
      <c r="T347" s="236"/>
      <c r="U347" s="236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236"/>
      <c r="AH347" s="236"/>
      <c r="AI347" s="236"/>
      <c r="AJ347" s="236"/>
      <c r="AK347" s="236"/>
      <c r="AL347" s="236"/>
      <c r="AM347" s="236"/>
      <c r="AN347" s="236"/>
      <c r="AO347" s="236"/>
      <c r="AP347" s="236"/>
      <c r="AQ347" s="236"/>
      <c r="AR347" s="236"/>
      <c r="AS347" s="236"/>
      <c r="AT347" s="236"/>
      <c r="AU347" s="236"/>
      <c r="AV347" s="236"/>
      <c r="AW347" s="236"/>
      <c r="AX347" s="236"/>
      <c r="AY347" s="236"/>
      <c r="AZ347" s="236"/>
      <c r="BA347" s="236"/>
      <c r="BB347" s="236"/>
      <c r="BC347" s="236"/>
      <c r="BD347" s="236"/>
      <c r="BE347" s="236"/>
      <c r="BF347" s="236"/>
      <c r="BG347" s="236"/>
      <c r="BH347" s="236"/>
    </row>
    <row r="348" spans="1:60" ht="13">
      <c r="A348" s="27"/>
      <c r="B348" s="27"/>
      <c r="C348" s="312"/>
      <c r="D348" s="231"/>
      <c r="E348" s="27"/>
      <c r="F348" s="27"/>
      <c r="G348" s="231"/>
      <c r="H348" s="27"/>
      <c r="I348" s="27"/>
      <c r="J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</row>
    <row r="349" spans="1:60" ht="13">
      <c r="A349" s="236"/>
      <c r="B349" s="236"/>
      <c r="C349" s="311"/>
      <c r="D349" s="237"/>
      <c r="E349" s="236"/>
      <c r="F349" s="236"/>
      <c r="G349" s="237"/>
      <c r="H349" s="236"/>
      <c r="I349" s="236"/>
      <c r="J349" s="236"/>
      <c r="N349" s="236"/>
      <c r="O349" s="236"/>
      <c r="P349" s="236"/>
      <c r="Q349" s="236"/>
      <c r="R349" s="236"/>
      <c r="S349" s="236"/>
      <c r="T349" s="236"/>
      <c r="U349" s="236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236"/>
      <c r="AH349" s="236"/>
      <c r="AI349" s="236"/>
      <c r="AJ349" s="236"/>
      <c r="AK349" s="236"/>
      <c r="AL349" s="236"/>
      <c r="AM349" s="236"/>
      <c r="AN349" s="236"/>
      <c r="AO349" s="236"/>
      <c r="AP349" s="236"/>
      <c r="AQ349" s="236"/>
      <c r="AR349" s="236"/>
      <c r="AS349" s="236"/>
      <c r="AT349" s="236"/>
      <c r="AU349" s="236"/>
      <c r="AV349" s="236"/>
      <c r="AW349" s="236"/>
      <c r="AX349" s="236"/>
      <c r="AY349" s="236"/>
      <c r="AZ349" s="236"/>
      <c r="BA349" s="236"/>
      <c r="BB349" s="236"/>
      <c r="BC349" s="236"/>
      <c r="BD349" s="236"/>
      <c r="BE349" s="236"/>
      <c r="BF349" s="236"/>
      <c r="BG349" s="236"/>
      <c r="BH349" s="236"/>
    </row>
    <row r="350" spans="1:60" ht="13">
      <c r="A350" s="27"/>
      <c r="B350" s="27"/>
      <c r="C350" s="312"/>
      <c r="D350" s="231"/>
      <c r="E350" s="27"/>
      <c r="F350" s="27"/>
      <c r="G350" s="231"/>
      <c r="H350" s="27"/>
      <c r="I350" s="27"/>
      <c r="J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</row>
    <row r="351" spans="1:60" ht="13">
      <c r="A351" s="236"/>
      <c r="B351" s="236"/>
      <c r="C351" s="311"/>
      <c r="D351" s="237"/>
      <c r="E351" s="236"/>
      <c r="F351" s="236"/>
      <c r="G351" s="237"/>
      <c r="H351" s="236"/>
      <c r="I351" s="236"/>
      <c r="J351" s="236"/>
      <c r="N351" s="236"/>
      <c r="O351" s="236"/>
      <c r="P351" s="236"/>
      <c r="Q351" s="236"/>
      <c r="R351" s="236"/>
      <c r="S351" s="236"/>
      <c r="T351" s="236"/>
      <c r="U351" s="236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236"/>
      <c r="AH351" s="236"/>
      <c r="AI351" s="236"/>
      <c r="AJ351" s="236"/>
      <c r="AK351" s="236"/>
      <c r="AL351" s="236"/>
      <c r="AM351" s="236"/>
      <c r="AN351" s="236"/>
      <c r="AO351" s="236"/>
      <c r="AP351" s="236"/>
      <c r="AQ351" s="236"/>
      <c r="AR351" s="236"/>
      <c r="AS351" s="236"/>
      <c r="AT351" s="236"/>
      <c r="AU351" s="236"/>
      <c r="AV351" s="236"/>
      <c r="AW351" s="236"/>
      <c r="AX351" s="236"/>
      <c r="AY351" s="236"/>
      <c r="AZ351" s="236"/>
      <c r="BA351" s="236"/>
      <c r="BB351" s="236"/>
      <c r="BC351" s="236"/>
      <c r="BD351" s="236"/>
      <c r="BE351" s="236"/>
      <c r="BF351" s="236"/>
      <c r="BG351" s="236"/>
      <c r="BH351" s="236"/>
    </row>
    <row r="352" spans="1:60" ht="13">
      <c r="A352" s="27"/>
      <c r="B352" s="27"/>
      <c r="C352" s="312"/>
      <c r="D352" s="231"/>
      <c r="E352" s="27"/>
      <c r="F352" s="27"/>
      <c r="G352" s="231"/>
      <c r="H352" s="27"/>
      <c r="I352" s="27"/>
      <c r="J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</row>
    <row r="353" spans="1:60" ht="13">
      <c r="A353" s="236"/>
      <c r="B353" s="236"/>
      <c r="C353" s="311"/>
      <c r="D353" s="237"/>
      <c r="E353" s="236"/>
      <c r="F353" s="236"/>
      <c r="G353" s="237"/>
      <c r="H353" s="236"/>
      <c r="I353" s="236"/>
      <c r="J353" s="236"/>
      <c r="N353" s="236"/>
      <c r="O353" s="236"/>
      <c r="P353" s="236"/>
      <c r="Q353" s="236"/>
      <c r="R353" s="236"/>
      <c r="S353" s="236"/>
      <c r="T353" s="236"/>
      <c r="U353" s="236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236"/>
      <c r="AH353" s="236"/>
      <c r="AI353" s="236"/>
      <c r="AJ353" s="236"/>
      <c r="AK353" s="236"/>
      <c r="AL353" s="236"/>
      <c r="AM353" s="236"/>
      <c r="AN353" s="236"/>
      <c r="AO353" s="236"/>
      <c r="AP353" s="236"/>
      <c r="AQ353" s="236"/>
      <c r="AR353" s="236"/>
      <c r="AS353" s="236"/>
      <c r="AT353" s="236"/>
      <c r="AU353" s="236"/>
      <c r="AV353" s="236"/>
      <c r="AW353" s="236"/>
      <c r="AX353" s="236"/>
      <c r="AY353" s="236"/>
      <c r="AZ353" s="236"/>
      <c r="BA353" s="236"/>
      <c r="BB353" s="236"/>
      <c r="BC353" s="236"/>
      <c r="BD353" s="236"/>
      <c r="BE353" s="236"/>
      <c r="BF353" s="236"/>
      <c r="BG353" s="236"/>
      <c r="BH353" s="236"/>
    </row>
    <row r="354" spans="1:60" ht="13">
      <c r="A354" s="27"/>
      <c r="B354" s="27"/>
      <c r="C354" s="312"/>
      <c r="D354" s="231"/>
      <c r="E354" s="27"/>
      <c r="F354" s="27"/>
      <c r="G354" s="231"/>
      <c r="H354" s="27"/>
      <c r="I354" s="27"/>
      <c r="J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</row>
    <row r="355" spans="1:60" ht="13">
      <c r="A355" s="236"/>
      <c r="B355" s="236"/>
      <c r="C355" s="311"/>
      <c r="D355" s="237"/>
      <c r="E355" s="236"/>
      <c r="F355" s="236"/>
      <c r="G355" s="237"/>
      <c r="H355" s="236"/>
      <c r="I355" s="236"/>
      <c r="J355" s="236"/>
      <c r="N355" s="236"/>
      <c r="O355" s="236"/>
      <c r="P355" s="236"/>
      <c r="Q355" s="236"/>
      <c r="R355" s="236"/>
      <c r="S355" s="236"/>
      <c r="T355" s="236"/>
      <c r="U355" s="236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236"/>
      <c r="AH355" s="236"/>
      <c r="AI355" s="236"/>
      <c r="AJ355" s="236"/>
      <c r="AK355" s="236"/>
      <c r="AL355" s="236"/>
      <c r="AM355" s="236"/>
      <c r="AN355" s="236"/>
      <c r="AO355" s="236"/>
      <c r="AP355" s="236"/>
      <c r="AQ355" s="236"/>
      <c r="AR355" s="236"/>
      <c r="AS355" s="236"/>
      <c r="AT355" s="236"/>
      <c r="AU355" s="236"/>
      <c r="AV355" s="236"/>
      <c r="AW355" s="236"/>
      <c r="AX355" s="236"/>
      <c r="AY355" s="236"/>
      <c r="AZ355" s="236"/>
      <c r="BA355" s="236"/>
      <c r="BB355" s="236"/>
      <c r="BC355" s="236"/>
      <c r="BD355" s="236"/>
      <c r="BE355" s="236"/>
      <c r="BF355" s="236"/>
      <c r="BG355" s="236"/>
      <c r="BH355" s="236"/>
    </row>
    <row r="356" spans="1:60" ht="13">
      <c r="A356" s="27"/>
      <c r="B356" s="27"/>
      <c r="C356" s="312"/>
      <c r="D356" s="231"/>
      <c r="E356" s="27"/>
      <c r="F356" s="27"/>
      <c r="G356" s="231"/>
      <c r="H356" s="27"/>
      <c r="I356" s="27"/>
      <c r="J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</row>
    <row r="357" spans="1:60" ht="13">
      <c r="A357" s="236"/>
      <c r="B357" s="236"/>
      <c r="C357" s="311"/>
      <c r="D357" s="237"/>
      <c r="E357" s="236"/>
      <c r="F357" s="236"/>
      <c r="G357" s="237"/>
      <c r="H357" s="236"/>
      <c r="I357" s="236"/>
      <c r="J357" s="236"/>
      <c r="N357" s="236"/>
      <c r="O357" s="236"/>
      <c r="P357" s="236"/>
      <c r="Q357" s="236"/>
      <c r="R357" s="236"/>
      <c r="S357" s="236"/>
      <c r="T357" s="236"/>
      <c r="U357" s="236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236"/>
      <c r="AH357" s="236"/>
      <c r="AI357" s="236"/>
      <c r="AJ357" s="236"/>
      <c r="AK357" s="236"/>
      <c r="AL357" s="236"/>
      <c r="AM357" s="236"/>
      <c r="AN357" s="236"/>
      <c r="AO357" s="236"/>
      <c r="AP357" s="236"/>
      <c r="AQ357" s="236"/>
      <c r="AR357" s="236"/>
      <c r="AS357" s="236"/>
      <c r="AT357" s="236"/>
      <c r="AU357" s="236"/>
      <c r="AV357" s="236"/>
      <c r="AW357" s="236"/>
      <c r="AX357" s="236"/>
      <c r="AY357" s="236"/>
      <c r="AZ357" s="236"/>
      <c r="BA357" s="236"/>
      <c r="BB357" s="236"/>
      <c r="BC357" s="236"/>
      <c r="BD357" s="236"/>
      <c r="BE357" s="236"/>
      <c r="BF357" s="236"/>
      <c r="BG357" s="236"/>
      <c r="BH357" s="236"/>
    </row>
    <row r="358" spans="1:60" ht="13">
      <c r="A358" s="27"/>
      <c r="B358" s="27"/>
      <c r="C358" s="312"/>
      <c r="D358" s="231"/>
      <c r="E358" s="27"/>
      <c r="F358" s="27"/>
      <c r="G358" s="231"/>
      <c r="H358" s="27"/>
      <c r="I358" s="27"/>
      <c r="J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</row>
    <row r="359" spans="1:60" ht="13">
      <c r="A359" s="236"/>
      <c r="B359" s="236"/>
      <c r="C359" s="311"/>
      <c r="D359" s="237"/>
      <c r="E359" s="236"/>
      <c r="F359" s="236"/>
      <c r="G359" s="237"/>
      <c r="H359" s="236"/>
      <c r="I359" s="236"/>
      <c r="J359" s="236"/>
      <c r="N359" s="236"/>
      <c r="O359" s="236"/>
      <c r="P359" s="236"/>
      <c r="Q359" s="236"/>
      <c r="R359" s="236"/>
      <c r="S359" s="236"/>
      <c r="T359" s="236"/>
      <c r="U359" s="236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236"/>
      <c r="AH359" s="236"/>
      <c r="AI359" s="236"/>
      <c r="AJ359" s="236"/>
      <c r="AK359" s="236"/>
      <c r="AL359" s="236"/>
      <c r="AM359" s="236"/>
      <c r="AN359" s="236"/>
      <c r="AO359" s="236"/>
      <c r="AP359" s="236"/>
      <c r="AQ359" s="236"/>
      <c r="AR359" s="236"/>
      <c r="AS359" s="236"/>
      <c r="AT359" s="236"/>
      <c r="AU359" s="236"/>
      <c r="AV359" s="236"/>
      <c r="AW359" s="236"/>
      <c r="AX359" s="236"/>
      <c r="AY359" s="236"/>
      <c r="AZ359" s="236"/>
      <c r="BA359" s="236"/>
      <c r="BB359" s="236"/>
      <c r="BC359" s="236"/>
      <c r="BD359" s="236"/>
      <c r="BE359" s="236"/>
      <c r="BF359" s="236"/>
      <c r="BG359" s="236"/>
      <c r="BH359" s="236"/>
    </row>
    <row r="360" spans="1:60" ht="13">
      <c r="A360" s="27"/>
      <c r="B360" s="27"/>
      <c r="C360" s="312"/>
      <c r="D360" s="231"/>
      <c r="E360" s="27"/>
      <c r="F360" s="27"/>
      <c r="G360" s="231"/>
      <c r="H360" s="27"/>
      <c r="I360" s="27"/>
      <c r="J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</row>
    <row r="361" spans="1:60" ht="13">
      <c r="A361" s="236"/>
      <c r="B361" s="236"/>
      <c r="C361" s="311"/>
      <c r="D361" s="237"/>
      <c r="E361" s="236"/>
      <c r="F361" s="236"/>
      <c r="G361" s="237"/>
      <c r="H361" s="236"/>
      <c r="I361" s="236"/>
      <c r="J361" s="236"/>
      <c r="N361" s="236"/>
      <c r="O361" s="236"/>
      <c r="P361" s="236"/>
      <c r="Q361" s="236"/>
      <c r="R361" s="236"/>
      <c r="S361" s="236"/>
      <c r="T361" s="236"/>
      <c r="U361" s="236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236"/>
      <c r="AH361" s="236"/>
      <c r="AI361" s="236"/>
      <c r="AJ361" s="236"/>
      <c r="AK361" s="236"/>
      <c r="AL361" s="236"/>
      <c r="AM361" s="236"/>
      <c r="AN361" s="236"/>
      <c r="AO361" s="236"/>
      <c r="AP361" s="236"/>
      <c r="AQ361" s="236"/>
      <c r="AR361" s="236"/>
      <c r="AS361" s="236"/>
      <c r="AT361" s="236"/>
      <c r="AU361" s="236"/>
      <c r="AV361" s="236"/>
      <c r="AW361" s="236"/>
      <c r="AX361" s="236"/>
      <c r="AY361" s="236"/>
      <c r="AZ361" s="236"/>
      <c r="BA361" s="236"/>
      <c r="BB361" s="236"/>
      <c r="BC361" s="236"/>
      <c r="BD361" s="236"/>
      <c r="BE361" s="236"/>
      <c r="BF361" s="236"/>
      <c r="BG361" s="236"/>
      <c r="BH361" s="236"/>
    </row>
    <row r="362" spans="1:60" ht="13">
      <c r="A362" s="27"/>
      <c r="B362" s="27"/>
      <c r="C362" s="312"/>
      <c r="D362" s="231"/>
      <c r="E362" s="27"/>
      <c r="F362" s="27"/>
      <c r="G362" s="231"/>
      <c r="H362" s="27"/>
      <c r="I362" s="27"/>
      <c r="J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</row>
    <row r="363" spans="1:60" ht="13">
      <c r="A363" s="236"/>
      <c r="B363" s="236"/>
      <c r="C363" s="311"/>
      <c r="D363" s="237"/>
      <c r="E363" s="236"/>
      <c r="F363" s="236"/>
      <c r="G363" s="237"/>
      <c r="H363" s="236"/>
      <c r="I363" s="236"/>
      <c r="J363" s="236"/>
      <c r="N363" s="236"/>
      <c r="O363" s="236"/>
      <c r="P363" s="236"/>
      <c r="Q363" s="236"/>
      <c r="R363" s="236"/>
      <c r="S363" s="236"/>
      <c r="T363" s="236"/>
      <c r="U363" s="236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236"/>
      <c r="AH363" s="236"/>
      <c r="AI363" s="236"/>
      <c r="AJ363" s="236"/>
      <c r="AK363" s="236"/>
      <c r="AL363" s="236"/>
      <c r="AM363" s="236"/>
      <c r="AN363" s="236"/>
      <c r="AO363" s="236"/>
      <c r="AP363" s="236"/>
      <c r="AQ363" s="236"/>
      <c r="AR363" s="236"/>
      <c r="AS363" s="236"/>
      <c r="AT363" s="236"/>
      <c r="AU363" s="236"/>
      <c r="AV363" s="236"/>
      <c r="AW363" s="236"/>
      <c r="AX363" s="236"/>
      <c r="AY363" s="236"/>
      <c r="AZ363" s="236"/>
      <c r="BA363" s="236"/>
      <c r="BB363" s="236"/>
      <c r="BC363" s="236"/>
      <c r="BD363" s="236"/>
      <c r="BE363" s="236"/>
      <c r="BF363" s="236"/>
      <c r="BG363" s="236"/>
      <c r="BH363" s="236"/>
    </row>
    <row r="364" spans="1:60" ht="13">
      <c r="A364" s="27"/>
      <c r="B364" s="27"/>
      <c r="C364" s="312"/>
      <c r="D364" s="231"/>
      <c r="E364" s="27"/>
      <c r="F364" s="27"/>
      <c r="G364" s="231"/>
      <c r="H364" s="27"/>
      <c r="I364" s="27"/>
      <c r="J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</row>
    <row r="365" spans="1:60" ht="13">
      <c r="A365" s="236"/>
      <c r="B365" s="236"/>
      <c r="C365" s="311"/>
      <c r="D365" s="237"/>
      <c r="E365" s="236"/>
      <c r="F365" s="236"/>
      <c r="G365" s="237"/>
      <c r="H365" s="236"/>
      <c r="I365" s="236"/>
      <c r="J365" s="236"/>
      <c r="N365" s="236"/>
      <c r="O365" s="236"/>
      <c r="P365" s="236"/>
      <c r="Q365" s="236"/>
      <c r="R365" s="236"/>
      <c r="S365" s="236"/>
      <c r="T365" s="236"/>
      <c r="U365" s="236"/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236"/>
      <c r="AH365" s="236"/>
      <c r="AI365" s="236"/>
      <c r="AJ365" s="236"/>
      <c r="AK365" s="236"/>
      <c r="AL365" s="236"/>
      <c r="AM365" s="236"/>
      <c r="AN365" s="236"/>
      <c r="AO365" s="236"/>
      <c r="AP365" s="236"/>
      <c r="AQ365" s="236"/>
      <c r="AR365" s="236"/>
      <c r="AS365" s="236"/>
      <c r="AT365" s="236"/>
      <c r="AU365" s="236"/>
      <c r="AV365" s="236"/>
      <c r="AW365" s="236"/>
      <c r="AX365" s="236"/>
      <c r="AY365" s="236"/>
      <c r="AZ365" s="236"/>
      <c r="BA365" s="236"/>
      <c r="BB365" s="236"/>
      <c r="BC365" s="236"/>
      <c r="BD365" s="236"/>
      <c r="BE365" s="236"/>
      <c r="BF365" s="236"/>
      <c r="BG365" s="236"/>
      <c r="BH365" s="236"/>
    </row>
    <row r="366" spans="1:60" ht="13">
      <c r="A366" s="27"/>
      <c r="B366" s="27"/>
      <c r="C366" s="312"/>
      <c r="D366" s="231"/>
      <c r="E366" s="27"/>
      <c r="F366" s="27"/>
      <c r="G366" s="231"/>
      <c r="H366" s="27"/>
      <c r="I366" s="27"/>
      <c r="J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</row>
    <row r="367" spans="1:60" ht="13">
      <c r="A367" s="236"/>
      <c r="B367" s="236"/>
      <c r="C367" s="311"/>
      <c r="D367" s="237"/>
      <c r="E367" s="236"/>
      <c r="F367" s="236"/>
      <c r="G367" s="237"/>
      <c r="H367" s="236"/>
      <c r="I367" s="236"/>
      <c r="J367" s="236"/>
      <c r="N367" s="236"/>
      <c r="O367" s="236"/>
      <c r="P367" s="236"/>
      <c r="Q367" s="236"/>
      <c r="R367" s="236"/>
      <c r="S367" s="236"/>
      <c r="T367" s="236"/>
      <c r="U367" s="236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236"/>
      <c r="AH367" s="236"/>
      <c r="AI367" s="236"/>
      <c r="AJ367" s="236"/>
      <c r="AK367" s="236"/>
      <c r="AL367" s="236"/>
      <c r="AM367" s="236"/>
      <c r="AN367" s="236"/>
      <c r="AO367" s="236"/>
      <c r="AP367" s="236"/>
      <c r="AQ367" s="236"/>
      <c r="AR367" s="236"/>
      <c r="AS367" s="236"/>
      <c r="AT367" s="236"/>
      <c r="AU367" s="236"/>
      <c r="AV367" s="236"/>
      <c r="AW367" s="236"/>
      <c r="AX367" s="236"/>
      <c r="AY367" s="236"/>
      <c r="AZ367" s="236"/>
      <c r="BA367" s="236"/>
      <c r="BB367" s="236"/>
      <c r="BC367" s="236"/>
      <c r="BD367" s="236"/>
      <c r="BE367" s="236"/>
      <c r="BF367" s="236"/>
      <c r="BG367" s="236"/>
      <c r="BH367" s="236"/>
    </row>
    <row r="368" spans="1:60" ht="13">
      <c r="A368" s="27"/>
      <c r="B368" s="27"/>
      <c r="C368" s="312"/>
      <c r="D368" s="231"/>
      <c r="E368" s="27"/>
      <c r="F368" s="27"/>
      <c r="G368" s="231"/>
      <c r="H368" s="27"/>
      <c r="I368" s="27"/>
      <c r="J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</row>
    <row r="369" spans="1:60" ht="13">
      <c r="A369" s="236"/>
      <c r="B369" s="236"/>
      <c r="C369" s="311"/>
      <c r="D369" s="237"/>
      <c r="E369" s="236"/>
      <c r="F369" s="236"/>
      <c r="G369" s="237"/>
      <c r="H369" s="236"/>
      <c r="I369" s="236"/>
      <c r="J369" s="236"/>
      <c r="N369" s="236"/>
      <c r="O369" s="236"/>
      <c r="P369" s="236"/>
      <c r="Q369" s="236"/>
      <c r="R369" s="236"/>
      <c r="S369" s="236"/>
      <c r="T369" s="236"/>
      <c r="U369" s="236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236"/>
      <c r="AH369" s="236"/>
      <c r="AI369" s="236"/>
      <c r="AJ369" s="236"/>
      <c r="AK369" s="236"/>
      <c r="AL369" s="236"/>
      <c r="AM369" s="236"/>
      <c r="AN369" s="236"/>
      <c r="AO369" s="236"/>
      <c r="AP369" s="236"/>
      <c r="AQ369" s="236"/>
      <c r="AR369" s="236"/>
      <c r="AS369" s="236"/>
      <c r="AT369" s="236"/>
      <c r="AU369" s="236"/>
      <c r="AV369" s="236"/>
      <c r="AW369" s="236"/>
      <c r="AX369" s="236"/>
      <c r="AY369" s="236"/>
      <c r="AZ369" s="236"/>
      <c r="BA369" s="236"/>
      <c r="BB369" s="236"/>
      <c r="BC369" s="236"/>
      <c r="BD369" s="236"/>
      <c r="BE369" s="236"/>
      <c r="BF369" s="236"/>
      <c r="BG369" s="236"/>
      <c r="BH369" s="236"/>
    </row>
    <row r="370" spans="1:60" ht="13">
      <c r="A370" s="27"/>
      <c r="B370" s="27"/>
      <c r="C370" s="312"/>
      <c r="D370" s="231"/>
      <c r="E370" s="27"/>
      <c r="F370" s="27"/>
      <c r="G370" s="231"/>
      <c r="H370" s="27"/>
      <c r="I370" s="27"/>
      <c r="J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</row>
    <row r="371" spans="1:60" ht="13">
      <c r="A371" s="236"/>
      <c r="B371" s="236"/>
      <c r="C371" s="311"/>
      <c r="D371" s="237"/>
      <c r="E371" s="236"/>
      <c r="F371" s="236"/>
      <c r="G371" s="237"/>
      <c r="H371" s="236"/>
      <c r="I371" s="236"/>
      <c r="J371" s="236"/>
      <c r="N371" s="236"/>
      <c r="O371" s="236"/>
      <c r="P371" s="236"/>
      <c r="Q371" s="236"/>
      <c r="R371" s="236"/>
      <c r="S371" s="236"/>
      <c r="T371" s="236"/>
      <c r="U371" s="236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236"/>
      <c r="AH371" s="236"/>
      <c r="AI371" s="236"/>
      <c r="AJ371" s="236"/>
      <c r="AK371" s="236"/>
      <c r="AL371" s="236"/>
      <c r="AM371" s="236"/>
      <c r="AN371" s="236"/>
      <c r="AO371" s="236"/>
      <c r="AP371" s="236"/>
      <c r="AQ371" s="236"/>
      <c r="AR371" s="236"/>
      <c r="AS371" s="236"/>
      <c r="AT371" s="236"/>
      <c r="AU371" s="236"/>
      <c r="AV371" s="236"/>
      <c r="AW371" s="236"/>
      <c r="AX371" s="236"/>
      <c r="AY371" s="236"/>
      <c r="AZ371" s="236"/>
      <c r="BA371" s="236"/>
      <c r="BB371" s="236"/>
      <c r="BC371" s="236"/>
      <c r="BD371" s="236"/>
      <c r="BE371" s="236"/>
      <c r="BF371" s="236"/>
      <c r="BG371" s="236"/>
      <c r="BH371" s="236"/>
    </row>
    <row r="372" spans="1:60" ht="13">
      <c r="A372" s="27"/>
      <c r="B372" s="27"/>
      <c r="C372" s="312"/>
      <c r="D372" s="231"/>
      <c r="E372" s="27"/>
      <c r="F372" s="27"/>
      <c r="G372" s="231"/>
      <c r="H372" s="27"/>
      <c r="I372" s="27"/>
      <c r="J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</row>
    <row r="373" spans="1:60" ht="13">
      <c r="A373" s="236"/>
      <c r="B373" s="236"/>
      <c r="C373" s="311"/>
      <c r="D373" s="237"/>
      <c r="E373" s="236"/>
      <c r="F373" s="236"/>
      <c r="G373" s="237"/>
      <c r="H373" s="236"/>
      <c r="I373" s="236"/>
      <c r="J373" s="236"/>
      <c r="N373" s="236"/>
      <c r="O373" s="236"/>
      <c r="P373" s="236"/>
      <c r="Q373" s="236"/>
      <c r="R373" s="236"/>
      <c r="S373" s="236"/>
      <c r="T373" s="236"/>
      <c r="U373" s="236"/>
      <c r="V373" s="236"/>
      <c r="W373" s="236"/>
      <c r="X373" s="236"/>
      <c r="Y373" s="236"/>
      <c r="Z373" s="236"/>
      <c r="AA373" s="236"/>
      <c r="AB373" s="236"/>
      <c r="AC373" s="236"/>
      <c r="AD373" s="236"/>
      <c r="AE373" s="236"/>
      <c r="AF373" s="236"/>
      <c r="AG373" s="236"/>
      <c r="AH373" s="236"/>
      <c r="AI373" s="236"/>
      <c r="AJ373" s="236"/>
      <c r="AK373" s="236"/>
      <c r="AL373" s="236"/>
      <c r="AM373" s="236"/>
      <c r="AN373" s="236"/>
      <c r="AO373" s="236"/>
      <c r="AP373" s="236"/>
      <c r="AQ373" s="236"/>
      <c r="AR373" s="236"/>
      <c r="AS373" s="236"/>
      <c r="AT373" s="236"/>
      <c r="AU373" s="236"/>
      <c r="AV373" s="236"/>
      <c r="AW373" s="236"/>
      <c r="AX373" s="236"/>
      <c r="AY373" s="236"/>
      <c r="AZ373" s="236"/>
      <c r="BA373" s="236"/>
      <c r="BB373" s="236"/>
      <c r="BC373" s="236"/>
      <c r="BD373" s="236"/>
      <c r="BE373" s="236"/>
      <c r="BF373" s="236"/>
      <c r="BG373" s="236"/>
      <c r="BH373" s="236"/>
    </row>
    <row r="374" spans="1:60" ht="13">
      <c r="A374" s="27"/>
      <c r="B374" s="27"/>
      <c r="C374" s="312"/>
      <c r="D374" s="231"/>
      <c r="E374" s="27"/>
      <c r="F374" s="27"/>
      <c r="G374" s="231"/>
      <c r="H374" s="27"/>
      <c r="I374" s="27"/>
      <c r="J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</row>
    <row r="375" spans="1:60" ht="13">
      <c r="A375" s="236"/>
      <c r="B375" s="236"/>
      <c r="C375" s="311"/>
      <c r="D375" s="237"/>
      <c r="E375" s="236"/>
      <c r="F375" s="236"/>
      <c r="G375" s="237"/>
      <c r="H375" s="236"/>
      <c r="I375" s="236"/>
      <c r="J375" s="236"/>
      <c r="N375" s="236"/>
      <c r="O375" s="236"/>
      <c r="P375" s="236"/>
      <c r="Q375" s="236"/>
      <c r="R375" s="236"/>
      <c r="S375" s="236"/>
      <c r="T375" s="236"/>
      <c r="U375" s="236"/>
      <c r="V375" s="236"/>
      <c r="W375" s="236"/>
      <c r="X375" s="236"/>
      <c r="Y375" s="236"/>
      <c r="Z375" s="236"/>
      <c r="AA375" s="236"/>
      <c r="AB375" s="236"/>
      <c r="AC375" s="236"/>
      <c r="AD375" s="236"/>
      <c r="AE375" s="236"/>
      <c r="AF375" s="236"/>
      <c r="AG375" s="236"/>
      <c r="AH375" s="236"/>
      <c r="AI375" s="236"/>
      <c r="AJ375" s="236"/>
      <c r="AK375" s="236"/>
      <c r="AL375" s="236"/>
      <c r="AM375" s="236"/>
      <c r="AN375" s="236"/>
      <c r="AO375" s="236"/>
      <c r="AP375" s="236"/>
      <c r="AQ375" s="236"/>
      <c r="AR375" s="236"/>
      <c r="AS375" s="236"/>
      <c r="AT375" s="236"/>
      <c r="AU375" s="236"/>
      <c r="AV375" s="236"/>
      <c r="AW375" s="236"/>
      <c r="AX375" s="236"/>
      <c r="AY375" s="236"/>
      <c r="AZ375" s="236"/>
      <c r="BA375" s="236"/>
      <c r="BB375" s="236"/>
      <c r="BC375" s="236"/>
      <c r="BD375" s="236"/>
      <c r="BE375" s="236"/>
      <c r="BF375" s="236"/>
      <c r="BG375" s="236"/>
      <c r="BH375" s="236"/>
    </row>
    <row r="376" spans="1:60" ht="13">
      <c r="A376" s="27"/>
      <c r="B376" s="27"/>
      <c r="C376" s="312"/>
      <c r="D376" s="231"/>
      <c r="E376" s="27"/>
      <c r="F376" s="27"/>
      <c r="G376" s="231"/>
      <c r="H376" s="27"/>
      <c r="I376" s="27"/>
      <c r="J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</row>
    <row r="377" spans="1:60" ht="13">
      <c r="A377" s="236"/>
      <c r="B377" s="236"/>
      <c r="C377" s="311"/>
      <c r="D377" s="237"/>
      <c r="E377" s="236"/>
      <c r="F377" s="236"/>
      <c r="G377" s="237"/>
      <c r="H377" s="236"/>
      <c r="I377" s="236"/>
      <c r="J377" s="236"/>
      <c r="N377" s="236"/>
      <c r="O377" s="236"/>
      <c r="P377" s="236"/>
      <c r="Q377" s="236"/>
      <c r="R377" s="236"/>
      <c r="S377" s="236"/>
      <c r="T377" s="236"/>
      <c r="U377" s="236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  <c r="AG377" s="236"/>
      <c r="AH377" s="236"/>
      <c r="AI377" s="236"/>
      <c r="AJ377" s="236"/>
      <c r="AK377" s="236"/>
      <c r="AL377" s="236"/>
      <c r="AM377" s="236"/>
      <c r="AN377" s="236"/>
      <c r="AO377" s="236"/>
      <c r="AP377" s="236"/>
      <c r="AQ377" s="236"/>
      <c r="AR377" s="236"/>
      <c r="AS377" s="236"/>
      <c r="AT377" s="236"/>
      <c r="AU377" s="236"/>
      <c r="AV377" s="236"/>
      <c r="AW377" s="236"/>
      <c r="AX377" s="236"/>
      <c r="AY377" s="236"/>
      <c r="AZ377" s="236"/>
      <c r="BA377" s="236"/>
      <c r="BB377" s="236"/>
      <c r="BC377" s="236"/>
      <c r="BD377" s="236"/>
      <c r="BE377" s="236"/>
      <c r="BF377" s="236"/>
      <c r="BG377" s="236"/>
      <c r="BH377" s="236"/>
    </row>
    <row r="378" spans="1:60" ht="13">
      <c r="A378" s="27"/>
      <c r="B378" s="27"/>
      <c r="C378" s="312"/>
      <c r="D378" s="231"/>
      <c r="E378" s="27"/>
      <c r="F378" s="27"/>
      <c r="G378" s="231"/>
      <c r="H378" s="27"/>
      <c r="I378" s="27"/>
      <c r="J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</row>
    <row r="379" spans="1:60" ht="13">
      <c r="A379" s="236"/>
      <c r="B379" s="236"/>
      <c r="C379" s="311"/>
      <c r="D379" s="237"/>
      <c r="E379" s="236"/>
      <c r="F379" s="236"/>
      <c r="G379" s="237"/>
      <c r="H379" s="236"/>
      <c r="I379" s="236"/>
      <c r="J379" s="236"/>
      <c r="N379" s="236"/>
      <c r="O379" s="236"/>
      <c r="P379" s="236"/>
      <c r="Q379" s="236"/>
      <c r="R379" s="236"/>
      <c r="S379" s="236"/>
      <c r="T379" s="236"/>
      <c r="U379" s="236"/>
      <c r="V379" s="236"/>
      <c r="W379" s="236"/>
      <c r="X379" s="236"/>
      <c r="Y379" s="236"/>
      <c r="Z379" s="236"/>
      <c r="AA379" s="236"/>
      <c r="AB379" s="236"/>
      <c r="AC379" s="236"/>
      <c r="AD379" s="236"/>
      <c r="AE379" s="236"/>
      <c r="AF379" s="236"/>
      <c r="AG379" s="236"/>
      <c r="AH379" s="236"/>
      <c r="AI379" s="236"/>
      <c r="AJ379" s="236"/>
      <c r="AK379" s="236"/>
      <c r="AL379" s="236"/>
      <c r="AM379" s="236"/>
      <c r="AN379" s="236"/>
      <c r="AO379" s="236"/>
      <c r="AP379" s="236"/>
      <c r="AQ379" s="236"/>
      <c r="AR379" s="236"/>
      <c r="AS379" s="236"/>
      <c r="AT379" s="236"/>
      <c r="AU379" s="236"/>
      <c r="AV379" s="236"/>
      <c r="AW379" s="236"/>
      <c r="AX379" s="236"/>
      <c r="AY379" s="236"/>
      <c r="AZ379" s="236"/>
      <c r="BA379" s="236"/>
      <c r="BB379" s="236"/>
      <c r="BC379" s="236"/>
      <c r="BD379" s="236"/>
      <c r="BE379" s="236"/>
      <c r="BF379" s="236"/>
      <c r="BG379" s="236"/>
      <c r="BH379" s="236"/>
    </row>
    <row r="380" spans="1:60" ht="13">
      <c r="A380" s="27"/>
      <c r="B380" s="27"/>
      <c r="C380" s="312"/>
      <c r="D380" s="231"/>
      <c r="E380" s="27"/>
      <c r="F380" s="27"/>
      <c r="G380" s="231"/>
      <c r="H380" s="27"/>
      <c r="I380" s="27"/>
      <c r="J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</row>
    <row r="381" spans="1:60" ht="13">
      <c r="A381" s="236"/>
      <c r="B381" s="236"/>
      <c r="C381" s="311"/>
      <c r="D381" s="237"/>
      <c r="E381" s="236"/>
      <c r="F381" s="236"/>
      <c r="G381" s="237"/>
      <c r="H381" s="236"/>
      <c r="I381" s="236"/>
      <c r="J381" s="236"/>
      <c r="N381" s="236"/>
      <c r="O381" s="236"/>
      <c r="P381" s="236"/>
      <c r="Q381" s="236"/>
      <c r="R381" s="236"/>
      <c r="S381" s="236"/>
      <c r="T381" s="236"/>
      <c r="U381" s="236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  <c r="AG381" s="236"/>
      <c r="AH381" s="236"/>
      <c r="AI381" s="236"/>
      <c r="AJ381" s="236"/>
      <c r="AK381" s="236"/>
      <c r="AL381" s="236"/>
      <c r="AM381" s="236"/>
      <c r="AN381" s="236"/>
      <c r="AO381" s="236"/>
      <c r="AP381" s="236"/>
      <c r="AQ381" s="236"/>
      <c r="AR381" s="236"/>
      <c r="AS381" s="236"/>
      <c r="AT381" s="236"/>
      <c r="AU381" s="236"/>
      <c r="AV381" s="236"/>
      <c r="AW381" s="236"/>
      <c r="AX381" s="236"/>
      <c r="AY381" s="236"/>
      <c r="AZ381" s="236"/>
      <c r="BA381" s="236"/>
      <c r="BB381" s="236"/>
      <c r="BC381" s="236"/>
      <c r="BD381" s="236"/>
      <c r="BE381" s="236"/>
      <c r="BF381" s="236"/>
      <c r="BG381" s="236"/>
      <c r="BH381" s="236"/>
    </row>
    <row r="382" spans="1:60" ht="13">
      <c r="A382" s="27"/>
      <c r="B382" s="27"/>
      <c r="C382" s="312"/>
      <c r="D382" s="231"/>
      <c r="E382" s="27"/>
      <c r="F382" s="27"/>
      <c r="G382" s="231"/>
      <c r="H382" s="27"/>
      <c r="I382" s="27"/>
      <c r="J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</row>
    <row r="383" spans="1:60" ht="13">
      <c r="A383" s="236"/>
      <c r="B383" s="236"/>
      <c r="C383" s="311"/>
      <c r="D383" s="237"/>
      <c r="E383" s="236"/>
      <c r="F383" s="236"/>
      <c r="G383" s="237"/>
      <c r="H383" s="236"/>
      <c r="I383" s="236"/>
      <c r="J383" s="236"/>
      <c r="N383" s="236"/>
      <c r="O383" s="236"/>
      <c r="P383" s="236"/>
      <c r="Q383" s="236"/>
      <c r="R383" s="236"/>
      <c r="S383" s="236"/>
      <c r="T383" s="236"/>
      <c r="U383" s="236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  <c r="AG383" s="236"/>
      <c r="AH383" s="236"/>
      <c r="AI383" s="236"/>
      <c r="AJ383" s="236"/>
      <c r="AK383" s="236"/>
      <c r="AL383" s="236"/>
      <c r="AM383" s="236"/>
      <c r="AN383" s="236"/>
      <c r="AO383" s="236"/>
      <c r="AP383" s="236"/>
      <c r="AQ383" s="236"/>
      <c r="AR383" s="236"/>
      <c r="AS383" s="236"/>
      <c r="AT383" s="236"/>
      <c r="AU383" s="236"/>
      <c r="AV383" s="236"/>
      <c r="AW383" s="236"/>
      <c r="AX383" s="236"/>
      <c r="AY383" s="236"/>
      <c r="AZ383" s="236"/>
      <c r="BA383" s="236"/>
      <c r="BB383" s="236"/>
      <c r="BC383" s="236"/>
      <c r="BD383" s="236"/>
      <c r="BE383" s="236"/>
      <c r="BF383" s="236"/>
      <c r="BG383" s="236"/>
      <c r="BH383" s="236"/>
    </row>
    <row r="384" spans="1:60" ht="13">
      <c r="A384" s="27"/>
      <c r="B384" s="27"/>
      <c r="C384" s="312"/>
      <c r="D384" s="231"/>
      <c r="E384" s="27"/>
      <c r="F384" s="27"/>
      <c r="G384" s="231"/>
      <c r="H384" s="27"/>
      <c r="I384" s="27"/>
      <c r="J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</row>
    <row r="385" spans="1:60" ht="13">
      <c r="A385" s="236"/>
      <c r="B385" s="236"/>
      <c r="C385" s="311"/>
      <c r="D385" s="237"/>
      <c r="E385" s="236"/>
      <c r="F385" s="236"/>
      <c r="G385" s="237"/>
      <c r="H385" s="236"/>
      <c r="I385" s="236"/>
      <c r="J385" s="236"/>
      <c r="N385" s="236"/>
      <c r="O385" s="236"/>
      <c r="P385" s="236"/>
      <c r="Q385" s="236"/>
      <c r="R385" s="236"/>
      <c r="S385" s="236"/>
      <c r="T385" s="236"/>
      <c r="U385" s="236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236"/>
      <c r="AH385" s="236"/>
      <c r="AI385" s="236"/>
      <c r="AJ385" s="236"/>
      <c r="AK385" s="236"/>
      <c r="AL385" s="236"/>
      <c r="AM385" s="236"/>
      <c r="AN385" s="236"/>
      <c r="AO385" s="236"/>
      <c r="AP385" s="236"/>
      <c r="AQ385" s="236"/>
      <c r="AR385" s="236"/>
      <c r="AS385" s="236"/>
      <c r="AT385" s="236"/>
      <c r="AU385" s="236"/>
      <c r="AV385" s="236"/>
      <c r="AW385" s="236"/>
      <c r="AX385" s="236"/>
      <c r="AY385" s="236"/>
      <c r="AZ385" s="236"/>
      <c r="BA385" s="236"/>
      <c r="BB385" s="236"/>
      <c r="BC385" s="236"/>
      <c r="BD385" s="236"/>
      <c r="BE385" s="236"/>
      <c r="BF385" s="236"/>
      <c r="BG385" s="236"/>
      <c r="BH385" s="236"/>
    </row>
    <row r="386" spans="1:60" ht="13">
      <c r="A386" s="27"/>
      <c r="B386" s="27"/>
      <c r="C386" s="312"/>
      <c r="D386" s="231"/>
      <c r="E386" s="27"/>
      <c r="F386" s="27"/>
      <c r="G386" s="231"/>
      <c r="H386" s="27"/>
      <c r="I386" s="27"/>
      <c r="J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</row>
    <row r="387" spans="1:60" ht="13">
      <c r="A387" s="236"/>
      <c r="B387" s="236"/>
      <c r="C387" s="311"/>
      <c r="D387" s="237"/>
      <c r="E387" s="236"/>
      <c r="F387" s="236"/>
      <c r="G387" s="237"/>
      <c r="H387" s="236"/>
      <c r="I387" s="236"/>
      <c r="J387" s="236"/>
      <c r="N387" s="236"/>
      <c r="O387" s="236"/>
      <c r="P387" s="236"/>
      <c r="Q387" s="236"/>
      <c r="R387" s="236"/>
      <c r="S387" s="236"/>
      <c r="T387" s="236"/>
      <c r="U387" s="236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236"/>
      <c r="AH387" s="236"/>
      <c r="AI387" s="236"/>
      <c r="AJ387" s="236"/>
      <c r="AK387" s="236"/>
      <c r="AL387" s="236"/>
      <c r="AM387" s="236"/>
      <c r="AN387" s="236"/>
      <c r="AO387" s="236"/>
      <c r="AP387" s="236"/>
      <c r="AQ387" s="236"/>
      <c r="AR387" s="236"/>
      <c r="AS387" s="236"/>
      <c r="AT387" s="236"/>
      <c r="AU387" s="236"/>
      <c r="AV387" s="236"/>
      <c r="AW387" s="236"/>
      <c r="AX387" s="236"/>
      <c r="AY387" s="236"/>
      <c r="AZ387" s="236"/>
      <c r="BA387" s="236"/>
      <c r="BB387" s="236"/>
      <c r="BC387" s="236"/>
      <c r="BD387" s="236"/>
      <c r="BE387" s="236"/>
      <c r="BF387" s="236"/>
      <c r="BG387" s="236"/>
      <c r="BH387" s="236"/>
    </row>
    <row r="388" spans="1:60" ht="13">
      <c r="A388" s="27"/>
      <c r="B388" s="27"/>
      <c r="C388" s="312"/>
      <c r="D388" s="231"/>
      <c r="E388" s="27"/>
      <c r="F388" s="27"/>
      <c r="G388" s="231"/>
      <c r="H388" s="27"/>
      <c r="I388" s="27"/>
      <c r="J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</row>
    <row r="389" spans="1:60" ht="13">
      <c r="A389" s="236"/>
      <c r="B389" s="236"/>
      <c r="C389" s="311"/>
      <c r="D389" s="237"/>
      <c r="E389" s="236"/>
      <c r="F389" s="236"/>
      <c r="G389" s="237"/>
      <c r="H389" s="236"/>
      <c r="I389" s="236"/>
      <c r="J389" s="236"/>
      <c r="N389" s="236"/>
      <c r="O389" s="236"/>
      <c r="P389" s="236"/>
      <c r="Q389" s="236"/>
      <c r="R389" s="236"/>
      <c r="S389" s="236"/>
      <c r="T389" s="236"/>
      <c r="U389" s="236"/>
      <c r="V389" s="236"/>
      <c r="W389" s="236"/>
      <c r="X389" s="236"/>
      <c r="Y389" s="236"/>
      <c r="Z389" s="236"/>
      <c r="AA389" s="236"/>
      <c r="AB389" s="236"/>
      <c r="AC389" s="236"/>
      <c r="AD389" s="236"/>
      <c r="AE389" s="236"/>
      <c r="AF389" s="236"/>
      <c r="AG389" s="236"/>
      <c r="AH389" s="236"/>
      <c r="AI389" s="236"/>
      <c r="AJ389" s="236"/>
      <c r="AK389" s="236"/>
      <c r="AL389" s="236"/>
      <c r="AM389" s="236"/>
      <c r="AN389" s="236"/>
      <c r="AO389" s="236"/>
      <c r="AP389" s="236"/>
      <c r="AQ389" s="236"/>
      <c r="AR389" s="236"/>
      <c r="AS389" s="236"/>
      <c r="AT389" s="236"/>
      <c r="AU389" s="236"/>
      <c r="AV389" s="236"/>
      <c r="AW389" s="236"/>
      <c r="AX389" s="236"/>
      <c r="AY389" s="236"/>
      <c r="AZ389" s="236"/>
      <c r="BA389" s="236"/>
      <c r="BB389" s="236"/>
      <c r="BC389" s="236"/>
      <c r="BD389" s="236"/>
      <c r="BE389" s="236"/>
      <c r="BF389" s="236"/>
      <c r="BG389" s="236"/>
      <c r="BH389" s="236"/>
    </row>
    <row r="390" spans="1:60" ht="13">
      <c r="A390" s="27"/>
      <c r="B390" s="27"/>
      <c r="C390" s="312"/>
      <c r="D390" s="231"/>
      <c r="E390" s="27"/>
      <c r="F390" s="27"/>
      <c r="G390" s="231"/>
      <c r="H390" s="27"/>
      <c r="I390" s="27"/>
      <c r="J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</row>
    <row r="391" spans="1:60" ht="13">
      <c r="A391" s="236"/>
      <c r="B391" s="236"/>
      <c r="C391" s="311"/>
      <c r="D391" s="237"/>
      <c r="E391" s="236"/>
      <c r="F391" s="236"/>
      <c r="G391" s="237"/>
      <c r="H391" s="236"/>
      <c r="I391" s="236"/>
      <c r="J391" s="236"/>
      <c r="N391" s="236"/>
      <c r="O391" s="236"/>
      <c r="P391" s="236"/>
      <c r="Q391" s="236"/>
      <c r="R391" s="236"/>
      <c r="S391" s="236"/>
      <c r="T391" s="236"/>
      <c r="U391" s="236"/>
      <c r="V391" s="236"/>
      <c r="W391" s="236"/>
      <c r="X391" s="236"/>
      <c r="Y391" s="236"/>
      <c r="Z391" s="236"/>
      <c r="AA391" s="236"/>
      <c r="AB391" s="236"/>
      <c r="AC391" s="236"/>
      <c r="AD391" s="236"/>
      <c r="AE391" s="236"/>
      <c r="AF391" s="236"/>
      <c r="AG391" s="236"/>
      <c r="AH391" s="236"/>
      <c r="AI391" s="236"/>
      <c r="AJ391" s="236"/>
      <c r="AK391" s="236"/>
      <c r="AL391" s="236"/>
      <c r="AM391" s="236"/>
      <c r="AN391" s="236"/>
      <c r="AO391" s="236"/>
      <c r="AP391" s="236"/>
      <c r="AQ391" s="236"/>
      <c r="AR391" s="236"/>
      <c r="AS391" s="236"/>
      <c r="AT391" s="236"/>
      <c r="AU391" s="236"/>
      <c r="AV391" s="236"/>
      <c r="AW391" s="236"/>
      <c r="AX391" s="236"/>
      <c r="AY391" s="236"/>
      <c r="AZ391" s="236"/>
      <c r="BA391" s="236"/>
      <c r="BB391" s="236"/>
      <c r="BC391" s="236"/>
      <c r="BD391" s="236"/>
      <c r="BE391" s="236"/>
      <c r="BF391" s="236"/>
      <c r="BG391" s="236"/>
      <c r="BH391" s="236"/>
    </row>
    <row r="392" spans="1:60" ht="13">
      <c r="A392" s="27"/>
      <c r="B392" s="27"/>
      <c r="C392" s="312"/>
      <c r="D392" s="231"/>
      <c r="E392" s="27"/>
      <c r="F392" s="27"/>
      <c r="G392" s="231"/>
      <c r="H392" s="27"/>
      <c r="I392" s="27"/>
      <c r="J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</row>
    <row r="393" spans="1:60" ht="13">
      <c r="A393" s="236"/>
      <c r="B393" s="236"/>
      <c r="C393" s="311"/>
      <c r="D393" s="237"/>
      <c r="E393" s="236"/>
      <c r="F393" s="236"/>
      <c r="G393" s="237"/>
      <c r="H393" s="236"/>
      <c r="I393" s="236"/>
      <c r="J393" s="236"/>
      <c r="N393" s="236"/>
      <c r="O393" s="236"/>
      <c r="P393" s="236"/>
      <c r="Q393" s="236"/>
      <c r="R393" s="236"/>
      <c r="S393" s="236"/>
      <c r="T393" s="236"/>
      <c r="U393" s="236"/>
      <c r="V393" s="236"/>
      <c r="W393" s="236"/>
      <c r="X393" s="236"/>
      <c r="Y393" s="236"/>
      <c r="Z393" s="236"/>
      <c r="AA393" s="236"/>
      <c r="AB393" s="236"/>
      <c r="AC393" s="236"/>
      <c r="AD393" s="236"/>
      <c r="AE393" s="236"/>
      <c r="AF393" s="236"/>
      <c r="AG393" s="236"/>
      <c r="AH393" s="236"/>
      <c r="AI393" s="236"/>
      <c r="AJ393" s="236"/>
      <c r="AK393" s="236"/>
      <c r="AL393" s="236"/>
      <c r="AM393" s="236"/>
      <c r="AN393" s="236"/>
      <c r="AO393" s="236"/>
      <c r="AP393" s="236"/>
      <c r="AQ393" s="236"/>
      <c r="AR393" s="236"/>
      <c r="AS393" s="236"/>
      <c r="AT393" s="236"/>
      <c r="AU393" s="236"/>
      <c r="AV393" s="236"/>
      <c r="AW393" s="236"/>
      <c r="AX393" s="236"/>
      <c r="AY393" s="236"/>
      <c r="AZ393" s="236"/>
      <c r="BA393" s="236"/>
      <c r="BB393" s="236"/>
      <c r="BC393" s="236"/>
      <c r="BD393" s="236"/>
      <c r="BE393" s="236"/>
      <c r="BF393" s="236"/>
      <c r="BG393" s="236"/>
      <c r="BH393" s="236"/>
    </row>
    <row r="394" spans="1:60" ht="13">
      <c r="A394" s="27"/>
      <c r="B394" s="27"/>
      <c r="C394" s="312"/>
      <c r="D394" s="231"/>
      <c r="E394" s="27"/>
      <c r="F394" s="27"/>
      <c r="G394" s="231"/>
      <c r="H394" s="27"/>
      <c r="I394" s="27"/>
      <c r="J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</row>
    <row r="395" spans="1:60" ht="13">
      <c r="A395" s="236"/>
      <c r="B395" s="236"/>
      <c r="C395" s="311"/>
      <c r="D395" s="237"/>
      <c r="E395" s="236"/>
      <c r="F395" s="236"/>
      <c r="G395" s="237"/>
      <c r="H395" s="236"/>
      <c r="I395" s="236"/>
      <c r="J395" s="236"/>
      <c r="N395" s="236"/>
      <c r="O395" s="236"/>
      <c r="P395" s="236"/>
      <c r="Q395" s="236"/>
      <c r="R395" s="236"/>
      <c r="S395" s="236"/>
      <c r="T395" s="236"/>
      <c r="U395" s="236"/>
      <c r="V395" s="236"/>
      <c r="W395" s="236"/>
      <c r="X395" s="236"/>
      <c r="Y395" s="236"/>
      <c r="Z395" s="236"/>
      <c r="AA395" s="236"/>
      <c r="AB395" s="236"/>
      <c r="AC395" s="236"/>
      <c r="AD395" s="236"/>
      <c r="AE395" s="236"/>
      <c r="AF395" s="236"/>
      <c r="AG395" s="236"/>
      <c r="AH395" s="236"/>
      <c r="AI395" s="236"/>
      <c r="AJ395" s="236"/>
      <c r="AK395" s="236"/>
      <c r="AL395" s="236"/>
      <c r="AM395" s="236"/>
      <c r="AN395" s="236"/>
      <c r="AO395" s="236"/>
      <c r="AP395" s="236"/>
      <c r="AQ395" s="236"/>
      <c r="AR395" s="236"/>
      <c r="AS395" s="236"/>
      <c r="AT395" s="236"/>
      <c r="AU395" s="236"/>
      <c r="AV395" s="236"/>
      <c r="AW395" s="236"/>
      <c r="AX395" s="236"/>
      <c r="AY395" s="236"/>
      <c r="AZ395" s="236"/>
      <c r="BA395" s="236"/>
      <c r="BB395" s="236"/>
      <c r="BC395" s="236"/>
      <c r="BD395" s="236"/>
      <c r="BE395" s="236"/>
      <c r="BF395" s="236"/>
      <c r="BG395" s="236"/>
      <c r="BH395" s="236"/>
    </row>
    <row r="396" spans="1:60" ht="13">
      <c r="A396" s="27"/>
      <c r="B396" s="27"/>
      <c r="C396" s="312"/>
      <c r="D396" s="231"/>
      <c r="E396" s="27"/>
      <c r="F396" s="27"/>
      <c r="G396" s="231"/>
      <c r="H396" s="27"/>
      <c r="I396" s="27"/>
      <c r="J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</row>
    <row r="397" spans="1:60" ht="13">
      <c r="A397" s="236"/>
      <c r="B397" s="236"/>
      <c r="C397" s="311"/>
      <c r="D397" s="237"/>
      <c r="E397" s="236"/>
      <c r="F397" s="236"/>
      <c r="G397" s="237"/>
      <c r="H397" s="236"/>
      <c r="I397" s="236"/>
      <c r="J397" s="236"/>
      <c r="N397" s="236"/>
      <c r="O397" s="236"/>
      <c r="P397" s="236"/>
      <c r="Q397" s="236"/>
      <c r="R397" s="236"/>
      <c r="S397" s="236"/>
      <c r="T397" s="236"/>
      <c r="U397" s="236"/>
      <c r="V397" s="236"/>
      <c r="W397" s="236"/>
      <c r="X397" s="236"/>
      <c r="Y397" s="236"/>
      <c r="Z397" s="236"/>
      <c r="AA397" s="236"/>
      <c r="AB397" s="236"/>
      <c r="AC397" s="236"/>
      <c r="AD397" s="236"/>
      <c r="AE397" s="236"/>
      <c r="AF397" s="236"/>
      <c r="AG397" s="236"/>
      <c r="AH397" s="236"/>
      <c r="AI397" s="236"/>
      <c r="AJ397" s="236"/>
      <c r="AK397" s="236"/>
      <c r="AL397" s="236"/>
      <c r="AM397" s="236"/>
      <c r="AN397" s="236"/>
      <c r="AO397" s="236"/>
      <c r="AP397" s="236"/>
      <c r="AQ397" s="236"/>
      <c r="AR397" s="236"/>
      <c r="AS397" s="236"/>
      <c r="AT397" s="236"/>
      <c r="AU397" s="236"/>
      <c r="AV397" s="236"/>
      <c r="AW397" s="236"/>
      <c r="AX397" s="236"/>
      <c r="AY397" s="236"/>
      <c r="AZ397" s="236"/>
      <c r="BA397" s="236"/>
      <c r="BB397" s="236"/>
      <c r="BC397" s="236"/>
      <c r="BD397" s="236"/>
      <c r="BE397" s="236"/>
      <c r="BF397" s="236"/>
      <c r="BG397" s="236"/>
      <c r="BH397" s="236"/>
    </row>
    <row r="398" spans="1:60" ht="13">
      <c r="A398" s="27"/>
      <c r="B398" s="27"/>
      <c r="C398" s="312"/>
      <c r="D398" s="231"/>
      <c r="E398" s="27"/>
      <c r="F398" s="27"/>
      <c r="G398" s="231"/>
      <c r="H398" s="27"/>
      <c r="I398" s="27"/>
      <c r="J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</row>
    <row r="399" spans="1:60" ht="13">
      <c r="A399" s="236"/>
      <c r="B399" s="236"/>
      <c r="C399" s="311"/>
      <c r="D399" s="237"/>
      <c r="E399" s="236"/>
      <c r="F399" s="236"/>
      <c r="G399" s="237"/>
      <c r="H399" s="236"/>
      <c r="I399" s="236"/>
      <c r="J399" s="236"/>
      <c r="N399" s="236"/>
      <c r="O399" s="236"/>
      <c r="P399" s="236"/>
      <c r="Q399" s="236"/>
      <c r="R399" s="236"/>
      <c r="S399" s="236"/>
      <c r="T399" s="236"/>
      <c r="U399" s="236"/>
      <c r="V399" s="236"/>
      <c r="W399" s="236"/>
      <c r="X399" s="236"/>
      <c r="Y399" s="236"/>
      <c r="Z399" s="236"/>
      <c r="AA399" s="236"/>
      <c r="AB399" s="236"/>
      <c r="AC399" s="236"/>
      <c r="AD399" s="236"/>
      <c r="AE399" s="236"/>
      <c r="AF399" s="236"/>
      <c r="AG399" s="236"/>
      <c r="AH399" s="236"/>
      <c r="AI399" s="236"/>
      <c r="AJ399" s="236"/>
      <c r="AK399" s="236"/>
      <c r="AL399" s="236"/>
      <c r="AM399" s="236"/>
      <c r="AN399" s="236"/>
      <c r="AO399" s="236"/>
      <c r="AP399" s="236"/>
      <c r="AQ399" s="236"/>
      <c r="AR399" s="236"/>
      <c r="AS399" s="236"/>
      <c r="AT399" s="236"/>
      <c r="AU399" s="236"/>
      <c r="AV399" s="236"/>
      <c r="AW399" s="236"/>
      <c r="AX399" s="236"/>
      <c r="AY399" s="236"/>
      <c r="AZ399" s="236"/>
      <c r="BA399" s="236"/>
      <c r="BB399" s="236"/>
      <c r="BC399" s="236"/>
      <c r="BD399" s="236"/>
      <c r="BE399" s="236"/>
      <c r="BF399" s="236"/>
      <c r="BG399" s="236"/>
      <c r="BH399" s="236"/>
    </row>
    <row r="400" spans="1:60" ht="13">
      <c r="A400" s="27"/>
      <c r="B400" s="27"/>
      <c r="C400" s="312"/>
      <c r="D400" s="231"/>
      <c r="E400" s="27"/>
      <c r="F400" s="27"/>
      <c r="G400" s="231"/>
      <c r="H400" s="27"/>
      <c r="I400" s="27"/>
      <c r="J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</row>
    <row r="401" spans="1:60" ht="13">
      <c r="A401" s="236"/>
      <c r="B401" s="236"/>
      <c r="C401" s="311"/>
      <c r="D401" s="237"/>
      <c r="E401" s="236"/>
      <c r="F401" s="236"/>
      <c r="G401" s="237"/>
      <c r="H401" s="236"/>
      <c r="I401" s="236"/>
      <c r="J401" s="236"/>
      <c r="N401" s="236"/>
      <c r="O401" s="236"/>
      <c r="P401" s="236"/>
      <c r="Q401" s="236"/>
      <c r="R401" s="236"/>
      <c r="S401" s="236"/>
      <c r="T401" s="236"/>
      <c r="U401" s="236"/>
      <c r="V401" s="236"/>
      <c r="W401" s="236"/>
      <c r="X401" s="236"/>
      <c r="Y401" s="236"/>
      <c r="Z401" s="236"/>
      <c r="AA401" s="236"/>
      <c r="AB401" s="236"/>
      <c r="AC401" s="236"/>
      <c r="AD401" s="236"/>
      <c r="AE401" s="236"/>
      <c r="AF401" s="236"/>
      <c r="AG401" s="236"/>
      <c r="AH401" s="236"/>
      <c r="AI401" s="236"/>
      <c r="AJ401" s="236"/>
      <c r="AK401" s="236"/>
      <c r="AL401" s="236"/>
      <c r="AM401" s="236"/>
      <c r="AN401" s="236"/>
      <c r="AO401" s="236"/>
      <c r="AP401" s="236"/>
      <c r="AQ401" s="236"/>
      <c r="AR401" s="236"/>
      <c r="AS401" s="236"/>
      <c r="AT401" s="236"/>
      <c r="AU401" s="236"/>
      <c r="AV401" s="236"/>
      <c r="AW401" s="236"/>
      <c r="AX401" s="236"/>
      <c r="AY401" s="236"/>
      <c r="AZ401" s="236"/>
      <c r="BA401" s="236"/>
      <c r="BB401" s="236"/>
      <c r="BC401" s="236"/>
      <c r="BD401" s="236"/>
      <c r="BE401" s="236"/>
      <c r="BF401" s="236"/>
      <c r="BG401" s="236"/>
      <c r="BH401" s="236"/>
    </row>
    <row r="402" spans="1:60" ht="13">
      <c r="A402" s="27"/>
      <c r="B402" s="27"/>
      <c r="C402" s="312"/>
      <c r="D402" s="231"/>
      <c r="E402" s="27"/>
      <c r="F402" s="27"/>
      <c r="G402" s="231"/>
      <c r="H402" s="27"/>
      <c r="I402" s="27"/>
      <c r="J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</row>
    <row r="403" spans="1:60" ht="13">
      <c r="A403" s="236"/>
      <c r="B403" s="236"/>
      <c r="C403" s="311"/>
      <c r="D403" s="237"/>
      <c r="E403" s="236"/>
      <c r="F403" s="236"/>
      <c r="G403" s="237"/>
      <c r="H403" s="236"/>
      <c r="I403" s="236"/>
      <c r="J403" s="236"/>
      <c r="N403" s="236"/>
      <c r="O403" s="236"/>
      <c r="P403" s="236"/>
      <c r="Q403" s="236"/>
      <c r="R403" s="236"/>
      <c r="S403" s="236"/>
      <c r="T403" s="236"/>
      <c r="U403" s="236"/>
      <c r="V403" s="236"/>
      <c r="W403" s="236"/>
      <c r="X403" s="236"/>
      <c r="Y403" s="236"/>
      <c r="Z403" s="236"/>
      <c r="AA403" s="236"/>
      <c r="AB403" s="236"/>
      <c r="AC403" s="236"/>
      <c r="AD403" s="236"/>
      <c r="AE403" s="236"/>
      <c r="AF403" s="236"/>
      <c r="AG403" s="236"/>
      <c r="AH403" s="236"/>
      <c r="AI403" s="236"/>
      <c r="AJ403" s="236"/>
      <c r="AK403" s="236"/>
      <c r="AL403" s="236"/>
      <c r="AM403" s="236"/>
      <c r="AN403" s="236"/>
      <c r="AO403" s="236"/>
      <c r="AP403" s="236"/>
      <c r="AQ403" s="236"/>
      <c r="AR403" s="236"/>
      <c r="AS403" s="236"/>
      <c r="AT403" s="236"/>
      <c r="AU403" s="236"/>
      <c r="AV403" s="236"/>
      <c r="AW403" s="236"/>
      <c r="AX403" s="236"/>
      <c r="AY403" s="236"/>
      <c r="AZ403" s="236"/>
      <c r="BA403" s="236"/>
      <c r="BB403" s="236"/>
      <c r="BC403" s="236"/>
      <c r="BD403" s="236"/>
      <c r="BE403" s="236"/>
      <c r="BF403" s="236"/>
      <c r="BG403" s="236"/>
      <c r="BH403" s="236"/>
    </row>
    <row r="404" spans="1:60" ht="13">
      <c r="A404" s="27"/>
      <c r="B404" s="27"/>
      <c r="C404" s="312"/>
      <c r="D404" s="231"/>
      <c r="E404" s="27"/>
      <c r="F404" s="27"/>
      <c r="G404" s="231"/>
      <c r="H404" s="27"/>
      <c r="I404" s="27"/>
      <c r="J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</row>
    <row r="405" spans="1:60" ht="13">
      <c r="A405" s="236"/>
      <c r="B405" s="236"/>
      <c r="C405" s="311"/>
      <c r="D405" s="237"/>
      <c r="E405" s="236"/>
      <c r="F405" s="236"/>
      <c r="G405" s="237"/>
      <c r="H405" s="236"/>
      <c r="I405" s="236"/>
      <c r="J405" s="236"/>
      <c r="N405" s="236"/>
      <c r="O405" s="236"/>
      <c r="P405" s="236"/>
      <c r="Q405" s="236"/>
      <c r="R405" s="236"/>
      <c r="S405" s="236"/>
      <c r="T405" s="236"/>
      <c r="U405" s="236"/>
      <c r="V405" s="236"/>
      <c r="W405" s="236"/>
      <c r="X405" s="236"/>
      <c r="Y405" s="236"/>
      <c r="Z405" s="236"/>
      <c r="AA405" s="236"/>
      <c r="AB405" s="236"/>
      <c r="AC405" s="236"/>
      <c r="AD405" s="236"/>
      <c r="AE405" s="236"/>
      <c r="AF405" s="236"/>
      <c r="AG405" s="236"/>
      <c r="AH405" s="236"/>
      <c r="AI405" s="236"/>
      <c r="AJ405" s="236"/>
      <c r="AK405" s="236"/>
      <c r="AL405" s="236"/>
      <c r="AM405" s="236"/>
      <c r="AN405" s="236"/>
      <c r="AO405" s="236"/>
      <c r="AP405" s="236"/>
      <c r="AQ405" s="236"/>
      <c r="AR405" s="236"/>
      <c r="AS405" s="236"/>
      <c r="AT405" s="236"/>
      <c r="AU405" s="236"/>
      <c r="AV405" s="236"/>
      <c r="AW405" s="236"/>
      <c r="AX405" s="236"/>
      <c r="AY405" s="236"/>
      <c r="AZ405" s="236"/>
      <c r="BA405" s="236"/>
      <c r="BB405" s="236"/>
      <c r="BC405" s="236"/>
      <c r="BD405" s="236"/>
      <c r="BE405" s="236"/>
      <c r="BF405" s="236"/>
      <c r="BG405" s="236"/>
      <c r="BH405" s="236"/>
    </row>
    <row r="406" spans="1:60" ht="13">
      <c r="A406" s="27"/>
      <c r="B406" s="27"/>
      <c r="C406" s="312"/>
      <c r="D406" s="231"/>
      <c r="E406" s="27"/>
      <c r="F406" s="27"/>
      <c r="G406" s="231"/>
      <c r="H406" s="27"/>
      <c r="I406" s="27"/>
      <c r="J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</row>
    <row r="407" spans="1:60" ht="13">
      <c r="A407" s="236"/>
      <c r="B407" s="236"/>
      <c r="C407" s="311"/>
      <c r="D407" s="237"/>
      <c r="E407" s="236"/>
      <c r="F407" s="236"/>
      <c r="G407" s="237"/>
      <c r="H407" s="236"/>
      <c r="I407" s="236"/>
      <c r="J407" s="236"/>
      <c r="N407" s="236"/>
      <c r="O407" s="236"/>
      <c r="P407" s="236"/>
      <c r="Q407" s="236"/>
      <c r="R407" s="236"/>
      <c r="S407" s="236"/>
      <c r="T407" s="236"/>
      <c r="U407" s="236"/>
      <c r="V407" s="236"/>
      <c r="W407" s="236"/>
      <c r="X407" s="236"/>
      <c r="Y407" s="236"/>
      <c r="Z407" s="236"/>
      <c r="AA407" s="236"/>
      <c r="AB407" s="236"/>
      <c r="AC407" s="236"/>
      <c r="AD407" s="236"/>
      <c r="AE407" s="236"/>
      <c r="AF407" s="236"/>
      <c r="AG407" s="236"/>
      <c r="AH407" s="236"/>
      <c r="AI407" s="236"/>
      <c r="AJ407" s="236"/>
      <c r="AK407" s="236"/>
      <c r="AL407" s="236"/>
      <c r="AM407" s="236"/>
      <c r="AN407" s="236"/>
      <c r="AO407" s="236"/>
      <c r="AP407" s="236"/>
      <c r="AQ407" s="236"/>
      <c r="AR407" s="236"/>
      <c r="AS407" s="236"/>
      <c r="AT407" s="236"/>
      <c r="AU407" s="236"/>
      <c r="AV407" s="236"/>
      <c r="AW407" s="236"/>
      <c r="AX407" s="236"/>
      <c r="AY407" s="236"/>
      <c r="AZ407" s="236"/>
      <c r="BA407" s="236"/>
      <c r="BB407" s="236"/>
      <c r="BC407" s="236"/>
      <c r="BD407" s="236"/>
      <c r="BE407" s="236"/>
      <c r="BF407" s="236"/>
      <c r="BG407" s="236"/>
      <c r="BH407" s="236"/>
    </row>
    <row r="408" spans="1:60" ht="13">
      <c r="A408" s="27"/>
      <c r="B408" s="27"/>
      <c r="C408" s="312"/>
      <c r="D408" s="231"/>
      <c r="E408" s="27"/>
      <c r="F408" s="27"/>
      <c r="G408" s="231"/>
      <c r="H408" s="27"/>
      <c r="I408" s="27"/>
      <c r="J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</row>
    <row r="409" spans="1:60" ht="13">
      <c r="A409" s="236"/>
      <c r="B409" s="236"/>
      <c r="C409" s="311"/>
      <c r="D409" s="237"/>
      <c r="E409" s="236"/>
      <c r="F409" s="236"/>
      <c r="G409" s="237"/>
      <c r="H409" s="236"/>
      <c r="I409" s="236"/>
      <c r="J409" s="236"/>
      <c r="N409" s="236"/>
      <c r="O409" s="236"/>
      <c r="P409" s="236"/>
      <c r="Q409" s="236"/>
      <c r="R409" s="236"/>
      <c r="S409" s="236"/>
      <c r="T409" s="236"/>
      <c r="U409" s="236"/>
      <c r="V409" s="236"/>
      <c r="W409" s="236"/>
      <c r="X409" s="236"/>
      <c r="Y409" s="236"/>
      <c r="Z409" s="236"/>
      <c r="AA409" s="236"/>
      <c r="AB409" s="236"/>
      <c r="AC409" s="236"/>
      <c r="AD409" s="236"/>
      <c r="AE409" s="236"/>
      <c r="AF409" s="236"/>
      <c r="AG409" s="236"/>
      <c r="AH409" s="236"/>
      <c r="AI409" s="236"/>
      <c r="AJ409" s="236"/>
      <c r="AK409" s="236"/>
      <c r="AL409" s="236"/>
      <c r="AM409" s="236"/>
      <c r="AN409" s="236"/>
      <c r="AO409" s="236"/>
      <c r="AP409" s="236"/>
      <c r="AQ409" s="236"/>
      <c r="AR409" s="236"/>
      <c r="AS409" s="236"/>
      <c r="AT409" s="236"/>
      <c r="AU409" s="236"/>
      <c r="AV409" s="236"/>
      <c r="AW409" s="236"/>
      <c r="AX409" s="236"/>
      <c r="AY409" s="236"/>
      <c r="AZ409" s="236"/>
      <c r="BA409" s="236"/>
      <c r="BB409" s="236"/>
      <c r="BC409" s="236"/>
      <c r="BD409" s="236"/>
      <c r="BE409" s="236"/>
      <c r="BF409" s="236"/>
      <c r="BG409" s="236"/>
      <c r="BH409" s="236"/>
    </row>
    <row r="410" spans="1:60" ht="13">
      <c r="A410" s="27"/>
      <c r="B410" s="27"/>
      <c r="C410" s="312"/>
      <c r="D410" s="231"/>
      <c r="E410" s="27"/>
      <c r="F410" s="27"/>
      <c r="G410" s="231"/>
      <c r="H410" s="27"/>
      <c r="I410" s="27"/>
      <c r="J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</row>
    <row r="411" spans="1:60" ht="13">
      <c r="A411" s="236"/>
      <c r="B411" s="236"/>
      <c r="C411" s="311"/>
      <c r="D411" s="237"/>
      <c r="E411" s="236"/>
      <c r="F411" s="236"/>
      <c r="G411" s="237"/>
      <c r="H411" s="236"/>
      <c r="I411" s="236"/>
      <c r="J411" s="236"/>
      <c r="N411" s="236"/>
      <c r="O411" s="236"/>
      <c r="P411" s="236"/>
      <c r="Q411" s="236"/>
      <c r="R411" s="236"/>
      <c r="S411" s="236"/>
      <c r="T411" s="236"/>
      <c r="U411" s="236"/>
      <c r="V411" s="236"/>
      <c r="W411" s="236"/>
      <c r="X411" s="236"/>
      <c r="Y411" s="236"/>
      <c r="Z411" s="236"/>
      <c r="AA411" s="236"/>
      <c r="AB411" s="236"/>
      <c r="AC411" s="236"/>
      <c r="AD411" s="236"/>
      <c r="AE411" s="236"/>
      <c r="AF411" s="236"/>
      <c r="AG411" s="236"/>
      <c r="AH411" s="236"/>
      <c r="AI411" s="236"/>
      <c r="AJ411" s="236"/>
      <c r="AK411" s="236"/>
      <c r="AL411" s="236"/>
      <c r="AM411" s="236"/>
      <c r="AN411" s="236"/>
      <c r="AO411" s="236"/>
      <c r="AP411" s="236"/>
      <c r="AQ411" s="236"/>
      <c r="AR411" s="236"/>
      <c r="AS411" s="236"/>
      <c r="AT411" s="236"/>
      <c r="AU411" s="236"/>
      <c r="AV411" s="236"/>
      <c r="AW411" s="236"/>
      <c r="AX411" s="236"/>
      <c r="AY411" s="236"/>
      <c r="AZ411" s="236"/>
      <c r="BA411" s="236"/>
      <c r="BB411" s="236"/>
      <c r="BC411" s="236"/>
      <c r="BD411" s="236"/>
      <c r="BE411" s="236"/>
      <c r="BF411" s="236"/>
      <c r="BG411" s="236"/>
      <c r="BH411" s="236"/>
    </row>
    <row r="412" spans="1:60" ht="13">
      <c r="A412" s="27"/>
      <c r="B412" s="27"/>
      <c r="C412" s="312"/>
      <c r="D412" s="231"/>
      <c r="E412" s="27"/>
      <c r="F412" s="27"/>
      <c r="G412" s="231"/>
      <c r="H412" s="27"/>
      <c r="I412" s="27"/>
      <c r="J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</row>
    <row r="413" spans="1:60" ht="13">
      <c r="A413" s="236"/>
      <c r="B413" s="236"/>
      <c r="C413" s="311"/>
      <c r="D413" s="237"/>
      <c r="E413" s="236"/>
      <c r="F413" s="236"/>
      <c r="G413" s="237"/>
      <c r="H413" s="236"/>
      <c r="I413" s="236"/>
      <c r="J413" s="236"/>
      <c r="N413" s="236"/>
      <c r="O413" s="236"/>
      <c r="P413" s="236"/>
      <c r="Q413" s="236"/>
      <c r="R413" s="236"/>
      <c r="S413" s="236"/>
      <c r="T413" s="236"/>
      <c r="U413" s="236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236"/>
      <c r="AH413" s="236"/>
      <c r="AI413" s="236"/>
      <c r="AJ413" s="236"/>
      <c r="AK413" s="236"/>
      <c r="AL413" s="236"/>
      <c r="AM413" s="236"/>
      <c r="AN413" s="236"/>
      <c r="AO413" s="236"/>
      <c r="AP413" s="236"/>
      <c r="AQ413" s="236"/>
      <c r="AR413" s="236"/>
      <c r="AS413" s="236"/>
      <c r="AT413" s="236"/>
      <c r="AU413" s="236"/>
      <c r="AV413" s="236"/>
      <c r="AW413" s="236"/>
      <c r="AX413" s="236"/>
      <c r="AY413" s="236"/>
      <c r="AZ413" s="236"/>
      <c r="BA413" s="236"/>
      <c r="BB413" s="236"/>
      <c r="BC413" s="236"/>
      <c r="BD413" s="236"/>
      <c r="BE413" s="236"/>
      <c r="BF413" s="236"/>
      <c r="BG413" s="236"/>
      <c r="BH413" s="236"/>
    </row>
    <row r="414" spans="1:60" ht="13">
      <c r="A414" s="27"/>
      <c r="B414" s="27"/>
      <c r="C414" s="312"/>
      <c r="D414" s="231"/>
      <c r="E414" s="27"/>
      <c r="F414" s="27"/>
      <c r="G414" s="231"/>
      <c r="H414" s="27"/>
      <c r="I414" s="27"/>
      <c r="J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</row>
    <row r="415" spans="1:60" ht="13">
      <c r="A415" s="236"/>
      <c r="B415" s="236"/>
      <c r="C415" s="311"/>
      <c r="D415" s="237"/>
      <c r="E415" s="236"/>
      <c r="F415" s="236"/>
      <c r="G415" s="237"/>
      <c r="H415" s="236"/>
      <c r="I415" s="236"/>
      <c r="J415" s="236"/>
      <c r="N415" s="236"/>
      <c r="O415" s="236"/>
      <c r="P415" s="236"/>
      <c r="Q415" s="236"/>
      <c r="R415" s="236"/>
      <c r="S415" s="236"/>
      <c r="T415" s="236"/>
      <c r="U415" s="236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236"/>
      <c r="AH415" s="236"/>
      <c r="AI415" s="236"/>
      <c r="AJ415" s="236"/>
      <c r="AK415" s="236"/>
      <c r="AL415" s="236"/>
      <c r="AM415" s="236"/>
      <c r="AN415" s="236"/>
      <c r="AO415" s="236"/>
      <c r="AP415" s="236"/>
      <c r="AQ415" s="236"/>
      <c r="AR415" s="236"/>
      <c r="AS415" s="236"/>
      <c r="AT415" s="236"/>
      <c r="AU415" s="236"/>
      <c r="AV415" s="236"/>
      <c r="AW415" s="236"/>
      <c r="AX415" s="236"/>
      <c r="AY415" s="236"/>
      <c r="AZ415" s="236"/>
      <c r="BA415" s="236"/>
      <c r="BB415" s="236"/>
      <c r="BC415" s="236"/>
      <c r="BD415" s="236"/>
      <c r="BE415" s="236"/>
      <c r="BF415" s="236"/>
      <c r="BG415" s="236"/>
      <c r="BH415" s="236"/>
    </row>
    <row r="416" spans="1:60" ht="13">
      <c r="A416" s="27"/>
      <c r="B416" s="27"/>
      <c r="C416" s="312"/>
      <c r="D416" s="231"/>
      <c r="E416" s="27"/>
      <c r="F416" s="27"/>
      <c r="G416" s="231"/>
      <c r="H416" s="27"/>
      <c r="I416" s="27"/>
      <c r="J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</row>
    <row r="417" spans="1:60" ht="13">
      <c r="A417" s="236"/>
      <c r="B417" s="236"/>
      <c r="C417" s="311"/>
      <c r="D417" s="237"/>
      <c r="E417" s="236"/>
      <c r="F417" s="236"/>
      <c r="G417" s="237"/>
      <c r="H417" s="236"/>
      <c r="I417" s="236"/>
      <c r="J417" s="236"/>
      <c r="N417" s="236"/>
      <c r="O417" s="236"/>
      <c r="P417" s="236"/>
      <c r="Q417" s="236"/>
      <c r="R417" s="236"/>
      <c r="S417" s="236"/>
      <c r="T417" s="236"/>
      <c r="U417" s="236"/>
      <c r="V417" s="236"/>
      <c r="W417" s="236"/>
      <c r="X417" s="236"/>
      <c r="Y417" s="236"/>
      <c r="Z417" s="236"/>
      <c r="AA417" s="236"/>
      <c r="AB417" s="236"/>
      <c r="AC417" s="236"/>
      <c r="AD417" s="236"/>
      <c r="AE417" s="236"/>
      <c r="AF417" s="236"/>
      <c r="AG417" s="236"/>
      <c r="AH417" s="236"/>
      <c r="AI417" s="236"/>
      <c r="AJ417" s="236"/>
      <c r="AK417" s="236"/>
      <c r="AL417" s="236"/>
      <c r="AM417" s="236"/>
      <c r="AN417" s="236"/>
      <c r="AO417" s="236"/>
      <c r="AP417" s="236"/>
      <c r="AQ417" s="236"/>
      <c r="AR417" s="236"/>
      <c r="AS417" s="236"/>
      <c r="AT417" s="236"/>
      <c r="AU417" s="236"/>
      <c r="AV417" s="236"/>
      <c r="AW417" s="236"/>
      <c r="AX417" s="236"/>
      <c r="AY417" s="236"/>
      <c r="AZ417" s="236"/>
      <c r="BA417" s="236"/>
      <c r="BB417" s="236"/>
      <c r="BC417" s="236"/>
      <c r="BD417" s="236"/>
      <c r="BE417" s="236"/>
      <c r="BF417" s="236"/>
      <c r="BG417" s="236"/>
      <c r="BH417" s="236"/>
    </row>
    <row r="418" spans="1:60" ht="13">
      <c r="A418" s="27"/>
      <c r="B418" s="27"/>
      <c r="C418" s="312"/>
      <c r="D418" s="231"/>
      <c r="E418" s="27"/>
      <c r="F418" s="27"/>
      <c r="G418" s="231"/>
      <c r="H418" s="27"/>
      <c r="I418" s="27"/>
      <c r="J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</row>
    <row r="419" spans="1:60" ht="13">
      <c r="A419" s="236"/>
      <c r="B419" s="236"/>
      <c r="C419" s="311"/>
      <c r="D419" s="237"/>
      <c r="E419" s="236"/>
      <c r="F419" s="236"/>
      <c r="G419" s="237"/>
      <c r="H419" s="236"/>
      <c r="I419" s="236"/>
      <c r="J419" s="236"/>
      <c r="N419" s="236"/>
      <c r="O419" s="236"/>
      <c r="P419" s="236"/>
      <c r="Q419" s="236"/>
      <c r="R419" s="236"/>
      <c r="S419" s="236"/>
      <c r="T419" s="236"/>
      <c r="U419" s="236"/>
      <c r="V419" s="236"/>
      <c r="W419" s="236"/>
      <c r="X419" s="236"/>
      <c r="Y419" s="236"/>
      <c r="Z419" s="236"/>
      <c r="AA419" s="236"/>
      <c r="AB419" s="236"/>
      <c r="AC419" s="236"/>
      <c r="AD419" s="236"/>
      <c r="AE419" s="236"/>
      <c r="AF419" s="236"/>
      <c r="AG419" s="236"/>
      <c r="AH419" s="236"/>
      <c r="AI419" s="236"/>
      <c r="AJ419" s="236"/>
      <c r="AK419" s="236"/>
      <c r="AL419" s="236"/>
      <c r="AM419" s="236"/>
      <c r="AN419" s="236"/>
      <c r="AO419" s="236"/>
      <c r="AP419" s="236"/>
      <c r="AQ419" s="236"/>
      <c r="AR419" s="236"/>
      <c r="AS419" s="236"/>
      <c r="AT419" s="236"/>
      <c r="AU419" s="236"/>
      <c r="AV419" s="236"/>
      <c r="AW419" s="236"/>
      <c r="AX419" s="236"/>
      <c r="AY419" s="236"/>
      <c r="AZ419" s="236"/>
      <c r="BA419" s="236"/>
      <c r="BB419" s="236"/>
      <c r="BC419" s="236"/>
      <c r="BD419" s="236"/>
      <c r="BE419" s="236"/>
      <c r="BF419" s="236"/>
      <c r="BG419" s="236"/>
      <c r="BH419" s="236"/>
    </row>
    <row r="420" spans="1:60" ht="13">
      <c r="A420" s="27"/>
      <c r="B420" s="27"/>
      <c r="C420" s="312"/>
      <c r="D420" s="231"/>
      <c r="E420" s="27"/>
      <c r="F420" s="27"/>
      <c r="G420" s="231"/>
      <c r="H420" s="27"/>
      <c r="I420" s="27"/>
      <c r="J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</row>
    <row r="421" spans="1:60" ht="13">
      <c r="A421" s="236"/>
      <c r="B421" s="236"/>
      <c r="C421" s="311"/>
      <c r="D421" s="237"/>
      <c r="E421" s="236"/>
      <c r="F421" s="236"/>
      <c r="G421" s="237"/>
      <c r="H421" s="236"/>
      <c r="I421" s="236"/>
      <c r="J421" s="236"/>
      <c r="N421" s="236"/>
      <c r="O421" s="236"/>
      <c r="P421" s="236"/>
      <c r="Q421" s="236"/>
      <c r="R421" s="236"/>
      <c r="S421" s="236"/>
      <c r="T421" s="236"/>
      <c r="U421" s="236"/>
      <c r="V421" s="236"/>
      <c r="W421" s="236"/>
      <c r="X421" s="236"/>
      <c r="Y421" s="236"/>
      <c r="Z421" s="236"/>
      <c r="AA421" s="236"/>
      <c r="AB421" s="236"/>
      <c r="AC421" s="236"/>
      <c r="AD421" s="236"/>
      <c r="AE421" s="236"/>
      <c r="AF421" s="236"/>
      <c r="AG421" s="236"/>
      <c r="AH421" s="236"/>
      <c r="AI421" s="236"/>
      <c r="AJ421" s="236"/>
      <c r="AK421" s="236"/>
      <c r="AL421" s="236"/>
      <c r="AM421" s="236"/>
      <c r="AN421" s="236"/>
      <c r="AO421" s="236"/>
      <c r="AP421" s="236"/>
      <c r="AQ421" s="236"/>
      <c r="AR421" s="236"/>
      <c r="AS421" s="236"/>
      <c r="AT421" s="236"/>
      <c r="AU421" s="236"/>
      <c r="AV421" s="236"/>
      <c r="AW421" s="236"/>
      <c r="AX421" s="236"/>
      <c r="AY421" s="236"/>
      <c r="AZ421" s="236"/>
      <c r="BA421" s="236"/>
      <c r="BB421" s="236"/>
      <c r="BC421" s="236"/>
      <c r="BD421" s="236"/>
      <c r="BE421" s="236"/>
      <c r="BF421" s="236"/>
      <c r="BG421" s="236"/>
      <c r="BH421" s="236"/>
    </row>
    <row r="422" spans="1:60" ht="13">
      <c r="A422" s="27"/>
      <c r="B422" s="27"/>
      <c r="C422" s="312"/>
      <c r="D422" s="231"/>
      <c r="E422" s="27"/>
      <c r="F422" s="27"/>
      <c r="G422" s="231"/>
      <c r="H422" s="27"/>
      <c r="I422" s="27"/>
      <c r="J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</row>
    <row r="423" spans="1:60" ht="13">
      <c r="A423" s="236"/>
      <c r="B423" s="236"/>
      <c r="C423" s="311"/>
      <c r="D423" s="237"/>
      <c r="E423" s="236"/>
      <c r="F423" s="236"/>
      <c r="G423" s="237"/>
      <c r="H423" s="236"/>
      <c r="I423" s="236"/>
      <c r="J423" s="236"/>
      <c r="N423" s="236"/>
      <c r="O423" s="236"/>
      <c r="P423" s="236"/>
      <c r="Q423" s="236"/>
      <c r="R423" s="236"/>
      <c r="S423" s="236"/>
      <c r="T423" s="236"/>
      <c r="U423" s="236"/>
      <c r="V423" s="236"/>
      <c r="W423" s="236"/>
      <c r="X423" s="236"/>
      <c r="Y423" s="236"/>
      <c r="Z423" s="236"/>
      <c r="AA423" s="236"/>
      <c r="AB423" s="236"/>
      <c r="AC423" s="236"/>
      <c r="AD423" s="236"/>
      <c r="AE423" s="236"/>
      <c r="AF423" s="236"/>
      <c r="AG423" s="236"/>
      <c r="AH423" s="236"/>
      <c r="AI423" s="236"/>
      <c r="AJ423" s="236"/>
      <c r="AK423" s="236"/>
      <c r="AL423" s="236"/>
      <c r="AM423" s="236"/>
      <c r="AN423" s="236"/>
      <c r="AO423" s="236"/>
      <c r="AP423" s="236"/>
      <c r="AQ423" s="236"/>
      <c r="AR423" s="236"/>
      <c r="AS423" s="236"/>
      <c r="AT423" s="236"/>
      <c r="AU423" s="236"/>
      <c r="AV423" s="236"/>
      <c r="AW423" s="236"/>
      <c r="AX423" s="236"/>
      <c r="AY423" s="236"/>
      <c r="AZ423" s="236"/>
      <c r="BA423" s="236"/>
      <c r="BB423" s="236"/>
      <c r="BC423" s="236"/>
      <c r="BD423" s="236"/>
      <c r="BE423" s="236"/>
      <c r="BF423" s="236"/>
      <c r="BG423" s="236"/>
      <c r="BH423" s="236"/>
    </row>
    <row r="424" spans="1:60" ht="13">
      <c r="A424" s="27"/>
      <c r="B424" s="27"/>
      <c r="C424" s="312"/>
      <c r="D424" s="231"/>
      <c r="E424" s="27"/>
      <c r="F424" s="27"/>
      <c r="G424" s="231"/>
      <c r="H424" s="27"/>
      <c r="I424" s="27"/>
      <c r="J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</row>
    <row r="425" spans="1:60" ht="13">
      <c r="A425" s="236"/>
      <c r="B425" s="236"/>
      <c r="C425" s="311"/>
      <c r="D425" s="237"/>
      <c r="E425" s="236"/>
      <c r="F425" s="236"/>
      <c r="G425" s="237"/>
      <c r="H425" s="236"/>
      <c r="I425" s="236"/>
      <c r="J425" s="236"/>
      <c r="N425" s="236"/>
      <c r="O425" s="236"/>
      <c r="P425" s="236"/>
      <c r="Q425" s="236"/>
      <c r="R425" s="236"/>
      <c r="S425" s="236"/>
      <c r="T425" s="236"/>
      <c r="U425" s="236"/>
      <c r="V425" s="236"/>
      <c r="W425" s="236"/>
      <c r="X425" s="236"/>
      <c r="Y425" s="236"/>
      <c r="Z425" s="236"/>
      <c r="AA425" s="236"/>
      <c r="AB425" s="236"/>
      <c r="AC425" s="236"/>
      <c r="AD425" s="236"/>
      <c r="AE425" s="236"/>
      <c r="AF425" s="236"/>
      <c r="AG425" s="236"/>
      <c r="AH425" s="236"/>
      <c r="AI425" s="236"/>
      <c r="AJ425" s="236"/>
      <c r="AK425" s="236"/>
      <c r="AL425" s="236"/>
      <c r="AM425" s="236"/>
      <c r="AN425" s="236"/>
      <c r="AO425" s="236"/>
      <c r="AP425" s="236"/>
      <c r="AQ425" s="236"/>
      <c r="AR425" s="236"/>
      <c r="AS425" s="236"/>
      <c r="AT425" s="236"/>
      <c r="AU425" s="236"/>
      <c r="AV425" s="236"/>
      <c r="AW425" s="236"/>
      <c r="AX425" s="236"/>
      <c r="AY425" s="236"/>
      <c r="AZ425" s="236"/>
      <c r="BA425" s="236"/>
      <c r="BB425" s="236"/>
      <c r="BC425" s="236"/>
      <c r="BD425" s="236"/>
      <c r="BE425" s="236"/>
      <c r="BF425" s="236"/>
      <c r="BG425" s="236"/>
      <c r="BH425" s="236"/>
    </row>
    <row r="426" spans="1:60" ht="13">
      <c r="A426" s="27"/>
      <c r="B426" s="27"/>
      <c r="C426" s="312"/>
      <c r="D426" s="231"/>
      <c r="E426" s="27"/>
      <c r="F426" s="27"/>
      <c r="G426" s="231"/>
      <c r="H426" s="27"/>
      <c r="I426" s="27"/>
      <c r="J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</row>
    <row r="427" spans="1:60" ht="13">
      <c r="A427" s="236"/>
      <c r="B427" s="236"/>
      <c r="C427" s="311"/>
      <c r="D427" s="237"/>
      <c r="E427" s="236"/>
      <c r="F427" s="236"/>
      <c r="G427" s="237"/>
      <c r="H427" s="236"/>
      <c r="I427" s="236"/>
      <c r="J427" s="236"/>
      <c r="N427" s="236"/>
      <c r="O427" s="236"/>
      <c r="P427" s="236"/>
      <c r="Q427" s="236"/>
      <c r="R427" s="236"/>
      <c r="S427" s="236"/>
      <c r="T427" s="236"/>
      <c r="U427" s="236"/>
      <c r="V427" s="236"/>
      <c r="W427" s="236"/>
      <c r="X427" s="236"/>
      <c r="Y427" s="236"/>
      <c r="Z427" s="236"/>
      <c r="AA427" s="236"/>
      <c r="AB427" s="236"/>
      <c r="AC427" s="236"/>
      <c r="AD427" s="236"/>
      <c r="AE427" s="236"/>
      <c r="AF427" s="236"/>
      <c r="AG427" s="236"/>
      <c r="AH427" s="236"/>
      <c r="AI427" s="236"/>
      <c r="AJ427" s="236"/>
      <c r="AK427" s="236"/>
      <c r="AL427" s="236"/>
      <c r="AM427" s="236"/>
      <c r="AN427" s="236"/>
      <c r="AO427" s="236"/>
      <c r="AP427" s="236"/>
      <c r="AQ427" s="236"/>
      <c r="AR427" s="236"/>
      <c r="AS427" s="236"/>
      <c r="AT427" s="236"/>
      <c r="AU427" s="236"/>
      <c r="AV427" s="236"/>
      <c r="AW427" s="236"/>
      <c r="AX427" s="236"/>
      <c r="AY427" s="236"/>
      <c r="AZ427" s="236"/>
      <c r="BA427" s="236"/>
      <c r="BB427" s="236"/>
      <c r="BC427" s="236"/>
      <c r="BD427" s="236"/>
      <c r="BE427" s="236"/>
      <c r="BF427" s="236"/>
      <c r="BG427" s="236"/>
      <c r="BH427" s="236"/>
    </row>
    <row r="428" spans="1:60" ht="13">
      <c r="A428" s="27"/>
      <c r="B428" s="27"/>
      <c r="C428" s="312"/>
      <c r="D428" s="231"/>
      <c r="E428" s="27"/>
      <c r="F428" s="27"/>
      <c r="G428" s="231"/>
      <c r="H428" s="27"/>
      <c r="I428" s="27"/>
      <c r="J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</row>
    <row r="429" spans="1:60" ht="13">
      <c r="A429" s="236"/>
      <c r="B429" s="236"/>
      <c r="C429" s="311"/>
      <c r="D429" s="237"/>
      <c r="E429" s="236"/>
      <c r="F429" s="236"/>
      <c r="G429" s="237"/>
      <c r="H429" s="236"/>
      <c r="I429" s="236"/>
      <c r="J429" s="236"/>
      <c r="N429" s="236"/>
      <c r="O429" s="236"/>
      <c r="P429" s="236"/>
      <c r="Q429" s="236"/>
      <c r="R429" s="236"/>
      <c r="S429" s="236"/>
      <c r="T429" s="236"/>
      <c r="U429" s="236"/>
      <c r="V429" s="236"/>
      <c r="W429" s="236"/>
      <c r="X429" s="236"/>
      <c r="Y429" s="236"/>
      <c r="Z429" s="236"/>
      <c r="AA429" s="236"/>
      <c r="AB429" s="236"/>
      <c r="AC429" s="236"/>
      <c r="AD429" s="236"/>
      <c r="AE429" s="236"/>
      <c r="AF429" s="236"/>
      <c r="AG429" s="236"/>
      <c r="AH429" s="236"/>
      <c r="AI429" s="236"/>
      <c r="AJ429" s="236"/>
      <c r="AK429" s="236"/>
      <c r="AL429" s="236"/>
      <c r="AM429" s="236"/>
      <c r="AN429" s="236"/>
      <c r="AO429" s="236"/>
      <c r="AP429" s="236"/>
      <c r="AQ429" s="236"/>
      <c r="AR429" s="236"/>
      <c r="AS429" s="236"/>
      <c r="AT429" s="236"/>
      <c r="AU429" s="236"/>
      <c r="AV429" s="236"/>
      <c r="AW429" s="236"/>
      <c r="AX429" s="236"/>
      <c r="AY429" s="236"/>
      <c r="AZ429" s="236"/>
      <c r="BA429" s="236"/>
      <c r="BB429" s="236"/>
      <c r="BC429" s="236"/>
      <c r="BD429" s="236"/>
      <c r="BE429" s="236"/>
      <c r="BF429" s="236"/>
      <c r="BG429" s="236"/>
      <c r="BH429" s="236"/>
    </row>
    <row r="430" spans="1:60" ht="13">
      <c r="A430" s="27"/>
      <c r="B430" s="27"/>
      <c r="C430" s="312"/>
      <c r="D430" s="231"/>
      <c r="E430" s="27"/>
      <c r="F430" s="27"/>
      <c r="G430" s="231"/>
      <c r="H430" s="27"/>
      <c r="I430" s="27"/>
      <c r="J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</row>
    <row r="431" spans="1:60" ht="13">
      <c r="A431" s="236"/>
      <c r="B431" s="236"/>
      <c r="C431" s="311"/>
      <c r="D431" s="237"/>
      <c r="E431" s="236"/>
      <c r="F431" s="236"/>
      <c r="G431" s="237"/>
      <c r="H431" s="236"/>
      <c r="I431" s="236"/>
      <c r="J431" s="236"/>
      <c r="N431" s="236"/>
      <c r="O431" s="236"/>
      <c r="P431" s="236"/>
      <c r="Q431" s="236"/>
      <c r="R431" s="236"/>
      <c r="S431" s="236"/>
      <c r="T431" s="236"/>
      <c r="U431" s="236"/>
      <c r="V431" s="236"/>
      <c r="W431" s="236"/>
      <c r="X431" s="236"/>
      <c r="Y431" s="236"/>
      <c r="Z431" s="236"/>
      <c r="AA431" s="236"/>
      <c r="AB431" s="236"/>
      <c r="AC431" s="236"/>
      <c r="AD431" s="236"/>
      <c r="AE431" s="236"/>
      <c r="AF431" s="236"/>
      <c r="AG431" s="236"/>
      <c r="AH431" s="236"/>
      <c r="AI431" s="236"/>
      <c r="AJ431" s="236"/>
      <c r="AK431" s="236"/>
      <c r="AL431" s="236"/>
      <c r="AM431" s="236"/>
      <c r="AN431" s="236"/>
      <c r="AO431" s="236"/>
      <c r="AP431" s="236"/>
      <c r="AQ431" s="236"/>
      <c r="AR431" s="236"/>
      <c r="AS431" s="236"/>
      <c r="AT431" s="236"/>
      <c r="AU431" s="236"/>
      <c r="AV431" s="236"/>
      <c r="AW431" s="236"/>
      <c r="AX431" s="236"/>
      <c r="AY431" s="236"/>
      <c r="AZ431" s="236"/>
      <c r="BA431" s="236"/>
      <c r="BB431" s="236"/>
      <c r="BC431" s="236"/>
      <c r="BD431" s="236"/>
      <c r="BE431" s="236"/>
      <c r="BF431" s="236"/>
      <c r="BG431" s="236"/>
      <c r="BH431" s="236"/>
    </row>
    <row r="432" spans="1:60" ht="13">
      <c r="A432" s="27"/>
      <c r="B432" s="27"/>
      <c r="C432" s="312"/>
      <c r="D432" s="231"/>
      <c r="E432" s="27"/>
      <c r="F432" s="27"/>
      <c r="G432" s="231"/>
      <c r="H432" s="27"/>
      <c r="I432" s="27"/>
      <c r="J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</row>
    <row r="433" spans="1:60" ht="13">
      <c r="A433" s="236"/>
      <c r="B433" s="236"/>
      <c r="C433" s="311"/>
      <c r="D433" s="237"/>
      <c r="E433" s="236"/>
      <c r="F433" s="236"/>
      <c r="G433" s="237"/>
      <c r="H433" s="236"/>
      <c r="I433" s="236"/>
      <c r="J433" s="236"/>
      <c r="N433" s="236"/>
      <c r="O433" s="236"/>
      <c r="P433" s="236"/>
      <c r="Q433" s="236"/>
      <c r="R433" s="236"/>
      <c r="S433" s="236"/>
      <c r="T433" s="236"/>
      <c r="U433" s="236"/>
      <c r="V433" s="236"/>
      <c r="W433" s="236"/>
      <c r="X433" s="236"/>
      <c r="Y433" s="236"/>
      <c r="Z433" s="236"/>
      <c r="AA433" s="236"/>
      <c r="AB433" s="236"/>
      <c r="AC433" s="236"/>
      <c r="AD433" s="236"/>
      <c r="AE433" s="236"/>
      <c r="AF433" s="236"/>
      <c r="AG433" s="236"/>
      <c r="AH433" s="236"/>
      <c r="AI433" s="236"/>
      <c r="AJ433" s="236"/>
      <c r="AK433" s="236"/>
      <c r="AL433" s="236"/>
      <c r="AM433" s="236"/>
      <c r="AN433" s="236"/>
      <c r="AO433" s="236"/>
      <c r="AP433" s="236"/>
      <c r="AQ433" s="236"/>
      <c r="AR433" s="236"/>
      <c r="AS433" s="236"/>
      <c r="AT433" s="236"/>
      <c r="AU433" s="236"/>
      <c r="AV433" s="236"/>
      <c r="AW433" s="236"/>
      <c r="AX433" s="236"/>
      <c r="AY433" s="236"/>
      <c r="AZ433" s="236"/>
      <c r="BA433" s="236"/>
      <c r="BB433" s="236"/>
      <c r="BC433" s="236"/>
      <c r="BD433" s="236"/>
      <c r="BE433" s="236"/>
      <c r="BF433" s="236"/>
      <c r="BG433" s="236"/>
      <c r="BH433" s="236"/>
    </row>
    <row r="434" spans="1:60" ht="13">
      <c r="A434" s="27"/>
      <c r="B434" s="27"/>
      <c r="C434" s="312"/>
      <c r="D434" s="231"/>
      <c r="E434" s="27"/>
      <c r="F434" s="27"/>
      <c r="G434" s="231"/>
      <c r="H434" s="27"/>
      <c r="I434" s="27"/>
      <c r="J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</row>
    <row r="435" spans="1:60" ht="13">
      <c r="A435" s="236"/>
      <c r="B435" s="236"/>
      <c r="C435" s="311"/>
      <c r="D435" s="237"/>
      <c r="E435" s="236"/>
      <c r="F435" s="236"/>
      <c r="G435" s="237"/>
      <c r="H435" s="236"/>
      <c r="I435" s="236"/>
      <c r="J435" s="236"/>
      <c r="N435" s="236"/>
      <c r="O435" s="236"/>
      <c r="P435" s="236"/>
      <c r="Q435" s="236"/>
      <c r="R435" s="236"/>
      <c r="S435" s="236"/>
      <c r="T435" s="236"/>
      <c r="U435" s="236"/>
      <c r="V435" s="236"/>
      <c r="W435" s="236"/>
      <c r="X435" s="236"/>
      <c r="Y435" s="236"/>
      <c r="Z435" s="236"/>
      <c r="AA435" s="236"/>
      <c r="AB435" s="236"/>
      <c r="AC435" s="236"/>
      <c r="AD435" s="236"/>
      <c r="AE435" s="236"/>
      <c r="AF435" s="236"/>
      <c r="AG435" s="236"/>
      <c r="AH435" s="236"/>
      <c r="AI435" s="236"/>
      <c r="AJ435" s="236"/>
      <c r="AK435" s="236"/>
      <c r="AL435" s="236"/>
      <c r="AM435" s="236"/>
      <c r="AN435" s="236"/>
      <c r="AO435" s="236"/>
      <c r="AP435" s="236"/>
      <c r="AQ435" s="236"/>
      <c r="AR435" s="236"/>
      <c r="AS435" s="236"/>
      <c r="AT435" s="236"/>
      <c r="AU435" s="236"/>
      <c r="AV435" s="236"/>
      <c r="AW435" s="236"/>
      <c r="AX435" s="236"/>
      <c r="AY435" s="236"/>
      <c r="AZ435" s="236"/>
      <c r="BA435" s="236"/>
      <c r="BB435" s="236"/>
      <c r="BC435" s="236"/>
      <c r="BD435" s="236"/>
      <c r="BE435" s="236"/>
      <c r="BF435" s="236"/>
      <c r="BG435" s="236"/>
      <c r="BH435" s="236"/>
    </row>
    <row r="436" spans="1:60" ht="13">
      <c r="A436" s="27"/>
      <c r="B436" s="27"/>
      <c r="C436" s="312"/>
      <c r="D436" s="231"/>
      <c r="E436" s="27"/>
      <c r="F436" s="27"/>
      <c r="G436" s="231"/>
      <c r="H436" s="27"/>
      <c r="I436" s="27"/>
      <c r="J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</row>
    <row r="437" spans="1:60" ht="13">
      <c r="A437" s="236"/>
      <c r="B437" s="236"/>
      <c r="C437" s="311"/>
      <c r="D437" s="237"/>
      <c r="E437" s="236"/>
      <c r="F437" s="236"/>
      <c r="G437" s="237"/>
      <c r="H437" s="236"/>
      <c r="I437" s="236"/>
      <c r="J437" s="236"/>
      <c r="N437" s="236"/>
      <c r="O437" s="236"/>
      <c r="P437" s="236"/>
      <c r="Q437" s="236"/>
      <c r="R437" s="236"/>
      <c r="S437" s="236"/>
      <c r="T437" s="236"/>
      <c r="U437" s="236"/>
      <c r="V437" s="236"/>
      <c r="W437" s="236"/>
      <c r="X437" s="236"/>
      <c r="Y437" s="236"/>
      <c r="Z437" s="236"/>
      <c r="AA437" s="236"/>
      <c r="AB437" s="236"/>
      <c r="AC437" s="236"/>
      <c r="AD437" s="236"/>
      <c r="AE437" s="236"/>
      <c r="AF437" s="236"/>
      <c r="AG437" s="236"/>
      <c r="AH437" s="236"/>
      <c r="AI437" s="236"/>
      <c r="AJ437" s="236"/>
      <c r="AK437" s="236"/>
      <c r="AL437" s="236"/>
      <c r="AM437" s="236"/>
      <c r="AN437" s="236"/>
      <c r="AO437" s="236"/>
      <c r="AP437" s="236"/>
      <c r="AQ437" s="236"/>
      <c r="AR437" s="236"/>
      <c r="AS437" s="236"/>
      <c r="AT437" s="236"/>
      <c r="AU437" s="236"/>
      <c r="AV437" s="236"/>
      <c r="AW437" s="236"/>
      <c r="AX437" s="236"/>
      <c r="AY437" s="236"/>
      <c r="AZ437" s="236"/>
      <c r="BA437" s="236"/>
      <c r="BB437" s="236"/>
      <c r="BC437" s="236"/>
      <c r="BD437" s="236"/>
      <c r="BE437" s="236"/>
      <c r="BF437" s="236"/>
      <c r="BG437" s="236"/>
      <c r="BH437" s="236"/>
    </row>
    <row r="438" spans="1:60" ht="13">
      <c r="A438" s="27"/>
      <c r="B438" s="27"/>
      <c r="C438" s="312"/>
      <c r="D438" s="231"/>
      <c r="E438" s="27"/>
      <c r="F438" s="27"/>
      <c r="G438" s="231"/>
      <c r="H438" s="27"/>
      <c r="I438" s="27"/>
      <c r="J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</row>
    <row r="439" spans="1:60" ht="13">
      <c r="A439" s="236"/>
      <c r="B439" s="236"/>
      <c r="C439" s="311"/>
      <c r="D439" s="237"/>
      <c r="E439" s="236"/>
      <c r="F439" s="236"/>
      <c r="G439" s="237"/>
      <c r="H439" s="236"/>
      <c r="I439" s="236"/>
      <c r="J439" s="236"/>
      <c r="N439" s="236"/>
      <c r="O439" s="236"/>
      <c r="P439" s="236"/>
      <c r="Q439" s="236"/>
      <c r="R439" s="236"/>
      <c r="S439" s="236"/>
      <c r="T439" s="236"/>
      <c r="U439" s="236"/>
      <c r="V439" s="236"/>
      <c r="W439" s="236"/>
      <c r="X439" s="236"/>
      <c r="Y439" s="236"/>
      <c r="Z439" s="236"/>
      <c r="AA439" s="236"/>
      <c r="AB439" s="236"/>
      <c r="AC439" s="236"/>
      <c r="AD439" s="236"/>
      <c r="AE439" s="236"/>
      <c r="AF439" s="236"/>
      <c r="AG439" s="236"/>
      <c r="AH439" s="236"/>
      <c r="AI439" s="236"/>
      <c r="AJ439" s="236"/>
      <c r="AK439" s="236"/>
      <c r="AL439" s="236"/>
      <c r="AM439" s="236"/>
      <c r="AN439" s="236"/>
      <c r="AO439" s="236"/>
      <c r="AP439" s="236"/>
      <c r="AQ439" s="236"/>
      <c r="AR439" s="236"/>
      <c r="AS439" s="236"/>
      <c r="AT439" s="236"/>
      <c r="AU439" s="236"/>
      <c r="AV439" s="236"/>
      <c r="AW439" s="236"/>
      <c r="AX439" s="236"/>
      <c r="AY439" s="236"/>
      <c r="AZ439" s="236"/>
      <c r="BA439" s="236"/>
      <c r="BB439" s="236"/>
      <c r="BC439" s="236"/>
      <c r="BD439" s="236"/>
      <c r="BE439" s="236"/>
      <c r="BF439" s="236"/>
      <c r="BG439" s="236"/>
      <c r="BH439" s="236"/>
    </row>
    <row r="440" spans="1:60" ht="13">
      <c r="A440" s="27"/>
      <c r="B440" s="27"/>
      <c r="C440" s="312"/>
      <c r="D440" s="231"/>
      <c r="E440" s="27"/>
      <c r="F440" s="27"/>
      <c r="G440" s="231"/>
      <c r="H440" s="27"/>
      <c r="I440" s="27"/>
      <c r="J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</row>
    <row r="441" spans="1:60" ht="13">
      <c r="A441" s="236"/>
      <c r="B441" s="236"/>
      <c r="C441" s="311"/>
      <c r="D441" s="237"/>
      <c r="E441" s="236"/>
      <c r="F441" s="236"/>
      <c r="G441" s="237"/>
      <c r="H441" s="236"/>
      <c r="I441" s="236"/>
      <c r="J441" s="236"/>
      <c r="N441" s="236"/>
      <c r="O441" s="236"/>
      <c r="P441" s="236"/>
      <c r="Q441" s="236"/>
      <c r="R441" s="236"/>
      <c r="S441" s="236"/>
      <c r="T441" s="236"/>
      <c r="U441" s="236"/>
      <c r="V441" s="236"/>
      <c r="W441" s="236"/>
      <c r="X441" s="236"/>
      <c r="Y441" s="236"/>
      <c r="Z441" s="236"/>
      <c r="AA441" s="236"/>
      <c r="AB441" s="236"/>
      <c r="AC441" s="236"/>
      <c r="AD441" s="236"/>
      <c r="AE441" s="236"/>
      <c r="AF441" s="236"/>
      <c r="AG441" s="236"/>
      <c r="AH441" s="236"/>
      <c r="AI441" s="236"/>
      <c r="AJ441" s="236"/>
      <c r="AK441" s="236"/>
      <c r="AL441" s="236"/>
      <c r="AM441" s="236"/>
      <c r="AN441" s="236"/>
      <c r="AO441" s="236"/>
      <c r="AP441" s="236"/>
      <c r="AQ441" s="236"/>
      <c r="AR441" s="236"/>
      <c r="AS441" s="236"/>
      <c r="AT441" s="236"/>
      <c r="AU441" s="236"/>
      <c r="AV441" s="236"/>
      <c r="AW441" s="236"/>
      <c r="AX441" s="236"/>
      <c r="AY441" s="236"/>
      <c r="AZ441" s="236"/>
      <c r="BA441" s="236"/>
      <c r="BB441" s="236"/>
      <c r="BC441" s="236"/>
      <c r="BD441" s="236"/>
      <c r="BE441" s="236"/>
      <c r="BF441" s="236"/>
      <c r="BG441" s="236"/>
      <c r="BH441" s="236"/>
    </row>
    <row r="442" spans="1:60" ht="13">
      <c r="A442" s="27"/>
      <c r="B442" s="27"/>
      <c r="C442" s="312"/>
      <c r="D442" s="231"/>
      <c r="E442" s="27"/>
      <c r="F442" s="27"/>
      <c r="G442" s="231"/>
      <c r="H442" s="27"/>
      <c r="I442" s="27"/>
      <c r="J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</row>
    <row r="443" spans="1:60" ht="13">
      <c r="A443" s="236"/>
      <c r="B443" s="236"/>
      <c r="C443" s="311"/>
      <c r="D443" s="237"/>
      <c r="E443" s="236"/>
      <c r="F443" s="236"/>
      <c r="G443" s="237"/>
      <c r="H443" s="236"/>
      <c r="I443" s="236"/>
      <c r="J443" s="236"/>
      <c r="N443" s="236"/>
      <c r="O443" s="236"/>
      <c r="P443" s="236"/>
      <c r="Q443" s="236"/>
      <c r="R443" s="236"/>
      <c r="S443" s="236"/>
      <c r="T443" s="236"/>
      <c r="U443" s="236"/>
      <c r="V443" s="236"/>
      <c r="W443" s="236"/>
      <c r="X443" s="236"/>
      <c r="Y443" s="236"/>
      <c r="Z443" s="236"/>
      <c r="AA443" s="236"/>
      <c r="AB443" s="236"/>
      <c r="AC443" s="236"/>
      <c r="AD443" s="236"/>
      <c r="AE443" s="236"/>
      <c r="AF443" s="236"/>
      <c r="AG443" s="236"/>
      <c r="AH443" s="236"/>
      <c r="AI443" s="236"/>
      <c r="AJ443" s="236"/>
      <c r="AK443" s="236"/>
      <c r="AL443" s="236"/>
      <c r="AM443" s="236"/>
      <c r="AN443" s="236"/>
      <c r="AO443" s="236"/>
      <c r="AP443" s="236"/>
      <c r="AQ443" s="236"/>
      <c r="AR443" s="236"/>
      <c r="AS443" s="236"/>
      <c r="AT443" s="236"/>
      <c r="AU443" s="236"/>
      <c r="AV443" s="236"/>
      <c r="AW443" s="236"/>
      <c r="AX443" s="236"/>
      <c r="AY443" s="236"/>
      <c r="AZ443" s="236"/>
      <c r="BA443" s="236"/>
      <c r="BB443" s="236"/>
      <c r="BC443" s="236"/>
      <c r="BD443" s="236"/>
      <c r="BE443" s="236"/>
      <c r="BF443" s="236"/>
      <c r="BG443" s="236"/>
      <c r="BH443" s="236"/>
    </row>
    <row r="444" spans="1:60" ht="13">
      <c r="A444" s="27"/>
      <c r="B444" s="27"/>
      <c r="C444" s="312"/>
      <c r="D444" s="231"/>
      <c r="E444" s="27"/>
      <c r="F444" s="27"/>
      <c r="G444" s="231"/>
      <c r="H444" s="27"/>
      <c r="I444" s="27"/>
      <c r="J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</row>
    <row r="445" spans="1:60" ht="13">
      <c r="A445" s="236"/>
      <c r="B445" s="236"/>
      <c r="C445" s="311"/>
      <c r="D445" s="237"/>
      <c r="E445" s="236"/>
      <c r="F445" s="236"/>
      <c r="G445" s="237"/>
      <c r="H445" s="236"/>
      <c r="I445" s="236"/>
      <c r="J445" s="236"/>
      <c r="N445" s="236"/>
      <c r="O445" s="236"/>
      <c r="P445" s="236"/>
      <c r="Q445" s="236"/>
      <c r="R445" s="236"/>
      <c r="S445" s="236"/>
      <c r="T445" s="236"/>
      <c r="U445" s="236"/>
      <c r="V445" s="236"/>
      <c r="W445" s="236"/>
      <c r="X445" s="236"/>
      <c r="Y445" s="236"/>
      <c r="Z445" s="236"/>
      <c r="AA445" s="236"/>
      <c r="AB445" s="236"/>
      <c r="AC445" s="236"/>
      <c r="AD445" s="236"/>
      <c r="AE445" s="236"/>
      <c r="AF445" s="236"/>
      <c r="AG445" s="236"/>
      <c r="AH445" s="236"/>
      <c r="AI445" s="236"/>
      <c r="AJ445" s="236"/>
      <c r="AK445" s="236"/>
      <c r="AL445" s="236"/>
      <c r="AM445" s="236"/>
      <c r="AN445" s="236"/>
      <c r="AO445" s="236"/>
      <c r="AP445" s="236"/>
      <c r="AQ445" s="236"/>
      <c r="AR445" s="236"/>
      <c r="AS445" s="236"/>
      <c r="AT445" s="236"/>
      <c r="AU445" s="236"/>
      <c r="AV445" s="236"/>
      <c r="AW445" s="236"/>
      <c r="AX445" s="236"/>
      <c r="AY445" s="236"/>
      <c r="AZ445" s="236"/>
      <c r="BA445" s="236"/>
      <c r="BB445" s="236"/>
      <c r="BC445" s="236"/>
      <c r="BD445" s="236"/>
      <c r="BE445" s="236"/>
      <c r="BF445" s="236"/>
      <c r="BG445" s="236"/>
      <c r="BH445" s="236"/>
    </row>
    <row r="446" spans="1:60" ht="13">
      <c r="A446" s="27"/>
      <c r="B446" s="27"/>
      <c r="C446" s="312"/>
      <c r="D446" s="231"/>
      <c r="E446" s="27"/>
      <c r="F446" s="27"/>
      <c r="G446" s="231"/>
      <c r="H446" s="27"/>
      <c r="I446" s="27"/>
      <c r="J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</row>
    <row r="447" spans="1:60" ht="13">
      <c r="A447" s="236"/>
      <c r="B447" s="236"/>
      <c r="C447" s="311"/>
      <c r="D447" s="237"/>
      <c r="E447" s="236"/>
      <c r="F447" s="236"/>
      <c r="G447" s="237"/>
      <c r="H447" s="236"/>
      <c r="I447" s="236"/>
      <c r="J447" s="236"/>
      <c r="N447" s="236"/>
      <c r="O447" s="236"/>
      <c r="P447" s="236"/>
      <c r="Q447" s="236"/>
      <c r="R447" s="236"/>
      <c r="S447" s="236"/>
      <c r="T447" s="236"/>
      <c r="U447" s="236"/>
      <c r="V447" s="236"/>
      <c r="W447" s="236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236"/>
      <c r="AH447" s="236"/>
      <c r="AI447" s="236"/>
      <c r="AJ447" s="236"/>
      <c r="AK447" s="236"/>
      <c r="AL447" s="236"/>
      <c r="AM447" s="236"/>
      <c r="AN447" s="236"/>
      <c r="AO447" s="236"/>
      <c r="AP447" s="236"/>
      <c r="AQ447" s="236"/>
      <c r="AR447" s="236"/>
      <c r="AS447" s="236"/>
      <c r="AT447" s="236"/>
      <c r="AU447" s="236"/>
      <c r="AV447" s="236"/>
      <c r="AW447" s="236"/>
      <c r="AX447" s="236"/>
      <c r="AY447" s="236"/>
      <c r="AZ447" s="236"/>
      <c r="BA447" s="236"/>
      <c r="BB447" s="236"/>
      <c r="BC447" s="236"/>
      <c r="BD447" s="236"/>
      <c r="BE447" s="236"/>
      <c r="BF447" s="236"/>
      <c r="BG447" s="236"/>
      <c r="BH447" s="236"/>
    </row>
    <row r="448" spans="1:60" ht="13">
      <c r="A448" s="27"/>
      <c r="B448" s="27"/>
      <c r="C448" s="312"/>
      <c r="D448" s="231"/>
      <c r="E448" s="27"/>
      <c r="F448" s="27"/>
      <c r="G448" s="231"/>
      <c r="H448" s="27"/>
      <c r="I448" s="27"/>
      <c r="J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</row>
    <row r="449" spans="1:60" ht="13">
      <c r="A449" s="236"/>
      <c r="B449" s="236"/>
      <c r="C449" s="311"/>
      <c r="D449" s="237"/>
      <c r="E449" s="236"/>
      <c r="F449" s="236"/>
      <c r="G449" s="237"/>
      <c r="H449" s="236"/>
      <c r="I449" s="236"/>
      <c r="J449" s="236"/>
      <c r="N449" s="236"/>
      <c r="O449" s="236"/>
      <c r="P449" s="236"/>
      <c r="Q449" s="236"/>
      <c r="R449" s="236"/>
      <c r="S449" s="236"/>
      <c r="T449" s="236"/>
      <c r="U449" s="236"/>
      <c r="V449" s="236"/>
      <c r="W449" s="236"/>
      <c r="X449" s="236"/>
      <c r="Y449" s="236"/>
      <c r="Z449" s="236"/>
      <c r="AA449" s="236"/>
      <c r="AB449" s="236"/>
      <c r="AC449" s="236"/>
      <c r="AD449" s="236"/>
      <c r="AE449" s="236"/>
      <c r="AF449" s="236"/>
      <c r="AG449" s="236"/>
      <c r="AH449" s="236"/>
      <c r="AI449" s="236"/>
      <c r="AJ449" s="236"/>
      <c r="AK449" s="236"/>
      <c r="AL449" s="236"/>
      <c r="AM449" s="236"/>
      <c r="AN449" s="236"/>
      <c r="AO449" s="236"/>
      <c r="AP449" s="236"/>
      <c r="AQ449" s="236"/>
      <c r="AR449" s="236"/>
      <c r="AS449" s="236"/>
      <c r="AT449" s="236"/>
      <c r="AU449" s="236"/>
      <c r="AV449" s="236"/>
      <c r="AW449" s="236"/>
      <c r="AX449" s="236"/>
      <c r="AY449" s="236"/>
      <c r="AZ449" s="236"/>
      <c r="BA449" s="236"/>
      <c r="BB449" s="236"/>
      <c r="BC449" s="236"/>
      <c r="BD449" s="236"/>
      <c r="BE449" s="236"/>
      <c r="BF449" s="236"/>
      <c r="BG449" s="236"/>
      <c r="BH449" s="236"/>
    </row>
    <row r="450" spans="1:60" ht="13">
      <c r="A450" s="27"/>
      <c r="B450" s="27"/>
      <c r="C450" s="312"/>
      <c r="D450" s="231"/>
      <c r="E450" s="27"/>
      <c r="F450" s="27"/>
      <c r="G450" s="231"/>
      <c r="H450" s="27"/>
      <c r="I450" s="27"/>
      <c r="J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</row>
    <row r="451" spans="1:60" ht="13">
      <c r="A451" s="236"/>
      <c r="B451" s="236"/>
      <c r="C451" s="311"/>
      <c r="D451" s="237"/>
      <c r="E451" s="236"/>
      <c r="F451" s="236"/>
      <c r="G451" s="237"/>
      <c r="H451" s="236"/>
      <c r="I451" s="236"/>
      <c r="J451" s="236"/>
      <c r="N451" s="236"/>
      <c r="O451" s="236"/>
      <c r="P451" s="236"/>
      <c r="Q451" s="236"/>
      <c r="R451" s="236"/>
      <c r="S451" s="236"/>
      <c r="T451" s="236"/>
      <c r="U451" s="236"/>
      <c r="V451" s="236"/>
      <c r="W451" s="236"/>
      <c r="X451" s="236"/>
      <c r="Y451" s="236"/>
      <c r="Z451" s="236"/>
      <c r="AA451" s="236"/>
      <c r="AB451" s="236"/>
      <c r="AC451" s="236"/>
      <c r="AD451" s="236"/>
      <c r="AE451" s="236"/>
      <c r="AF451" s="236"/>
      <c r="AG451" s="236"/>
      <c r="AH451" s="236"/>
      <c r="AI451" s="236"/>
      <c r="AJ451" s="236"/>
      <c r="AK451" s="236"/>
      <c r="AL451" s="236"/>
      <c r="AM451" s="236"/>
      <c r="AN451" s="236"/>
      <c r="AO451" s="236"/>
      <c r="AP451" s="236"/>
      <c r="AQ451" s="236"/>
      <c r="AR451" s="236"/>
      <c r="AS451" s="236"/>
      <c r="AT451" s="236"/>
      <c r="AU451" s="236"/>
      <c r="AV451" s="236"/>
      <c r="AW451" s="236"/>
      <c r="AX451" s="236"/>
      <c r="AY451" s="236"/>
      <c r="AZ451" s="236"/>
      <c r="BA451" s="236"/>
      <c r="BB451" s="236"/>
      <c r="BC451" s="236"/>
      <c r="BD451" s="236"/>
      <c r="BE451" s="236"/>
      <c r="BF451" s="236"/>
      <c r="BG451" s="236"/>
      <c r="BH451" s="236"/>
    </row>
    <row r="452" spans="1:60" ht="13">
      <c r="A452" s="27"/>
      <c r="B452" s="27"/>
      <c r="C452" s="312"/>
      <c r="D452" s="231"/>
      <c r="E452" s="27"/>
      <c r="F452" s="27"/>
      <c r="G452" s="231"/>
      <c r="H452" s="27"/>
      <c r="I452" s="27"/>
      <c r="J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</row>
    <row r="453" spans="1:60" ht="13">
      <c r="A453" s="236"/>
      <c r="B453" s="236"/>
      <c r="C453" s="311"/>
      <c r="D453" s="237"/>
      <c r="E453" s="236"/>
      <c r="F453" s="236"/>
      <c r="G453" s="237"/>
      <c r="H453" s="236"/>
      <c r="I453" s="236"/>
      <c r="J453" s="236"/>
      <c r="N453" s="236"/>
      <c r="O453" s="236"/>
      <c r="P453" s="236"/>
      <c r="Q453" s="236"/>
      <c r="R453" s="236"/>
      <c r="S453" s="236"/>
      <c r="T453" s="236"/>
      <c r="U453" s="236"/>
      <c r="V453" s="236"/>
      <c r="W453" s="236"/>
      <c r="X453" s="236"/>
      <c r="Y453" s="236"/>
      <c r="Z453" s="236"/>
      <c r="AA453" s="236"/>
      <c r="AB453" s="236"/>
      <c r="AC453" s="236"/>
      <c r="AD453" s="236"/>
      <c r="AE453" s="236"/>
      <c r="AF453" s="236"/>
      <c r="AG453" s="236"/>
      <c r="AH453" s="236"/>
      <c r="AI453" s="236"/>
      <c r="AJ453" s="236"/>
      <c r="AK453" s="236"/>
      <c r="AL453" s="236"/>
      <c r="AM453" s="236"/>
      <c r="AN453" s="236"/>
      <c r="AO453" s="236"/>
      <c r="AP453" s="236"/>
      <c r="AQ453" s="236"/>
      <c r="AR453" s="236"/>
      <c r="AS453" s="236"/>
      <c r="AT453" s="236"/>
      <c r="AU453" s="236"/>
      <c r="AV453" s="236"/>
      <c r="AW453" s="236"/>
      <c r="AX453" s="236"/>
      <c r="AY453" s="236"/>
      <c r="AZ453" s="236"/>
      <c r="BA453" s="236"/>
      <c r="BB453" s="236"/>
      <c r="BC453" s="236"/>
      <c r="BD453" s="236"/>
      <c r="BE453" s="236"/>
      <c r="BF453" s="236"/>
      <c r="BG453" s="236"/>
      <c r="BH453" s="236"/>
    </row>
    <row r="454" spans="1:60" ht="13">
      <c r="A454" s="27"/>
      <c r="B454" s="27"/>
      <c r="C454" s="312"/>
      <c r="D454" s="231"/>
      <c r="E454" s="27"/>
      <c r="F454" s="27"/>
      <c r="G454" s="231"/>
      <c r="H454" s="27"/>
      <c r="I454" s="27"/>
      <c r="J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</row>
    <row r="455" spans="1:60" ht="13">
      <c r="A455" s="236"/>
      <c r="B455" s="236"/>
      <c r="C455" s="311"/>
      <c r="D455" s="237"/>
      <c r="E455" s="236"/>
      <c r="F455" s="236"/>
      <c r="G455" s="237"/>
      <c r="H455" s="236"/>
      <c r="I455" s="236"/>
      <c r="J455" s="236"/>
      <c r="N455" s="236"/>
      <c r="O455" s="236"/>
      <c r="P455" s="236"/>
      <c r="Q455" s="236"/>
      <c r="R455" s="236"/>
      <c r="S455" s="236"/>
      <c r="T455" s="236"/>
      <c r="U455" s="236"/>
      <c r="V455" s="236"/>
      <c r="W455" s="236"/>
      <c r="X455" s="236"/>
      <c r="Y455" s="236"/>
      <c r="Z455" s="236"/>
      <c r="AA455" s="236"/>
      <c r="AB455" s="236"/>
      <c r="AC455" s="236"/>
      <c r="AD455" s="236"/>
      <c r="AE455" s="236"/>
      <c r="AF455" s="236"/>
      <c r="AG455" s="236"/>
      <c r="AH455" s="236"/>
      <c r="AI455" s="236"/>
      <c r="AJ455" s="236"/>
      <c r="AK455" s="236"/>
      <c r="AL455" s="236"/>
      <c r="AM455" s="236"/>
      <c r="AN455" s="236"/>
      <c r="AO455" s="236"/>
      <c r="AP455" s="236"/>
      <c r="AQ455" s="236"/>
      <c r="AR455" s="236"/>
      <c r="AS455" s="236"/>
      <c r="AT455" s="236"/>
      <c r="AU455" s="236"/>
      <c r="AV455" s="236"/>
      <c r="AW455" s="236"/>
      <c r="AX455" s="236"/>
      <c r="AY455" s="236"/>
      <c r="AZ455" s="236"/>
      <c r="BA455" s="236"/>
      <c r="BB455" s="236"/>
      <c r="BC455" s="236"/>
      <c r="BD455" s="236"/>
      <c r="BE455" s="236"/>
      <c r="BF455" s="236"/>
      <c r="BG455" s="236"/>
      <c r="BH455" s="236"/>
    </row>
    <row r="456" spans="1:60" ht="13">
      <c r="A456" s="27"/>
      <c r="B456" s="27"/>
      <c r="C456" s="312"/>
      <c r="D456" s="231"/>
      <c r="E456" s="27"/>
      <c r="F456" s="27"/>
      <c r="G456" s="231"/>
      <c r="H456" s="27"/>
      <c r="I456" s="27"/>
      <c r="J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</row>
    <row r="457" spans="1:60" ht="13">
      <c r="A457" s="236"/>
      <c r="B457" s="236"/>
      <c r="C457" s="311"/>
      <c r="D457" s="237"/>
      <c r="E457" s="236"/>
      <c r="F457" s="236"/>
      <c r="G457" s="237"/>
      <c r="H457" s="236"/>
      <c r="I457" s="236"/>
      <c r="J457" s="236"/>
      <c r="N457" s="236"/>
      <c r="O457" s="236"/>
      <c r="P457" s="236"/>
      <c r="Q457" s="236"/>
      <c r="R457" s="236"/>
      <c r="S457" s="236"/>
      <c r="T457" s="236"/>
      <c r="U457" s="236"/>
      <c r="V457" s="236"/>
      <c r="W457" s="236"/>
      <c r="X457" s="236"/>
      <c r="Y457" s="236"/>
      <c r="Z457" s="236"/>
      <c r="AA457" s="236"/>
      <c r="AB457" s="236"/>
      <c r="AC457" s="236"/>
      <c r="AD457" s="236"/>
      <c r="AE457" s="236"/>
      <c r="AF457" s="236"/>
      <c r="AG457" s="236"/>
      <c r="AH457" s="236"/>
      <c r="AI457" s="236"/>
      <c r="AJ457" s="236"/>
      <c r="AK457" s="236"/>
      <c r="AL457" s="236"/>
      <c r="AM457" s="236"/>
      <c r="AN457" s="236"/>
      <c r="AO457" s="236"/>
      <c r="AP457" s="236"/>
      <c r="AQ457" s="236"/>
      <c r="AR457" s="236"/>
      <c r="AS457" s="236"/>
      <c r="AT457" s="236"/>
      <c r="AU457" s="236"/>
      <c r="AV457" s="236"/>
      <c r="AW457" s="236"/>
      <c r="AX457" s="236"/>
      <c r="AY457" s="236"/>
      <c r="AZ457" s="236"/>
      <c r="BA457" s="236"/>
      <c r="BB457" s="236"/>
      <c r="BC457" s="236"/>
      <c r="BD457" s="236"/>
      <c r="BE457" s="236"/>
      <c r="BF457" s="236"/>
      <c r="BG457" s="236"/>
      <c r="BH457" s="236"/>
    </row>
    <row r="458" spans="1:60" ht="13">
      <c r="A458" s="27"/>
      <c r="B458" s="27"/>
      <c r="C458" s="312"/>
      <c r="D458" s="231"/>
      <c r="E458" s="27"/>
      <c r="F458" s="27"/>
      <c r="G458" s="231"/>
      <c r="H458" s="27"/>
      <c r="I458" s="27"/>
      <c r="J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</row>
    <row r="459" spans="1:60" ht="13">
      <c r="A459" s="236"/>
      <c r="B459" s="236"/>
      <c r="C459" s="311"/>
      <c r="D459" s="237"/>
      <c r="E459" s="236"/>
      <c r="F459" s="236"/>
      <c r="G459" s="237"/>
      <c r="H459" s="236"/>
      <c r="I459" s="236"/>
      <c r="J459" s="236"/>
      <c r="N459" s="236"/>
      <c r="O459" s="236"/>
      <c r="P459" s="236"/>
      <c r="Q459" s="236"/>
      <c r="R459" s="236"/>
      <c r="S459" s="236"/>
      <c r="T459" s="236"/>
      <c r="U459" s="236"/>
      <c r="V459" s="236"/>
      <c r="W459" s="236"/>
      <c r="X459" s="236"/>
      <c r="Y459" s="236"/>
      <c r="Z459" s="236"/>
      <c r="AA459" s="236"/>
      <c r="AB459" s="236"/>
      <c r="AC459" s="236"/>
      <c r="AD459" s="236"/>
      <c r="AE459" s="236"/>
      <c r="AF459" s="236"/>
      <c r="AG459" s="236"/>
      <c r="AH459" s="236"/>
      <c r="AI459" s="236"/>
      <c r="AJ459" s="236"/>
      <c r="AK459" s="236"/>
      <c r="AL459" s="236"/>
      <c r="AM459" s="236"/>
      <c r="AN459" s="236"/>
      <c r="AO459" s="236"/>
      <c r="AP459" s="236"/>
      <c r="AQ459" s="236"/>
      <c r="AR459" s="236"/>
      <c r="AS459" s="236"/>
      <c r="AT459" s="236"/>
      <c r="AU459" s="236"/>
      <c r="AV459" s="236"/>
      <c r="AW459" s="236"/>
      <c r="AX459" s="236"/>
      <c r="AY459" s="236"/>
      <c r="AZ459" s="236"/>
      <c r="BA459" s="236"/>
      <c r="BB459" s="236"/>
      <c r="BC459" s="236"/>
      <c r="BD459" s="236"/>
      <c r="BE459" s="236"/>
      <c r="BF459" s="236"/>
      <c r="BG459" s="236"/>
      <c r="BH459" s="236"/>
    </row>
    <row r="460" spans="1:60" ht="13">
      <c r="A460" s="27"/>
      <c r="B460" s="27"/>
      <c r="C460" s="312"/>
      <c r="D460" s="231"/>
      <c r="E460" s="27"/>
      <c r="F460" s="27"/>
      <c r="G460" s="231"/>
      <c r="H460" s="27"/>
      <c r="I460" s="27"/>
      <c r="J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</row>
    <row r="461" spans="1:60" ht="13">
      <c r="A461" s="236"/>
      <c r="B461" s="236"/>
      <c r="C461" s="311"/>
      <c r="D461" s="237"/>
      <c r="E461" s="236"/>
      <c r="F461" s="236"/>
      <c r="G461" s="237"/>
      <c r="H461" s="236"/>
      <c r="I461" s="236"/>
      <c r="J461" s="236"/>
      <c r="N461" s="236"/>
      <c r="O461" s="236"/>
      <c r="P461" s="236"/>
      <c r="Q461" s="236"/>
      <c r="R461" s="236"/>
      <c r="S461" s="236"/>
      <c r="T461" s="236"/>
      <c r="U461" s="236"/>
      <c r="V461" s="236"/>
      <c r="W461" s="236"/>
      <c r="X461" s="236"/>
      <c r="Y461" s="236"/>
      <c r="Z461" s="236"/>
      <c r="AA461" s="236"/>
      <c r="AB461" s="236"/>
      <c r="AC461" s="236"/>
      <c r="AD461" s="236"/>
      <c r="AE461" s="236"/>
      <c r="AF461" s="236"/>
      <c r="AG461" s="236"/>
      <c r="AH461" s="236"/>
      <c r="AI461" s="236"/>
      <c r="AJ461" s="236"/>
      <c r="AK461" s="236"/>
      <c r="AL461" s="236"/>
      <c r="AM461" s="236"/>
      <c r="AN461" s="236"/>
      <c r="AO461" s="236"/>
      <c r="AP461" s="236"/>
      <c r="AQ461" s="236"/>
      <c r="AR461" s="236"/>
      <c r="AS461" s="236"/>
      <c r="AT461" s="236"/>
      <c r="AU461" s="236"/>
      <c r="AV461" s="236"/>
      <c r="AW461" s="236"/>
      <c r="AX461" s="236"/>
      <c r="AY461" s="236"/>
      <c r="AZ461" s="236"/>
      <c r="BA461" s="236"/>
      <c r="BB461" s="236"/>
      <c r="BC461" s="236"/>
      <c r="BD461" s="236"/>
      <c r="BE461" s="236"/>
      <c r="BF461" s="236"/>
      <c r="BG461" s="236"/>
      <c r="BH461" s="236"/>
    </row>
    <row r="462" spans="1:60" ht="13">
      <c r="A462" s="27"/>
      <c r="B462" s="27"/>
      <c r="C462" s="312"/>
      <c r="D462" s="231"/>
      <c r="E462" s="27"/>
      <c r="F462" s="27"/>
      <c r="G462" s="231"/>
      <c r="H462" s="27"/>
      <c r="I462" s="27"/>
      <c r="J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</row>
    <row r="463" spans="1:60" ht="13">
      <c r="A463" s="236"/>
      <c r="B463" s="236"/>
      <c r="C463" s="311"/>
      <c r="D463" s="237"/>
      <c r="E463" s="236"/>
      <c r="F463" s="236"/>
      <c r="G463" s="237"/>
      <c r="H463" s="236"/>
      <c r="I463" s="236"/>
      <c r="J463" s="236"/>
      <c r="N463" s="236"/>
      <c r="O463" s="236"/>
      <c r="P463" s="236"/>
      <c r="Q463" s="236"/>
      <c r="R463" s="236"/>
      <c r="S463" s="236"/>
      <c r="T463" s="236"/>
      <c r="U463" s="236"/>
      <c r="V463" s="236"/>
      <c r="W463" s="236"/>
      <c r="X463" s="236"/>
      <c r="Y463" s="236"/>
      <c r="Z463" s="236"/>
      <c r="AA463" s="236"/>
      <c r="AB463" s="236"/>
      <c r="AC463" s="236"/>
      <c r="AD463" s="236"/>
      <c r="AE463" s="236"/>
      <c r="AF463" s="236"/>
      <c r="AG463" s="236"/>
      <c r="AH463" s="236"/>
      <c r="AI463" s="236"/>
      <c r="AJ463" s="236"/>
      <c r="AK463" s="236"/>
      <c r="AL463" s="236"/>
      <c r="AM463" s="236"/>
      <c r="AN463" s="236"/>
      <c r="AO463" s="236"/>
      <c r="AP463" s="236"/>
      <c r="AQ463" s="236"/>
      <c r="AR463" s="236"/>
      <c r="AS463" s="236"/>
      <c r="AT463" s="236"/>
      <c r="AU463" s="236"/>
      <c r="AV463" s="236"/>
      <c r="AW463" s="236"/>
      <c r="AX463" s="236"/>
      <c r="AY463" s="236"/>
      <c r="AZ463" s="236"/>
      <c r="BA463" s="236"/>
      <c r="BB463" s="236"/>
      <c r="BC463" s="236"/>
      <c r="BD463" s="236"/>
      <c r="BE463" s="236"/>
      <c r="BF463" s="236"/>
      <c r="BG463" s="236"/>
      <c r="BH463" s="236"/>
    </row>
    <row r="464" spans="1:60" ht="13">
      <c r="A464" s="27"/>
      <c r="B464" s="27"/>
      <c r="C464" s="312"/>
      <c r="D464" s="231"/>
      <c r="E464" s="27"/>
      <c r="F464" s="27"/>
      <c r="G464" s="231"/>
      <c r="H464" s="27"/>
      <c r="I464" s="27"/>
      <c r="J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</row>
    <row r="465" spans="1:60" ht="13">
      <c r="A465" s="236"/>
      <c r="B465" s="236"/>
      <c r="C465" s="311"/>
      <c r="D465" s="237"/>
      <c r="E465" s="236"/>
      <c r="F465" s="236"/>
      <c r="G465" s="237"/>
      <c r="H465" s="236"/>
      <c r="I465" s="236"/>
      <c r="J465" s="236"/>
      <c r="N465" s="236"/>
      <c r="O465" s="236"/>
      <c r="P465" s="236"/>
      <c r="Q465" s="236"/>
      <c r="R465" s="236"/>
      <c r="S465" s="236"/>
      <c r="T465" s="236"/>
      <c r="U465" s="236"/>
      <c r="V465" s="236"/>
      <c r="W465" s="236"/>
      <c r="X465" s="236"/>
      <c r="Y465" s="236"/>
      <c r="Z465" s="236"/>
      <c r="AA465" s="236"/>
      <c r="AB465" s="236"/>
      <c r="AC465" s="236"/>
      <c r="AD465" s="236"/>
      <c r="AE465" s="236"/>
      <c r="AF465" s="236"/>
      <c r="AG465" s="236"/>
      <c r="AH465" s="236"/>
      <c r="AI465" s="236"/>
      <c r="AJ465" s="236"/>
      <c r="AK465" s="236"/>
      <c r="AL465" s="236"/>
      <c r="AM465" s="236"/>
      <c r="AN465" s="236"/>
      <c r="AO465" s="236"/>
      <c r="AP465" s="236"/>
      <c r="AQ465" s="236"/>
      <c r="AR465" s="236"/>
      <c r="AS465" s="236"/>
      <c r="AT465" s="236"/>
      <c r="AU465" s="236"/>
      <c r="AV465" s="236"/>
      <c r="AW465" s="236"/>
      <c r="AX465" s="236"/>
      <c r="AY465" s="236"/>
      <c r="AZ465" s="236"/>
      <c r="BA465" s="236"/>
      <c r="BB465" s="236"/>
      <c r="BC465" s="236"/>
      <c r="BD465" s="236"/>
      <c r="BE465" s="236"/>
      <c r="BF465" s="236"/>
      <c r="BG465" s="236"/>
      <c r="BH465" s="236"/>
    </row>
    <row r="466" spans="1:60" ht="13">
      <c r="A466" s="27"/>
      <c r="B466" s="27"/>
      <c r="C466" s="312"/>
      <c r="D466" s="231"/>
      <c r="E466" s="27"/>
      <c r="F466" s="27"/>
      <c r="G466" s="231"/>
      <c r="H466" s="27"/>
      <c r="I466" s="27"/>
      <c r="J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</row>
    <row r="467" spans="1:60" ht="13">
      <c r="A467" s="236"/>
      <c r="B467" s="236"/>
      <c r="C467" s="311"/>
      <c r="D467" s="237"/>
      <c r="E467" s="236"/>
      <c r="F467" s="236"/>
      <c r="G467" s="237"/>
      <c r="H467" s="236"/>
      <c r="I467" s="236"/>
      <c r="J467" s="236"/>
      <c r="N467" s="236"/>
      <c r="O467" s="236"/>
      <c r="P467" s="236"/>
      <c r="Q467" s="236"/>
      <c r="R467" s="236"/>
      <c r="S467" s="236"/>
      <c r="T467" s="236"/>
      <c r="U467" s="236"/>
      <c r="V467" s="236"/>
      <c r="W467" s="236"/>
      <c r="X467" s="236"/>
      <c r="Y467" s="236"/>
      <c r="Z467" s="236"/>
      <c r="AA467" s="236"/>
      <c r="AB467" s="236"/>
      <c r="AC467" s="236"/>
      <c r="AD467" s="236"/>
      <c r="AE467" s="236"/>
      <c r="AF467" s="236"/>
      <c r="AG467" s="236"/>
      <c r="AH467" s="236"/>
      <c r="AI467" s="236"/>
      <c r="AJ467" s="236"/>
      <c r="AK467" s="236"/>
      <c r="AL467" s="236"/>
      <c r="AM467" s="236"/>
      <c r="AN467" s="236"/>
      <c r="AO467" s="236"/>
      <c r="AP467" s="236"/>
      <c r="AQ467" s="236"/>
      <c r="AR467" s="236"/>
      <c r="AS467" s="236"/>
      <c r="AT467" s="236"/>
      <c r="AU467" s="236"/>
      <c r="AV467" s="236"/>
      <c r="AW467" s="236"/>
      <c r="AX467" s="236"/>
      <c r="AY467" s="236"/>
      <c r="AZ467" s="236"/>
      <c r="BA467" s="236"/>
      <c r="BB467" s="236"/>
      <c r="BC467" s="236"/>
      <c r="BD467" s="236"/>
      <c r="BE467" s="236"/>
      <c r="BF467" s="236"/>
      <c r="BG467" s="236"/>
      <c r="BH467" s="236"/>
    </row>
    <row r="468" spans="1:60" ht="13">
      <c r="A468" s="27"/>
      <c r="B468" s="27"/>
      <c r="C468" s="312"/>
      <c r="D468" s="231"/>
      <c r="E468" s="27"/>
      <c r="F468" s="27"/>
      <c r="G468" s="231"/>
      <c r="H468" s="27"/>
      <c r="I468" s="27"/>
      <c r="J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</row>
    <row r="469" spans="1:60" ht="13">
      <c r="A469" s="236"/>
      <c r="B469" s="236"/>
      <c r="C469" s="311"/>
      <c r="D469" s="237"/>
      <c r="E469" s="236"/>
      <c r="F469" s="236"/>
      <c r="G469" s="237"/>
      <c r="H469" s="236"/>
      <c r="I469" s="236"/>
      <c r="J469" s="236"/>
      <c r="N469" s="236"/>
      <c r="O469" s="236"/>
      <c r="P469" s="236"/>
      <c r="Q469" s="236"/>
      <c r="R469" s="236"/>
      <c r="S469" s="236"/>
      <c r="T469" s="236"/>
      <c r="U469" s="236"/>
      <c r="V469" s="236"/>
      <c r="W469" s="236"/>
      <c r="X469" s="236"/>
      <c r="Y469" s="236"/>
      <c r="Z469" s="236"/>
      <c r="AA469" s="236"/>
      <c r="AB469" s="236"/>
      <c r="AC469" s="236"/>
      <c r="AD469" s="236"/>
      <c r="AE469" s="236"/>
      <c r="AF469" s="236"/>
      <c r="AG469" s="236"/>
      <c r="AH469" s="236"/>
      <c r="AI469" s="236"/>
      <c r="AJ469" s="236"/>
      <c r="AK469" s="236"/>
      <c r="AL469" s="236"/>
      <c r="AM469" s="236"/>
      <c r="AN469" s="236"/>
      <c r="AO469" s="236"/>
      <c r="AP469" s="236"/>
      <c r="AQ469" s="236"/>
      <c r="AR469" s="236"/>
      <c r="AS469" s="236"/>
      <c r="AT469" s="236"/>
      <c r="AU469" s="236"/>
      <c r="AV469" s="236"/>
      <c r="AW469" s="236"/>
      <c r="AX469" s="236"/>
      <c r="AY469" s="236"/>
      <c r="AZ469" s="236"/>
      <c r="BA469" s="236"/>
      <c r="BB469" s="236"/>
      <c r="BC469" s="236"/>
      <c r="BD469" s="236"/>
      <c r="BE469" s="236"/>
      <c r="BF469" s="236"/>
      <c r="BG469" s="236"/>
      <c r="BH469" s="236"/>
    </row>
    <row r="470" spans="1:60" ht="13">
      <c r="A470" s="27"/>
      <c r="B470" s="27"/>
      <c r="C470" s="312"/>
      <c r="D470" s="231"/>
      <c r="E470" s="27"/>
      <c r="F470" s="27"/>
      <c r="G470" s="231"/>
      <c r="H470" s="27"/>
      <c r="I470" s="27"/>
      <c r="J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</row>
    <row r="471" spans="1:60" ht="13">
      <c r="A471" s="236"/>
      <c r="B471" s="236"/>
      <c r="C471" s="311"/>
      <c r="D471" s="237"/>
      <c r="E471" s="236"/>
      <c r="F471" s="236"/>
      <c r="G471" s="237"/>
      <c r="H471" s="236"/>
      <c r="I471" s="236"/>
      <c r="J471" s="236"/>
      <c r="N471" s="236"/>
      <c r="O471" s="236"/>
      <c r="P471" s="236"/>
      <c r="Q471" s="236"/>
      <c r="R471" s="236"/>
      <c r="S471" s="236"/>
      <c r="T471" s="236"/>
      <c r="U471" s="236"/>
      <c r="V471" s="236"/>
      <c r="W471" s="236"/>
      <c r="X471" s="236"/>
      <c r="Y471" s="236"/>
      <c r="Z471" s="236"/>
      <c r="AA471" s="236"/>
      <c r="AB471" s="236"/>
      <c r="AC471" s="236"/>
      <c r="AD471" s="236"/>
      <c r="AE471" s="236"/>
      <c r="AF471" s="236"/>
      <c r="AG471" s="236"/>
      <c r="AH471" s="236"/>
      <c r="AI471" s="236"/>
      <c r="AJ471" s="236"/>
      <c r="AK471" s="236"/>
      <c r="AL471" s="236"/>
      <c r="AM471" s="236"/>
      <c r="AN471" s="236"/>
      <c r="AO471" s="236"/>
      <c r="AP471" s="236"/>
      <c r="AQ471" s="236"/>
      <c r="AR471" s="236"/>
      <c r="AS471" s="236"/>
      <c r="AT471" s="236"/>
      <c r="AU471" s="236"/>
      <c r="AV471" s="236"/>
      <c r="AW471" s="236"/>
      <c r="AX471" s="236"/>
      <c r="AY471" s="236"/>
      <c r="AZ471" s="236"/>
      <c r="BA471" s="236"/>
      <c r="BB471" s="236"/>
      <c r="BC471" s="236"/>
      <c r="BD471" s="236"/>
      <c r="BE471" s="236"/>
      <c r="BF471" s="236"/>
      <c r="BG471" s="236"/>
      <c r="BH471" s="236"/>
    </row>
    <row r="472" spans="1:60" ht="13">
      <c r="A472" s="27"/>
      <c r="B472" s="27"/>
      <c r="C472" s="312"/>
      <c r="D472" s="231"/>
      <c r="E472" s="27"/>
      <c r="F472" s="27"/>
      <c r="G472" s="231"/>
      <c r="H472" s="27"/>
      <c r="I472" s="27"/>
      <c r="J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</row>
    <row r="473" spans="1:60" ht="13">
      <c r="A473" s="236"/>
      <c r="B473" s="236"/>
      <c r="C473" s="311"/>
      <c r="D473" s="237"/>
      <c r="E473" s="236"/>
      <c r="F473" s="236"/>
      <c r="G473" s="237"/>
      <c r="H473" s="236"/>
      <c r="I473" s="236"/>
      <c r="J473" s="236"/>
      <c r="N473" s="236"/>
      <c r="O473" s="236"/>
      <c r="P473" s="236"/>
      <c r="Q473" s="236"/>
      <c r="R473" s="236"/>
      <c r="S473" s="236"/>
      <c r="T473" s="236"/>
      <c r="U473" s="236"/>
      <c r="V473" s="236"/>
      <c r="W473" s="236"/>
      <c r="X473" s="236"/>
      <c r="Y473" s="236"/>
      <c r="Z473" s="236"/>
      <c r="AA473" s="236"/>
      <c r="AB473" s="236"/>
      <c r="AC473" s="236"/>
      <c r="AD473" s="236"/>
      <c r="AE473" s="236"/>
      <c r="AF473" s="236"/>
      <c r="AG473" s="236"/>
      <c r="AH473" s="236"/>
      <c r="AI473" s="236"/>
      <c r="AJ473" s="236"/>
      <c r="AK473" s="236"/>
      <c r="AL473" s="236"/>
      <c r="AM473" s="236"/>
      <c r="AN473" s="236"/>
      <c r="AO473" s="236"/>
      <c r="AP473" s="236"/>
      <c r="AQ473" s="236"/>
      <c r="AR473" s="236"/>
      <c r="AS473" s="236"/>
      <c r="AT473" s="236"/>
      <c r="AU473" s="236"/>
      <c r="AV473" s="236"/>
      <c r="AW473" s="236"/>
      <c r="AX473" s="236"/>
      <c r="AY473" s="236"/>
      <c r="AZ473" s="236"/>
      <c r="BA473" s="236"/>
      <c r="BB473" s="236"/>
      <c r="BC473" s="236"/>
      <c r="BD473" s="236"/>
      <c r="BE473" s="236"/>
      <c r="BF473" s="236"/>
      <c r="BG473" s="236"/>
      <c r="BH473" s="236"/>
    </row>
    <row r="474" spans="1:60" ht="13">
      <c r="A474" s="27"/>
      <c r="B474" s="27"/>
      <c r="C474" s="312"/>
      <c r="D474" s="231"/>
      <c r="E474" s="27"/>
      <c r="F474" s="27"/>
      <c r="G474" s="231"/>
      <c r="H474" s="27"/>
      <c r="I474" s="27"/>
      <c r="J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</row>
    <row r="475" spans="1:60" ht="13">
      <c r="A475" s="236"/>
      <c r="B475" s="236"/>
      <c r="C475" s="311"/>
      <c r="D475" s="237"/>
      <c r="E475" s="236"/>
      <c r="F475" s="236"/>
      <c r="G475" s="237"/>
      <c r="H475" s="236"/>
      <c r="I475" s="236"/>
      <c r="J475" s="236"/>
      <c r="N475" s="236"/>
      <c r="O475" s="236"/>
      <c r="P475" s="236"/>
      <c r="Q475" s="236"/>
      <c r="R475" s="236"/>
      <c r="S475" s="236"/>
      <c r="T475" s="236"/>
      <c r="U475" s="236"/>
      <c r="V475" s="236"/>
      <c r="W475" s="236"/>
      <c r="X475" s="236"/>
      <c r="Y475" s="236"/>
      <c r="Z475" s="236"/>
      <c r="AA475" s="236"/>
      <c r="AB475" s="236"/>
      <c r="AC475" s="236"/>
      <c r="AD475" s="236"/>
      <c r="AE475" s="236"/>
      <c r="AF475" s="236"/>
      <c r="AG475" s="236"/>
      <c r="AH475" s="236"/>
      <c r="AI475" s="236"/>
      <c r="AJ475" s="236"/>
      <c r="AK475" s="236"/>
      <c r="AL475" s="236"/>
      <c r="AM475" s="236"/>
      <c r="AN475" s="236"/>
      <c r="AO475" s="236"/>
      <c r="AP475" s="236"/>
      <c r="AQ475" s="236"/>
      <c r="AR475" s="236"/>
      <c r="AS475" s="236"/>
      <c r="AT475" s="236"/>
      <c r="AU475" s="236"/>
      <c r="AV475" s="236"/>
      <c r="AW475" s="236"/>
      <c r="AX475" s="236"/>
      <c r="AY475" s="236"/>
      <c r="AZ475" s="236"/>
      <c r="BA475" s="236"/>
      <c r="BB475" s="236"/>
      <c r="BC475" s="236"/>
      <c r="BD475" s="236"/>
      <c r="BE475" s="236"/>
      <c r="BF475" s="236"/>
      <c r="BG475" s="236"/>
      <c r="BH475" s="236"/>
    </row>
    <row r="476" spans="1:60" ht="13">
      <c r="A476" s="27"/>
      <c r="B476" s="27"/>
      <c r="C476" s="312"/>
      <c r="D476" s="231"/>
      <c r="E476" s="27"/>
      <c r="F476" s="27"/>
      <c r="G476" s="231"/>
      <c r="H476" s="27"/>
      <c r="I476" s="27"/>
      <c r="J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</row>
    <row r="477" spans="1:60" ht="13">
      <c r="A477" s="236"/>
      <c r="B477" s="236"/>
      <c r="C477" s="311"/>
      <c r="D477" s="237"/>
      <c r="E477" s="236"/>
      <c r="F477" s="236"/>
      <c r="G477" s="237"/>
      <c r="H477" s="236"/>
      <c r="I477" s="236"/>
      <c r="J477" s="236"/>
      <c r="N477" s="236"/>
      <c r="O477" s="236"/>
      <c r="P477" s="236"/>
      <c r="Q477" s="236"/>
      <c r="R477" s="236"/>
      <c r="S477" s="236"/>
      <c r="T477" s="236"/>
      <c r="U477" s="236"/>
      <c r="V477" s="236"/>
      <c r="W477" s="236"/>
      <c r="X477" s="236"/>
      <c r="Y477" s="236"/>
      <c r="Z477" s="236"/>
      <c r="AA477" s="236"/>
      <c r="AB477" s="236"/>
      <c r="AC477" s="236"/>
      <c r="AD477" s="236"/>
      <c r="AE477" s="236"/>
      <c r="AF477" s="236"/>
      <c r="AG477" s="236"/>
      <c r="AH477" s="236"/>
      <c r="AI477" s="236"/>
      <c r="AJ477" s="236"/>
      <c r="AK477" s="236"/>
      <c r="AL477" s="236"/>
      <c r="AM477" s="236"/>
      <c r="AN477" s="236"/>
      <c r="AO477" s="236"/>
      <c r="AP477" s="236"/>
      <c r="AQ477" s="236"/>
      <c r="AR477" s="236"/>
      <c r="AS477" s="236"/>
      <c r="AT477" s="236"/>
      <c r="AU477" s="236"/>
      <c r="AV477" s="236"/>
      <c r="AW477" s="236"/>
      <c r="AX477" s="236"/>
      <c r="AY477" s="236"/>
      <c r="AZ477" s="236"/>
      <c r="BA477" s="236"/>
      <c r="BB477" s="236"/>
      <c r="BC477" s="236"/>
      <c r="BD477" s="236"/>
      <c r="BE477" s="236"/>
      <c r="BF477" s="236"/>
      <c r="BG477" s="236"/>
      <c r="BH477" s="236"/>
    </row>
    <row r="478" spans="1:60" ht="13">
      <c r="A478" s="27"/>
      <c r="B478" s="27"/>
      <c r="C478" s="312"/>
      <c r="D478" s="231"/>
      <c r="E478" s="27"/>
      <c r="F478" s="27"/>
      <c r="G478" s="231"/>
      <c r="H478" s="27"/>
      <c r="I478" s="27"/>
      <c r="J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</row>
    <row r="479" spans="1:60" ht="13">
      <c r="A479" s="236"/>
      <c r="B479" s="236"/>
      <c r="C479" s="311"/>
      <c r="D479" s="237"/>
      <c r="E479" s="236"/>
      <c r="F479" s="236"/>
      <c r="G479" s="237"/>
      <c r="H479" s="236"/>
      <c r="I479" s="236"/>
      <c r="J479" s="236"/>
      <c r="N479" s="236"/>
      <c r="O479" s="236"/>
      <c r="P479" s="236"/>
      <c r="Q479" s="236"/>
      <c r="R479" s="236"/>
      <c r="S479" s="236"/>
      <c r="T479" s="236"/>
      <c r="U479" s="236"/>
      <c r="V479" s="236"/>
      <c r="W479" s="236"/>
      <c r="X479" s="236"/>
      <c r="Y479" s="236"/>
      <c r="Z479" s="236"/>
      <c r="AA479" s="236"/>
      <c r="AB479" s="236"/>
      <c r="AC479" s="236"/>
      <c r="AD479" s="236"/>
      <c r="AE479" s="236"/>
      <c r="AF479" s="236"/>
      <c r="AG479" s="236"/>
      <c r="AH479" s="236"/>
      <c r="AI479" s="236"/>
      <c r="AJ479" s="236"/>
      <c r="AK479" s="236"/>
      <c r="AL479" s="236"/>
      <c r="AM479" s="236"/>
      <c r="AN479" s="236"/>
      <c r="AO479" s="236"/>
      <c r="AP479" s="236"/>
      <c r="AQ479" s="236"/>
      <c r="AR479" s="236"/>
      <c r="AS479" s="236"/>
      <c r="AT479" s="236"/>
      <c r="AU479" s="236"/>
      <c r="AV479" s="236"/>
      <c r="AW479" s="236"/>
      <c r="AX479" s="236"/>
      <c r="AY479" s="236"/>
      <c r="AZ479" s="236"/>
      <c r="BA479" s="236"/>
      <c r="BB479" s="236"/>
      <c r="BC479" s="236"/>
      <c r="BD479" s="236"/>
      <c r="BE479" s="236"/>
      <c r="BF479" s="236"/>
      <c r="BG479" s="236"/>
      <c r="BH479" s="236"/>
    </row>
    <row r="480" spans="1:60" ht="13">
      <c r="A480" s="27"/>
      <c r="B480" s="27"/>
      <c r="C480" s="312"/>
      <c r="D480" s="231"/>
      <c r="E480" s="27"/>
      <c r="F480" s="27"/>
      <c r="G480" s="231"/>
      <c r="H480" s="27"/>
      <c r="I480" s="27"/>
      <c r="J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</row>
    <row r="481" spans="1:60" ht="13">
      <c r="A481" s="236"/>
      <c r="B481" s="236"/>
      <c r="C481" s="311"/>
      <c r="D481" s="237"/>
      <c r="E481" s="236"/>
      <c r="F481" s="236"/>
      <c r="G481" s="237"/>
      <c r="H481" s="236"/>
      <c r="I481" s="236"/>
      <c r="J481" s="236"/>
      <c r="N481" s="236"/>
      <c r="O481" s="236"/>
      <c r="P481" s="236"/>
      <c r="Q481" s="236"/>
      <c r="R481" s="236"/>
      <c r="S481" s="236"/>
      <c r="T481" s="236"/>
      <c r="U481" s="236"/>
      <c r="V481" s="236"/>
      <c r="W481" s="236"/>
      <c r="X481" s="236"/>
      <c r="Y481" s="236"/>
      <c r="Z481" s="236"/>
      <c r="AA481" s="236"/>
      <c r="AB481" s="236"/>
      <c r="AC481" s="236"/>
      <c r="AD481" s="236"/>
      <c r="AE481" s="236"/>
      <c r="AF481" s="236"/>
      <c r="AG481" s="236"/>
      <c r="AH481" s="236"/>
      <c r="AI481" s="236"/>
      <c r="AJ481" s="236"/>
      <c r="AK481" s="236"/>
      <c r="AL481" s="236"/>
      <c r="AM481" s="236"/>
      <c r="AN481" s="236"/>
      <c r="AO481" s="236"/>
      <c r="AP481" s="236"/>
      <c r="AQ481" s="236"/>
      <c r="AR481" s="236"/>
      <c r="AS481" s="236"/>
      <c r="AT481" s="236"/>
      <c r="AU481" s="236"/>
      <c r="AV481" s="236"/>
      <c r="AW481" s="236"/>
      <c r="AX481" s="236"/>
      <c r="AY481" s="236"/>
      <c r="AZ481" s="236"/>
      <c r="BA481" s="236"/>
      <c r="BB481" s="236"/>
      <c r="BC481" s="236"/>
      <c r="BD481" s="236"/>
      <c r="BE481" s="236"/>
      <c r="BF481" s="236"/>
      <c r="BG481" s="236"/>
      <c r="BH481" s="236"/>
    </row>
    <row r="482" spans="1:60" ht="13">
      <c r="A482" s="27"/>
      <c r="B482" s="27"/>
      <c r="C482" s="312"/>
      <c r="D482" s="231"/>
      <c r="E482" s="27"/>
      <c r="F482" s="27"/>
      <c r="G482" s="231"/>
      <c r="H482" s="27"/>
      <c r="I482" s="27"/>
      <c r="J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</row>
    <row r="483" spans="1:60" ht="13">
      <c r="A483" s="236"/>
      <c r="B483" s="236"/>
      <c r="C483" s="311"/>
      <c r="D483" s="237"/>
      <c r="E483" s="236"/>
      <c r="F483" s="236"/>
      <c r="G483" s="237"/>
      <c r="H483" s="236"/>
      <c r="I483" s="236"/>
      <c r="J483" s="236"/>
      <c r="N483" s="236"/>
      <c r="O483" s="236"/>
      <c r="P483" s="236"/>
      <c r="Q483" s="236"/>
      <c r="R483" s="236"/>
      <c r="S483" s="236"/>
      <c r="T483" s="236"/>
      <c r="U483" s="236"/>
      <c r="V483" s="236"/>
      <c r="W483" s="236"/>
      <c r="X483" s="236"/>
      <c r="Y483" s="236"/>
      <c r="Z483" s="236"/>
      <c r="AA483" s="236"/>
      <c r="AB483" s="236"/>
      <c r="AC483" s="236"/>
      <c r="AD483" s="236"/>
      <c r="AE483" s="236"/>
      <c r="AF483" s="236"/>
      <c r="AG483" s="236"/>
      <c r="AH483" s="236"/>
      <c r="AI483" s="236"/>
      <c r="AJ483" s="236"/>
      <c r="AK483" s="236"/>
      <c r="AL483" s="236"/>
      <c r="AM483" s="236"/>
      <c r="AN483" s="236"/>
      <c r="AO483" s="236"/>
      <c r="AP483" s="236"/>
      <c r="AQ483" s="236"/>
      <c r="AR483" s="236"/>
      <c r="AS483" s="236"/>
      <c r="AT483" s="236"/>
      <c r="AU483" s="236"/>
      <c r="AV483" s="236"/>
      <c r="AW483" s="236"/>
      <c r="AX483" s="236"/>
      <c r="AY483" s="236"/>
      <c r="AZ483" s="236"/>
      <c r="BA483" s="236"/>
      <c r="BB483" s="236"/>
      <c r="BC483" s="236"/>
      <c r="BD483" s="236"/>
      <c r="BE483" s="236"/>
      <c r="BF483" s="236"/>
      <c r="BG483" s="236"/>
      <c r="BH483" s="236"/>
    </row>
    <row r="484" spans="1:60" ht="13">
      <c r="A484" s="27"/>
      <c r="B484" s="27"/>
      <c r="C484" s="312"/>
      <c r="D484" s="231"/>
      <c r="E484" s="27"/>
      <c r="F484" s="27"/>
      <c r="G484" s="231"/>
      <c r="H484" s="27"/>
      <c r="I484" s="27"/>
      <c r="J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</row>
    <row r="485" spans="1:60" ht="13">
      <c r="A485" s="236"/>
      <c r="B485" s="236"/>
      <c r="C485" s="311"/>
      <c r="D485" s="237"/>
      <c r="E485" s="236"/>
      <c r="F485" s="236"/>
      <c r="G485" s="237"/>
      <c r="H485" s="236"/>
      <c r="I485" s="236"/>
      <c r="J485" s="236"/>
      <c r="N485" s="236"/>
      <c r="O485" s="236"/>
      <c r="P485" s="236"/>
      <c r="Q485" s="236"/>
      <c r="R485" s="236"/>
      <c r="S485" s="236"/>
      <c r="T485" s="236"/>
      <c r="U485" s="236"/>
      <c r="V485" s="236"/>
      <c r="W485" s="236"/>
      <c r="X485" s="236"/>
      <c r="Y485" s="236"/>
      <c r="Z485" s="236"/>
      <c r="AA485" s="236"/>
      <c r="AB485" s="236"/>
      <c r="AC485" s="236"/>
      <c r="AD485" s="236"/>
      <c r="AE485" s="236"/>
      <c r="AF485" s="236"/>
      <c r="AG485" s="236"/>
      <c r="AH485" s="236"/>
      <c r="AI485" s="236"/>
      <c r="AJ485" s="236"/>
      <c r="AK485" s="236"/>
      <c r="AL485" s="236"/>
      <c r="AM485" s="236"/>
      <c r="AN485" s="236"/>
      <c r="AO485" s="236"/>
      <c r="AP485" s="236"/>
      <c r="AQ485" s="236"/>
      <c r="AR485" s="236"/>
      <c r="AS485" s="236"/>
      <c r="AT485" s="236"/>
      <c r="AU485" s="236"/>
      <c r="AV485" s="236"/>
      <c r="AW485" s="236"/>
      <c r="AX485" s="236"/>
      <c r="AY485" s="236"/>
      <c r="AZ485" s="236"/>
      <c r="BA485" s="236"/>
      <c r="BB485" s="236"/>
      <c r="BC485" s="236"/>
      <c r="BD485" s="236"/>
      <c r="BE485" s="236"/>
      <c r="BF485" s="236"/>
      <c r="BG485" s="236"/>
      <c r="BH485" s="236"/>
    </row>
    <row r="486" spans="1:60" ht="13">
      <c r="A486" s="27"/>
      <c r="B486" s="27"/>
      <c r="C486" s="312"/>
      <c r="D486" s="231"/>
      <c r="E486" s="27"/>
      <c r="F486" s="27"/>
      <c r="G486" s="231"/>
      <c r="H486" s="27"/>
      <c r="I486" s="27"/>
      <c r="J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</row>
    <row r="487" spans="1:60" ht="13">
      <c r="A487" s="236"/>
      <c r="B487" s="236"/>
      <c r="C487" s="311"/>
      <c r="D487" s="237"/>
      <c r="E487" s="236"/>
      <c r="F487" s="236"/>
      <c r="G487" s="237"/>
      <c r="H487" s="236"/>
      <c r="I487" s="236"/>
      <c r="J487" s="236"/>
      <c r="N487" s="236"/>
      <c r="O487" s="236"/>
      <c r="P487" s="236"/>
      <c r="Q487" s="236"/>
      <c r="R487" s="236"/>
      <c r="S487" s="236"/>
      <c r="T487" s="236"/>
      <c r="U487" s="236"/>
      <c r="V487" s="236"/>
      <c r="W487" s="236"/>
      <c r="X487" s="236"/>
      <c r="Y487" s="236"/>
      <c r="Z487" s="236"/>
      <c r="AA487" s="236"/>
      <c r="AB487" s="236"/>
      <c r="AC487" s="236"/>
      <c r="AD487" s="236"/>
      <c r="AE487" s="236"/>
      <c r="AF487" s="236"/>
      <c r="AG487" s="236"/>
      <c r="AH487" s="236"/>
      <c r="AI487" s="236"/>
      <c r="AJ487" s="236"/>
      <c r="AK487" s="236"/>
      <c r="AL487" s="236"/>
      <c r="AM487" s="236"/>
      <c r="AN487" s="236"/>
      <c r="AO487" s="236"/>
      <c r="AP487" s="236"/>
      <c r="AQ487" s="236"/>
      <c r="AR487" s="236"/>
      <c r="AS487" s="236"/>
      <c r="AT487" s="236"/>
      <c r="AU487" s="236"/>
      <c r="AV487" s="236"/>
      <c r="AW487" s="236"/>
      <c r="AX487" s="236"/>
      <c r="AY487" s="236"/>
      <c r="AZ487" s="236"/>
      <c r="BA487" s="236"/>
      <c r="BB487" s="236"/>
      <c r="BC487" s="236"/>
      <c r="BD487" s="236"/>
      <c r="BE487" s="236"/>
      <c r="BF487" s="236"/>
      <c r="BG487" s="236"/>
      <c r="BH487" s="236"/>
    </row>
    <row r="488" spans="1:60" ht="13">
      <c r="A488" s="27"/>
      <c r="B488" s="27"/>
      <c r="C488" s="312"/>
      <c r="D488" s="231"/>
      <c r="E488" s="27"/>
      <c r="F488" s="27"/>
      <c r="G488" s="231"/>
      <c r="H488" s="27"/>
      <c r="I488" s="27"/>
      <c r="J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</row>
    <row r="489" spans="1:60" ht="13">
      <c r="A489" s="236"/>
      <c r="B489" s="236"/>
      <c r="C489" s="311"/>
      <c r="D489" s="237"/>
      <c r="E489" s="236"/>
      <c r="F489" s="236"/>
      <c r="G489" s="237"/>
      <c r="H489" s="236"/>
      <c r="I489" s="236"/>
      <c r="J489" s="236"/>
      <c r="N489" s="236"/>
      <c r="O489" s="236"/>
      <c r="P489" s="236"/>
      <c r="Q489" s="236"/>
      <c r="R489" s="236"/>
      <c r="S489" s="236"/>
      <c r="T489" s="236"/>
      <c r="U489" s="236"/>
      <c r="V489" s="236"/>
      <c r="W489" s="236"/>
      <c r="X489" s="236"/>
      <c r="Y489" s="236"/>
      <c r="Z489" s="236"/>
      <c r="AA489" s="236"/>
      <c r="AB489" s="236"/>
      <c r="AC489" s="236"/>
      <c r="AD489" s="236"/>
      <c r="AE489" s="236"/>
      <c r="AF489" s="236"/>
      <c r="AG489" s="236"/>
      <c r="AH489" s="236"/>
      <c r="AI489" s="236"/>
      <c r="AJ489" s="236"/>
      <c r="AK489" s="236"/>
      <c r="AL489" s="236"/>
      <c r="AM489" s="236"/>
      <c r="AN489" s="236"/>
      <c r="AO489" s="236"/>
      <c r="AP489" s="236"/>
      <c r="AQ489" s="236"/>
      <c r="AR489" s="236"/>
      <c r="AS489" s="236"/>
      <c r="AT489" s="236"/>
      <c r="AU489" s="236"/>
      <c r="AV489" s="236"/>
      <c r="AW489" s="236"/>
      <c r="AX489" s="236"/>
      <c r="AY489" s="236"/>
      <c r="AZ489" s="236"/>
      <c r="BA489" s="236"/>
      <c r="BB489" s="236"/>
      <c r="BC489" s="236"/>
      <c r="BD489" s="236"/>
      <c r="BE489" s="236"/>
      <c r="BF489" s="236"/>
      <c r="BG489" s="236"/>
      <c r="BH489" s="236"/>
    </row>
    <row r="490" spans="1:60" ht="13">
      <c r="A490" s="27"/>
      <c r="B490" s="27"/>
      <c r="C490" s="312"/>
      <c r="D490" s="231"/>
      <c r="E490" s="27"/>
      <c r="F490" s="27"/>
      <c r="G490" s="231"/>
      <c r="H490" s="27"/>
      <c r="I490" s="27"/>
      <c r="J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</row>
    <row r="491" spans="1:60" ht="13">
      <c r="A491" s="236"/>
      <c r="B491" s="236"/>
      <c r="C491" s="311"/>
      <c r="D491" s="237"/>
      <c r="E491" s="236"/>
      <c r="F491" s="236"/>
      <c r="G491" s="237"/>
      <c r="H491" s="236"/>
      <c r="I491" s="236"/>
      <c r="J491" s="236"/>
      <c r="N491" s="236"/>
      <c r="O491" s="236"/>
      <c r="P491" s="236"/>
      <c r="Q491" s="236"/>
      <c r="R491" s="236"/>
      <c r="S491" s="236"/>
      <c r="T491" s="236"/>
      <c r="U491" s="236"/>
      <c r="V491" s="236"/>
      <c r="W491" s="236"/>
      <c r="X491" s="236"/>
      <c r="Y491" s="236"/>
      <c r="Z491" s="236"/>
      <c r="AA491" s="236"/>
      <c r="AB491" s="236"/>
      <c r="AC491" s="236"/>
      <c r="AD491" s="236"/>
      <c r="AE491" s="236"/>
      <c r="AF491" s="236"/>
      <c r="AG491" s="236"/>
      <c r="AH491" s="236"/>
      <c r="AI491" s="236"/>
      <c r="AJ491" s="236"/>
      <c r="AK491" s="236"/>
      <c r="AL491" s="236"/>
      <c r="AM491" s="236"/>
      <c r="AN491" s="236"/>
      <c r="AO491" s="236"/>
      <c r="AP491" s="236"/>
      <c r="AQ491" s="236"/>
      <c r="AR491" s="236"/>
      <c r="AS491" s="236"/>
      <c r="AT491" s="236"/>
      <c r="AU491" s="236"/>
      <c r="AV491" s="236"/>
      <c r="AW491" s="236"/>
      <c r="AX491" s="236"/>
      <c r="AY491" s="236"/>
      <c r="AZ491" s="236"/>
      <c r="BA491" s="236"/>
      <c r="BB491" s="236"/>
      <c r="BC491" s="236"/>
      <c r="BD491" s="236"/>
      <c r="BE491" s="236"/>
      <c r="BF491" s="236"/>
      <c r="BG491" s="236"/>
      <c r="BH491" s="236"/>
    </row>
    <row r="492" spans="1:60" ht="13">
      <c r="A492" s="27"/>
      <c r="B492" s="27"/>
      <c r="C492" s="312"/>
      <c r="D492" s="231"/>
      <c r="E492" s="27"/>
      <c r="F492" s="27"/>
      <c r="G492" s="231"/>
      <c r="H492" s="27"/>
      <c r="I492" s="27"/>
      <c r="J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</row>
    <row r="493" spans="1:60" ht="13">
      <c r="A493" s="236"/>
      <c r="B493" s="236"/>
      <c r="C493" s="311"/>
      <c r="D493" s="237"/>
      <c r="E493" s="236"/>
      <c r="F493" s="236"/>
      <c r="G493" s="237"/>
      <c r="H493" s="236"/>
      <c r="I493" s="236"/>
      <c r="J493" s="236"/>
      <c r="N493" s="236"/>
      <c r="O493" s="236"/>
      <c r="P493" s="236"/>
      <c r="Q493" s="236"/>
      <c r="R493" s="236"/>
      <c r="S493" s="236"/>
      <c r="T493" s="236"/>
      <c r="U493" s="236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236"/>
      <c r="AH493" s="236"/>
      <c r="AI493" s="236"/>
      <c r="AJ493" s="236"/>
      <c r="AK493" s="236"/>
      <c r="AL493" s="236"/>
      <c r="AM493" s="236"/>
      <c r="AN493" s="236"/>
      <c r="AO493" s="236"/>
      <c r="AP493" s="236"/>
      <c r="AQ493" s="236"/>
      <c r="AR493" s="236"/>
      <c r="AS493" s="236"/>
      <c r="AT493" s="236"/>
      <c r="AU493" s="236"/>
      <c r="AV493" s="236"/>
      <c r="AW493" s="236"/>
      <c r="AX493" s="236"/>
      <c r="AY493" s="236"/>
      <c r="AZ493" s="236"/>
      <c r="BA493" s="236"/>
      <c r="BB493" s="236"/>
      <c r="BC493" s="236"/>
      <c r="BD493" s="236"/>
      <c r="BE493" s="236"/>
      <c r="BF493" s="236"/>
      <c r="BG493" s="236"/>
      <c r="BH493" s="236"/>
    </row>
    <row r="494" spans="1:60" ht="13">
      <c r="A494" s="27"/>
      <c r="B494" s="27"/>
      <c r="C494" s="312"/>
      <c r="D494" s="231"/>
      <c r="E494" s="27"/>
      <c r="F494" s="27"/>
      <c r="G494" s="231"/>
      <c r="H494" s="27"/>
      <c r="I494" s="27"/>
      <c r="J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</row>
    <row r="495" spans="1:60" ht="13">
      <c r="A495" s="236"/>
      <c r="B495" s="236"/>
      <c r="C495" s="311"/>
      <c r="D495" s="237"/>
      <c r="E495" s="236"/>
      <c r="F495" s="236"/>
      <c r="G495" s="237"/>
      <c r="H495" s="236"/>
      <c r="I495" s="236"/>
      <c r="J495" s="236"/>
      <c r="N495" s="236"/>
      <c r="O495" s="236"/>
      <c r="P495" s="236"/>
      <c r="Q495" s="236"/>
      <c r="R495" s="236"/>
      <c r="S495" s="236"/>
      <c r="T495" s="236"/>
      <c r="U495" s="236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236"/>
      <c r="AH495" s="236"/>
      <c r="AI495" s="236"/>
      <c r="AJ495" s="236"/>
      <c r="AK495" s="236"/>
      <c r="AL495" s="236"/>
      <c r="AM495" s="236"/>
      <c r="AN495" s="236"/>
      <c r="AO495" s="236"/>
      <c r="AP495" s="236"/>
      <c r="AQ495" s="236"/>
      <c r="AR495" s="236"/>
      <c r="AS495" s="236"/>
      <c r="AT495" s="236"/>
      <c r="AU495" s="236"/>
      <c r="AV495" s="236"/>
      <c r="AW495" s="236"/>
      <c r="AX495" s="236"/>
      <c r="AY495" s="236"/>
      <c r="AZ495" s="236"/>
      <c r="BA495" s="236"/>
      <c r="BB495" s="236"/>
      <c r="BC495" s="236"/>
      <c r="BD495" s="236"/>
      <c r="BE495" s="236"/>
      <c r="BF495" s="236"/>
      <c r="BG495" s="236"/>
      <c r="BH495" s="236"/>
    </row>
    <row r="496" spans="1:60" ht="13">
      <c r="A496" s="27"/>
      <c r="B496" s="27"/>
      <c r="C496" s="312"/>
      <c r="D496" s="231"/>
      <c r="E496" s="27"/>
      <c r="F496" s="27"/>
      <c r="G496" s="231"/>
      <c r="H496" s="27"/>
      <c r="I496" s="27"/>
      <c r="J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</row>
    <row r="497" spans="1:60" ht="13">
      <c r="A497" s="236"/>
      <c r="B497" s="236"/>
      <c r="C497" s="311"/>
      <c r="D497" s="237"/>
      <c r="E497" s="236"/>
      <c r="F497" s="236"/>
      <c r="G497" s="237"/>
      <c r="H497" s="236"/>
      <c r="I497" s="236"/>
      <c r="J497" s="236"/>
      <c r="N497" s="236"/>
      <c r="O497" s="236"/>
      <c r="P497" s="236"/>
      <c r="Q497" s="236"/>
      <c r="R497" s="236"/>
      <c r="S497" s="236"/>
      <c r="T497" s="236"/>
      <c r="U497" s="236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236"/>
      <c r="AH497" s="236"/>
      <c r="AI497" s="236"/>
      <c r="AJ497" s="236"/>
      <c r="AK497" s="236"/>
      <c r="AL497" s="236"/>
      <c r="AM497" s="236"/>
      <c r="AN497" s="236"/>
      <c r="AO497" s="236"/>
      <c r="AP497" s="236"/>
      <c r="AQ497" s="236"/>
      <c r="AR497" s="236"/>
      <c r="AS497" s="236"/>
      <c r="AT497" s="236"/>
      <c r="AU497" s="236"/>
      <c r="AV497" s="236"/>
      <c r="AW497" s="236"/>
      <c r="AX497" s="236"/>
      <c r="AY497" s="236"/>
      <c r="AZ497" s="236"/>
      <c r="BA497" s="236"/>
      <c r="BB497" s="236"/>
      <c r="BC497" s="236"/>
      <c r="BD497" s="236"/>
      <c r="BE497" s="236"/>
      <c r="BF497" s="236"/>
      <c r="BG497" s="236"/>
      <c r="BH497" s="236"/>
    </row>
    <row r="498" spans="1:60" ht="13">
      <c r="A498" s="27"/>
      <c r="B498" s="27"/>
      <c r="C498" s="312"/>
      <c r="D498" s="231"/>
      <c r="E498" s="27"/>
      <c r="F498" s="27"/>
      <c r="G498" s="231"/>
      <c r="H498" s="27"/>
      <c r="I498" s="27"/>
      <c r="J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</row>
    <row r="499" spans="1:60" ht="13">
      <c r="A499" s="236"/>
      <c r="B499" s="236"/>
      <c r="C499" s="311"/>
      <c r="D499" s="237"/>
      <c r="E499" s="236"/>
      <c r="F499" s="236"/>
      <c r="G499" s="237"/>
      <c r="H499" s="236"/>
      <c r="I499" s="236"/>
      <c r="J499" s="236"/>
      <c r="N499" s="236"/>
      <c r="O499" s="236"/>
      <c r="P499" s="236"/>
      <c r="Q499" s="236"/>
      <c r="R499" s="236"/>
      <c r="S499" s="236"/>
      <c r="T499" s="236"/>
      <c r="U499" s="236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236"/>
      <c r="AH499" s="236"/>
      <c r="AI499" s="236"/>
      <c r="AJ499" s="236"/>
      <c r="AK499" s="236"/>
      <c r="AL499" s="236"/>
      <c r="AM499" s="236"/>
      <c r="AN499" s="236"/>
      <c r="AO499" s="236"/>
      <c r="AP499" s="236"/>
      <c r="AQ499" s="236"/>
      <c r="AR499" s="236"/>
      <c r="AS499" s="236"/>
      <c r="AT499" s="236"/>
      <c r="AU499" s="236"/>
      <c r="AV499" s="236"/>
      <c r="AW499" s="236"/>
      <c r="AX499" s="236"/>
      <c r="AY499" s="236"/>
      <c r="AZ499" s="236"/>
      <c r="BA499" s="236"/>
      <c r="BB499" s="236"/>
      <c r="BC499" s="236"/>
      <c r="BD499" s="236"/>
      <c r="BE499" s="236"/>
      <c r="BF499" s="236"/>
      <c r="BG499" s="236"/>
      <c r="BH499" s="236"/>
    </row>
    <row r="500" spans="1:60" ht="13">
      <c r="A500" s="27"/>
      <c r="B500" s="27"/>
      <c r="C500" s="312"/>
      <c r="D500" s="231"/>
      <c r="E500" s="27"/>
      <c r="F500" s="27"/>
      <c r="G500" s="231"/>
      <c r="H500" s="27"/>
      <c r="I500" s="27"/>
      <c r="J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</row>
    <row r="501" spans="1:60" ht="13">
      <c r="A501" s="236"/>
      <c r="B501" s="236"/>
      <c r="C501" s="311"/>
      <c r="D501" s="237"/>
      <c r="E501" s="236"/>
      <c r="F501" s="236"/>
      <c r="G501" s="237"/>
      <c r="H501" s="236"/>
      <c r="I501" s="236"/>
      <c r="J501" s="236"/>
      <c r="N501" s="236"/>
      <c r="O501" s="236"/>
      <c r="P501" s="236"/>
      <c r="Q501" s="236"/>
      <c r="R501" s="236"/>
      <c r="S501" s="236"/>
      <c r="T501" s="236"/>
      <c r="U501" s="236"/>
      <c r="V501" s="236"/>
      <c r="W501" s="236"/>
      <c r="X501" s="236"/>
      <c r="Y501" s="236"/>
      <c r="Z501" s="236"/>
      <c r="AA501" s="236"/>
      <c r="AB501" s="236"/>
      <c r="AC501" s="236"/>
      <c r="AD501" s="236"/>
      <c r="AE501" s="236"/>
      <c r="AF501" s="236"/>
      <c r="AG501" s="236"/>
      <c r="AH501" s="236"/>
      <c r="AI501" s="236"/>
      <c r="AJ501" s="236"/>
      <c r="AK501" s="236"/>
      <c r="AL501" s="236"/>
      <c r="AM501" s="236"/>
      <c r="AN501" s="236"/>
      <c r="AO501" s="236"/>
      <c r="AP501" s="236"/>
      <c r="AQ501" s="236"/>
      <c r="AR501" s="236"/>
      <c r="AS501" s="236"/>
      <c r="AT501" s="236"/>
      <c r="AU501" s="236"/>
      <c r="AV501" s="236"/>
      <c r="AW501" s="236"/>
      <c r="AX501" s="236"/>
      <c r="AY501" s="236"/>
      <c r="AZ501" s="236"/>
      <c r="BA501" s="236"/>
      <c r="BB501" s="236"/>
      <c r="BC501" s="236"/>
      <c r="BD501" s="236"/>
      <c r="BE501" s="236"/>
      <c r="BF501" s="236"/>
      <c r="BG501" s="236"/>
      <c r="BH501" s="236"/>
    </row>
    <row r="502" spans="1:60" ht="13">
      <c r="A502" s="27"/>
      <c r="B502" s="27"/>
      <c r="C502" s="312"/>
      <c r="D502" s="231"/>
      <c r="E502" s="27"/>
      <c r="F502" s="27"/>
      <c r="G502" s="231"/>
      <c r="H502" s="27"/>
      <c r="I502" s="27"/>
      <c r="J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</row>
    <row r="503" spans="1:60" ht="13">
      <c r="A503" s="236"/>
      <c r="B503" s="236"/>
      <c r="C503" s="311"/>
      <c r="D503" s="237"/>
      <c r="E503" s="236"/>
      <c r="F503" s="236"/>
      <c r="G503" s="237"/>
      <c r="H503" s="236"/>
      <c r="I503" s="236"/>
      <c r="J503" s="236"/>
      <c r="N503" s="236"/>
      <c r="O503" s="236"/>
      <c r="P503" s="236"/>
      <c r="Q503" s="236"/>
      <c r="R503" s="236"/>
      <c r="S503" s="236"/>
      <c r="T503" s="236"/>
      <c r="U503" s="236"/>
      <c r="V503" s="236"/>
      <c r="W503" s="236"/>
      <c r="X503" s="236"/>
      <c r="Y503" s="236"/>
      <c r="Z503" s="236"/>
      <c r="AA503" s="236"/>
      <c r="AB503" s="236"/>
      <c r="AC503" s="236"/>
      <c r="AD503" s="236"/>
      <c r="AE503" s="236"/>
      <c r="AF503" s="236"/>
      <c r="AG503" s="236"/>
      <c r="AH503" s="236"/>
      <c r="AI503" s="236"/>
      <c r="AJ503" s="236"/>
      <c r="AK503" s="236"/>
      <c r="AL503" s="236"/>
      <c r="AM503" s="236"/>
      <c r="AN503" s="236"/>
      <c r="AO503" s="236"/>
      <c r="AP503" s="236"/>
      <c r="AQ503" s="236"/>
      <c r="AR503" s="236"/>
      <c r="AS503" s="236"/>
      <c r="AT503" s="236"/>
      <c r="AU503" s="236"/>
      <c r="AV503" s="236"/>
      <c r="AW503" s="236"/>
      <c r="AX503" s="236"/>
      <c r="AY503" s="236"/>
      <c r="AZ503" s="236"/>
      <c r="BA503" s="236"/>
      <c r="BB503" s="236"/>
      <c r="BC503" s="236"/>
      <c r="BD503" s="236"/>
      <c r="BE503" s="236"/>
      <c r="BF503" s="236"/>
      <c r="BG503" s="236"/>
      <c r="BH503" s="236"/>
    </row>
    <row r="504" spans="1:60" ht="13">
      <c r="A504" s="27"/>
      <c r="B504" s="27"/>
      <c r="C504" s="312"/>
      <c r="D504" s="231"/>
      <c r="E504" s="27"/>
      <c r="F504" s="27"/>
      <c r="G504" s="231"/>
      <c r="H504" s="27"/>
      <c r="I504" s="27"/>
      <c r="J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</row>
    <row r="505" spans="1:60" ht="13">
      <c r="A505" s="236"/>
      <c r="B505" s="236"/>
      <c r="C505" s="311"/>
      <c r="D505" s="237"/>
      <c r="E505" s="236"/>
      <c r="F505" s="236"/>
      <c r="G505" s="237"/>
      <c r="H505" s="236"/>
      <c r="I505" s="236"/>
      <c r="J505" s="236"/>
      <c r="N505" s="236"/>
      <c r="O505" s="236"/>
      <c r="P505" s="236"/>
      <c r="Q505" s="236"/>
      <c r="R505" s="236"/>
      <c r="S505" s="236"/>
      <c r="T505" s="236"/>
      <c r="U505" s="236"/>
      <c r="V505" s="236"/>
      <c r="W505" s="236"/>
      <c r="X505" s="236"/>
      <c r="Y505" s="236"/>
      <c r="Z505" s="236"/>
      <c r="AA505" s="236"/>
      <c r="AB505" s="236"/>
      <c r="AC505" s="236"/>
      <c r="AD505" s="236"/>
      <c r="AE505" s="236"/>
      <c r="AF505" s="236"/>
      <c r="AG505" s="236"/>
      <c r="AH505" s="236"/>
      <c r="AI505" s="236"/>
      <c r="AJ505" s="236"/>
      <c r="AK505" s="236"/>
      <c r="AL505" s="236"/>
      <c r="AM505" s="236"/>
      <c r="AN505" s="236"/>
      <c r="AO505" s="236"/>
      <c r="AP505" s="236"/>
      <c r="AQ505" s="236"/>
      <c r="AR505" s="236"/>
      <c r="AS505" s="236"/>
      <c r="AT505" s="236"/>
      <c r="AU505" s="236"/>
      <c r="AV505" s="236"/>
      <c r="AW505" s="236"/>
      <c r="AX505" s="236"/>
      <c r="AY505" s="236"/>
      <c r="AZ505" s="236"/>
      <c r="BA505" s="236"/>
      <c r="BB505" s="236"/>
      <c r="BC505" s="236"/>
      <c r="BD505" s="236"/>
      <c r="BE505" s="236"/>
      <c r="BF505" s="236"/>
      <c r="BG505" s="236"/>
      <c r="BH505" s="236"/>
    </row>
    <row r="506" spans="1:60" ht="13">
      <c r="A506" s="27"/>
      <c r="B506" s="27"/>
      <c r="C506" s="312"/>
      <c r="D506" s="231"/>
      <c r="E506" s="27"/>
      <c r="F506" s="27"/>
      <c r="G506" s="231"/>
      <c r="H506" s="27"/>
      <c r="I506" s="27"/>
      <c r="J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</row>
    <row r="507" spans="1:60" ht="13">
      <c r="A507" s="236"/>
      <c r="B507" s="236"/>
      <c r="C507" s="311"/>
      <c r="D507" s="237"/>
      <c r="E507" s="236"/>
      <c r="F507" s="236"/>
      <c r="G507" s="237"/>
      <c r="H507" s="236"/>
      <c r="I507" s="236"/>
      <c r="J507" s="236"/>
      <c r="N507" s="236"/>
      <c r="O507" s="236"/>
      <c r="P507" s="236"/>
      <c r="Q507" s="236"/>
      <c r="R507" s="236"/>
      <c r="S507" s="236"/>
      <c r="T507" s="236"/>
      <c r="U507" s="236"/>
      <c r="V507" s="236"/>
      <c r="W507" s="236"/>
      <c r="X507" s="236"/>
      <c r="Y507" s="236"/>
      <c r="Z507" s="236"/>
      <c r="AA507" s="236"/>
      <c r="AB507" s="236"/>
      <c r="AC507" s="236"/>
      <c r="AD507" s="236"/>
      <c r="AE507" s="236"/>
      <c r="AF507" s="236"/>
      <c r="AG507" s="236"/>
      <c r="AH507" s="236"/>
      <c r="AI507" s="236"/>
      <c r="AJ507" s="236"/>
      <c r="AK507" s="236"/>
      <c r="AL507" s="236"/>
      <c r="AM507" s="236"/>
      <c r="AN507" s="236"/>
      <c r="AO507" s="236"/>
      <c r="AP507" s="236"/>
      <c r="AQ507" s="236"/>
      <c r="AR507" s="236"/>
      <c r="AS507" s="236"/>
      <c r="AT507" s="236"/>
      <c r="AU507" s="236"/>
      <c r="AV507" s="236"/>
      <c r="AW507" s="236"/>
      <c r="AX507" s="236"/>
      <c r="AY507" s="236"/>
      <c r="AZ507" s="236"/>
      <c r="BA507" s="236"/>
      <c r="BB507" s="236"/>
      <c r="BC507" s="236"/>
      <c r="BD507" s="236"/>
      <c r="BE507" s="236"/>
      <c r="BF507" s="236"/>
      <c r="BG507" s="236"/>
      <c r="BH507" s="236"/>
    </row>
    <row r="508" spans="1:60" ht="13">
      <c r="A508" s="27"/>
      <c r="B508" s="27"/>
      <c r="C508" s="312"/>
      <c r="D508" s="231"/>
      <c r="E508" s="27"/>
      <c r="F508" s="27"/>
      <c r="G508" s="231"/>
      <c r="H508" s="27"/>
      <c r="I508" s="27"/>
      <c r="J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</row>
    <row r="509" spans="1:60" ht="13">
      <c r="A509" s="236"/>
      <c r="B509" s="236"/>
      <c r="C509" s="311"/>
      <c r="D509" s="237"/>
      <c r="E509" s="236"/>
      <c r="F509" s="236"/>
      <c r="G509" s="237"/>
      <c r="H509" s="236"/>
      <c r="I509" s="236"/>
      <c r="J509" s="236"/>
      <c r="N509" s="236"/>
      <c r="O509" s="236"/>
      <c r="P509" s="236"/>
      <c r="Q509" s="236"/>
      <c r="R509" s="236"/>
      <c r="S509" s="236"/>
      <c r="T509" s="236"/>
      <c r="U509" s="236"/>
      <c r="V509" s="236"/>
      <c r="W509" s="236"/>
      <c r="X509" s="236"/>
      <c r="Y509" s="236"/>
      <c r="Z509" s="236"/>
      <c r="AA509" s="236"/>
      <c r="AB509" s="236"/>
      <c r="AC509" s="236"/>
      <c r="AD509" s="236"/>
      <c r="AE509" s="236"/>
      <c r="AF509" s="236"/>
      <c r="AG509" s="236"/>
      <c r="AH509" s="236"/>
      <c r="AI509" s="236"/>
      <c r="AJ509" s="236"/>
      <c r="AK509" s="236"/>
      <c r="AL509" s="236"/>
      <c r="AM509" s="236"/>
      <c r="AN509" s="236"/>
      <c r="AO509" s="236"/>
      <c r="AP509" s="236"/>
      <c r="AQ509" s="236"/>
      <c r="AR509" s="236"/>
      <c r="AS509" s="236"/>
      <c r="AT509" s="236"/>
      <c r="AU509" s="236"/>
      <c r="AV509" s="236"/>
      <c r="AW509" s="236"/>
      <c r="AX509" s="236"/>
      <c r="AY509" s="236"/>
      <c r="AZ509" s="236"/>
      <c r="BA509" s="236"/>
      <c r="BB509" s="236"/>
      <c r="BC509" s="236"/>
      <c r="BD509" s="236"/>
      <c r="BE509" s="236"/>
      <c r="BF509" s="236"/>
      <c r="BG509" s="236"/>
      <c r="BH509" s="236"/>
    </row>
    <row r="510" spans="1:60" ht="13">
      <c r="A510" s="27"/>
      <c r="B510" s="27"/>
      <c r="C510" s="312"/>
      <c r="D510" s="231"/>
      <c r="E510" s="27"/>
      <c r="F510" s="27"/>
      <c r="G510" s="231"/>
      <c r="H510" s="27"/>
      <c r="I510" s="27"/>
      <c r="J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</row>
    <row r="511" spans="1:60" ht="13">
      <c r="A511" s="236"/>
      <c r="B511" s="236"/>
      <c r="C511" s="311"/>
      <c r="D511" s="237"/>
      <c r="E511" s="236"/>
      <c r="F511" s="236"/>
      <c r="G511" s="237"/>
      <c r="H511" s="236"/>
      <c r="I511" s="236"/>
      <c r="J511" s="236"/>
      <c r="N511" s="236"/>
      <c r="O511" s="236"/>
      <c r="P511" s="236"/>
      <c r="Q511" s="236"/>
      <c r="R511" s="236"/>
      <c r="S511" s="236"/>
      <c r="T511" s="236"/>
      <c r="U511" s="236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236"/>
      <c r="AH511" s="236"/>
      <c r="AI511" s="236"/>
      <c r="AJ511" s="236"/>
      <c r="AK511" s="236"/>
      <c r="AL511" s="236"/>
      <c r="AM511" s="236"/>
      <c r="AN511" s="236"/>
      <c r="AO511" s="236"/>
      <c r="AP511" s="236"/>
      <c r="AQ511" s="236"/>
      <c r="AR511" s="236"/>
      <c r="AS511" s="236"/>
      <c r="AT511" s="236"/>
      <c r="AU511" s="236"/>
      <c r="AV511" s="236"/>
      <c r="AW511" s="236"/>
      <c r="AX511" s="236"/>
      <c r="AY511" s="236"/>
      <c r="AZ511" s="236"/>
      <c r="BA511" s="236"/>
      <c r="BB511" s="236"/>
      <c r="BC511" s="236"/>
      <c r="BD511" s="236"/>
      <c r="BE511" s="236"/>
      <c r="BF511" s="236"/>
      <c r="BG511" s="236"/>
      <c r="BH511" s="236"/>
    </row>
    <row r="512" spans="1:60" ht="13">
      <c r="A512" s="27"/>
      <c r="B512" s="27"/>
      <c r="C512" s="312"/>
      <c r="D512" s="231"/>
      <c r="E512" s="27"/>
      <c r="F512" s="27"/>
      <c r="G512" s="231"/>
      <c r="H512" s="27"/>
      <c r="I512" s="27"/>
      <c r="J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</row>
    <row r="513" spans="1:60" ht="13">
      <c r="A513" s="236"/>
      <c r="B513" s="236"/>
      <c r="C513" s="311"/>
      <c r="D513" s="237"/>
      <c r="E513" s="236"/>
      <c r="F513" s="236"/>
      <c r="G513" s="237"/>
      <c r="H513" s="236"/>
      <c r="I513" s="236"/>
      <c r="J513" s="236"/>
      <c r="N513" s="236"/>
      <c r="O513" s="236"/>
      <c r="P513" s="236"/>
      <c r="Q513" s="236"/>
      <c r="R513" s="236"/>
      <c r="S513" s="236"/>
      <c r="T513" s="236"/>
      <c r="U513" s="236"/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236"/>
      <c r="AH513" s="236"/>
      <c r="AI513" s="236"/>
      <c r="AJ513" s="236"/>
      <c r="AK513" s="236"/>
      <c r="AL513" s="236"/>
      <c r="AM513" s="236"/>
      <c r="AN513" s="236"/>
      <c r="AO513" s="236"/>
      <c r="AP513" s="236"/>
      <c r="AQ513" s="236"/>
      <c r="AR513" s="236"/>
      <c r="AS513" s="236"/>
      <c r="AT513" s="236"/>
      <c r="AU513" s="236"/>
      <c r="AV513" s="236"/>
      <c r="AW513" s="236"/>
      <c r="AX513" s="236"/>
      <c r="AY513" s="236"/>
      <c r="AZ513" s="236"/>
      <c r="BA513" s="236"/>
      <c r="BB513" s="236"/>
      <c r="BC513" s="236"/>
      <c r="BD513" s="236"/>
      <c r="BE513" s="236"/>
      <c r="BF513" s="236"/>
      <c r="BG513" s="236"/>
      <c r="BH513" s="236"/>
    </row>
    <row r="514" spans="1:60" ht="13">
      <c r="A514" s="27"/>
      <c r="B514" s="27"/>
      <c r="C514" s="312"/>
      <c r="D514" s="231"/>
      <c r="E514" s="27"/>
      <c r="F514" s="27"/>
      <c r="G514" s="231"/>
      <c r="H514" s="27"/>
      <c r="I514" s="27"/>
      <c r="J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</row>
    <row r="515" spans="1:60" ht="13">
      <c r="A515" s="236"/>
      <c r="B515" s="236"/>
      <c r="C515" s="311"/>
      <c r="D515" s="237"/>
      <c r="E515" s="236"/>
      <c r="F515" s="236"/>
      <c r="G515" s="237"/>
      <c r="H515" s="236"/>
      <c r="I515" s="236"/>
      <c r="J515" s="236"/>
      <c r="N515" s="236"/>
      <c r="O515" s="236"/>
      <c r="P515" s="236"/>
      <c r="Q515" s="236"/>
      <c r="R515" s="236"/>
      <c r="S515" s="236"/>
      <c r="T515" s="236"/>
      <c r="U515" s="236"/>
      <c r="V515" s="236"/>
      <c r="W515" s="236"/>
      <c r="X515" s="236"/>
      <c r="Y515" s="236"/>
      <c r="Z515" s="236"/>
      <c r="AA515" s="236"/>
      <c r="AB515" s="236"/>
      <c r="AC515" s="236"/>
      <c r="AD515" s="236"/>
      <c r="AE515" s="236"/>
      <c r="AF515" s="236"/>
      <c r="AG515" s="236"/>
      <c r="AH515" s="236"/>
      <c r="AI515" s="236"/>
      <c r="AJ515" s="236"/>
      <c r="AK515" s="236"/>
      <c r="AL515" s="236"/>
      <c r="AM515" s="236"/>
      <c r="AN515" s="236"/>
      <c r="AO515" s="236"/>
      <c r="AP515" s="236"/>
      <c r="AQ515" s="236"/>
      <c r="AR515" s="236"/>
      <c r="AS515" s="236"/>
      <c r="AT515" s="236"/>
      <c r="AU515" s="236"/>
      <c r="AV515" s="236"/>
      <c r="AW515" s="236"/>
      <c r="AX515" s="236"/>
      <c r="AY515" s="236"/>
      <c r="AZ515" s="236"/>
      <c r="BA515" s="236"/>
      <c r="BB515" s="236"/>
      <c r="BC515" s="236"/>
      <c r="BD515" s="236"/>
      <c r="BE515" s="236"/>
      <c r="BF515" s="236"/>
      <c r="BG515" s="236"/>
      <c r="BH515" s="236"/>
    </row>
    <row r="516" spans="1:60" ht="13">
      <c r="A516" s="27"/>
      <c r="B516" s="27"/>
      <c r="C516" s="312"/>
      <c r="D516" s="231"/>
      <c r="E516" s="27"/>
      <c r="F516" s="27"/>
      <c r="G516" s="231"/>
      <c r="H516" s="27"/>
      <c r="I516" s="27"/>
      <c r="J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</row>
    <row r="517" spans="1:60" ht="13">
      <c r="A517" s="236"/>
      <c r="B517" s="236"/>
      <c r="C517" s="311"/>
      <c r="D517" s="237"/>
      <c r="E517" s="236"/>
      <c r="F517" s="236"/>
      <c r="G517" s="237"/>
      <c r="H517" s="236"/>
      <c r="I517" s="236"/>
      <c r="J517" s="236"/>
      <c r="N517" s="236"/>
      <c r="O517" s="236"/>
      <c r="P517" s="236"/>
      <c r="Q517" s="236"/>
      <c r="R517" s="236"/>
      <c r="S517" s="236"/>
      <c r="T517" s="236"/>
      <c r="U517" s="236"/>
      <c r="V517" s="236"/>
      <c r="W517" s="236"/>
      <c r="X517" s="236"/>
      <c r="Y517" s="236"/>
      <c r="Z517" s="236"/>
      <c r="AA517" s="236"/>
      <c r="AB517" s="236"/>
      <c r="AC517" s="236"/>
      <c r="AD517" s="236"/>
      <c r="AE517" s="236"/>
      <c r="AF517" s="236"/>
      <c r="AG517" s="236"/>
      <c r="AH517" s="236"/>
      <c r="AI517" s="236"/>
      <c r="AJ517" s="236"/>
      <c r="AK517" s="236"/>
      <c r="AL517" s="236"/>
      <c r="AM517" s="236"/>
      <c r="AN517" s="236"/>
      <c r="AO517" s="236"/>
      <c r="AP517" s="236"/>
      <c r="AQ517" s="236"/>
      <c r="AR517" s="236"/>
      <c r="AS517" s="236"/>
      <c r="AT517" s="236"/>
      <c r="AU517" s="236"/>
      <c r="AV517" s="236"/>
      <c r="AW517" s="236"/>
      <c r="AX517" s="236"/>
      <c r="AY517" s="236"/>
      <c r="AZ517" s="236"/>
      <c r="BA517" s="236"/>
      <c r="BB517" s="236"/>
      <c r="BC517" s="236"/>
      <c r="BD517" s="236"/>
      <c r="BE517" s="236"/>
      <c r="BF517" s="236"/>
      <c r="BG517" s="236"/>
      <c r="BH517" s="236"/>
    </row>
    <row r="518" spans="1:60" ht="13">
      <c r="A518" s="27"/>
      <c r="B518" s="27"/>
      <c r="C518" s="312"/>
      <c r="D518" s="231"/>
      <c r="E518" s="27"/>
      <c r="F518" s="27"/>
      <c r="G518" s="231"/>
      <c r="H518" s="27"/>
      <c r="I518" s="27"/>
      <c r="J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</row>
    <row r="519" spans="1:60" ht="13">
      <c r="A519" s="236"/>
      <c r="B519" s="236"/>
      <c r="C519" s="311"/>
      <c r="D519" s="237"/>
      <c r="E519" s="236"/>
      <c r="F519" s="236"/>
      <c r="G519" s="237"/>
      <c r="H519" s="236"/>
      <c r="I519" s="236"/>
      <c r="J519" s="236"/>
      <c r="N519" s="236"/>
      <c r="O519" s="236"/>
      <c r="P519" s="236"/>
      <c r="Q519" s="236"/>
      <c r="R519" s="236"/>
      <c r="S519" s="236"/>
      <c r="T519" s="236"/>
      <c r="U519" s="236"/>
      <c r="V519" s="236"/>
      <c r="W519" s="236"/>
      <c r="X519" s="236"/>
      <c r="Y519" s="236"/>
      <c r="Z519" s="236"/>
      <c r="AA519" s="236"/>
      <c r="AB519" s="236"/>
      <c r="AC519" s="236"/>
      <c r="AD519" s="236"/>
      <c r="AE519" s="236"/>
      <c r="AF519" s="236"/>
      <c r="AG519" s="236"/>
      <c r="AH519" s="236"/>
      <c r="AI519" s="236"/>
      <c r="AJ519" s="236"/>
      <c r="AK519" s="236"/>
      <c r="AL519" s="236"/>
      <c r="AM519" s="236"/>
      <c r="AN519" s="236"/>
      <c r="AO519" s="236"/>
      <c r="AP519" s="236"/>
      <c r="AQ519" s="236"/>
      <c r="AR519" s="236"/>
      <c r="AS519" s="236"/>
      <c r="AT519" s="236"/>
      <c r="AU519" s="236"/>
      <c r="AV519" s="236"/>
      <c r="AW519" s="236"/>
      <c r="AX519" s="236"/>
      <c r="AY519" s="236"/>
      <c r="AZ519" s="236"/>
      <c r="BA519" s="236"/>
      <c r="BB519" s="236"/>
      <c r="BC519" s="236"/>
      <c r="BD519" s="236"/>
      <c r="BE519" s="236"/>
      <c r="BF519" s="236"/>
      <c r="BG519" s="236"/>
      <c r="BH519" s="236"/>
    </row>
    <row r="520" spans="1:60" ht="13">
      <c r="A520" s="27"/>
      <c r="B520" s="27"/>
      <c r="C520" s="312"/>
      <c r="D520" s="231"/>
      <c r="E520" s="27"/>
      <c r="F520" s="27"/>
      <c r="G520" s="231"/>
      <c r="H520" s="27"/>
      <c r="I520" s="27"/>
      <c r="J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</row>
    <row r="521" spans="1:60" ht="13">
      <c r="A521" s="236"/>
      <c r="B521" s="236"/>
      <c r="C521" s="311"/>
      <c r="D521" s="237"/>
      <c r="E521" s="236"/>
      <c r="F521" s="236"/>
      <c r="G521" s="237"/>
      <c r="H521" s="236"/>
      <c r="I521" s="236"/>
      <c r="J521" s="236"/>
      <c r="N521" s="236"/>
      <c r="O521" s="236"/>
      <c r="P521" s="236"/>
      <c r="Q521" s="236"/>
      <c r="R521" s="236"/>
      <c r="S521" s="236"/>
      <c r="T521" s="236"/>
      <c r="U521" s="236"/>
      <c r="V521" s="236"/>
      <c r="W521" s="236"/>
      <c r="X521" s="236"/>
      <c r="Y521" s="236"/>
      <c r="Z521" s="236"/>
      <c r="AA521" s="236"/>
      <c r="AB521" s="236"/>
      <c r="AC521" s="236"/>
      <c r="AD521" s="236"/>
      <c r="AE521" s="236"/>
      <c r="AF521" s="236"/>
      <c r="AG521" s="236"/>
      <c r="AH521" s="236"/>
      <c r="AI521" s="236"/>
      <c r="AJ521" s="236"/>
      <c r="AK521" s="236"/>
      <c r="AL521" s="236"/>
      <c r="AM521" s="236"/>
      <c r="AN521" s="236"/>
      <c r="AO521" s="236"/>
      <c r="AP521" s="236"/>
      <c r="AQ521" s="236"/>
      <c r="AR521" s="236"/>
      <c r="AS521" s="236"/>
      <c r="AT521" s="236"/>
      <c r="AU521" s="236"/>
      <c r="AV521" s="236"/>
      <c r="AW521" s="236"/>
      <c r="AX521" s="236"/>
      <c r="AY521" s="236"/>
      <c r="AZ521" s="236"/>
      <c r="BA521" s="236"/>
      <c r="BB521" s="236"/>
      <c r="BC521" s="236"/>
      <c r="BD521" s="236"/>
      <c r="BE521" s="236"/>
      <c r="BF521" s="236"/>
      <c r="BG521" s="236"/>
      <c r="BH521" s="236"/>
    </row>
    <row r="522" spans="1:60" ht="13">
      <c r="A522" s="27"/>
      <c r="B522" s="27"/>
      <c r="C522" s="312"/>
      <c r="D522" s="231"/>
      <c r="E522" s="27"/>
      <c r="F522" s="27"/>
      <c r="G522" s="231"/>
      <c r="H522" s="27"/>
      <c r="I522" s="27"/>
      <c r="J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</row>
    <row r="523" spans="1:60" ht="13">
      <c r="A523" s="236"/>
      <c r="B523" s="236"/>
      <c r="C523" s="311"/>
      <c r="D523" s="237"/>
      <c r="E523" s="236"/>
      <c r="F523" s="236"/>
      <c r="G523" s="237"/>
      <c r="H523" s="236"/>
      <c r="I523" s="236"/>
      <c r="J523" s="236"/>
      <c r="N523" s="236"/>
      <c r="O523" s="236"/>
      <c r="P523" s="236"/>
      <c r="Q523" s="236"/>
      <c r="R523" s="236"/>
      <c r="S523" s="236"/>
      <c r="T523" s="236"/>
      <c r="U523" s="236"/>
      <c r="V523" s="236"/>
      <c r="W523" s="236"/>
      <c r="X523" s="236"/>
      <c r="Y523" s="236"/>
      <c r="Z523" s="236"/>
      <c r="AA523" s="236"/>
      <c r="AB523" s="236"/>
      <c r="AC523" s="236"/>
      <c r="AD523" s="236"/>
      <c r="AE523" s="236"/>
      <c r="AF523" s="236"/>
      <c r="AG523" s="236"/>
      <c r="AH523" s="236"/>
      <c r="AI523" s="236"/>
      <c r="AJ523" s="236"/>
      <c r="AK523" s="236"/>
      <c r="AL523" s="236"/>
      <c r="AM523" s="236"/>
      <c r="AN523" s="236"/>
      <c r="AO523" s="236"/>
      <c r="AP523" s="236"/>
      <c r="AQ523" s="236"/>
      <c r="AR523" s="236"/>
      <c r="AS523" s="236"/>
      <c r="AT523" s="236"/>
      <c r="AU523" s="236"/>
      <c r="AV523" s="236"/>
      <c r="AW523" s="236"/>
      <c r="AX523" s="236"/>
      <c r="AY523" s="236"/>
      <c r="AZ523" s="236"/>
      <c r="BA523" s="236"/>
      <c r="BB523" s="236"/>
      <c r="BC523" s="236"/>
      <c r="BD523" s="236"/>
      <c r="BE523" s="236"/>
      <c r="BF523" s="236"/>
      <c r="BG523" s="236"/>
      <c r="BH523" s="236"/>
    </row>
    <row r="524" spans="1:60" ht="13">
      <c r="A524" s="27"/>
      <c r="B524" s="27"/>
      <c r="C524" s="312"/>
      <c r="D524" s="231"/>
      <c r="E524" s="27"/>
      <c r="F524" s="27"/>
      <c r="G524" s="231"/>
      <c r="H524" s="27"/>
      <c r="I524" s="27"/>
      <c r="J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</row>
    <row r="525" spans="1:60" ht="13">
      <c r="A525" s="236"/>
      <c r="B525" s="236"/>
      <c r="C525" s="311"/>
      <c r="D525" s="237"/>
      <c r="E525" s="236"/>
      <c r="F525" s="236"/>
      <c r="G525" s="237"/>
      <c r="H525" s="236"/>
      <c r="I525" s="236"/>
      <c r="J525" s="236"/>
      <c r="N525" s="236"/>
      <c r="O525" s="236"/>
      <c r="P525" s="236"/>
      <c r="Q525" s="236"/>
      <c r="R525" s="236"/>
      <c r="S525" s="236"/>
      <c r="T525" s="236"/>
      <c r="U525" s="236"/>
      <c r="V525" s="236"/>
      <c r="W525" s="236"/>
      <c r="X525" s="236"/>
      <c r="Y525" s="236"/>
      <c r="Z525" s="236"/>
      <c r="AA525" s="236"/>
      <c r="AB525" s="236"/>
      <c r="AC525" s="236"/>
      <c r="AD525" s="236"/>
      <c r="AE525" s="236"/>
      <c r="AF525" s="236"/>
      <c r="AG525" s="236"/>
      <c r="AH525" s="236"/>
      <c r="AI525" s="236"/>
      <c r="AJ525" s="236"/>
      <c r="AK525" s="236"/>
      <c r="AL525" s="236"/>
      <c r="AM525" s="236"/>
      <c r="AN525" s="236"/>
      <c r="AO525" s="236"/>
      <c r="AP525" s="236"/>
      <c r="AQ525" s="236"/>
      <c r="AR525" s="236"/>
      <c r="AS525" s="236"/>
      <c r="AT525" s="236"/>
      <c r="AU525" s="236"/>
      <c r="AV525" s="236"/>
      <c r="AW525" s="236"/>
      <c r="AX525" s="236"/>
      <c r="AY525" s="236"/>
      <c r="AZ525" s="236"/>
      <c r="BA525" s="236"/>
      <c r="BB525" s="236"/>
      <c r="BC525" s="236"/>
      <c r="BD525" s="236"/>
      <c r="BE525" s="236"/>
      <c r="BF525" s="236"/>
      <c r="BG525" s="236"/>
      <c r="BH525" s="236"/>
    </row>
    <row r="526" spans="1:60" ht="13">
      <c r="A526" s="27"/>
      <c r="B526" s="27"/>
      <c r="C526" s="312"/>
      <c r="D526" s="231"/>
      <c r="E526" s="27"/>
      <c r="F526" s="27"/>
      <c r="G526" s="231"/>
      <c r="H526" s="27"/>
      <c r="I526" s="27"/>
      <c r="J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</row>
    <row r="527" spans="1:60" ht="13">
      <c r="A527" s="236"/>
      <c r="B527" s="236"/>
      <c r="C527" s="311"/>
      <c r="D527" s="237"/>
      <c r="E527" s="236"/>
      <c r="F527" s="236"/>
      <c r="G527" s="237"/>
      <c r="H527" s="236"/>
      <c r="I527" s="236"/>
      <c r="J527" s="236"/>
      <c r="N527" s="236"/>
      <c r="O527" s="236"/>
      <c r="P527" s="236"/>
      <c r="Q527" s="236"/>
      <c r="R527" s="236"/>
      <c r="S527" s="236"/>
      <c r="T527" s="236"/>
      <c r="U527" s="236"/>
      <c r="V527" s="236"/>
      <c r="W527" s="236"/>
      <c r="X527" s="236"/>
      <c r="Y527" s="236"/>
      <c r="Z527" s="236"/>
      <c r="AA527" s="236"/>
      <c r="AB527" s="236"/>
      <c r="AC527" s="236"/>
      <c r="AD527" s="236"/>
      <c r="AE527" s="236"/>
      <c r="AF527" s="236"/>
      <c r="AG527" s="236"/>
      <c r="AH527" s="236"/>
      <c r="AI527" s="236"/>
      <c r="AJ527" s="236"/>
      <c r="AK527" s="236"/>
      <c r="AL527" s="236"/>
      <c r="AM527" s="236"/>
      <c r="AN527" s="236"/>
      <c r="AO527" s="236"/>
      <c r="AP527" s="236"/>
      <c r="AQ527" s="236"/>
      <c r="AR527" s="236"/>
      <c r="AS527" s="236"/>
      <c r="AT527" s="236"/>
      <c r="AU527" s="236"/>
      <c r="AV527" s="236"/>
      <c r="AW527" s="236"/>
      <c r="AX527" s="236"/>
      <c r="AY527" s="236"/>
      <c r="AZ527" s="236"/>
      <c r="BA527" s="236"/>
      <c r="BB527" s="236"/>
      <c r="BC527" s="236"/>
      <c r="BD527" s="236"/>
      <c r="BE527" s="236"/>
      <c r="BF527" s="236"/>
      <c r="BG527" s="236"/>
      <c r="BH527" s="236"/>
    </row>
    <row r="528" spans="1:60" ht="13">
      <c r="A528" s="27"/>
      <c r="B528" s="27"/>
      <c r="C528" s="312"/>
      <c r="D528" s="231"/>
      <c r="E528" s="27"/>
      <c r="F528" s="27"/>
      <c r="G528" s="231"/>
      <c r="H528" s="27"/>
      <c r="I528" s="27"/>
      <c r="J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</row>
    <row r="529" spans="1:60" ht="13">
      <c r="A529" s="236"/>
      <c r="B529" s="236"/>
      <c r="C529" s="311"/>
      <c r="D529" s="237"/>
      <c r="E529" s="236"/>
      <c r="F529" s="236"/>
      <c r="G529" s="237"/>
      <c r="H529" s="236"/>
      <c r="I529" s="236"/>
      <c r="J529" s="236"/>
      <c r="N529" s="236"/>
      <c r="O529" s="236"/>
      <c r="P529" s="236"/>
      <c r="Q529" s="236"/>
      <c r="R529" s="236"/>
      <c r="S529" s="236"/>
      <c r="T529" s="236"/>
      <c r="U529" s="236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236"/>
      <c r="AH529" s="236"/>
      <c r="AI529" s="236"/>
      <c r="AJ529" s="236"/>
      <c r="AK529" s="236"/>
      <c r="AL529" s="236"/>
      <c r="AM529" s="236"/>
      <c r="AN529" s="236"/>
      <c r="AO529" s="236"/>
      <c r="AP529" s="236"/>
      <c r="AQ529" s="236"/>
      <c r="AR529" s="236"/>
      <c r="AS529" s="236"/>
      <c r="AT529" s="236"/>
      <c r="AU529" s="236"/>
      <c r="AV529" s="236"/>
      <c r="AW529" s="236"/>
      <c r="AX529" s="236"/>
      <c r="AY529" s="236"/>
      <c r="AZ529" s="236"/>
      <c r="BA529" s="236"/>
      <c r="BB529" s="236"/>
      <c r="BC529" s="236"/>
      <c r="BD529" s="236"/>
      <c r="BE529" s="236"/>
      <c r="BF529" s="236"/>
      <c r="BG529" s="236"/>
      <c r="BH529" s="236"/>
    </row>
    <row r="530" spans="1:60" ht="13">
      <c r="A530" s="27"/>
      <c r="B530" s="27"/>
      <c r="C530" s="312"/>
      <c r="D530" s="231"/>
      <c r="E530" s="27"/>
      <c r="F530" s="27"/>
      <c r="G530" s="231"/>
      <c r="H530" s="27"/>
      <c r="I530" s="27"/>
      <c r="J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</row>
    <row r="531" spans="1:60" ht="13">
      <c r="A531" s="236"/>
      <c r="B531" s="236"/>
      <c r="C531" s="311"/>
      <c r="D531" s="237"/>
      <c r="E531" s="236"/>
      <c r="F531" s="236"/>
      <c r="G531" s="237"/>
      <c r="H531" s="236"/>
      <c r="I531" s="236"/>
      <c r="J531" s="236"/>
      <c r="N531" s="236"/>
      <c r="O531" s="236"/>
      <c r="P531" s="236"/>
      <c r="Q531" s="236"/>
      <c r="R531" s="236"/>
      <c r="S531" s="236"/>
      <c r="T531" s="236"/>
      <c r="U531" s="236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236"/>
      <c r="AH531" s="236"/>
      <c r="AI531" s="236"/>
      <c r="AJ531" s="236"/>
      <c r="AK531" s="236"/>
      <c r="AL531" s="236"/>
      <c r="AM531" s="236"/>
      <c r="AN531" s="236"/>
      <c r="AO531" s="236"/>
      <c r="AP531" s="236"/>
      <c r="AQ531" s="236"/>
      <c r="AR531" s="236"/>
      <c r="AS531" s="236"/>
      <c r="AT531" s="236"/>
      <c r="AU531" s="236"/>
      <c r="AV531" s="236"/>
      <c r="AW531" s="236"/>
      <c r="AX531" s="236"/>
      <c r="AY531" s="236"/>
      <c r="AZ531" s="236"/>
      <c r="BA531" s="236"/>
      <c r="BB531" s="236"/>
      <c r="BC531" s="236"/>
      <c r="BD531" s="236"/>
      <c r="BE531" s="236"/>
      <c r="BF531" s="236"/>
      <c r="BG531" s="236"/>
      <c r="BH531" s="236"/>
    </row>
    <row r="532" spans="1:60" ht="13">
      <c r="A532" s="27"/>
      <c r="B532" s="27"/>
      <c r="C532" s="312"/>
      <c r="D532" s="231"/>
      <c r="E532" s="27"/>
      <c r="F532" s="27"/>
      <c r="G532" s="231"/>
      <c r="H532" s="27"/>
      <c r="I532" s="27"/>
      <c r="J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</row>
    <row r="533" spans="1:60" ht="13">
      <c r="A533" s="236"/>
      <c r="B533" s="236"/>
      <c r="C533" s="311"/>
      <c r="D533" s="237"/>
      <c r="E533" s="236"/>
      <c r="F533" s="236"/>
      <c r="G533" s="237"/>
      <c r="H533" s="236"/>
      <c r="I533" s="236"/>
      <c r="J533" s="236"/>
      <c r="N533" s="236"/>
      <c r="O533" s="236"/>
      <c r="P533" s="236"/>
      <c r="Q533" s="236"/>
      <c r="R533" s="236"/>
      <c r="S533" s="236"/>
      <c r="T533" s="236"/>
      <c r="U533" s="236"/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236"/>
      <c r="AH533" s="236"/>
      <c r="AI533" s="236"/>
      <c r="AJ533" s="236"/>
      <c r="AK533" s="236"/>
      <c r="AL533" s="236"/>
      <c r="AM533" s="236"/>
      <c r="AN533" s="236"/>
      <c r="AO533" s="236"/>
      <c r="AP533" s="236"/>
      <c r="AQ533" s="236"/>
      <c r="AR533" s="236"/>
      <c r="AS533" s="236"/>
      <c r="AT533" s="236"/>
      <c r="AU533" s="236"/>
      <c r="AV533" s="236"/>
      <c r="AW533" s="236"/>
      <c r="AX533" s="236"/>
      <c r="AY533" s="236"/>
      <c r="AZ533" s="236"/>
      <c r="BA533" s="236"/>
      <c r="BB533" s="236"/>
      <c r="BC533" s="236"/>
      <c r="BD533" s="236"/>
      <c r="BE533" s="236"/>
      <c r="BF533" s="236"/>
      <c r="BG533" s="236"/>
      <c r="BH533" s="236"/>
    </row>
    <row r="534" spans="1:60" ht="13">
      <c r="A534" s="27"/>
      <c r="B534" s="27"/>
      <c r="C534" s="312"/>
      <c r="D534" s="231"/>
      <c r="E534" s="27"/>
      <c r="F534" s="27"/>
      <c r="G534" s="231"/>
      <c r="H534" s="27"/>
      <c r="I534" s="27"/>
      <c r="J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</row>
    <row r="535" spans="1:60" ht="13">
      <c r="A535" s="236"/>
      <c r="B535" s="236"/>
      <c r="C535" s="311"/>
      <c r="D535" s="237"/>
      <c r="E535" s="236"/>
      <c r="F535" s="236"/>
      <c r="G535" s="237"/>
      <c r="H535" s="236"/>
      <c r="I535" s="236"/>
      <c r="J535" s="236"/>
      <c r="N535" s="236"/>
      <c r="O535" s="236"/>
      <c r="P535" s="236"/>
      <c r="Q535" s="236"/>
      <c r="R535" s="236"/>
      <c r="S535" s="236"/>
      <c r="T535" s="236"/>
      <c r="U535" s="236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236"/>
      <c r="AH535" s="236"/>
      <c r="AI535" s="236"/>
      <c r="AJ535" s="236"/>
      <c r="AK535" s="236"/>
      <c r="AL535" s="236"/>
      <c r="AM535" s="236"/>
      <c r="AN535" s="236"/>
      <c r="AO535" s="236"/>
      <c r="AP535" s="236"/>
      <c r="AQ535" s="236"/>
      <c r="AR535" s="236"/>
      <c r="AS535" s="236"/>
      <c r="AT535" s="236"/>
      <c r="AU535" s="236"/>
      <c r="AV535" s="236"/>
      <c r="AW535" s="236"/>
      <c r="AX535" s="236"/>
      <c r="AY535" s="236"/>
      <c r="AZ535" s="236"/>
      <c r="BA535" s="236"/>
      <c r="BB535" s="236"/>
      <c r="BC535" s="236"/>
      <c r="BD535" s="236"/>
      <c r="BE535" s="236"/>
      <c r="BF535" s="236"/>
      <c r="BG535" s="236"/>
      <c r="BH535" s="236"/>
    </row>
    <row r="536" spans="1:60" ht="13">
      <c r="A536" s="27"/>
      <c r="B536" s="27"/>
      <c r="C536" s="312"/>
      <c r="D536" s="231"/>
      <c r="E536" s="27"/>
      <c r="F536" s="27"/>
      <c r="G536" s="231"/>
      <c r="H536" s="27"/>
      <c r="I536" s="27"/>
      <c r="J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</row>
    <row r="537" spans="1:60" ht="13">
      <c r="A537" s="236"/>
      <c r="B537" s="236"/>
      <c r="C537" s="311"/>
      <c r="D537" s="237"/>
      <c r="E537" s="236"/>
      <c r="F537" s="236"/>
      <c r="G537" s="237"/>
      <c r="H537" s="236"/>
      <c r="I537" s="236"/>
      <c r="J537" s="236"/>
      <c r="N537" s="236"/>
      <c r="O537" s="236"/>
      <c r="P537" s="236"/>
      <c r="Q537" s="236"/>
      <c r="R537" s="236"/>
      <c r="S537" s="236"/>
      <c r="T537" s="236"/>
      <c r="U537" s="236"/>
      <c r="V537" s="236"/>
      <c r="W537" s="236"/>
      <c r="X537" s="236"/>
      <c r="Y537" s="236"/>
      <c r="Z537" s="236"/>
      <c r="AA537" s="236"/>
      <c r="AB537" s="236"/>
      <c r="AC537" s="236"/>
      <c r="AD537" s="236"/>
      <c r="AE537" s="236"/>
      <c r="AF537" s="236"/>
      <c r="AG537" s="236"/>
      <c r="AH537" s="236"/>
      <c r="AI537" s="236"/>
      <c r="AJ537" s="236"/>
      <c r="AK537" s="236"/>
      <c r="AL537" s="236"/>
      <c r="AM537" s="236"/>
      <c r="AN537" s="236"/>
      <c r="AO537" s="236"/>
      <c r="AP537" s="236"/>
      <c r="AQ537" s="236"/>
      <c r="AR537" s="236"/>
      <c r="AS537" s="236"/>
      <c r="AT537" s="236"/>
      <c r="AU537" s="236"/>
      <c r="AV537" s="236"/>
      <c r="AW537" s="236"/>
      <c r="AX537" s="236"/>
      <c r="AY537" s="236"/>
      <c r="AZ537" s="236"/>
      <c r="BA537" s="236"/>
      <c r="BB537" s="236"/>
      <c r="BC537" s="236"/>
      <c r="BD537" s="236"/>
      <c r="BE537" s="236"/>
      <c r="BF537" s="236"/>
      <c r="BG537" s="236"/>
      <c r="BH537" s="236"/>
    </row>
    <row r="538" spans="1:60" ht="13">
      <c r="A538" s="27"/>
      <c r="B538" s="27"/>
      <c r="C538" s="312"/>
      <c r="D538" s="231"/>
      <c r="E538" s="27"/>
      <c r="F538" s="27"/>
      <c r="G538" s="231"/>
      <c r="H538" s="27"/>
      <c r="I538" s="27"/>
      <c r="J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</row>
    <row r="539" spans="1:60" ht="13">
      <c r="A539" s="236"/>
      <c r="B539" s="236"/>
      <c r="C539" s="311"/>
      <c r="D539" s="237"/>
      <c r="E539" s="236"/>
      <c r="F539" s="236"/>
      <c r="G539" s="237"/>
      <c r="H539" s="236"/>
      <c r="I539" s="236"/>
      <c r="J539" s="236"/>
      <c r="N539" s="236"/>
      <c r="O539" s="236"/>
      <c r="P539" s="236"/>
      <c r="Q539" s="236"/>
      <c r="R539" s="236"/>
      <c r="S539" s="236"/>
      <c r="T539" s="236"/>
      <c r="U539" s="236"/>
      <c r="V539" s="236"/>
      <c r="W539" s="236"/>
      <c r="X539" s="236"/>
      <c r="Y539" s="236"/>
      <c r="Z539" s="236"/>
      <c r="AA539" s="236"/>
      <c r="AB539" s="236"/>
      <c r="AC539" s="236"/>
      <c r="AD539" s="236"/>
      <c r="AE539" s="236"/>
      <c r="AF539" s="236"/>
      <c r="AG539" s="236"/>
      <c r="AH539" s="236"/>
      <c r="AI539" s="236"/>
      <c r="AJ539" s="236"/>
      <c r="AK539" s="236"/>
      <c r="AL539" s="236"/>
      <c r="AM539" s="236"/>
      <c r="AN539" s="236"/>
      <c r="AO539" s="236"/>
      <c r="AP539" s="236"/>
      <c r="AQ539" s="236"/>
      <c r="AR539" s="236"/>
      <c r="AS539" s="236"/>
      <c r="AT539" s="236"/>
      <c r="AU539" s="236"/>
      <c r="AV539" s="236"/>
      <c r="AW539" s="236"/>
      <c r="AX539" s="236"/>
      <c r="AY539" s="236"/>
      <c r="AZ539" s="236"/>
      <c r="BA539" s="236"/>
      <c r="BB539" s="236"/>
      <c r="BC539" s="236"/>
      <c r="BD539" s="236"/>
      <c r="BE539" s="236"/>
      <c r="BF539" s="236"/>
      <c r="BG539" s="236"/>
      <c r="BH539" s="236"/>
    </row>
    <row r="540" spans="1:60" ht="13">
      <c r="A540" s="27"/>
      <c r="B540" s="27"/>
      <c r="C540" s="312"/>
      <c r="D540" s="231"/>
      <c r="E540" s="27"/>
      <c r="F540" s="27"/>
      <c r="G540" s="231"/>
      <c r="H540" s="27"/>
      <c r="I540" s="27"/>
      <c r="J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</row>
    <row r="541" spans="1:60" ht="13">
      <c r="A541" s="236"/>
      <c r="B541" s="236"/>
      <c r="C541" s="311"/>
      <c r="D541" s="237"/>
      <c r="E541" s="236"/>
      <c r="F541" s="236"/>
      <c r="G541" s="237"/>
      <c r="H541" s="236"/>
      <c r="I541" s="236"/>
      <c r="J541" s="236"/>
      <c r="N541" s="236"/>
      <c r="O541" s="236"/>
      <c r="P541" s="236"/>
      <c r="Q541" s="236"/>
      <c r="R541" s="236"/>
      <c r="S541" s="236"/>
      <c r="T541" s="236"/>
      <c r="U541" s="236"/>
      <c r="V541" s="236"/>
      <c r="W541" s="236"/>
      <c r="X541" s="236"/>
      <c r="Y541" s="236"/>
      <c r="Z541" s="236"/>
      <c r="AA541" s="236"/>
      <c r="AB541" s="236"/>
      <c r="AC541" s="236"/>
      <c r="AD541" s="236"/>
      <c r="AE541" s="236"/>
      <c r="AF541" s="236"/>
      <c r="AG541" s="236"/>
      <c r="AH541" s="236"/>
      <c r="AI541" s="236"/>
      <c r="AJ541" s="236"/>
      <c r="AK541" s="236"/>
      <c r="AL541" s="236"/>
      <c r="AM541" s="236"/>
      <c r="AN541" s="236"/>
      <c r="AO541" s="236"/>
      <c r="AP541" s="236"/>
      <c r="AQ541" s="236"/>
      <c r="AR541" s="236"/>
      <c r="AS541" s="236"/>
      <c r="AT541" s="236"/>
      <c r="AU541" s="236"/>
      <c r="AV541" s="236"/>
      <c r="AW541" s="236"/>
      <c r="AX541" s="236"/>
      <c r="AY541" s="236"/>
      <c r="AZ541" s="236"/>
      <c r="BA541" s="236"/>
      <c r="BB541" s="236"/>
      <c r="BC541" s="236"/>
      <c r="BD541" s="236"/>
      <c r="BE541" s="236"/>
      <c r="BF541" s="236"/>
      <c r="BG541" s="236"/>
      <c r="BH541" s="236"/>
    </row>
    <row r="542" spans="1:60" ht="13">
      <c r="A542" s="27"/>
      <c r="B542" s="27"/>
      <c r="C542" s="312"/>
      <c r="D542" s="231"/>
      <c r="E542" s="27"/>
      <c r="F542" s="27"/>
      <c r="G542" s="231"/>
      <c r="H542" s="27"/>
      <c r="I542" s="27"/>
      <c r="J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</row>
    <row r="543" spans="1:60" ht="13">
      <c r="A543" s="236"/>
      <c r="B543" s="236"/>
      <c r="C543" s="311"/>
      <c r="D543" s="237"/>
      <c r="E543" s="236"/>
      <c r="F543" s="236"/>
      <c r="G543" s="237"/>
      <c r="H543" s="236"/>
      <c r="I543" s="236"/>
      <c r="J543" s="236"/>
      <c r="N543" s="236"/>
      <c r="O543" s="236"/>
      <c r="P543" s="236"/>
      <c r="Q543" s="236"/>
      <c r="R543" s="236"/>
      <c r="S543" s="236"/>
      <c r="T543" s="236"/>
      <c r="U543" s="236"/>
      <c r="V543" s="236"/>
      <c r="W543" s="236"/>
      <c r="X543" s="236"/>
      <c r="Y543" s="236"/>
      <c r="Z543" s="236"/>
      <c r="AA543" s="236"/>
      <c r="AB543" s="236"/>
      <c r="AC543" s="236"/>
      <c r="AD543" s="236"/>
      <c r="AE543" s="236"/>
      <c r="AF543" s="236"/>
      <c r="AG543" s="236"/>
      <c r="AH543" s="236"/>
      <c r="AI543" s="236"/>
      <c r="AJ543" s="236"/>
      <c r="AK543" s="236"/>
      <c r="AL543" s="236"/>
      <c r="AM543" s="236"/>
      <c r="AN543" s="236"/>
      <c r="AO543" s="236"/>
      <c r="AP543" s="236"/>
      <c r="AQ543" s="236"/>
      <c r="AR543" s="236"/>
      <c r="AS543" s="236"/>
      <c r="AT543" s="236"/>
      <c r="AU543" s="236"/>
      <c r="AV543" s="236"/>
      <c r="AW543" s="236"/>
      <c r="AX543" s="236"/>
      <c r="AY543" s="236"/>
      <c r="AZ543" s="236"/>
      <c r="BA543" s="236"/>
      <c r="BB543" s="236"/>
      <c r="BC543" s="236"/>
      <c r="BD543" s="236"/>
      <c r="BE543" s="236"/>
      <c r="BF543" s="236"/>
      <c r="BG543" s="236"/>
      <c r="BH543" s="236"/>
    </row>
    <row r="544" spans="1:60" ht="13">
      <c r="A544" s="27"/>
      <c r="B544" s="27"/>
      <c r="C544" s="312"/>
      <c r="D544" s="231"/>
      <c r="E544" s="27"/>
      <c r="F544" s="27"/>
      <c r="G544" s="231"/>
      <c r="H544" s="27"/>
      <c r="I544" s="27"/>
      <c r="J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</row>
    <row r="545" spans="1:60" ht="13">
      <c r="A545" s="236"/>
      <c r="B545" s="236"/>
      <c r="C545" s="311"/>
      <c r="D545" s="237"/>
      <c r="E545" s="236"/>
      <c r="F545" s="236"/>
      <c r="G545" s="237"/>
      <c r="H545" s="236"/>
      <c r="I545" s="236"/>
      <c r="J545" s="236"/>
      <c r="N545" s="236"/>
      <c r="O545" s="236"/>
      <c r="P545" s="236"/>
      <c r="Q545" s="236"/>
      <c r="R545" s="236"/>
      <c r="S545" s="236"/>
      <c r="T545" s="236"/>
      <c r="U545" s="236"/>
      <c r="V545" s="236"/>
      <c r="W545" s="236"/>
      <c r="X545" s="236"/>
      <c r="Y545" s="236"/>
      <c r="Z545" s="236"/>
      <c r="AA545" s="236"/>
      <c r="AB545" s="236"/>
      <c r="AC545" s="236"/>
      <c r="AD545" s="236"/>
      <c r="AE545" s="236"/>
      <c r="AF545" s="236"/>
      <c r="AG545" s="236"/>
      <c r="AH545" s="236"/>
      <c r="AI545" s="236"/>
      <c r="AJ545" s="236"/>
      <c r="AK545" s="236"/>
      <c r="AL545" s="236"/>
      <c r="AM545" s="236"/>
      <c r="AN545" s="236"/>
      <c r="AO545" s="236"/>
      <c r="AP545" s="236"/>
      <c r="AQ545" s="236"/>
      <c r="AR545" s="236"/>
      <c r="AS545" s="236"/>
      <c r="AT545" s="236"/>
      <c r="AU545" s="236"/>
      <c r="AV545" s="236"/>
      <c r="AW545" s="236"/>
      <c r="AX545" s="236"/>
      <c r="AY545" s="236"/>
      <c r="AZ545" s="236"/>
      <c r="BA545" s="236"/>
      <c r="BB545" s="236"/>
      <c r="BC545" s="236"/>
      <c r="BD545" s="236"/>
      <c r="BE545" s="236"/>
      <c r="BF545" s="236"/>
      <c r="BG545" s="236"/>
      <c r="BH545" s="236"/>
    </row>
    <row r="546" spans="1:60" ht="13">
      <c r="A546" s="27"/>
      <c r="B546" s="27"/>
      <c r="C546" s="312"/>
      <c r="D546" s="231"/>
      <c r="E546" s="27"/>
      <c r="F546" s="27"/>
      <c r="G546" s="231"/>
      <c r="H546" s="27"/>
      <c r="I546" s="27"/>
      <c r="J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</row>
    <row r="547" spans="1:60" ht="13">
      <c r="A547" s="236"/>
      <c r="B547" s="236"/>
      <c r="C547" s="311"/>
      <c r="D547" s="237"/>
      <c r="E547" s="236"/>
      <c r="F547" s="236"/>
      <c r="G547" s="237"/>
      <c r="H547" s="236"/>
      <c r="I547" s="236"/>
      <c r="J547" s="236"/>
      <c r="N547" s="236"/>
      <c r="O547" s="236"/>
      <c r="P547" s="236"/>
      <c r="Q547" s="236"/>
      <c r="R547" s="236"/>
      <c r="S547" s="236"/>
      <c r="T547" s="236"/>
      <c r="U547" s="236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236"/>
      <c r="AH547" s="236"/>
      <c r="AI547" s="236"/>
      <c r="AJ547" s="236"/>
      <c r="AK547" s="236"/>
      <c r="AL547" s="236"/>
      <c r="AM547" s="236"/>
      <c r="AN547" s="236"/>
      <c r="AO547" s="236"/>
      <c r="AP547" s="236"/>
      <c r="AQ547" s="236"/>
      <c r="AR547" s="236"/>
      <c r="AS547" s="236"/>
      <c r="AT547" s="236"/>
      <c r="AU547" s="236"/>
      <c r="AV547" s="236"/>
      <c r="AW547" s="236"/>
      <c r="AX547" s="236"/>
      <c r="AY547" s="236"/>
      <c r="AZ547" s="236"/>
      <c r="BA547" s="236"/>
      <c r="BB547" s="236"/>
      <c r="BC547" s="236"/>
      <c r="BD547" s="236"/>
      <c r="BE547" s="236"/>
      <c r="BF547" s="236"/>
      <c r="BG547" s="236"/>
      <c r="BH547" s="236"/>
    </row>
    <row r="548" spans="1:60" ht="13">
      <c r="A548" s="27"/>
      <c r="B548" s="27"/>
      <c r="C548" s="312"/>
      <c r="D548" s="231"/>
      <c r="E548" s="27"/>
      <c r="F548" s="27"/>
      <c r="G548" s="231"/>
      <c r="H548" s="27"/>
      <c r="I548" s="27"/>
      <c r="J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</row>
    <row r="549" spans="1:60" ht="13">
      <c r="A549" s="236"/>
      <c r="B549" s="236"/>
      <c r="C549" s="311"/>
      <c r="D549" s="237"/>
      <c r="E549" s="236"/>
      <c r="F549" s="236"/>
      <c r="G549" s="237"/>
      <c r="H549" s="236"/>
      <c r="I549" s="236"/>
      <c r="J549" s="236"/>
      <c r="N549" s="236"/>
      <c r="O549" s="236"/>
      <c r="P549" s="236"/>
      <c r="Q549" s="236"/>
      <c r="R549" s="236"/>
      <c r="S549" s="236"/>
      <c r="T549" s="236"/>
      <c r="U549" s="236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236"/>
      <c r="AH549" s="236"/>
      <c r="AI549" s="236"/>
      <c r="AJ549" s="236"/>
      <c r="AK549" s="236"/>
      <c r="AL549" s="236"/>
      <c r="AM549" s="236"/>
      <c r="AN549" s="236"/>
      <c r="AO549" s="236"/>
      <c r="AP549" s="236"/>
      <c r="AQ549" s="236"/>
      <c r="AR549" s="236"/>
      <c r="AS549" s="236"/>
      <c r="AT549" s="236"/>
      <c r="AU549" s="236"/>
      <c r="AV549" s="236"/>
      <c r="AW549" s="236"/>
      <c r="AX549" s="236"/>
      <c r="AY549" s="236"/>
      <c r="AZ549" s="236"/>
      <c r="BA549" s="236"/>
      <c r="BB549" s="236"/>
      <c r="BC549" s="236"/>
      <c r="BD549" s="236"/>
      <c r="BE549" s="236"/>
      <c r="BF549" s="236"/>
      <c r="BG549" s="236"/>
      <c r="BH549" s="236"/>
    </row>
    <row r="550" spans="1:60" ht="13">
      <c r="A550" s="27"/>
      <c r="B550" s="27"/>
      <c r="C550" s="312"/>
      <c r="D550" s="231"/>
      <c r="E550" s="27"/>
      <c r="F550" s="27"/>
      <c r="G550" s="231"/>
      <c r="H550" s="27"/>
      <c r="I550" s="27"/>
      <c r="J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</row>
    <row r="551" spans="1:60" ht="13">
      <c r="A551" s="236"/>
      <c r="B551" s="236"/>
      <c r="C551" s="311"/>
      <c r="D551" s="237"/>
      <c r="E551" s="236"/>
      <c r="F551" s="236"/>
      <c r="G551" s="237"/>
      <c r="H551" s="236"/>
      <c r="I551" s="236"/>
      <c r="J551" s="236"/>
      <c r="N551" s="236"/>
      <c r="O551" s="236"/>
      <c r="P551" s="236"/>
      <c r="Q551" s="236"/>
      <c r="R551" s="236"/>
      <c r="S551" s="236"/>
      <c r="T551" s="236"/>
      <c r="U551" s="236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236"/>
      <c r="AH551" s="236"/>
      <c r="AI551" s="236"/>
      <c r="AJ551" s="236"/>
      <c r="AK551" s="236"/>
      <c r="AL551" s="236"/>
      <c r="AM551" s="236"/>
      <c r="AN551" s="236"/>
      <c r="AO551" s="236"/>
      <c r="AP551" s="236"/>
      <c r="AQ551" s="236"/>
      <c r="AR551" s="236"/>
      <c r="AS551" s="236"/>
      <c r="AT551" s="236"/>
      <c r="AU551" s="236"/>
      <c r="AV551" s="236"/>
      <c r="AW551" s="236"/>
      <c r="AX551" s="236"/>
      <c r="AY551" s="236"/>
      <c r="AZ551" s="236"/>
      <c r="BA551" s="236"/>
      <c r="BB551" s="236"/>
      <c r="BC551" s="236"/>
      <c r="BD551" s="236"/>
      <c r="BE551" s="236"/>
      <c r="BF551" s="236"/>
      <c r="BG551" s="236"/>
      <c r="BH551" s="236"/>
    </row>
    <row r="552" spans="1:60" ht="13">
      <c r="A552" s="27"/>
      <c r="B552" s="27"/>
      <c r="C552" s="312"/>
      <c r="D552" s="231"/>
      <c r="E552" s="27"/>
      <c r="F552" s="27"/>
      <c r="G552" s="231"/>
      <c r="H552" s="27"/>
      <c r="I552" s="27"/>
      <c r="J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</row>
    <row r="553" spans="1:60" ht="13">
      <c r="A553" s="236"/>
      <c r="B553" s="236"/>
      <c r="C553" s="311"/>
      <c r="D553" s="237"/>
      <c r="E553" s="236"/>
      <c r="F553" s="236"/>
      <c r="G553" s="237"/>
      <c r="H553" s="236"/>
      <c r="I553" s="236"/>
      <c r="J553" s="236"/>
      <c r="N553" s="236"/>
      <c r="O553" s="236"/>
      <c r="P553" s="236"/>
      <c r="Q553" s="236"/>
      <c r="R553" s="236"/>
      <c r="S553" s="236"/>
      <c r="T553" s="236"/>
      <c r="U553" s="236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236"/>
      <c r="AH553" s="236"/>
      <c r="AI553" s="236"/>
      <c r="AJ553" s="236"/>
      <c r="AK553" s="236"/>
      <c r="AL553" s="236"/>
      <c r="AM553" s="236"/>
      <c r="AN553" s="236"/>
      <c r="AO553" s="236"/>
      <c r="AP553" s="236"/>
      <c r="AQ553" s="236"/>
      <c r="AR553" s="236"/>
      <c r="AS553" s="236"/>
      <c r="AT553" s="236"/>
      <c r="AU553" s="236"/>
      <c r="AV553" s="236"/>
      <c r="AW553" s="236"/>
      <c r="AX553" s="236"/>
      <c r="AY553" s="236"/>
      <c r="AZ553" s="236"/>
      <c r="BA553" s="236"/>
      <c r="BB553" s="236"/>
      <c r="BC553" s="236"/>
      <c r="BD553" s="236"/>
      <c r="BE553" s="236"/>
      <c r="BF553" s="236"/>
      <c r="BG553" s="236"/>
      <c r="BH553" s="236"/>
    </row>
    <row r="554" spans="1:60" ht="13">
      <c r="A554" s="27"/>
      <c r="B554" s="27"/>
      <c r="C554" s="312"/>
      <c r="D554" s="231"/>
      <c r="E554" s="27"/>
      <c r="F554" s="27"/>
      <c r="G554" s="231"/>
      <c r="H554" s="27"/>
      <c r="I554" s="27"/>
      <c r="J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</row>
    <row r="555" spans="1:60" ht="13">
      <c r="A555" s="236"/>
      <c r="B555" s="236"/>
      <c r="C555" s="311"/>
      <c r="D555" s="237"/>
      <c r="E555" s="236"/>
      <c r="F555" s="236"/>
      <c r="G555" s="237"/>
      <c r="H555" s="236"/>
      <c r="I555" s="236"/>
      <c r="J555" s="236"/>
      <c r="N555" s="236"/>
      <c r="O555" s="236"/>
      <c r="P555" s="236"/>
      <c r="Q555" s="236"/>
      <c r="R555" s="236"/>
      <c r="S555" s="236"/>
      <c r="T555" s="236"/>
      <c r="U555" s="236"/>
      <c r="V555" s="236"/>
      <c r="W555" s="236"/>
      <c r="X555" s="236"/>
      <c r="Y555" s="236"/>
      <c r="Z555" s="236"/>
      <c r="AA555" s="236"/>
      <c r="AB555" s="236"/>
      <c r="AC555" s="236"/>
      <c r="AD555" s="236"/>
      <c r="AE555" s="236"/>
      <c r="AF555" s="236"/>
      <c r="AG555" s="236"/>
      <c r="AH555" s="236"/>
      <c r="AI555" s="236"/>
      <c r="AJ555" s="236"/>
      <c r="AK555" s="236"/>
      <c r="AL555" s="236"/>
      <c r="AM555" s="236"/>
      <c r="AN555" s="236"/>
      <c r="AO555" s="236"/>
      <c r="AP555" s="236"/>
      <c r="AQ555" s="236"/>
      <c r="AR555" s="236"/>
      <c r="AS555" s="236"/>
      <c r="AT555" s="236"/>
      <c r="AU555" s="236"/>
      <c r="AV555" s="236"/>
      <c r="AW555" s="236"/>
      <c r="AX555" s="236"/>
      <c r="AY555" s="236"/>
      <c r="AZ555" s="236"/>
      <c r="BA555" s="236"/>
      <c r="BB555" s="236"/>
      <c r="BC555" s="236"/>
      <c r="BD555" s="236"/>
      <c r="BE555" s="236"/>
      <c r="BF555" s="236"/>
      <c r="BG555" s="236"/>
      <c r="BH555" s="236"/>
    </row>
    <row r="556" spans="1:60" ht="13">
      <c r="A556" s="27"/>
      <c r="B556" s="27"/>
      <c r="C556" s="312"/>
      <c r="D556" s="231"/>
      <c r="E556" s="27"/>
      <c r="F556" s="27"/>
      <c r="G556" s="231"/>
      <c r="H556" s="27"/>
      <c r="I556" s="27"/>
      <c r="J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</row>
    <row r="557" spans="1:60" ht="13">
      <c r="A557" s="236"/>
      <c r="B557" s="236"/>
      <c r="C557" s="311"/>
      <c r="D557" s="237"/>
      <c r="E557" s="236"/>
      <c r="F557" s="236"/>
      <c r="G557" s="237"/>
      <c r="H557" s="236"/>
      <c r="I557" s="236"/>
      <c r="J557" s="236"/>
      <c r="N557" s="236"/>
      <c r="O557" s="236"/>
      <c r="P557" s="236"/>
      <c r="Q557" s="236"/>
      <c r="R557" s="236"/>
      <c r="S557" s="236"/>
      <c r="T557" s="236"/>
      <c r="U557" s="236"/>
      <c r="V557" s="236"/>
      <c r="W557" s="236"/>
      <c r="X557" s="236"/>
      <c r="Y557" s="236"/>
      <c r="Z557" s="236"/>
      <c r="AA557" s="236"/>
      <c r="AB557" s="236"/>
      <c r="AC557" s="236"/>
      <c r="AD557" s="236"/>
      <c r="AE557" s="236"/>
      <c r="AF557" s="236"/>
      <c r="AG557" s="236"/>
      <c r="AH557" s="236"/>
      <c r="AI557" s="236"/>
      <c r="AJ557" s="236"/>
      <c r="AK557" s="236"/>
      <c r="AL557" s="236"/>
      <c r="AM557" s="236"/>
      <c r="AN557" s="236"/>
      <c r="AO557" s="236"/>
      <c r="AP557" s="236"/>
      <c r="AQ557" s="236"/>
      <c r="AR557" s="236"/>
      <c r="AS557" s="236"/>
      <c r="AT557" s="236"/>
      <c r="AU557" s="236"/>
      <c r="AV557" s="236"/>
      <c r="AW557" s="236"/>
      <c r="AX557" s="236"/>
      <c r="AY557" s="236"/>
      <c r="AZ557" s="236"/>
      <c r="BA557" s="236"/>
      <c r="BB557" s="236"/>
      <c r="BC557" s="236"/>
      <c r="BD557" s="236"/>
      <c r="BE557" s="236"/>
      <c r="BF557" s="236"/>
      <c r="BG557" s="236"/>
      <c r="BH557" s="236"/>
    </row>
    <row r="558" spans="1:60" ht="13">
      <c r="A558" s="27"/>
      <c r="B558" s="27"/>
      <c r="C558" s="312"/>
      <c r="D558" s="231"/>
      <c r="E558" s="27"/>
      <c r="F558" s="27"/>
      <c r="G558" s="231"/>
      <c r="H558" s="27"/>
      <c r="I558" s="27"/>
      <c r="J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</row>
    <row r="559" spans="1:60" ht="13">
      <c r="A559" s="236"/>
      <c r="B559" s="236"/>
      <c r="C559" s="311"/>
      <c r="D559" s="237"/>
      <c r="E559" s="236"/>
      <c r="F559" s="236"/>
      <c r="G559" s="237"/>
      <c r="H559" s="236"/>
      <c r="I559" s="236"/>
      <c r="J559" s="236"/>
      <c r="N559" s="236"/>
      <c r="O559" s="236"/>
      <c r="P559" s="236"/>
      <c r="Q559" s="236"/>
      <c r="R559" s="236"/>
      <c r="S559" s="236"/>
      <c r="T559" s="236"/>
      <c r="U559" s="236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  <c r="AG559" s="236"/>
      <c r="AH559" s="236"/>
      <c r="AI559" s="236"/>
      <c r="AJ559" s="236"/>
      <c r="AK559" s="236"/>
      <c r="AL559" s="236"/>
      <c r="AM559" s="236"/>
      <c r="AN559" s="236"/>
      <c r="AO559" s="236"/>
      <c r="AP559" s="236"/>
      <c r="AQ559" s="236"/>
      <c r="AR559" s="236"/>
      <c r="AS559" s="236"/>
      <c r="AT559" s="236"/>
      <c r="AU559" s="236"/>
      <c r="AV559" s="236"/>
      <c r="AW559" s="236"/>
      <c r="AX559" s="236"/>
      <c r="AY559" s="236"/>
      <c r="AZ559" s="236"/>
      <c r="BA559" s="236"/>
      <c r="BB559" s="236"/>
      <c r="BC559" s="236"/>
      <c r="BD559" s="236"/>
      <c r="BE559" s="236"/>
      <c r="BF559" s="236"/>
      <c r="BG559" s="236"/>
      <c r="BH559" s="236"/>
    </row>
    <row r="560" spans="1:60" ht="13">
      <c r="A560" s="27"/>
      <c r="B560" s="27"/>
      <c r="C560" s="312"/>
      <c r="D560" s="231"/>
      <c r="E560" s="27"/>
      <c r="F560" s="27"/>
      <c r="G560" s="231"/>
      <c r="H560" s="27"/>
      <c r="I560" s="27"/>
      <c r="J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</row>
    <row r="561" spans="1:60" ht="13">
      <c r="A561" s="236"/>
      <c r="B561" s="236"/>
      <c r="C561" s="311"/>
      <c r="D561" s="237"/>
      <c r="E561" s="236"/>
      <c r="F561" s="236"/>
      <c r="G561" s="237"/>
      <c r="H561" s="236"/>
      <c r="I561" s="236"/>
      <c r="J561" s="236"/>
      <c r="N561" s="236"/>
      <c r="O561" s="236"/>
      <c r="P561" s="236"/>
      <c r="Q561" s="236"/>
      <c r="R561" s="236"/>
      <c r="S561" s="236"/>
      <c r="T561" s="236"/>
      <c r="U561" s="236"/>
      <c r="V561" s="236"/>
      <c r="W561" s="236"/>
      <c r="X561" s="236"/>
      <c r="Y561" s="236"/>
      <c r="Z561" s="236"/>
      <c r="AA561" s="236"/>
      <c r="AB561" s="236"/>
      <c r="AC561" s="236"/>
      <c r="AD561" s="236"/>
      <c r="AE561" s="236"/>
      <c r="AF561" s="236"/>
      <c r="AG561" s="236"/>
      <c r="AH561" s="236"/>
      <c r="AI561" s="236"/>
      <c r="AJ561" s="236"/>
      <c r="AK561" s="236"/>
      <c r="AL561" s="236"/>
      <c r="AM561" s="236"/>
      <c r="AN561" s="236"/>
      <c r="AO561" s="236"/>
      <c r="AP561" s="236"/>
      <c r="AQ561" s="236"/>
      <c r="AR561" s="236"/>
      <c r="AS561" s="236"/>
      <c r="AT561" s="236"/>
      <c r="AU561" s="236"/>
      <c r="AV561" s="236"/>
      <c r="AW561" s="236"/>
      <c r="AX561" s="236"/>
      <c r="AY561" s="236"/>
      <c r="AZ561" s="236"/>
      <c r="BA561" s="236"/>
      <c r="BB561" s="236"/>
      <c r="BC561" s="236"/>
      <c r="BD561" s="236"/>
      <c r="BE561" s="236"/>
      <c r="BF561" s="236"/>
      <c r="BG561" s="236"/>
      <c r="BH561" s="236"/>
    </row>
    <row r="562" spans="1:60" ht="13">
      <c r="A562" s="27"/>
      <c r="B562" s="27"/>
      <c r="C562" s="312"/>
      <c r="D562" s="231"/>
      <c r="E562" s="27"/>
      <c r="F562" s="27"/>
      <c r="G562" s="231"/>
      <c r="H562" s="27"/>
      <c r="I562" s="27"/>
      <c r="J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</row>
    <row r="563" spans="1:60" ht="13">
      <c r="A563" s="236"/>
      <c r="B563" s="236"/>
      <c r="C563" s="311"/>
      <c r="D563" s="237"/>
      <c r="E563" s="236"/>
      <c r="F563" s="236"/>
      <c r="G563" s="237"/>
      <c r="H563" s="236"/>
      <c r="I563" s="236"/>
      <c r="J563" s="236"/>
      <c r="N563" s="236"/>
      <c r="O563" s="236"/>
      <c r="P563" s="236"/>
      <c r="Q563" s="236"/>
      <c r="R563" s="236"/>
      <c r="S563" s="236"/>
      <c r="T563" s="236"/>
      <c r="U563" s="236"/>
      <c r="V563" s="236"/>
      <c r="W563" s="236"/>
      <c r="X563" s="236"/>
      <c r="Y563" s="236"/>
      <c r="Z563" s="236"/>
      <c r="AA563" s="236"/>
      <c r="AB563" s="236"/>
      <c r="AC563" s="236"/>
      <c r="AD563" s="236"/>
      <c r="AE563" s="236"/>
      <c r="AF563" s="236"/>
      <c r="AG563" s="236"/>
      <c r="AH563" s="236"/>
      <c r="AI563" s="236"/>
      <c r="AJ563" s="236"/>
      <c r="AK563" s="236"/>
      <c r="AL563" s="236"/>
      <c r="AM563" s="236"/>
      <c r="AN563" s="236"/>
      <c r="AO563" s="236"/>
      <c r="AP563" s="236"/>
      <c r="AQ563" s="236"/>
      <c r="AR563" s="236"/>
      <c r="AS563" s="236"/>
      <c r="AT563" s="236"/>
      <c r="AU563" s="236"/>
      <c r="AV563" s="236"/>
      <c r="AW563" s="236"/>
      <c r="AX563" s="236"/>
      <c r="AY563" s="236"/>
      <c r="AZ563" s="236"/>
      <c r="BA563" s="236"/>
      <c r="BB563" s="236"/>
      <c r="BC563" s="236"/>
      <c r="BD563" s="236"/>
      <c r="BE563" s="236"/>
      <c r="BF563" s="236"/>
      <c r="BG563" s="236"/>
      <c r="BH563" s="236"/>
    </row>
    <row r="564" spans="1:60" ht="13">
      <c r="A564" s="27"/>
      <c r="B564" s="27"/>
      <c r="C564" s="312"/>
      <c r="D564" s="231"/>
      <c r="E564" s="27"/>
      <c r="F564" s="27"/>
      <c r="G564" s="231"/>
      <c r="H564" s="27"/>
      <c r="I564" s="27"/>
      <c r="J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</row>
    <row r="565" spans="1:60" ht="13">
      <c r="A565" s="236"/>
      <c r="B565" s="236"/>
      <c r="C565" s="311"/>
      <c r="D565" s="237"/>
      <c r="E565" s="236"/>
      <c r="F565" s="236"/>
      <c r="G565" s="237"/>
      <c r="H565" s="236"/>
      <c r="I565" s="236"/>
      <c r="J565" s="236"/>
      <c r="N565" s="236"/>
      <c r="O565" s="236"/>
      <c r="P565" s="236"/>
      <c r="Q565" s="236"/>
      <c r="R565" s="236"/>
      <c r="S565" s="236"/>
      <c r="T565" s="236"/>
      <c r="U565" s="236"/>
      <c r="V565" s="236"/>
      <c r="W565" s="236"/>
      <c r="X565" s="236"/>
      <c r="Y565" s="236"/>
      <c r="Z565" s="236"/>
      <c r="AA565" s="236"/>
      <c r="AB565" s="236"/>
      <c r="AC565" s="236"/>
      <c r="AD565" s="236"/>
      <c r="AE565" s="236"/>
      <c r="AF565" s="236"/>
      <c r="AG565" s="236"/>
      <c r="AH565" s="236"/>
      <c r="AI565" s="236"/>
      <c r="AJ565" s="236"/>
      <c r="AK565" s="236"/>
      <c r="AL565" s="236"/>
      <c r="AM565" s="236"/>
      <c r="AN565" s="236"/>
      <c r="AO565" s="236"/>
      <c r="AP565" s="236"/>
      <c r="AQ565" s="236"/>
      <c r="AR565" s="236"/>
      <c r="AS565" s="236"/>
      <c r="AT565" s="236"/>
      <c r="AU565" s="236"/>
      <c r="AV565" s="236"/>
      <c r="AW565" s="236"/>
      <c r="AX565" s="236"/>
      <c r="AY565" s="236"/>
      <c r="AZ565" s="236"/>
      <c r="BA565" s="236"/>
      <c r="BB565" s="236"/>
      <c r="BC565" s="236"/>
      <c r="BD565" s="236"/>
      <c r="BE565" s="236"/>
      <c r="BF565" s="236"/>
      <c r="BG565" s="236"/>
      <c r="BH565" s="236"/>
    </row>
    <row r="566" spans="1:60" ht="13">
      <c r="A566" s="27"/>
      <c r="B566" s="27"/>
      <c r="C566" s="312"/>
      <c r="D566" s="231"/>
      <c r="E566" s="27"/>
      <c r="F566" s="27"/>
      <c r="G566" s="231"/>
      <c r="H566" s="27"/>
      <c r="I566" s="27"/>
      <c r="J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</row>
    <row r="567" spans="1:60" ht="13">
      <c r="A567" s="236"/>
      <c r="B567" s="236"/>
      <c r="C567" s="311"/>
      <c r="D567" s="237"/>
      <c r="E567" s="236"/>
      <c r="F567" s="236"/>
      <c r="G567" s="237"/>
      <c r="H567" s="236"/>
      <c r="I567" s="236"/>
      <c r="J567" s="236"/>
      <c r="N567" s="236"/>
      <c r="O567" s="236"/>
      <c r="P567" s="236"/>
      <c r="Q567" s="236"/>
      <c r="R567" s="236"/>
      <c r="S567" s="236"/>
      <c r="T567" s="236"/>
      <c r="U567" s="236"/>
      <c r="V567" s="236"/>
      <c r="W567" s="236"/>
      <c r="X567" s="236"/>
      <c r="Y567" s="236"/>
      <c r="Z567" s="236"/>
      <c r="AA567" s="236"/>
      <c r="AB567" s="236"/>
      <c r="AC567" s="236"/>
      <c r="AD567" s="236"/>
      <c r="AE567" s="236"/>
      <c r="AF567" s="236"/>
      <c r="AG567" s="236"/>
      <c r="AH567" s="236"/>
      <c r="AI567" s="236"/>
      <c r="AJ567" s="236"/>
      <c r="AK567" s="236"/>
      <c r="AL567" s="236"/>
      <c r="AM567" s="236"/>
      <c r="AN567" s="236"/>
      <c r="AO567" s="236"/>
      <c r="AP567" s="236"/>
      <c r="AQ567" s="236"/>
      <c r="AR567" s="236"/>
      <c r="AS567" s="236"/>
      <c r="AT567" s="236"/>
      <c r="AU567" s="236"/>
      <c r="AV567" s="236"/>
      <c r="AW567" s="236"/>
      <c r="AX567" s="236"/>
      <c r="AY567" s="236"/>
      <c r="AZ567" s="236"/>
      <c r="BA567" s="236"/>
      <c r="BB567" s="236"/>
      <c r="BC567" s="236"/>
      <c r="BD567" s="236"/>
      <c r="BE567" s="236"/>
      <c r="BF567" s="236"/>
      <c r="BG567" s="236"/>
      <c r="BH567" s="236"/>
    </row>
    <row r="568" spans="1:60" ht="13">
      <c r="A568" s="27"/>
      <c r="B568" s="27"/>
      <c r="C568" s="312"/>
      <c r="D568" s="231"/>
      <c r="E568" s="27"/>
      <c r="F568" s="27"/>
      <c r="G568" s="231"/>
      <c r="H568" s="27"/>
      <c r="I568" s="27"/>
      <c r="J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</row>
    <row r="569" spans="1:60" ht="13">
      <c r="A569" s="236"/>
      <c r="B569" s="236"/>
      <c r="C569" s="311"/>
      <c r="D569" s="237"/>
      <c r="E569" s="236"/>
      <c r="F569" s="236"/>
      <c r="G569" s="237"/>
      <c r="H569" s="236"/>
      <c r="I569" s="236"/>
      <c r="J569" s="236"/>
      <c r="N569" s="236"/>
      <c r="O569" s="236"/>
      <c r="P569" s="236"/>
      <c r="Q569" s="236"/>
      <c r="R569" s="236"/>
      <c r="S569" s="236"/>
      <c r="T569" s="236"/>
      <c r="U569" s="236"/>
      <c r="V569" s="236"/>
      <c r="W569" s="236"/>
      <c r="X569" s="236"/>
      <c r="Y569" s="236"/>
      <c r="Z569" s="236"/>
      <c r="AA569" s="236"/>
      <c r="AB569" s="236"/>
      <c r="AC569" s="236"/>
      <c r="AD569" s="236"/>
      <c r="AE569" s="236"/>
      <c r="AF569" s="236"/>
      <c r="AG569" s="236"/>
      <c r="AH569" s="236"/>
      <c r="AI569" s="236"/>
      <c r="AJ569" s="236"/>
      <c r="AK569" s="236"/>
      <c r="AL569" s="236"/>
      <c r="AM569" s="236"/>
      <c r="AN569" s="236"/>
      <c r="AO569" s="236"/>
      <c r="AP569" s="236"/>
      <c r="AQ569" s="236"/>
      <c r="AR569" s="236"/>
      <c r="AS569" s="236"/>
      <c r="AT569" s="236"/>
      <c r="AU569" s="236"/>
      <c r="AV569" s="236"/>
      <c r="AW569" s="236"/>
      <c r="AX569" s="236"/>
      <c r="AY569" s="236"/>
      <c r="AZ569" s="236"/>
      <c r="BA569" s="236"/>
      <c r="BB569" s="236"/>
      <c r="BC569" s="236"/>
      <c r="BD569" s="236"/>
      <c r="BE569" s="236"/>
      <c r="BF569" s="236"/>
      <c r="BG569" s="236"/>
      <c r="BH569" s="236"/>
    </row>
    <row r="570" spans="1:60" ht="13">
      <c r="A570" s="27"/>
      <c r="B570" s="27"/>
      <c r="C570" s="312"/>
      <c r="D570" s="231"/>
      <c r="E570" s="27"/>
      <c r="F570" s="27"/>
      <c r="G570" s="231"/>
      <c r="H570" s="27"/>
      <c r="I570" s="27"/>
      <c r="J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</row>
    <row r="571" spans="1:60" ht="13">
      <c r="A571" s="236"/>
      <c r="B571" s="236"/>
      <c r="C571" s="311"/>
      <c r="D571" s="237"/>
      <c r="E571" s="236"/>
      <c r="F571" s="236"/>
      <c r="G571" s="237"/>
      <c r="H571" s="236"/>
      <c r="I571" s="236"/>
      <c r="J571" s="236"/>
      <c r="N571" s="236"/>
      <c r="O571" s="236"/>
      <c r="P571" s="236"/>
      <c r="Q571" s="236"/>
      <c r="R571" s="236"/>
      <c r="S571" s="236"/>
      <c r="T571" s="236"/>
      <c r="U571" s="236"/>
      <c r="V571" s="236"/>
      <c r="W571" s="236"/>
      <c r="X571" s="236"/>
      <c r="Y571" s="236"/>
      <c r="Z571" s="236"/>
      <c r="AA571" s="236"/>
      <c r="AB571" s="236"/>
      <c r="AC571" s="236"/>
      <c r="AD571" s="236"/>
      <c r="AE571" s="236"/>
      <c r="AF571" s="236"/>
      <c r="AG571" s="236"/>
      <c r="AH571" s="236"/>
      <c r="AI571" s="236"/>
      <c r="AJ571" s="236"/>
      <c r="AK571" s="236"/>
      <c r="AL571" s="236"/>
      <c r="AM571" s="236"/>
      <c r="AN571" s="236"/>
      <c r="AO571" s="236"/>
      <c r="AP571" s="236"/>
      <c r="AQ571" s="236"/>
      <c r="AR571" s="236"/>
      <c r="AS571" s="236"/>
      <c r="AT571" s="236"/>
      <c r="AU571" s="236"/>
      <c r="AV571" s="236"/>
      <c r="AW571" s="236"/>
      <c r="AX571" s="236"/>
      <c r="AY571" s="236"/>
      <c r="AZ571" s="236"/>
      <c r="BA571" s="236"/>
      <c r="BB571" s="236"/>
      <c r="BC571" s="236"/>
      <c r="BD571" s="236"/>
      <c r="BE571" s="236"/>
      <c r="BF571" s="236"/>
      <c r="BG571" s="236"/>
      <c r="BH571" s="236"/>
    </row>
    <row r="572" spans="1:60" ht="13">
      <c r="A572" s="27"/>
      <c r="B572" s="27"/>
      <c r="C572" s="312"/>
      <c r="D572" s="231"/>
      <c r="E572" s="27"/>
      <c r="F572" s="27"/>
      <c r="G572" s="231"/>
      <c r="H572" s="27"/>
      <c r="I572" s="27"/>
      <c r="J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</row>
    <row r="573" spans="1:60" ht="13">
      <c r="A573" s="236"/>
      <c r="B573" s="236"/>
      <c r="C573" s="311"/>
      <c r="D573" s="237"/>
      <c r="E573" s="236"/>
      <c r="F573" s="236"/>
      <c r="G573" s="237"/>
      <c r="H573" s="236"/>
      <c r="I573" s="236"/>
      <c r="J573" s="236"/>
      <c r="N573" s="236"/>
      <c r="O573" s="236"/>
      <c r="P573" s="236"/>
      <c r="Q573" s="236"/>
      <c r="R573" s="236"/>
      <c r="S573" s="236"/>
      <c r="T573" s="236"/>
      <c r="U573" s="236"/>
      <c r="V573" s="236"/>
      <c r="W573" s="236"/>
      <c r="X573" s="236"/>
      <c r="Y573" s="236"/>
      <c r="Z573" s="236"/>
      <c r="AA573" s="236"/>
      <c r="AB573" s="236"/>
      <c r="AC573" s="236"/>
      <c r="AD573" s="236"/>
      <c r="AE573" s="236"/>
      <c r="AF573" s="236"/>
      <c r="AG573" s="236"/>
      <c r="AH573" s="236"/>
      <c r="AI573" s="236"/>
      <c r="AJ573" s="236"/>
      <c r="AK573" s="236"/>
      <c r="AL573" s="236"/>
      <c r="AM573" s="236"/>
      <c r="AN573" s="236"/>
      <c r="AO573" s="236"/>
      <c r="AP573" s="236"/>
      <c r="AQ573" s="236"/>
      <c r="AR573" s="236"/>
      <c r="AS573" s="236"/>
      <c r="AT573" s="236"/>
      <c r="AU573" s="236"/>
      <c r="AV573" s="236"/>
      <c r="AW573" s="236"/>
      <c r="AX573" s="236"/>
      <c r="AY573" s="236"/>
      <c r="AZ573" s="236"/>
      <c r="BA573" s="236"/>
      <c r="BB573" s="236"/>
      <c r="BC573" s="236"/>
      <c r="BD573" s="236"/>
      <c r="BE573" s="236"/>
      <c r="BF573" s="236"/>
      <c r="BG573" s="236"/>
      <c r="BH573" s="236"/>
    </row>
    <row r="574" spans="1:60" ht="13">
      <c r="A574" s="27"/>
      <c r="B574" s="27"/>
      <c r="C574" s="312"/>
      <c r="D574" s="231"/>
      <c r="E574" s="27"/>
      <c r="F574" s="27"/>
      <c r="G574" s="231"/>
      <c r="H574" s="27"/>
      <c r="I574" s="27"/>
      <c r="J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</row>
    <row r="575" spans="1:60" ht="13">
      <c r="A575" s="236"/>
      <c r="B575" s="236"/>
      <c r="C575" s="311"/>
      <c r="D575" s="237"/>
      <c r="E575" s="236"/>
      <c r="F575" s="236"/>
      <c r="G575" s="237"/>
      <c r="H575" s="236"/>
      <c r="I575" s="236"/>
      <c r="J575" s="236"/>
      <c r="N575" s="236"/>
      <c r="O575" s="236"/>
      <c r="P575" s="236"/>
      <c r="Q575" s="236"/>
      <c r="R575" s="236"/>
      <c r="S575" s="236"/>
      <c r="T575" s="236"/>
      <c r="U575" s="236"/>
      <c r="V575" s="236"/>
      <c r="W575" s="236"/>
      <c r="X575" s="236"/>
      <c r="Y575" s="236"/>
      <c r="Z575" s="236"/>
      <c r="AA575" s="236"/>
      <c r="AB575" s="236"/>
      <c r="AC575" s="236"/>
      <c r="AD575" s="236"/>
      <c r="AE575" s="236"/>
      <c r="AF575" s="236"/>
      <c r="AG575" s="236"/>
      <c r="AH575" s="236"/>
      <c r="AI575" s="236"/>
      <c r="AJ575" s="236"/>
      <c r="AK575" s="236"/>
      <c r="AL575" s="236"/>
      <c r="AM575" s="236"/>
      <c r="AN575" s="236"/>
      <c r="AO575" s="236"/>
      <c r="AP575" s="236"/>
      <c r="AQ575" s="236"/>
      <c r="AR575" s="236"/>
      <c r="AS575" s="236"/>
      <c r="AT575" s="236"/>
      <c r="AU575" s="236"/>
      <c r="AV575" s="236"/>
      <c r="AW575" s="236"/>
      <c r="AX575" s="236"/>
      <c r="AY575" s="236"/>
      <c r="AZ575" s="236"/>
      <c r="BA575" s="236"/>
      <c r="BB575" s="236"/>
      <c r="BC575" s="236"/>
      <c r="BD575" s="236"/>
      <c r="BE575" s="236"/>
      <c r="BF575" s="236"/>
      <c r="BG575" s="236"/>
      <c r="BH575" s="236"/>
    </row>
    <row r="576" spans="1:60" ht="13">
      <c r="A576" s="27"/>
      <c r="B576" s="27"/>
      <c r="C576" s="312"/>
      <c r="D576" s="231"/>
      <c r="E576" s="27"/>
      <c r="F576" s="27"/>
      <c r="G576" s="231"/>
      <c r="H576" s="27"/>
      <c r="I576" s="27"/>
      <c r="J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</row>
    <row r="577" spans="1:60" ht="13">
      <c r="A577" s="236"/>
      <c r="B577" s="236"/>
      <c r="C577" s="311"/>
      <c r="D577" s="237"/>
      <c r="E577" s="236"/>
      <c r="F577" s="236"/>
      <c r="G577" s="237"/>
      <c r="H577" s="236"/>
      <c r="I577" s="236"/>
      <c r="J577" s="236"/>
      <c r="N577" s="236"/>
      <c r="O577" s="236"/>
      <c r="P577" s="236"/>
      <c r="Q577" s="236"/>
      <c r="R577" s="236"/>
      <c r="S577" s="236"/>
      <c r="T577" s="236"/>
      <c r="U577" s="236"/>
      <c r="V577" s="236"/>
      <c r="W577" s="236"/>
      <c r="X577" s="236"/>
      <c r="Y577" s="236"/>
      <c r="Z577" s="236"/>
      <c r="AA577" s="236"/>
      <c r="AB577" s="236"/>
      <c r="AC577" s="236"/>
      <c r="AD577" s="236"/>
      <c r="AE577" s="236"/>
      <c r="AF577" s="236"/>
      <c r="AG577" s="236"/>
      <c r="AH577" s="236"/>
      <c r="AI577" s="236"/>
      <c r="AJ577" s="236"/>
      <c r="AK577" s="236"/>
      <c r="AL577" s="236"/>
      <c r="AM577" s="236"/>
      <c r="AN577" s="236"/>
      <c r="AO577" s="236"/>
      <c r="AP577" s="236"/>
      <c r="AQ577" s="236"/>
      <c r="AR577" s="236"/>
      <c r="AS577" s="236"/>
      <c r="AT577" s="236"/>
      <c r="AU577" s="236"/>
      <c r="AV577" s="236"/>
      <c r="AW577" s="236"/>
      <c r="AX577" s="236"/>
      <c r="AY577" s="236"/>
      <c r="AZ577" s="236"/>
      <c r="BA577" s="236"/>
      <c r="BB577" s="236"/>
      <c r="BC577" s="236"/>
      <c r="BD577" s="236"/>
      <c r="BE577" s="236"/>
      <c r="BF577" s="236"/>
      <c r="BG577" s="236"/>
      <c r="BH577" s="236"/>
    </row>
    <row r="578" spans="1:60" ht="13">
      <c r="A578" s="27"/>
      <c r="B578" s="27"/>
      <c r="C578" s="312"/>
      <c r="D578" s="231"/>
      <c r="E578" s="27"/>
      <c r="F578" s="27"/>
      <c r="G578" s="231"/>
      <c r="H578" s="27"/>
      <c r="I578" s="27"/>
      <c r="J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</row>
    <row r="579" spans="1:60" ht="13">
      <c r="A579" s="236"/>
      <c r="B579" s="236"/>
      <c r="C579" s="311"/>
      <c r="D579" s="237"/>
      <c r="E579" s="236"/>
      <c r="F579" s="236"/>
      <c r="G579" s="237"/>
      <c r="H579" s="236"/>
      <c r="I579" s="236"/>
      <c r="J579" s="236"/>
      <c r="N579" s="236"/>
      <c r="O579" s="236"/>
      <c r="P579" s="236"/>
      <c r="Q579" s="236"/>
      <c r="R579" s="236"/>
      <c r="S579" s="236"/>
      <c r="T579" s="236"/>
      <c r="U579" s="236"/>
      <c r="V579" s="236"/>
      <c r="W579" s="236"/>
      <c r="X579" s="236"/>
      <c r="Y579" s="236"/>
      <c r="Z579" s="236"/>
      <c r="AA579" s="236"/>
      <c r="AB579" s="236"/>
      <c r="AC579" s="236"/>
      <c r="AD579" s="236"/>
      <c r="AE579" s="236"/>
      <c r="AF579" s="236"/>
      <c r="AG579" s="236"/>
      <c r="AH579" s="236"/>
      <c r="AI579" s="236"/>
      <c r="AJ579" s="236"/>
      <c r="AK579" s="236"/>
      <c r="AL579" s="236"/>
      <c r="AM579" s="236"/>
      <c r="AN579" s="236"/>
      <c r="AO579" s="236"/>
      <c r="AP579" s="236"/>
      <c r="AQ579" s="236"/>
      <c r="AR579" s="236"/>
      <c r="AS579" s="236"/>
      <c r="AT579" s="236"/>
      <c r="AU579" s="236"/>
      <c r="AV579" s="236"/>
      <c r="AW579" s="236"/>
      <c r="AX579" s="236"/>
      <c r="AY579" s="236"/>
      <c r="AZ579" s="236"/>
      <c r="BA579" s="236"/>
      <c r="BB579" s="236"/>
      <c r="BC579" s="236"/>
      <c r="BD579" s="236"/>
      <c r="BE579" s="236"/>
      <c r="BF579" s="236"/>
      <c r="BG579" s="236"/>
      <c r="BH579" s="236"/>
    </row>
    <row r="580" spans="1:60" ht="13">
      <c r="A580" s="27"/>
      <c r="B580" s="27"/>
      <c r="C580" s="312"/>
      <c r="D580" s="231"/>
      <c r="E580" s="27"/>
      <c r="F580" s="27"/>
      <c r="G580" s="231"/>
      <c r="H580" s="27"/>
      <c r="I580" s="27"/>
      <c r="J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</row>
    <row r="581" spans="1:60" ht="13">
      <c r="A581" s="236"/>
      <c r="B581" s="236"/>
      <c r="C581" s="311"/>
      <c r="D581" s="237"/>
      <c r="E581" s="236"/>
      <c r="F581" s="236"/>
      <c r="G581" s="237"/>
      <c r="H581" s="236"/>
      <c r="I581" s="236"/>
      <c r="J581" s="236"/>
      <c r="N581" s="236"/>
      <c r="O581" s="236"/>
      <c r="P581" s="236"/>
      <c r="Q581" s="236"/>
      <c r="R581" s="236"/>
      <c r="S581" s="236"/>
      <c r="T581" s="236"/>
      <c r="U581" s="236"/>
      <c r="V581" s="236"/>
      <c r="W581" s="236"/>
      <c r="X581" s="236"/>
      <c r="Y581" s="236"/>
      <c r="Z581" s="236"/>
      <c r="AA581" s="236"/>
      <c r="AB581" s="236"/>
      <c r="AC581" s="236"/>
      <c r="AD581" s="236"/>
      <c r="AE581" s="236"/>
      <c r="AF581" s="236"/>
      <c r="AG581" s="236"/>
      <c r="AH581" s="236"/>
      <c r="AI581" s="236"/>
      <c r="AJ581" s="236"/>
      <c r="AK581" s="236"/>
      <c r="AL581" s="236"/>
      <c r="AM581" s="236"/>
      <c r="AN581" s="236"/>
      <c r="AO581" s="236"/>
      <c r="AP581" s="236"/>
      <c r="AQ581" s="236"/>
      <c r="AR581" s="236"/>
      <c r="AS581" s="236"/>
      <c r="AT581" s="236"/>
      <c r="AU581" s="236"/>
      <c r="AV581" s="236"/>
      <c r="AW581" s="236"/>
      <c r="AX581" s="236"/>
      <c r="AY581" s="236"/>
      <c r="AZ581" s="236"/>
      <c r="BA581" s="236"/>
      <c r="BB581" s="236"/>
      <c r="BC581" s="236"/>
      <c r="BD581" s="236"/>
      <c r="BE581" s="236"/>
      <c r="BF581" s="236"/>
      <c r="BG581" s="236"/>
      <c r="BH581" s="236"/>
    </row>
    <row r="582" spans="1:60" ht="13">
      <c r="A582" s="27"/>
      <c r="B582" s="27"/>
      <c r="C582" s="312"/>
      <c r="D582" s="231"/>
      <c r="E582" s="27"/>
      <c r="F582" s="27"/>
      <c r="G582" s="231"/>
      <c r="H582" s="27"/>
      <c r="I582" s="27"/>
      <c r="J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</row>
    <row r="583" spans="1:60" ht="13">
      <c r="A583" s="236"/>
      <c r="B583" s="236"/>
      <c r="C583" s="311"/>
      <c r="D583" s="237"/>
      <c r="E583" s="236"/>
      <c r="F583" s="236"/>
      <c r="G583" s="237"/>
      <c r="H583" s="236"/>
      <c r="I583" s="236"/>
      <c r="J583" s="236"/>
      <c r="N583" s="236"/>
      <c r="O583" s="236"/>
      <c r="P583" s="236"/>
      <c r="Q583" s="236"/>
      <c r="R583" s="236"/>
      <c r="S583" s="236"/>
      <c r="T583" s="236"/>
      <c r="U583" s="236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236"/>
      <c r="AH583" s="236"/>
      <c r="AI583" s="236"/>
      <c r="AJ583" s="236"/>
      <c r="AK583" s="236"/>
      <c r="AL583" s="236"/>
      <c r="AM583" s="236"/>
      <c r="AN583" s="236"/>
      <c r="AO583" s="236"/>
      <c r="AP583" s="236"/>
      <c r="AQ583" s="236"/>
      <c r="AR583" s="236"/>
      <c r="AS583" s="236"/>
      <c r="AT583" s="236"/>
      <c r="AU583" s="236"/>
      <c r="AV583" s="236"/>
      <c r="AW583" s="236"/>
      <c r="AX583" s="236"/>
      <c r="AY583" s="236"/>
      <c r="AZ583" s="236"/>
      <c r="BA583" s="236"/>
      <c r="BB583" s="236"/>
      <c r="BC583" s="236"/>
      <c r="BD583" s="236"/>
      <c r="BE583" s="236"/>
      <c r="BF583" s="236"/>
      <c r="BG583" s="236"/>
      <c r="BH583" s="236"/>
    </row>
    <row r="584" spans="1:60" ht="13">
      <c r="A584" s="27"/>
      <c r="B584" s="27"/>
      <c r="C584" s="312"/>
      <c r="D584" s="231"/>
      <c r="E584" s="27"/>
      <c r="F584" s="27"/>
      <c r="G584" s="231"/>
      <c r="H584" s="27"/>
      <c r="I584" s="27"/>
      <c r="J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</row>
    <row r="585" spans="1:60" ht="13">
      <c r="A585" s="236"/>
      <c r="B585" s="236"/>
      <c r="C585" s="311"/>
      <c r="D585" s="237"/>
      <c r="E585" s="236"/>
      <c r="F585" s="236"/>
      <c r="G585" s="237"/>
      <c r="H585" s="236"/>
      <c r="I585" s="236"/>
      <c r="J585" s="236"/>
      <c r="N585" s="236"/>
      <c r="O585" s="236"/>
      <c r="P585" s="236"/>
      <c r="Q585" s="236"/>
      <c r="R585" s="236"/>
      <c r="S585" s="236"/>
      <c r="T585" s="236"/>
      <c r="U585" s="236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236"/>
      <c r="AH585" s="236"/>
      <c r="AI585" s="236"/>
      <c r="AJ585" s="236"/>
      <c r="AK585" s="236"/>
      <c r="AL585" s="236"/>
      <c r="AM585" s="236"/>
      <c r="AN585" s="236"/>
      <c r="AO585" s="236"/>
      <c r="AP585" s="236"/>
      <c r="AQ585" s="236"/>
      <c r="AR585" s="236"/>
      <c r="AS585" s="236"/>
      <c r="AT585" s="236"/>
      <c r="AU585" s="236"/>
      <c r="AV585" s="236"/>
      <c r="AW585" s="236"/>
      <c r="AX585" s="236"/>
      <c r="AY585" s="236"/>
      <c r="AZ585" s="236"/>
      <c r="BA585" s="236"/>
      <c r="BB585" s="236"/>
      <c r="BC585" s="236"/>
      <c r="BD585" s="236"/>
      <c r="BE585" s="236"/>
      <c r="BF585" s="236"/>
      <c r="BG585" s="236"/>
      <c r="BH585" s="236"/>
    </row>
    <row r="586" spans="1:60" ht="13">
      <c r="A586" s="27"/>
      <c r="B586" s="27"/>
      <c r="C586" s="312"/>
      <c r="D586" s="231"/>
      <c r="E586" s="27"/>
      <c r="F586" s="27"/>
      <c r="G586" s="231"/>
      <c r="H586" s="27"/>
      <c r="I586" s="27"/>
      <c r="J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</row>
    <row r="587" spans="1:60" ht="13">
      <c r="A587" s="236"/>
      <c r="B587" s="236"/>
      <c r="C587" s="311"/>
      <c r="D587" s="237"/>
      <c r="E587" s="236"/>
      <c r="F587" s="236"/>
      <c r="G587" s="237"/>
      <c r="H587" s="236"/>
      <c r="I587" s="236"/>
      <c r="J587" s="236"/>
      <c r="N587" s="236"/>
      <c r="O587" s="236"/>
      <c r="P587" s="236"/>
      <c r="Q587" s="236"/>
      <c r="R587" s="236"/>
      <c r="S587" s="236"/>
      <c r="T587" s="236"/>
      <c r="U587" s="236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236"/>
      <c r="AH587" s="236"/>
      <c r="AI587" s="236"/>
      <c r="AJ587" s="236"/>
      <c r="AK587" s="236"/>
      <c r="AL587" s="236"/>
      <c r="AM587" s="236"/>
      <c r="AN587" s="236"/>
      <c r="AO587" s="236"/>
      <c r="AP587" s="236"/>
      <c r="AQ587" s="236"/>
      <c r="AR587" s="236"/>
      <c r="AS587" s="236"/>
      <c r="AT587" s="236"/>
      <c r="AU587" s="236"/>
      <c r="AV587" s="236"/>
      <c r="AW587" s="236"/>
      <c r="AX587" s="236"/>
      <c r="AY587" s="236"/>
      <c r="AZ587" s="236"/>
      <c r="BA587" s="236"/>
      <c r="BB587" s="236"/>
      <c r="BC587" s="236"/>
      <c r="BD587" s="236"/>
      <c r="BE587" s="236"/>
      <c r="BF587" s="236"/>
      <c r="BG587" s="236"/>
      <c r="BH587" s="236"/>
    </row>
    <row r="588" spans="1:60" ht="13">
      <c r="A588" s="27"/>
      <c r="B588" s="27"/>
      <c r="C588" s="312"/>
      <c r="D588" s="231"/>
      <c r="E588" s="27"/>
      <c r="F588" s="27"/>
      <c r="G588" s="231"/>
      <c r="H588" s="27"/>
      <c r="I588" s="27"/>
      <c r="J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</row>
    <row r="589" spans="1:60" ht="13">
      <c r="A589" s="236"/>
      <c r="B589" s="236"/>
      <c r="C589" s="311"/>
      <c r="D589" s="237"/>
      <c r="E589" s="236"/>
      <c r="F589" s="236"/>
      <c r="G589" s="237"/>
      <c r="H589" s="236"/>
      <c r="I589" s="236"/>
      <c r="J589" s="236"/>
      <c r="N589" s="236"/>
      <c r="O589" s="236"/>
      <c r="P589" s="236"/>
      <c r="Q589" s="236"/>
      <c r="R589" s="236"/>
      <c r="S589" s="236"/>
      <c r="T589" s="236"/>
      <c r="U589" s="236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236"/>
      <c r="AH589" s="236"/>
      <c r="AI589" s="236"/>
      <c r="AJ589" s="236"/>
      <c r="AK589" s="236"/>
      <c r="AL589" s="236"/>
      <c r="AM589" s="236"/>
      <c r="AN589" s="236"/>
      <c r="AO589" s="236"/>
      <c r="AP589" s="236"/>
      <c r="AQ589" s="236"/>
      <c r="AR589" s="236"/>
      <c r="AS589" s="236"/>
      <c r="AT589" s="236"/>
      <c r="AU589" s="236"/>
      <c r="AV589" s="236"/>
      <c r="AW589" s="236"/>
      <c r="AX589" s="236"/>
      <c r="AY589" s="236"/>
      <c r="AZ589" s="236"/>
      <c r="BA589" s="236"/>
      <c r="BB589" s="236"/>
      <c r="BC589" s="236"/>
      <c r="BD589" s="236"/>
      <c r="BE589" s="236"/>
      <c r="BF589" s="236"/>
      <c r="BG589" s="236"/>
      <c r="BH589" s="236"/>
    </row>
    <row r="590" spans="1:60" ht="13">
      <c r="A590" s="27"/>
      <c r="B590" s="27"/>
      <c r="C590" s="312"/>
      <c r="D590" s="231"/>
      <c r="E590" s="27"/>
      <c r="F590" s="27"/>
      <c r="G590" s="231"/>
      <c r="H590" s="27"/>
      <c r="I590" s="27"/>
      <c r="J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</row>
    <row r="591" spans="1:60" ht="13">
      <c r="A591" s="236"/>
      <c r="B591" s="236"/>
      <c r="C591" s="311"/>
      <c r="D591" s="237"/>
      <c r="E591" s="236"/>
      <c r="F591" s="236"/>
      <c r="G591" s="237"/>
      <c r="H591" s="236"/>
      <c r="I591" s="236"/>
      <c r="J591" s="236"/>
      <c r="N591" s="236"/>
      <c r="O591" s="236"/>
      <c r="P591" s="236"/>
      <c r="Q591" s="236"/>
      <c r="R591" s="236"/>
      <c r="S591" s="236"/>
      <c r="T591" s="236"/>
      <c r="U591" s="236"/>
      <c r="V591" s="236"/>
      <c r="W591" s="236"/>
      <c r="X591" s="236"/>
      <c r="Y591" s="236"/>
      <c r="Z591" s="236"/>
      <c r="AA591" s="236"/>
      <c r="AB591" s="236"/>
      <c r="AC591" s="236"/>
      <c r="AD591" s="236"/>
      <c r="AE591" s="236"/>
      <c r="AF591" s="236"/>
      <c r="AG591" s="236"/>
      <c r="AH591" s="236"/>
      <c r="AI591" s="236"/>
      <c r="AJ591" s="236"/>
      <c r="AK591" s="236"/>
      <c r="AL591" s="236"/>
      <c r="AM591" s="236"/>
      <c r="AN591" s="236"/>
      <c r="AO591" s="236"/>
      <c r="AP591" s="236"/>
      <c r="AQ591" s="236"/>
      <c r="AR591" s="236"/>
      <c r="AS591" s="236"/>
      <c r="AT591" s="236"/>
      <c r="AU591" s="236"/>
      <c r="AV591" s="236"/>
      <c r="AW591" s="236"/>
      <c r="AX591" s="236"/>
      <c r="AY591" s="236"/>
      <c r="AZ591" s="236"/>
      <c r="BA591" s="236"/>
      <c r="BB591" s="236"/>
      <c r="BC591" s="236"/>
      <c r="BD591" s="236"/>
      <c r="BE591" s="236"/>
      <c r="BF591" s="236"/>
      <c r="BG591" s="236"/>
      <c r="BH591" s="236"/>
    </row>
    <row r="592" spans="1:60" ht="13">
      <c r="A592" s="27"/>
      <c r="B592" s="27"/>
      <c r="C592" s="312"/>
      <c r="D592" s="231"/>
      <c r="E592" s="27"/>
      <c r="F592" s="27"/>
      <c r="G592" s="231"/>
      <c r="H592" s="27"/>
      <c r="I592" s="27"/>
      <c r="J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</row>
    <row r="593" spans="1:60" ht="13">
      <c r="A593" s="236"/>
      <c r="B593" s="236"/>
      <c r="C593" s="311"/>
      <c r="D593" s="237"/>
      <c r="E593" s="236"/>
      <c r="F593" s="236"/>
      <c r="G593" s="237"/>
      <c r="H593" s="236"/>
      <c r="I593" s="236"/>
      <c r="J593" s="236"/>
      <c r="N593" s="236"/>
      <c r="O593" s="236"/>
      <c r="P593" s="236"/>
      <c r="Q593" s="236"/>
      <c r="R593" s="236"/>
      <c r="S593" s="236"/>
      <c r="T593" s="236"/>
      <c r="U593" s="236"/>
      <c r="V593" s="236"/>
      <c r="W593" s="236"/>
      <c r="X593" s="236"/>
      <c r="Y593" s="236"/>
      <c r="Z593" s="236"/>
      <c r="AA593" s="236"/>
      <c r="AB593" s="236"/>
      <c r="AC593" s="236"/>
      <c r="AD593" s="236"/>
      <c r="AE593" s="236"/>
      <c r="AF593" s="236"/>
      <c r="AG593" s="236"/>
      <c r="AH593" s="236"/>
      <c r="AI593" s="236"/>
      <c r="AJ593" s="236"/>
      <c r="AK593" s="236"/>
      <c r="AL593" s="236"/>
      <c r="AM593" s="236"/>
      <c r="AN593" s="236"/>
      <c r="AO593" s="236"/>
      <c r="AP593" s="236"/>
      <c r="AQ593" s="236"/>
      <c r="AR593" s="236"/>
      <c r="AS593" s="236"/>
      <c r="AT593" s="236"/>
      <c r="AU593" s="236"/>
      <c r="AV593" s="236"/>
      <c r="AW593" s="236"/>
      <c r="AX593" s="236"/>
      <c r="AY593" s="236"/>
      <c r="AZ593" s="236"/>
      <c r="BA593" s="236"/>
      <c r="BB593" s="236"/>
      <c r="BC593" s="236"/>
      <c r="BD593" s="236"/>
      <c r="BE593" s="236"/>
      <c r="BF593" s="236"/>
      <c r="BG593" s="236"/>
      <c r="BH593" s="236"/>
    </row>
    <row r="594" spans="1:60" ht="13">
      <c r="A594" s="27"/>
      <c r="B594" s="27"/>
      <c r="C594" s="312"/>
      <c r="D594" s="231"/>
      <c r="E594" s="27"/>
      <c r="F594" s="27"/>
      <c r="G594" s="231"/>
      <c r="H594" s="27"/>
      <c r="I594" s="27"/>
      <c r="J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</row>
    <row r="595" spans="1:60" ht="13">
      <c r="A595" s="236"/>
      <c r="B595" s="236"/>
      <c r="C595" s="311"/>
      <c r="D595" s="237"/>
      <c r="E595" s="236"/>
      <c r="F595" s="236"/>
      <c r="G595" s="237"/>
      <c r="H595" s="236"/>
      <c r="I595" s="236"/>
      <c r="J595" s="236"/>
      <c r="N595" s="236"/>
      <c r="O595" s="236"/>
      <c r="P595" s="236"/>
      <c r="Q595" s="236"/>
      <c r="R595" s="236"/>
      <c r="S595" s="236"/>
      <c r="T595" s="236"/>
      <c r="U595" s="236"/>
      <c r="V595" s="236"/>
      <c r="W595" s="236"/>
      <c r="X595" s="236"/>
      <c r="Y595" s="236"/>
      <c r="Z595" s="236"/>
      <c r="AA595" s="236"/>
      <c r="AB595" s="236"/>
      <c r="AC595" s="236"/>
      <c r="AD595" s="236"/>
      <c r="AE595" s="236"/>
      <c r="AF595" s="236"/>
      <c r="AG595" s="236"/>
      <c r="AH595" s="236"/>
      <c r="AI595" s="236"/>
      <c r="AJ595" s="236"/>
      <c r="AK595" s="236"/>
      <c r="AL595" s="236"/>
      <c r="AM595" s="236"/>
      <c r="AN595" s="236"/>
      <c r="AO595" s="236"/>
      <c r="AP595" s="236"/>
      <c r="AQ595" s="236"/>
      <c r="AR595" s="236"/>
      <c r="AS595" s="236"/>
      <c r="AT595" s="236"/>
      <c r="AU595" s="236"/>
      <c r="AV595" s="236"/>
      <c r="AW595" s="236"/>
      <c r="AX595" s="236"/>
      <c r="AY595" s="236"/>
      <c r="AZ595" s="236"/>
      <c r="BA595" s="236"/>
      <c r="BB595" s="236"/>
      <c r="BC595" s="236"/>
      <c r="BD595" s="236"/>
      <c r="BE595" s="236"/>
      <c r="BF595" s="236"/>
      <c r="BG595" s="236"/>
      <c r="BH595" s="236"/>
    </row>
    <row r="596" spans="1:60" ht="13">
      <c r="A596" s="27"/>
      <c r="B596" s="27"/>
      <c r="C596" s="312"/>
      <c r="D596" s="231"/>
      <c r="E596" s="27"/>
      <c r="F596" s="27"/>
      <c r="G596" s="231"/>
      <c r="H596" s="27"/>
      <c r="I596" s="27"/>
      <c r="J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</row>
    <row r="597" spans="1:60" ht="13">
      <c r="A597" s="236"/>
      <c r="B597" s="236"/>
      <c r="C597" s="311"/>
      <c r="D597" s="237"/>
      <c r="E597" s="236"/>
      <c r="F597" s="236"/>
      <c r="G597" s="237"/>
      <c r="H597" s="236"/>
      <c r="I597" s="236"/>
      <c r="J597" s="236"/>
      <c r="N597" s="236"/>
      <c r="O597" s="236"/>
      <c r="P597" s="236"/>
      <c r="Q597" s="236"/>
      <c r="R597" s="236"/>
      <c r="S597" s="236"/>
      <c r="T597" s="236"/>
      <c r="U597" s="236"/>
      <c r="V597" s="236"/>
      <c r="W597" s="236"/>
      <c r="X597" s="236"/>
      <c r="Y597" s="236"/>
      <c r="Z597" s="236"/>
      <c r="AA597" s="236"/>
      <c r="AB597" s="236"/>
      <c r="AC597" s="236"/>
      <c r="AD597" s="236"/>
      <c r="AE597" s="236"/>
      <c r="AF597" s="236"/>
      <c r="AG597" s="236"/>
      <c r="AH597" s="236"/>
      <c r="AI597" s="236"/>
      <c r="AJ597" s="236"/>
      <c r="AK597" s="236"/>
      <c r="AL597" s="236"/>
      <c r="AM597" s="236"/>
      <c r="AN597" s="236"/>
      <c r="AO597" s="236"/>
      <c r="AP597" s="236"/>
      <c r="AQ597" s="236"/>
      <c r="AR597" s="236"/>
      <c r="AS597" s="236"/>
      <c r="AT597" s="236"/>
      <c r="AU597" s="236"/>
      <c r="AV597" s="236"/>
      <c r="AW597" s="236"/>
      <c r="AX597" s="236"/>
      <c r="AY597" s="236"/>
      <c r="AZ597" s="236"/>
      <c r="BA597" s="236"/>
      <c r="BB597" s="236"/>
      <c r="BC597" s="236"/>
      <c r="BD597" s="236"/>
      <c r="BE597" s="236"/>
      <c r="BF597" s="236"/>
      <c r="BG597" s="236"/>
      <c r="BH597" s="236"/>
    </row>
    <row r="598" spans="1:60" ht="13">
      <c r="A598" s="27"/>
      <c r="B598" s="27"/>
      <c r="C598" s="312"/>
      <c r="D598" s="231"/>
      <c r="E598" s="27"/>
      <c r="F598" s="27"/>
      <c r="G598" s="231"/>
      <c r="H598" s="27"/>
      <c r="I598" s="27"/>
      <c r="J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</row>
    <row r="599" spans="1:60" ht="13">
      <c r="A599" s="236"/>
      <c r="B599" s="236"/>
      <c r="C599" s="311"/>
      <c r="D599" s="237"/>
      <c r="E599" s="236"/>
      <c r="F599" s="236"/>
      <c r="G599" s="237"/>
      <c r="H599" s="236"/>
      <c r="I599" s="236"/>
      <c r="J599" s="236"/>
      <c r="N599" s="236"/>
      <c r="O599" s="236"/>
      <c r="P599" s="236"/>
      <c r="Q599" s="236"/>
      <c r="R599" s="236"/>
      <c r="S599" s="236"/>
      <c r="T599" s="236"/>
      <c r="U599" s="236"/>
      <c r="V599" s="236"/>
      <c r="W599" s="236"/>
      <c r="X599" s="236"/>
      <c r="Y599" s="236"/>
      <c r="Z599" s="236"/>
      <c r="AA599" s="236"/>
      <c r="AB599" s="236"/>
      <c r="AC599" s="236"/>
      <c r="AD599" s="236"/>
      <c r="AE599" s="236"/>
      <c r="AF599" s="236"/>
      <c r="AG599" s="236"/>
      <c r="AH599" s="236"/>
      <c r="AI599" s="236"/>
      <c r="AJ599" s="236"/>
      <c r="AK599" s="236"/>
      <c r="AL599" s="236"/>
      <c r="AM599" s="236"/>
      <c r="AN599" s="236"/>
      <c r="AO599" s="236"/>
      <c r="AP599" s="236"/>
      <c r="AQ599" s="236"/>
      <c r="AR599" s="236"/>
      <c r="AS599" s="236"/>
      <c r="AT599" s="236"/>
      <c r="AU599" s="236"/>
      <c r="AV599" s="236"/>
      <c r="AW599" s="236"/>
      <c r="AX599" s="236"/>
      <c r="AY599" s="236"/>
      <c r="AZ599" s="236"/>
      <c r="BA599" s="236"/>
      <c r="BB599" s="236"/>
      <c r="BC599" s="236"/>
      <c r="BD599" s="236"/>
      <c r="BE599" s="236"/>
      <c r="BF599" s="236"/>
      <c r="BG599" s="236"/>
      <c r="BH599" s="236"/>
    </row>
    <row r="600" spans="1:60" ht="13">
      <c r="A600" s="27"/>
      <c r="B600" s="27"/>
      <c r="C600" s="312"/>
      <c r="D600" s="231"/>
      <c r="E600" s="27"/>
      <c r="F600" s="27"/>
      <c r="G600" s="231"/>
      <c r="H600" s="27"/>
      <c r="I600" s="27"/>
      <c r="J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</row>
    <row r="601" spans="1:60" ht="13">
      <c r="A601" s="236"/>
      <c r="B601" s="236"/>
      <c r="C601" s="311"/>
      <c r="D601" s="237"/>
      <c r="E601" s="236"/>
      <c r="F601" s="236"/>
      <c r="G601" s="237"/>
      <c r="H601" s="236"/>
      <c r="I601" s="236"/>
      <c r="J601" s="236"/>
      <c r="N601" s="236"/>
      <c r="O601" s="236"/>
      <c r="P601" s="236"/>
      <c r="Q601" s="236"/>
      <c r="R601" s="236"/>
      <c r="S601" s="236"/>
      <c r="T601" s="236"/>
      <c r="U601" s="236"/>
      <c r="V601" s="236"/>
      <c r="W601" s="236"/>
      <c r="X601" s="236"/>
      <c r="Y601" s="236"/>
      <c r="Z601" s="236"/>
      <c r="AA601" s="236"/>
      <c r="AB601" s="236"/>
      <c r="AC601" s="236"/>
      <c r="AD601" s="236"/>
      <c r="AE601" s="236"/>
      <c r="AF601" s="236"/>
      <c r="AG601" s="236"/>
      <c r="AH601" s="236"/>
      <c r="AI601" s="236"/>
      <c r="AJ601" s="236"/>
      <c r="AK601" s="236"/>
      <c r="AL601" s="236"/>
      <c r="AM601" s="236"/>
      <c r="AN601" s="236"/>
      <c r="AO601" s="236"/>
      <c r="AP601" s="236"/>
      <c r="AQ601" s="236"/>
      <c r="AR601" s="236"/>
      <c r="AS601" s="236"/>
      <c r="AT601" s="236"/>
      <c r="AU601" s="236"/>
      <c r="AV601" s="236"/>
      <c r="AW601" s="236"/>
      <c r="AX601" s="236"/>
      <c r="AY601" s="236"/>
      <c r="AZ601" s="236"/>
      <c r="BA601" s="236"/>
      <c r="BB601" s="236"/>
      <c r="BC601" s="236"/>
      <c r="BD601" s="236"/>
      <c r="BE601" s="236"/>
      <c r="BF601" s="236"/>
      <c r="BG601" s="236"/>
      <c r="BH601" s="236"/>
    </row>
    <row r="602" spans="1:60" ht="13">
      <c r="A602" s="27"/>
      <c r="B602" s="27"/>
      <c r="C602" s="312"/>
      <c r="D602" s="231"/>
      <c r="E602" s="27"/>
      <c r="F602" s="27"/>
      <c r="G602" s="231"/>
      <c r="H602" s="27"/>
      <c r="I602" s="27"/>
      <c r="J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</row>
    <row r="603" spans="1:60" ht="13">
      <c r="A603" s="236"/>
      <c r="B603" s="236"/>
      <c r="C603" s="311"/>
      <c r="D603" s="237"/>
      <c r="E603" s="236"/>
      <c r="F603" s="236"/>
      <c r="G603" s="237"/>
      <c r="H603" s="236"/>
      <c r="I603" s="236"/>
      <c r="J603" s="236"/>
      <c r="N603" s="236"/>
      <c r="O603" s="236"/>
      <c r="P603" s="236"/>
      <c r="Q603" s="236"/>
      <c r="R603" s="236"/>
      <c r="S603" s="236"/>
      <c r="T603" s="236"/>
      <c r="U603" s="236"/>
      <c r="V603" s="236"/>
      <c r="W603" s="236"/>
      <c r="X603" s="236"/>
      <c r="Y603" s="236"/>
      <c r="Z603" s="236"/>
      <c r="AA603" s="236"/>
      <c r="AB603" s="236"/>
      <c r="AC603" s="236"/>
      <c r="AD603" s="236"/>
      <c r="AE603" s="236"/>
      <c r="AF603" s="236"/>
      <c r="AG603" s="236"/>
      <c r="AH603" s="236"/>
      <c r="AI603" s="236"/>
      <c r="AJ603" s="236"/>
      <c r="AK603" s="236"/>
      <c r="AL603" s="236"/>
      <c r="AM603" s="236"/>
      <c r="AN603" s="236"/>
      <c r="AO603" s="236"/>
      <c r="AP603" s="236"/>
      <c r="AQ603" s="236"/>
      <c r="AR603" s="236"/>
      <c r="AS603" s="236"/>
      <c r="AT603" s="236"/>
      <c r="AU603" s="236"/>
      <c r="AV603" s="236"/>
      <c r="AW603" s="236"/>
      <c r="AX603" s="236"/>
      <c r="AY603" s="236"/>
      <c r="AZ603" s="236"/>
      <c r="BA603" s="236"/>
      <c r="BB603" s="236"/>
      <c r="BC603" s="236"/>
      <c r="BD603" s="236"/>
      <c r="BE603" s="236"/>
      <c r="BF603" s="236"/>
      <c r="BG603" s="236"/>
      <c r="BH603" s="236"/>
    </row>
    <row r="604" spans="1:60" ht="13">
      <c r="A604" s="27"/>
      <c r="B604" s="27"/>
      <c r="C604" s="312"/>
      <c r="D604" s="231"/>
      <c r="E604" s="27"/>
      <c r="F604" s="27"/>
      <c r="G604" s="231"/>
      <c r="H604" s="27"/>
      <c r="I604" s="27"/>
      <c r="J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</row>
    <row r="605" spans="1:60" ht="13">
      <c r="A605" s="236"/>
      <c r="B605" s="236"/>
      <c r="C605" s="311"/>
      <c r="D605" s="237"/>
      <c r="E605" s="236"/>
      <c r="F605" s="236"/>
      <c r="G605" s="237"/>
      <c r="H605" s="236"/>
      <c r="I605" s="236"/>
      <c r="J605" s="236"/>
      <c r="N605" s="236"/>
      <c r="O605" s="236"/>
      <c r="P605" s="236"/>
      <c r="Q605" s="236"/>
      <c r="R605" s="236"/>
      <c r="S605" s="236"/>
      <c r="T605" s="236"/>
      <c r="U605" s="236"/>
      <c r="V605" s="236"/>
      <c r="W605" s="236"/>
      <c r="X605" s="236"/>
      <c r="Y605" s="236"/>
      <c r="Z605" s="236"/>
      <c r="AA605" s="236"/>
      <c r="AB605" s="236"/>
      <c r="AC605" s="236"/>
      <c r="AD605" s="236"/>
      <c r="AE605" s="236"/>
      <c r="AF605" s="236"/>
      <c r="AG605" s="236"/>
      <c r="AH605" s="236"/>
      <c r="AI605" s="236"/>
      <c r="AJ605" s="236"/>
      <c r="AK605" s="236"/>
      <c r="AL605" s="236"/>
      <c r="AM605" s="236"/>
      <c r="AN605" s="236"/>
      <c r="AO605" s="236"/>
      <c r="AP605" s="236"/>
      <c r="AQ605" s="236"/>
      <c r="AR605" s="236"/>
      <c r="AS605" s="236"/>
      <c r="AT605" s="236"/>
      <c r="AU605" s="236"/>
      <c r="AV605" s="236"/>
      <c r="AW605" s="236"/>
      <c r="AX605" s="236"/>
      <c r="AY605" s="236"/>
      <c r="AZ605" s="236"/>
      <c r="BA605" s="236"/>
      <c r="BB605" s="236"/>
      <c r="BC605" s="236"/>
      <c r="BD605" s="236"/>
      <c r="BE605" s="236"/>
      <c r="BF605" s="236"/>
      <c r="BG605" s="236"/>
      <c r="BH605" s="236"/>
    </row>
    <row r="606" spans="1:60" ht="13">
      <c r="A606" s="27"/>
      <c r="B606" s="27"/>
      <c r="C606" s="312"/>
      <c r="D606" s="231"/>
      <c r="E606" s="27"/>
      <c r="F606" s="27"/>
      <c r="G606" s="231"/>
      <c r="H606" s="27"/>
      <c r="I606" s="27"/>
      <c r="J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</row>
    <row r="607" spans="1:60" ht="13">
      <c r="A607" s="236"/>
      <c r="B607" s="236"/>
      <c r="C607" s="311"/>
      <c r="D607" s="237"/>
      <c r="E607" s="236"/>
      <c r="F607" s="236"/>
      <c r="G607" s="237"/>
      <c r="H607" s="236"/>
      <c r="I607" s="236"/>
      <c r="J607" s="236"/>
      <c r="N607" s="236"/>
      <c r="O607" s="236"/>
      <c r="P607" s="236"/>
      <c r="Q607" s="236"/>
      <c r="R607" s="236"/>
      <c r="S607" s="236"/>
      <c r="T607" s="236"/>
      <c r="U607" s="236"/>
      <c r="V607" s="236"/>
      <c r="W607" s="236"/>
      <c r="X607" s="236"/>
      <c r="Y607" s="236"/>
      <c r="Z607" s="236"/>
      <c r="AA607" s="236"/>
      <c r="AB607" s="236"/>
      <c r="AC607" s="236"/>
      <c r="AD607" s="236"/>
      <c r="AE607" s="236"/>
      <c r="AF607" s="236"/>
      <c r="AG607" s="236"/>
      <c r="AH607" s="236"/>
      <c r="AI607" s="236"/>
      <c r="AJ607" s="236"/>
      <c r="AK607" s="236"/>
      <c r="AL607" s="236"/>
      <c r="AM607" s="236"/>
      <c r="AN607" s="236"/>
      <c r="AO607" s="236"/>
      <c r="AP607" s="236"/>
      <c r="AQ607" s="236"/>
      <c r="AR607" s="236"/>
      <c r="AS607" s="236"/>
      <c r="AT607" s="236"/>
      <c r="AU607" s="236"/>
      <c r="AV607" s="236"/>
      <c r="AW607" s="236"/>
      <c r="AX607" s="236"/>
      <c r="AY607" s="236"/>
      <c r="AZ607" s="236"/>
      <c r="BA607" s="236"/>
      <c r="BB607" s="236"/>
      <c r="BC607" s="236"/>
      <c r="BD607" s="236"/>
      <c r="BE607" s="236"/>
      <c r="BF607" s="236"/>
      <c r="BG607" s="236"/>
      <c r="BH607" s="236"/>
    </row>
    <row r="608" spans="1:60" ht="13">
      <c r="A608" s="27"/>
      <c r="B608" s="27"/>
      <c r="C608" s="312"/>
      <c r="D608" s="231"/>
      <c r="E608" s="27"/>
      <c r="F608" s="27"/>
      <c r="G608" s="231"/>
      <c r="H608" s="27"/>
      <c r="I608" s="27"/>
      <c r="J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</row>
    <row r="609" spans="1:60" ht="13">
      <c r="A609" s="236"/>
      <c r="B609" s="236"/>
      <c r="C609" s="311"/>
      <c r="D609" s="237"/>
      <c r="E609" s="236"/>
      <c r="F609" s="236"/>
      <c r="G609" s="237"/>
      <c r="H609" s="236"/>
      <c r="I609" s="236"/>
      <c r="J609" s="236"/>
      <c r="N609" s="236"/>
      <c r="O609" s="236"/>
      <c r="P609" s="236"/>
      <c r="Q609" s="236"/>
      <c r="R609" s="236"/>
      <c r="S609" s="236"/>
      <c r="T609" s="236"/>
      <c r="U609" s="236"/>
      <c r="V609" s="236"/>
      <c r="W609" s="236"/>
      <c r="X609" s="236"/>
      <c r="Y609" s="236"/>
      <c r="Z609" s="236"/>
      <c r="AA609" s="236"/>
      <c r="AB609" s="236"/>
      <c r="AC609" s="236"/>
      <c r="AD609" s="236"/>
      <c r="AE609" s="236"/>
      <c r="AF609" s="236"/>
      <c r="AG609" s="236"/>
      <c r="AH609" s="236"/>
      <c r="AI609" s="236"/>
      <c r="AJ609" s="236"/>
      <c r="AK609" s="236"/>
      <c r="AL609" s="236"/>
      <c r="AM609" s="236"/>
      <c r="AN609" s="236"/>
      <c r="AO609" s="236"/>
      <c r="AP609" s="236"/>
      <c r="AQ609" s="236"/>
      <c r="AR609" s="236"/>
      <c r="AS609" s="236"/>
      <c r="AT609" s="236"/>
      <c r="AU609" s="236"/>
      <c r="AV609" s="236"/>
      <c r="AW609" s="236"/>
      <c r="AX609" s="236"/>
      <c r="AY609" s="236"/>
      <c r="AZ609" s="236"/>
      <c r="BA609" s="236"/>
      <c r="BB609" s="236"/>
      <c r="BC609" s="236"/>
      <c r="BD609" s="236"/>
      <c r="BE609" s="236"/>
      <c r="BF609" s="236"/>
      <c r="BG609" s="236"/>
      <c r="BH609" s="236"/>
    </row>
    <row r="610" spans="1:60" ht="13">
      <c r="A610" s="27"/>
      <c r="B610" s="27"/>
      <c r="C610" s="312"/>
      <c r="D610" s="231"/>
      <c r="E610" s="27"/>
      <c r="F610" s="27"/>
      <c r="G610" s="231"/>
      <c r="H610" s="27"/>
      <c r="I610" s="27"/>
      <c r="J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</row>
    <row r="611" spans="1:60" ht="13">
      <c r="A611" s="236"/>
      <c r="B611" s="236"/>
      <c r="C611" s="311"/>
      <c r="D611" s="237"/>
      <c r="E611" s="236"/>
      <c r="F611" s="236"/>
      <c r="G611" s="237"/>
      <c r="H611" s="236"/>
      <c r="I611" s="236"/>
      <c r="J611" s="236"/>
      <c r="N611" s="236"/>
      <c r="O611" s="236"/>
      <c r="P611" s="236"/>
      <c r="Q611" s="236"/>
      <c r="R611" s="236"/>
      <c r="S611" s="236"/>
      <c r="T611" s="236"/>
      <c r="U611" s="236"/>
      <c r="V611" s="236"/>
      <c r="W611" s="236"/>
      <c r="X611" s="236"/>
      <c r="Y611" s="236"/>
      <c r="Z611" s="236"/>
      <c r="AA611" s="236"/>
      <c r="AB611" s="236"/>
      <c r="AC611" s="236"/>
      <c r="AD611" s="236"/>
      <c r="AE611" s="236"/>
      <c r="AF611" s="236"/>
      <c r="AG611" s="236"/>
      <c r="AH611" s="236"/>
      <c r="AI611" s="236"/>
      <c r="AJ611" s="236"/>
      <c r="AK611" s="236"/>
      <c r="AL611" s="236"/>
      <c r="AM611" s="236"/>
      <c r="AN611" s="236"/>
      <c r="AO611" s="236"/>
      <c r="AP611" s="236"/>
      <c r="AQ611" s="236"/>
      <c r="AR611" s="236"/>
      <c r="AS611" s="236"/>
      <c r="AT611" s="236"/>
      <c r="AU611" s="236"/>
      <c r="AV611" s="236"/>
      <c r="AW611" s="236"/>
      <c r="AX611" s="236"/>
      <c r="AY611" s="236"/>
      <c r="AZ611" s="236"/>
      <c r="BA611" s="236"/>
      <c r="BB611" s="236"/>
      <c r="BC611" s="236"/>
      <c r="BD611" s="236"/>
      <c r="BE611" s="236"/>
      <c r="BF611" s="236"/>
      <c r="BG611" s="236"/>
      <c r="BH611" s="236"/>
    </row>
    <row r="612" spans="1:60" ht="13">
      <c r="A612" s="27"/>
      <c r="B612" s="27"/>
      <c r="C612" s="312"/>
      <c r="D612" s="231"/>
      <c r="E612" s="27"/>
      <c r="F612" s="27"/>
      <c r="G612" s="231"/>
      <c r="H612" s="27"/>
      <c r="I612" s="27"/>
      <c r="J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</row>
    <row r="613" spans="1:60" ht="13">
      <c r="A613" s="236"/>
      <c r="B613" s="236"/>
      <c r="C613" s="311"/>
      <c r="D613" s="237"/>
      <c r="E613" s="236"/>
      <c r="F613" s="236"/>
      <c r="G613" s="237"/>
      <c r="H613" s="236"/>
      <c r="I613" s="236"/>
      <c r="J613" s="236"/>
      <c r="N613" s="236"/>
      <c r="O613" s="236"/>
      <c r="P613" s="236"/>
      <c r="Q613" s="236"/>
      <c r="R613" s="236"/>
      <c r="S613" s="236"/>
      <c r="T613" s="236"/>
      <c r="U613" s="236"/>
      <c r="V613" s="236"/>
      <c r="W613" s="236"/>
      <c r="X613" s="236"/>
      <c r="Y613" s="236"/>
      <c r="Z613" s="236"/>
      <c r="AA613" s="236"/>
      <c r="AB613" s="236"/>
      <c r="AC613" s="236"/>
      <c r="AD613" s="236"/>
      <c r="AE613" s="236"/>
      <c r="AF613" s="236"/>
      <c r="AG613" s="236"/>
      <c r="AH613" s="236"/>
      <c r="AI613" s="236"/>
      <c r="AJ613" s="236"/>
      <c r="AK613" s="236"/>
      <c r="AL613" s="236"/>
      <c r="AM613" s="236"/>
      <c r="AN613" s="236"/>
      <c r="AO613" s="236"/>
      <c r="AP613" s="236"/>
      <c r="AQ613" s="236"/>
      <c r="AR613" s="236"/>
      <c r="AS613" s="236"/>
      <c r="AT613" s="236"/>
      <c r="AU613" s="236"/>
      <c r="AV613" s="236"/>
      <c r="AW613" s="236"/>
      <c r="AX613" s="236"/>
      <c r="AY613" s="236"/>
      <c r="AZ613" s="236"/>
      <c r="BA613" s="236"/>
      <c r="BB613" s="236"/>
      <c r="BC613" s="236"/>
      <c r="BD613" s="236"/>
      <c r="BE613" s="236"/>
      <c r="BF613" s="236"/>
      <c r="BG613" s="236"/>
      <c r="BH613" s="236"/>
    </row>
    <row r="614" spans="1:60" ht="13">
      <c r="A614" s="27"/>
      <c r="B614" s="27"/>
      <c r="C614" s="312"/>
      <c r="D614" s="231"/>
      <c r="E614" s="27"/>
      <c r="F614" s="27"/>
      <c r="G614" s="231"/>
      <c r="H614" s="27"/>
      <c r="I614" s="27"/>
      <c r="J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</row>
    <row r="615" spans="1:60" ht="13">
      <c r="A615" s="236"/>
      <c r="B615" s="236"/>
      <c r="C615" s="311"/>
      <c r="D615" s="237"/>
      <c r="E615" s="236"/>
      <c r="F615" s="236"/>
      <c r="G615" s="237"/>
      <c r="H615" s="236"/>
      <c r="I615" s="236"/>
      <c r="J615" s="236"/>
      <c r="N615" s="236"/>
      <c r="O615" s="236"/>
      <c r="P615" s="236"/>
      <c r="Q615" s="236"/>
      <c r="R615" s="236"/>
      <c r="S615" s="236"/>
      <c r="T615" s="236"/>
      <c r="U615" s="236"/>
      <c r="V615" s="236"/>
      <c r="W615" s="236"/>
      <c r="X615" s="236"/>
      <c r="Y615" s="236"/>
      <c r="Z615" s="236"/>
      <c r="AA615" s="236"/>
      <c r="AB615" s="236"/>
      <c r="AC615" s="236"/>
      <c r="AD615" s="236"/>
      <c r="AE615" s="236"/>
      <c r="AF615" s="236"/>
      <c r="AG615" s="236"/>
      <c r="AH615" s="236"/>
      <c r="AI615" s="236"/>
      <c r="AJ615" s="236"/>
      <c r="AK615" s="236"/>
      <c r="AL615" s="236"/>
      <c r="AM615" s="236"/>
      <c r="AN615" s="236"/>
      <c r="AO615" s="236"/>
      <c r="AP615" s="236"/>
      <c r="AQ615" s="236"/>
      <c r="AR615" s="236"/>
      <c r="AS615" s="236"/>
      <c r="AT615" s="236"/>
      <c r="AU615" s="236"/>
      <c r="AV615" s="236"/>
      <c r="AW615" s="236"/>
      <c r="AX615" s="236"/>
      <c r="AY615" s="236"/>
      <c r="AZ615" s="236"/>
      <c r="BA615" s="236"/>
      <c r="BB615" s="236"/>
      <c r="BC615" s="236"/>
      <c r="BD615" s="236"/>
      <c r="BE615" s="236"/>
      <c r="BF615" s="236"/>
      <c r="BG615" s="236"/>
      <c r="BH615" s="236"/>
    </row>
    <row r="616" spans="1:60" ht="13">
      <c r="A616" s="27"/>
      <c r="B616" s="27"/>
      <c r="C616" s="312"/>
      <c r="D616" s="231"/>
      <c r="E616" s="27"/>
      <c r="F616" s="27"/>
      <c r="G616" s="231"/>
      <c r="H616" s="27"/>
      <c r="I616" s="27"/>
      <c r="J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</row>
    <row r="617" spans="1:60" ht="13">
      <c r="A617" s="236"/>
      <c r="B617" s="236"/>
      <c r="C617" s="311"/>
      <c r="D617" s="237"/>
      <c r="E617" s="236"/>
      <c r="F617" s="236"/>
      <c r="G617" s="237"/>
      <c r="H617" s="236"/>
      <c r="I617" s="236"/>
      <c r="J617" s="236"/>
      <c r="N617" s="236"/>
      <c r="O617" s="236"/>
      <c r="P617" s="236"/>
      <c r="Q617" s="236"/>
      <c r="R617" s="236"/>
      <c r="S617" s="236"/>
      <c r="T617" s="236"/>
      <c r="U617" s="236"/>
      <c r="V617" s="236"/>
      <c r="W617" s="236"/>
      <c r="X617" s="236"/>
      <c r="Y617" s="236"/>
      <c r="Z617" s="236"/>
      <c r="AA617" s="236"/>
      <c r="AB617" s="236"/>
      <c r="AC617" s="236"/>
      <c r="AD617" s="236"/>
      <c r="AE617" s="236"/>
      <c r="AF617" s="236"/>
      <c r="AG617" s="236"/>
      <c r="AH617" s="236"/>
      <c r="AI617" s="236"/>
      <c r="AJ617" s="236"/>
      <c r="AK617" s="236"/>
      <c r="AL617" s="236"/>
      <c r="AM617" s="236"/>
      <c r="AN617" s="236"/>
      <c r="AO617" s="236"/>
      <c r="AP617" s="236"/>
      <c r="AQ617" s="236"/>
      <c r="AR617" s="236"/>
      <c r="AS617" s="236"/>
      <c r="AT617" s="236"/>
      <c r="AU617" s="236"/>
      <c r="AV617" s="236"/>
      <c r="AW617" s="236"/>
      <c r="AX617" s="236"/>
      <c r="AY617" s="236"/>
      <c r="AZ617" s="236"/>
      <c r="BA617" s="236"/>
      <c r="BB617" s="236"/>
      <c r="BC617" s="236"/>
      <c r="BD617" s="236"/>
      <c r="BE617" s="236"/>
      <c r="BF617" s="236"/>
      <c r="BG617" s="236"/>
      <c r="BH617" s="236"/>
    </row>
    <row r="618" spans="1:60" ht="13">
      <c r="A618" s="27"/>
      <c r="B618" s="27"/>
      <c r="C618" s="312"/>
      <c r="D618" s="231"/>
      <c r="E618" s="27"/>
      <c r="F618" s="27"/>
      <c r="G618" s="231"/>
      <c r="H618" s="27"/>
      <c r="I618" s="27"/>
      <c r="J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</row>
    <row r="619" spans="1:60" ht="13">
      <c r="A619" s="236"/>
      <c r="B619" s="236"/>
      <c r="C619" s="311"/>
      <c r="D619" s="237"/>
      <c r="E619" s="236"/>
      <c r="F619" s="236"/>
      <c r="G619" s="237"/>
      <c r="H619" s="236"/>
      <c r="I619" s="236"/>
      <c r="J619" s="236"/>
      <c r="N619" s="236"/>
      <c r="O619" s="236"/>
      <c r="P619" s="236"/>
      <c r="Q619" s="236"/>
      <c r="R619" s="236"/>
      <c r="S619" s="236"/>
      <c r="T619" s="236"/>
      <c r="U619" s="236"/>
      <c r="V619" s="236"/>
      <c r="W619" s="236"/>
      <c r="X619" s="236"/>
      <c r="Y619" s="236"/>
      <c r="Z619" s="236"/>
      <c r="AA619" s="236"/>
      <c r="AB619" s="236"/>
      <c r="AC619" s="236"/>
      <c r="AD619" s="236"/>
      <c r="AE619" s="236"/>
      <c r="AF619" s="236"/>
      <c r="AG619" s="236"/>
      <c r="AH619" s="236"/>
      <c r="AI619" s="236"/>
      <c r="AJ619" s="236"/>
      <c r="AK619" s="236"/>
      <c r="AL619" s="236"/>
      <c r="AM619" s="236"/>
      <c r="AN619" s="236"/>
      <c r="AO619" s="236"/>
      <c r="AP619" s="236"/>
      <c r="AQ619" s="236"/>
      <c r="AR619" s="236"/>
      <c r="AS619" s="236"/>
      <c r="AT619" s="236"/>
      <c r="AU619" s="236"/>
      <c r="AV619" s="236"/>
      <c r="AW619" s="236"/>
      <c r="AX619" s="236"/>
      <c r="AY619" s="236"/>
      <c r="AZ619" s="236"/>
      <c r="BA619" s="236"/>
      <c r="BB619" s="236"/>
      <c r="BC619" s="236"/>
      <c r="BD619" s="236"/>
      <c r="BE619" s="236"/>
      <c r="BF619" s="236"/>
      <c r="BG619" s="236"/>
      <c r="BH619" s="236"/>
    </row>
    <row r="620" spans="1:60" ht="13">
      <c r="A620" s="27"/>
      <c r="B620" s="27"/>
      <c r="C620" s="312"/>
      <c r="D620" s="231"/>
      <c r="E620" s="27"/>
      <c r="F620" s="27"/>
      <c r="G620" s="231"/>
      <c r="H620" s="27"/>
      <c r="I620" s="27"/>
      <c r="J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</row>
    <row r="621" spans="1:60" ht="13">
      <c r="A621" s="236"/>
      <c r="B621" s="236"/>
      <c r="C621" s="311"/>
      <c r="D621" s="237"/>
      <c r="E621" s="236"/>
      <c r="F621" s="236"/>
      <c r="G621" s="237"/>
      <c r="H621" s="236"/>
      <c r="I621" s="236"/>
      <c r="J621" s="236"/>
      <c r="N621" s="236"/>
      <c r="O621" s="236"/>
      <c r="P621" s="236"/>
      <c r="Q621" s="236"/>
      <c r="R621" s="236"/>
      <c r="S621" s="236"/>
      <c r="T621" s="236"/>
      <c r="U621" s="236"/>
      <c r="V621" s="236"/>
      <c r="W621" s="236"/>
      <c r="X621" s="236"/>
      <c r="Y621" s="236"/>
      <c r="Z621" s="236"/>
      <c r="AA621" s="236"/>
      <c r="AB621" s="236"/>
      <c r="AC621" s="236"/>
      <c r="AD621" s="236"/>
      <c r="AE621" s="236"/>
      <c r="AF621" s="236"/>
      <c r="AG621" s="236"/>
      <c r="AH621" s="236"/>
      <c r="AI621" s="236"/>
      <c r="AJ621" s="236"/>
      <c r="AK621" s="236"/>
      <c r="AL621" s="236"/>
      <c r="AM621" s="236"/>
      <c r="AN621" s="236"/>
      <c r="AO621" s="236"/>
      <c r="AP621" s="236"/>
      <c r="AQ621" s="236"/>
      <c r="AR621" s="236"/>
      <c r="AS621" s="236"/>
      <c r="AT621" s="236"/>
      <c r="AU621" s="236"/>
      <c r="AV621" s="236"/>
      <c r="AW621" s="236"/>
      <c r="AX621" s="236"/>
      <c r="AY621" s="236"/>
      <c r="AZ621" s="236"/>
      <c r="BA621" s="236"/>
      <c r="BB621" s="236"/>
      <c r="BC621" s="236"/>
      <c r="BD621" s="236"/>
      <c r="BE621" s="236"/>
      <c r="BF621" s="236"/>
      <c r="BG621" s="236"/>
      <c r="BH621" s="236"/>
    </row>
    <row r="622" spans="1:60" ht="13">
      <c r="A622" s="27"/>
      <c r="B622" s="27"/>
      <c r="C622" s="312"/>
      <c r="D622" s="231"/>
      <c r="E622" s="27"/>
      <c r="F622" s="27"/>
      <c r="G622" s="231"/>
      <c r="H622" s="27"/>
      <c r="I622" s="27"/>
      <c r="J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</row>
    <row r="623" spans="1:60" ht="13">
      <c r="A623" s="236"/>
      <c r="B623" s="236"/>
      <c r="C623" s="311"/>
      <c r="D623" s="237"/>
      <c r="E623" s="236"/>
      <c r="F623" s="236"/>
      <c r="G623" s="237"/>
      <c r="H623" s="236"/>
      <c r="I623" s="236"/>
      <c r="J623" s="236"/>
      <c r="N623" s="236"/>
      <c r="O623" s="236"/>
      <c r="P623" s="236"/>
      <c r="Q623" s="236"/>
      <c r="R623" s="236"/>
      <c r="S623" s="236"/>
      <c r="T623" s="236"/>
      <c r="U623" s="236"/>
      <c r="V623" s="236"/>
      <c r="W623" s="236"/>
      <c r="X623" s="236"/>
      <c r="Y623" s="236"/>
      <c r="Z623" s="236"/>
      <c r="AA623" s="236"/>
      <c r="AB623" s="236"/>
      <c r="AC623" s="236"/>
      <c r="AD623" s="236"/>
      <c r="AE623" s="236"/>
      <c r="AF623" s="236"/>
      <c r="AG623" s="236"/>
      <c r="AH623" s="236"/>
      <c r="AI623" s="236"/>
      <c r="AJ623" s="236"/>
      <c r="AK623" s="236"/>
      <c r="AL623" s="236"/>
      <c r="AM623" s="236"/>
      <c r="AN623" s="236"/>
      <c r="AO623" s="236"/>
      <c r="AP623" s="236"/>
      <c r="AQ623" s="236"/>
      <c r="AR623" s="236"/>
      <c r="AS623" s="236"/>
      <c r="AT623" s="236"/>
      <c r="AU623" s="236"/>
      <c r="AV623" s="236"/>
      <c r="AW623" s="236"/>
      <c r="AX623" s="236"/>
      <c r="AY623" s="236"/>
      <c r="AZ623" s="236"/>
      <c r="BA623" s="236"/>
      <c r="BB623" s="236"/>
      <c r="BC623" s="236"/>
      <c r="BD623" s="236"/>
      <c r="BE623" s="236"/>
      <c r="BF623" s="236"/>
      <c r="BG623" s="236"/>
      <c r="BH623" s="236"/>
    </row>
    <row r="624" spans="1:60" ht="13">
      <c r="A624" s="27"/>
      <c r="B624" s="27"/>
      <c r="C624" s="312"/>
      <c r="D624" s="231"/>
      <c r="E624" s="27"/>
      <c r="F624" s="27"/>
      <c r="G624" s="231"/>
      <c r="H624" s="27"/>
      <c r="I624" s="27"/>
      <c r="J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</row>
    <row r="625" spans="1:60" ht="13">
      <c r="A625" s="236"/>
      <c r="B625" s="236"/>
      <c r="C625" s="311"/>
      <c r="D625" s="237"/>
      <c r="E625" s="236"/>
      <c r="F625" s="236"/>
      <c r="G625" s="237"/>
      <c r="H625" s="236"/>
      <c r="I625" s="236"/>
      <c r="J625" s="236"/>
      <c r="N625" s="236"/>
      <c r="O625" s="236"/>
      <c r="P625" s="236"/>
      <c r="Q625" s="236"/>
      <c r="R625" s="236"/>
      <c r="S625" s="236"/>
      <c r="T625" s="236"/>
      <c r="U625" s="236"/>
      <c r="V625" s="236"/>
      <c r="W625" s="236"/>
      <c r="X625" s="236"/>
      <c r="Y625" s="236"/>
      <c r="Z625" s="236"/>
      <c r="AA625" s="236"/>
      <c r="AB625" s="236"/>
      <c r="AC625" s="236"/>
      <c r="AD625" s="236"/>
      <c r="AE625" s="236"/>
      <c r="AF625" s="236"/>
      <c r="AG625" s="236"/>
      <c r="AH625" s="236"/>
      <c r="AI625" s="236"/>
      <c r="AJ625" s="236"/>
      <c r="AK625" s="236"/>
      <c r="AL625" s="236"/>
      <c r="AM625" s="236"/>
      <c r="AN625" s="236"/>
      <c r="AO625" s="236"/>
      <c r="AP625" s="236"/>
      <c r="AQ625" s="236"/>
      <c r="AR625" s="236"/>
      <c r="AS625" s="236"/>
      <c r="AT625" s="236"/>
      <c r="AU625" s="236"/>
      <c r="AV625" s="236"/>
      <c r="AW625" s="236"/>
      <c r="AX625" s="236"/>
      <c r="AY625" s="236"/>
      <c r="AZ625" s="236"/>
      <c r="BA625" s="236"/>
      <c r="BB625" s="236"/>
      <c r="BC625" s="236"/>
      <c r="BD625" s="236"/>
      <c r="BE625" s="236"/>
      <c r="BF625" s="236"/>
      <c r="BG625" s="236"/>
      <c r="BH625" s="236"/>
    </row>
    <row r="626" spans="1:60" ht="13">
      <c r="A626" s="27"/>
      <c r="B626" s="27"/>
      <c r="C626" s="312"/>
      <c r="D626" s="231"/>
      <c r="E626" s="27"/>
      <c r="F626" s="27"/>
      <c r="G626" s="231"/>
      <c r="H626" s="27"/>
      <c r="I626" s="27"/>
      <c r="J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</row>
    <row r="627" spans="1:60" ht="13">
      <c r="A627" s="236"/>
      <c r="B627" s="236"/>
      <c r="C627" s="311"/>
      <c r="D627" s="237"/>
      <c r="E627" s="236"/>
      <c r="F627" s="236"/>
      <c r="G627" s="237"/>
      <c r="H627" s="236"/>
      <c r="I627" s="236"/>
      <c r="J627" s="236"/>
      <c r="N627" s="236"/>
      <c r="O627" s="236"/>
      <c r="P627" s="236"/>
      <c r="Q627" s="236"/>
      <c r="R627" s="236"/>
      <c r="S627" s="236"/>
      <c r="T627" s="236"/>
      <c r="U627" s="236"/>
      <c r="V627" s="236"/>
      <c r="W627" s="236"/>
      <c r="X627" s="236"/>
      <c r="Y627" s="236"/>
      <c r="Z627" s="236"/>
      <c r="AA627" s="236"/>
      <c r="AB627" s="236"/>
      <c r="AC627" s="236"/>
      <c r="AD627" s="236"/>
      <c r="AE627" s="236"/>
      <c r="AF627" s="236"/>
      <c r="AG627" s="236"/>
      <c r="AH627" s="236"/>
      <c r="AI627" s="236"/>
      <c r="AJ627" s="236"/>
      <c r="AK627" s="236"/>
      <c r="AL627" s="236"/>
      <c r="AM627" s="236"/>
      <c r="AN627" s="236"/>
      <c r="AO627" s="236"/>
      <c r="AP627" s="236"/>
      <c r="AQ627" s="236"/>
      <c r="AR627" s="236"/>
      <c r="AS627" s="236"/>
      <c r="AT627" s="236"/>
      <c r="AU627" s="236"/>
      <c r="AV627" s="236"/>
      <c r="AW627" s="236"/>
      <c r="AX627" s="236"/>
      <c r="AY627" s="236"/>
      <c r="AZ627" s="236"/>
      <c r="BA627" s="236"/>
      <c r="BB627" s="236"/>
      <c r="BC627" s="236"/>
      <c r="BD627" s="236"/>
      <c r="BE627" s="236"/>
      <c r="BF627" s="236"/>
      <c r="BG627" s="236"/>
      <c r="BH627" s="236"/>
    </row>
    <row r="628" spans="1:60" ht="13">
      <c r="A628" s="27"/>
      <c r="B628" s="27"/>
      <c r="C628" s="312"/>
      <c r="D628" s="231"/>
      <c r="E628" s="27"/>
      <c r="F628" s="27"/>
      <c r="G628" s="231"/>
      <c r="H628" s="27"/>
      <c r="I628" s="27"/>
      <c r="J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</row>
    <row r="629" spans="1:60" ht="13">
      <c r="A629" s="236"/>
      <c r="B629" s="236"/>
      <c r="C629" s="311"/>
      <c r="D629" s="237"/>
      <c r="E629" s="236"/>
      <c r="F629" s="236"/>
      <c r="G629" s="237"/>
      <c r="H629" s="236"/>
      <c r="I629" s="236"/>
      <c r="J629" s="236"/>
      <c r="N629" s="236"/>
      <c r="O629" s="236"/>
      <c r="P629" s="236"/>
      <c r="Q629" s="236"/>
      <c r="R629" s="236"/>
      <c r="S629" s="236"/>
      <c r="T629" s="236"/>
      <c r="U629" s="236"/>
      <c r="V629" s="236"/>
      <c r="W629" s="236"/>
      <c r="X629" s="236"/>
      <c r="Y629" s="236"/>
      <c r="Z629" s="236"/>
      <c r="AA629" s="236"/>
      <c r="AB629" s="236"/>
      <c r="AC629" s="236"/>
      <c r="AD629" s="236"/>
      <c r="AE629" s="236"/>
      <c r="AF629" s="236"/>
      <c r="AG629" s="236"/>
      <c r="AH629" s="236"/>
      <c r="AI629" s="236"/>
      <c r="AJ629" s="236"/>
      <c r="AK629" s="236"/>
      <c r="AL629" s="236"/>
      <c r="AM629" s="236"/>
      <c r="AN629" s="236"/>
      <c r="AO629" s="236"/>
      <c r="AP629" s="236"/>
      <c r="AQ629" s="236"/>
      <c r="AR629" s="236"/>
      <c r="AS629" s="236"/>
      <c r="AT629" s="236"/>
      <c r="AU629" s="236"/>
      <c r="AV629" s="236"/>
      <c r="AW629" s="236"/>
      <c r="AX629" s="236"/>
      <c r="AY629" s="236"/>
      <c r="AZ629" s="236"/>
      <c r="BA629" s="236"/>
      <c r="BB629" s="236"/>
      <c r="BC629" s="236"/>
      <c r="BD629" s="236"/>
      <c r="BE629" s="236"/>
      <c r="BF629" s="236"/>
      <c r="BG629" s="236"/>
      <c r="BH629" s="236"/>
    </row>
    <row r="630" spans="1:60" ht="13">
      <c r="A630" s="27"/>
      <c r="B630" s="27"/>
      <c r="C630" s="312"/>
      <c r="D630" s="231"/>
      <c r="E630" s="27"/>
      <c r="F630" s="27"/>
      <c r="G630" s="231"/>
      <c r="H630" s="27"/>
      <c r="I630" s="27"/>
      <c r="J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</row>
    <row r="631" spans="1:60" ht="13">
      <c r="A631" s="236"/>
      <c r="B631" s="236"/>
      <c r="C631" s="311"/>
      <c r="D631" s="237"/>
      <c r="E631" s="236"/>
      <c r="F631" s="236"/>
      <c r="G631" s="237"/>
      <c r="H631" s="236"/>
      <c r="I631" s="236"/>
      <c r="J631" s="236"/>
      <c r="N631" s="236"/>
      <c r="O631" s="236"/>
      <c r="P631" s="236"/>
      <c r="Q631" s="236"/>
      <c r="R631" s="236"/>
      <c r="S631" s="236"/>
      <c r="T631" s="236"/>
      <c r="U631" s="236"/>
      <c r="V631" s="236"/>
      <c r="W631" s="236"/>
      <c r="X631" s="236"/>
      <c r="Y631" s="236"/>
      <c r="Z631" s="236"/>
      <c r="AA631" s="236"/>
      <c r="AB631" s="236"/>
      <c r="AC631" s="236"/>
      <c r="AD631" s="236"/>
      <c r="AE631" s="236"/>
      <c r="AF631" s="236"/>
      <c r="AG631" s="236"/>
      <c r="AH631" s="236"/>
      <c r="AI631" s="236"/>
      <c r="AJ631" s="236"/>
      <c r="AK631" s="236"/>
      <c r="AL631" s="236"/>
      <c r="AM631" s="236"/>
      <c r="AN631" s="236"/>
      <c r="AO631" s="236"/>
      <c r="AP631" s="236"/>
      <c r="AQ631" s="236"/>
      <c r="AR631" s="236"/>
      <c r="AS631" s="236"/>
      <c r="AT631" s="236"/>
      <c r="AU631" s="236"/>
      <c r="AV631" s="236"/>
      <c r="AW631" s="236"/>
      <c r="AX631" s="236"/>
      <c r="AY631" s="236"/>
      <c r="AZ631" s="236"/>
      <c r="BA631" s="236"/>
      <c r="BB631" s="236"/>
      <c r="BC631" s="236"/>
      <c r="BD631" s="236"/>
      <c r="BE631" s="236"/>
      <c r="BF631" s="236"/>
      <c r="BG631" s="236"/>
      <c r="BH631" s="236"/>
    </row>
    <row r="632" spans="1:60" ht="13">
      <c r="A632" s="27"/>
      <c r="B632" s="27"/>
      <c r="C632" s="312"/>
      <c r="D632" s="231"/>
      <c r="E632" s="27"/>
      <c r="F632" s="27"/>
      <c r="G632" s="231"/>
      <c r="H632" s="27"/>
      <c r="I632" s="27"/>
      <c r="J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</row>
    <row r="633" spans="1:60" ht="13">
      <c r="A633" s="236"/>
      <c r="B633" s="236"/>
      <c r="C633" s="311"/>
      <c r="D633" s="237"/>
      <c r="E633" s="236"/>
      <c r="F633" s="236"/>
      <c r="G633" s="237"/>
      <c r="H633" s="236"/>
      <c r="I633" s="236"/>
      <c r="J633" s="236"/>
      <c r="N633" s="236"/>
      <c r="O633" s="236"/>
      <c r="P633" s="236"/>
      <c r="Q633" s="236"/>
      <c r="R633" s="236"/>
      <c r="S633" s="236"/>
      <c r="T633" s="236"/>
      <c r="U633" s="236"/>
      <c r="V633" s="236"/>
      <c r="W633" s="236"/>
      <c r="X633" s="236"/>
      <c r="Y633" s="236"/>
      <c r="Z633" s="236"/>
      <c r="AA633" s="236"/>
      <c r="AB633" s="236"/>
      <c r="AC633" s="236"/>
      <c r="AD633" s="236"/>
      <c r="AE633" s="236"/>
      <c r="AF633" s="236"/>
      <c r="AG633" s="236"/>
      <c r="AH633" s="236"/>
      <c r="AI633" s="236"/>
      <c r="AJ633" s="236"/>
      <c r="AK633" s="236"/>
      <c r="AL633" s="236"/>
      <c r="AM633" s="236"/>
      <c r="AN633" s="236"/>
      <c r="AO633" s="236"/>
      <c r="AP633" s="236"/>
      <c r="AQ633" s="236"/>
      <c r="AR633" s="236"/>
      <c r="AS633" s="236"/>
      <c r="AT633" s="236"/>
      <c r="AU633" s="236"/>
      <c r="AV633" s="236"/>
      <c r="AW633" s="236"/>
      <c r="AX633" s="236"/>
      <c r="AY633" s="236"/>
      <c r="AZ633" s="236"/>
      <c r="BA633" s="236"/>
      <c r="BB633" s="236"/>
      <c r="BC633" s="236"/>
      <c r="BD633" s="236"/>
      <c r="BE633" s="236"/>
      <c r="BF633" s="236"/>
      <c r="BG633" s="236"/>
      <c r="BH633" s="236"/>
    </row>
    <row r="634" spans="1:60" ht="13">
      <c r="A634" s="27"/>
      <c r="B634" s="27"/>
      <c r="C634" s="312"/>
      <c r="D634" s="231"/>
      <c r="E634" s="27"/>
      <c r="F634" s="27"/>
      <c r="G634" s="231"/>
      <c r="H634" s="27"/>
      <c r="I634" s="27"/>
      <c r="J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</row>
    <row r="635" spans="1:60" ht="13">
      <c r="A635" s="236"/>
      <c r="B635" s="236"/>
      <c r="C635" s="311"/>
      <c r="D635" s="237"/>
      <c r="E635" s="236"/>
      <c r="F635" s="236"/>
      <c r="G635" s="237"/>
      <c r="H635" s="236"/>
      <c r="I635" s="236"/>
      <c r="J635" s="236"/>
      <c r="N635" s="236"/>
      <c r="O635" s="236"/>
      <c r="P635" s="236"/>
      <c r="Q635" s="236"/>
      <c r="R635" s="236"/>
      <c r="S635" s="236"/>
      <c r="T635" s="236"/>
      <c r="U635" s="236"/>
      <c r="V635" s="236"/>
      <c r="W635" s="236"/>
      <c r="X635" s="236"/>
      <c r="Y635" s="236"/>
      <c r="Z635" s="236"/>
      <c r="AA635" s="236"/>
      <c r="AB635" s="236"/>
      <c r="AC635" s="236"/>
      <c r="AD635" s="236"/>
      <c r="AE635" s="236"/>
      <c r="AF635" s="236"/>
      <c r="AG635" s="236"/>
      <c r="AH635" s="236"/>
      <c r="AI635" s="236"/>
      <c r="AJ635" s="236"/>
      <c r="AK635" s="236"/>
      <c r="AL635" s="236"/>
      <c r="AM635" s="236"/>
      <c r="AN635" s="236"/>
      <c r="AO635" s="236"/>
      <c r="AP635" s="236"/>
      <c r="AQ635" s="236"/>
      <c r="AR635" s="236"/>
      <c r="AS635" s="236"/>
      <c r="AT635" s="236"/>
      <c r="AU635" s="236"/>
      <c r="AV635" s="236"/>
      <c r="AW635" s="236"/>
      <c r="AX635" s="236"/>
      <c r="AY635" s="236"/>
      <c r="AZ635" s="236"/>
      <c r="BA635" s="236"/>
      <c r="BB635" s="236"/>
      <c r="BC635" s="236"/>
      <c r="BD635" s="236"/>
      <c r="BE635" s="236"/>
      <c r="BF635" s="236"/>
      <c r="BG635" s="236"/>
      <c r="BH635" s="236"/>
    </row>
    <row r="636" spans="1:60" ht="13">
      <c r="A636" s="27"/>
      <c r="B636" s="27"/>
      <c r="C636" s="312"/>
      <c r="D636" s="231"/>
      <c r="E636" s="27"/>
      <c r="F636" s="27"/>
      <c r="G636" s="231"/>
      <c r="H636" s="27"/>
      <c r="I636" s="27"/>
      <c r="J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</row>
    <row r="637" spans="1:60" ht="13">
      <c r="A637" s="236"/>
      <c r="B637" s="236"/>
      <c r="C637" s="311"/>
      <c r="D637" s="237"/>
      <c r="E637" s="236"/>
      <c r="F637" s="236"/>
      <c r="G637" s="237"/>
      <c r="H637" s="236"/>
      <c r="I637" s="236"/>
      <c r="J637" s="236"/>
      <c r="N637" s="236"/>
      <c r="O637" s="236"/>
      <c r="P637" s="236"/>
      <c r="Q637" s="236"/>
      <c r="R637" s="236"/>
      <c r="S637" s="236"/>
      <c r="T637" s="236"/>
      <c r="U637" s="236"/>
      <c r="V637" s="23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236"/>
      <c r="AH637" s="236"/>
      <c r="AI637" s="236"/>
      <c r="AJ637" s="236"/>
      <c r="AK637" s="236"/>
      <c r="AL637" s="236"/>
      <c r="AM637" s="236"/>
      <c r="AN637" s="236"/>
      <c r="AO637" s="236"/>
      <c r="AP637" s="236"/>
      <c r="AQ637" s="236"/>
      <c r="AR637" s="236"/>
      <c r="AS637" s="236"/>
      <c r="AT637" s="236"/>
      <c r="AU637" s="236"/>
      <c r="AV637" s="236"/>
      <c r="AW637" s="236"/>
      <c r="AX637" s="236"/>
      <c r="AY637" s="236"/>
      <c r="AZ637" s="236"/>
      <c r="BA637" s="236"/>
      <c r="BB637" s="236"/>
      <c r="BC637" s="236"/>
      <c r="BD637" s="236"/>
      <c r="BE637" s="236"/>
      <c r="BF637" s="236"/>
      <c r="BG637" s="236"/>
      <c r="BH637" s="236"/>
    </row>
    <row r="638" spans="1:60" ht="13">
      <c r="A638" s="27"/>
      <c r="B638" s="27"/>
      <c r="C638" s="312"/>
      <c r="D638" s="231"/>
      <c r="E638" s="27"/>
      <c r="F638" s="27"/>
      <c r="G638" s="231"/>
      <c r="H638" s="27"/>
      <c r="I638" s="27"/>
      <c r="J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</row>
    <row r="639" spans="1:60" ht="13">
      <c r="A639" s="236"/>
      <c r="B639" s="236"/>
      <c r="C639" s="311"/>
      <c r="D639" s="237"/>
      <c r="E639" s="236"/>
      <c r="F639" s="236"/>
      <c r="G639" s="237"/>
      <c r="H639" s="236"/>
      <c r="I639" s="236"/>
      <c r="J639" s="236"/>
      <c r="N639" s="236"/>
      <c r="O639" s="236"/>
      <c r="P639" s="236"/>
      <c r="Q639" s="236"/>
      <c r="R639" s="236"/>
      <c r="S639" s="236"/>
      <c r="T639" s="236"/>
      <c r="U639" s="236"/>
      <c r="V639" s="23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236"/>
      <c r="AH639" s="236"/>
      <c r="AI639" s="236"/>
      <c r="AJ639" s="236"/>
      <c r="AK639" s="236"/>
      <c r="AL639" s="236"/>
      <c r="AM639" s="236"/>
      <c r="AN639" s="236"/>
      <c r="AO639" s="236"/>
      <c r="AP639" s="236"/>
      <c r="AQ639" s="236"/>
      <c r="AR639" s="236"/>
      <c r="AS639" s="236"/>
      <c r="AT639" s="236"/>
      <c r="AU639" s="236"/>
      <c r="AV639" s="236"/>
      <c r="AW639" s="236"/>
      <c r="AX639" s="236"/>
      <c r="AY639" s="236"/>
      <c r="AZ639" s="236"/>
      <c r="BA639" s="236"/>
      <c r="BB639" s="236"/>
      <c r="BC639" s="236"/>
      <c r="BD639" s="236"/>
      <c r="BE639" s="236"/>
      <c r="BF639" s="236"/>
      <c r="BG639" s="236"/>
      <c r="BH639" s="236"/>
    </row>
    <row r="640" spans="1:60" ht="13">
      <c r="A640" s="27"/>
      <c r="B640" s="27"/>
      <c r="C640" s="312"/>
      <c r="D640" s="231"/>
      <c r="E640" s="27"/>
      <c r="F640" s="27"/>
      <c r="G640" s="231"/>
      <c r="H640" s="27"/>
      <c r="I640" s="27"/>
      <c r="J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</row>
    <row r="641" spans="1:60" ht="13">
      <c r="A641" s="236"/>
      <c r="B641" s="236"/>
      <c r="C641" s="311"/>
      <c r="D641" s="237"/>
      <c r="E641" s="236"/>
      <c r="F641" s="236"/>
      <c r="G641" s="237"/>
      <c r="H641" s="236"/>
      <c r="I641" s="236"/>
      <c r="J641" s="236"/>
      <c r="N641" s="236"/>
      <c r="O641" s="236"/>
      <c r="P641" s="236"/>
      <c r="Q641" s="236"/>
      <c r="R641" s="236"/>
      <c r="S641" s="236"/>
      <c r="T641" s="236"/>
      <c r="U641" s="236"/>
      <c r="V641" s="236"/>
      <c r="W641" s="236"/>
      <c r="X641" s="236"/>
      <c r="Y641" s="236"/>
      <c r="Z641" s="236"/>
      <c r="AA641" s="236"/>
      <c r="AB641" s="236"/>
      <c r="AC641" s="236"/>
      <c r="AD641" s="236"/>
      <c r="AE641" s="236"/>
      <c r="AF641" s="236"/>
      <c r="AG641" s="236"/>
      <c r="AH641" s="236"/>
      <c r="AI641" s="236"/>
      <c r="AJ641" s="236"/>
      <c r="AK641" s="236"/>
      <c r="AL641" s="236"/>
      <c r="AM641" s="236"/>
      <c r="AN641" s="236"/>
      <c r="AO641" s="236"/>
      <c r="AP641" s="236"/>
      <c r="AQ641" s="236"/>
      <c r="AR641" s="236"/>
      <c r="AS641" s="236"/>
      <c r="AT641" s="236"/>
      <c r="AU641" s="236"/>
      <c r="AV641" s="236"/>
      <c r="AW641" s="236"/>
      <c r="AX641" s="236"/>
      <c r="AY641" s="236"/>
      <c r="AZ641" s="236"/>
      <c r="BA641" s="236"/>
      <c r="BB641" s="236"/>
      <c r="BC641" s="236"/>
      <c r="BD641" s="236"/>
      <c r="BE641" s="236"/>
      <c r="BF641" s="236"/>
      <c r="BG641" s="236"/>
      <c r="BH641" s="236"/>
    </row>
    <row r="642" spans="1:60" ht="13">
      <c r="A642" s="27"/>
      <c r="B642" s="27"/>
      <c r="C642" s="312"/>
      <c r="D642" s="231"/>
      <c r="E642" s="27"/>
      <c r="F642" s="27"/>
      <c r="G642" s="231"/>
      <c r="H642" s="27"/>
      <c r="I642" s="27"/>
      <c r="J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</row>
    <row r="643" spans="1:60" ht="13">
      <c r="A643" s="236"/>
      <c r="B643" s="236"/>
      <c r="C643" s="311"/>
      <c r="D643" s="237"/>
      <c r="E643" s="236"/>
      <c r="F643" s="236"/>
      <c r="G643" s="237"/>
      <c r="H643" s="236"/>
      <c r="I643" s="236"/>
      <c r="J643" s="236"/>
      <c r="N643" s="236"/>
      <c r="O643" s="236"/>
      <c r="P643" s="236"/>
      <c r="Q643" s="236"/>
      <c r="R643" s="236"/>
      <c r="S643" s="236"/>
      <c r="T643" s="236"/>
      <c r="U643" s="236"/>
      <c r="V643" s="236"/>
      <c r="W643" s="236"/>
      <c r="X643" s="236"/>
      <c r="Y643" s="236"/>
      <c r="Z643" s="236"/>
      <c r="AA643" s="236"/>
      <c r="AB643" s="236"/>
      <c r="AC643" s="236"/>
      <c r="AD643" s="236"/>
      <c r="AE643" s="236"/>
      <c r="AF643" s="236"/>
      <c r="AG643" s="236"/>
      <c r="AH643" s="236"/>
      <c r="AI643" s="236"/>
      <c r="AJ643" s="236"/>
      <c r="AK643" s="236"/>
      <c r="AL643" s="236"/>
      <c r="AM643" s="236"/>
      <c r="AN643" s="236"/>
      <c r="AO643" s="236"/>
      <c r="AP643" s="236"/>
      <c r="AQ643" s="236"/>
      <c r="AR643" s="236"/>
      <c r="AS643" s="236"/>
      <c r="AT643" s="236"/>
      <c r="AU643" s="236"/>
      <c r="AV643" s="236"/>
      <c r="AW643" s="236"/>
      <c r="AX643" s="236"/>
      <c r="AY643" s="236"/>
      <c r="AZ643" s="236"/>
      <c r="BA643" s="236"/>
      <c r="BB643" s="236"/>
      <c r="BC643" s="236"/>
      <c r="BD643" s="236"/>
      <c r="BE643" s="236"/>
      <c r="BF643" s="236"/>
      <c r="BG643" s="236"/>
      <c r="BH643" s="236"/>
    </row>
    <row r="644" spans="1:60" ht="13">
      <c r="A644" s="27"/>
      <c r="B644" s="27"/>
      <c r="C644" s="312"/>
      <c r="D644" s="231"/>
      <c r="E644" s="27"/>
      <c r="F644" s="27"/>
      <c r="G644" s="231"/>
      <c r="H644" s="27"/>
      <c r="I644" s="27"/>
      <c r="J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</row>
    <row r="645" spans="1:60" ht="13">
      <c r="A645" s="236"/>
      <c r="B645" s="236"/>
      <c r="C645" s="311"/>
      <c r="D645" s="237"/>
      <c r="E645" s="236"/>
      <c r="F645" s="236"/>
      <c r="G645" s="237"/>
      <c r="H645" s="236"/>
      <c r="I645" s="236"/>
      <c r="J645" s="236"/>
      <c r="N645" s="236"/>
      <c r="O645" s="236"/>
      <c r="P645" s="236"/>
      <c r="Q645" s="236"/>
      <c r="R645" s="236"/>
      <c r="S645" s="236"/>
      <c r="T645" s="236"/>
      <c r="U645" s="236"/>
      <c r="V645" s="236"/>
      <c r="W645" s="236"/>
      <c r="X645" s="236"/>
      <c r="Y645" s="236"/>
      <c r="Z645" s="236"/>
      <c r="AA645" s="236"/>
      <c r="AB645" s="236"/>
      <c r="AC645" s="236"/>
      <c r="AD645" s="236"/>
      <c r="AE645" s="236"/>
      <c r="AF645" s="236"/>
      <c r="AG645" s="236"/>
      <c r="AH645" s="236"/>
      <c r="AI645" s="236"/>
      <c r="AJ645" s="236"/>
      <c r="AK645" s="236"/>
      <c r="AL645" s="236"/>
      <c r="AM645" s="236"/>
      <c r="AN645" s="236"/>
      <c r="AO645" s="236"/>
      <c r="AP645" s="236"/>
      <c r="AQ645" s="236"/>
      <c r="AR645" s="236"/>
      <c r="AS645" s="236"/>
      <c r="AT645" s="236"/>
      <c r="AU645" s="236"/>
      <c r="AV645" s="236"/>
      <c r="AW645" s="236"/>
      <c r="AX645" s="236"/>
      <c r="AY645" s="236"/>
      <c r="AZ645" s="236"/>
      <c r="BA645" s="236"/>
      <c r="BB645" s="236"/>
      <c r="BC645" s="236"/>
      <c r="BD645" s="236"/>
      <c r="BE645" s="236"/>
      <c r="BF645" s="236"/>
      <c r="BG645" s="236"/>
      <c r="BH645" s="236"/>
    </row>
    <row r="646" spans="1:60" ht="13">
      <c r="A646" s="27"/>
      <c r="B646" s="27"/>
      <c r="C646" s="312"/>
      <c r="D646" s="231"/>
      <c r="E646" s="27"/>
      <c r="F646" s="27"/>
      <c r="G646" s="231"/>
      <c r="H646" s="27"/>
      <c r="I646" s="27"/>
      <c r="J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</row>
    <row r="647" spans="1:60" ht="13">
      <c r="A647" s="236"/>
      <c r="B647" s="236"/>
      <c r="C647" s="311"/>
      <c r="D647" s="237"/>
      <c r="E647" s="236"/>
      <c r="F647" s="236"/>
      <c r="G647" s="237"/>
      <c r="H647" s="236"/>
      <c r="I647" s="236"/>
      <c r="J647" s="236"/>
      <c r="N647" s="236"/>
      <c r="O647" s="236"/>
      <c r="P647" s="236"/>
      <c r="Q647" s="236"/>
      <c r="R647" s="236"/>
      <c r="S647" s="236"/>
      <c r="T647" s="236"/>
      <c r="U647" s="236"/>
      <c r="V647" s="236"/>
      <c r="W647" s="236"/>
      <c r="X647" s="236"/>
      <c r="Y647" s="236"/>
      <c r="Z647" s="236"/>
      <c r="AA647" s="236"/>
      <c r="AB647" s="236"/>
      <c r="AC647" s="236"/>
      <c r="AD647" s="236"/>
      <c r="AE647" s="236"/>
      <c r="AF647" s="236"/>
      <c r="AG647" s="236"/>
      <c r="AH647" s="236"/>
      <c r="AI647" s="236"/>
      <c r="AJ647" s="236"/>
      <c r="AK647" s="236"/>
      <c r="AL647" s="236"/>
      <c r="AM647" s="236"/>
      <c r="AN647" s="236"/>
      <c r="AO647" s="236"/>
      <c r="AP647" s="236"/>
      <c r="AQ647" s="236"/>
      <c r="AR647" s="236"/>
      <c r="AS647" s="236"/>
      <c r="AT647" s="236"/>
      <c r="AU647" s="236"/>
      <c r="AV647" s="236"/>
      <c r="AW647" s="236"/>
      <c r="AX647" s="236"/>
      <c r="AY647" s="236"/>
      <c r="AZ647" s="236"/>
      <c r="BA647" s="236"/>
      <c r="BB647" s="236"/>
      <c r="BC647" s="236"/>
      <c r="BD647" s="236"/>
      <c r="BE647" s="236"/>
      <c r="BF647" s="236"/>
      <c r="BG647" s="236"/>
      <c r="BH647" s="236"/>
    </row>
    <row r="648" spans="1:60" ht="13">
      <c r="A648" s="27"/>
      <c r="B648" s="27"/>
      <c r="C648" s="312"/>
      <c r="D648" s="231"/>
      <c r="E648" s="27"/>
      <c r="F648" s="27"/>
      <c r="G648" s="231"/>
      <c r="H648" s="27"/>
      <c r="I648" s="27"/>
      <c r="J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</row>
    <row r="649" spans="1:60" ht="13">
      <c r="A649" s="236"/>
      <c r="B649" s="236"/>
      <c r="C649" s="311"/>
      <c r="D649" s="237"/>
      <c r="E649" s="236"/>
      <c r="F649" s="236"/>
      <c r="G649" s="237"/>
      <c r="H649" s="236"/>
      <c r="I649" s="236"/>
      <c r="J649" s="236"/>
      <c r="N649" s="236"/>
      <c r="O649" s="236"/>
      <c r="P649" s="236"/>
      <c r="Q649" s="236"/>
      <c r="R649" s="236"/>
      <c r="S649" s="236"/>
      <c r="T649" s="236"/>
      <c r="U649" s="236"/>
      <c r="V649" s="236"/>
      <c r="W649" s="236"/>
      <c r="X649" s="236"/>
      <c r="Y649" s="236"/>
      <c r="Z649" s="236"/>
      <c r="AA649" s="236"/>
      <c r="AB649" s="236"/>
      <c r="AC649" s="236"/>
      <c r="AD649" s="236"/>
      <c r="AE649" s="236"/>
      <c r="AF649" s="236"/>
      <c r="AG649" s="236"/>
      <c r="AH649" s="236"/>
      <c r="AI649" s="236"/>
      <c r="AJ649" s="236"/>
      <c r="AK649" s="236"/>
      <c r="AL649" s="236"/>
      <c r="AM649" s="236"/>
      <c r="AN649" s="236"/>
      <c r="AO649" s="236"/>
      <c r="AP649" s="236"/>
      <c r="AQ649" s="236"/>
      <c r="AR649" s="236"/>
      <c r="AS649" s="236"/>
      <c r="AT649" s="236"/>
      <c r="AU649" s="236"/>
      <c r="AV649" s="236"/>
      <c r="AW649" s="236"/>
      <c r="AX649" s="236"/>
      <c r="AY649" s="236"/>
      <c r="AZ649" s="236"/>
      <c r="BA649" s="236"/>
      <c r="BB649" s="236"/>
      <c r="BC649" s="236"/>
      <c r="BD649" s="236"/>
      <c r="BE649" s="236"/>
      <c r="BF649" s="236"/>
      <c r="BG649" s="236"/>
      <c r="BH649" s="236"/>
    </row>
    <row r="650" spans="1:60" ht="13">
      <c r="A650" s="27"/>
      <c r="B650" s="27"/>
      <c r="C650" s="312"/>
      <c r="D650" s="231"/>
      <c r="E650" s="27"/>
      <c r="F650" s="27"/>
      <c r="G650" s="231"/>
      <c r="H650" s="27"/>
      <c r="I650" s="27"/>
      <c r="J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</row>
    <row r="651" spans="1:60" ht="13">
      <c r="A651" s="236"/>
      <c r="B651" s="236"/>
      <c r="C651" s="311"/>
      <c r="D651" s="237"/>
      <c r="E651" s="236"/>
      <c r="F651" s="236"/>
      <c r="G651" s="237"/>
      <c r="H651" s="236"/>
      <c r="I651" s="236"/>
      <c r="J651" s="236"/>
      <c r="N651" s="236"/>
      <c r="O651" s="236"/>
      <c r="P651" s="236"/>
      <c r="Q651" s="236"/>
      <c r="R651" s="236"/>
      <c r="S651" s="236"/>
      <c r="T651" s="236"/>
      <c r="U651" s="236"/>
      <c r="V651" s="23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  <c r="AG651" s="236"/>
      <c r="AH651" s="236"/>
      <c r="AI651" s="236"/>
      <c r="AJ651" s="236"/>
      <c r="AK651" s="236"/>
      <c r="AL651" s="236"/>
      <c r="AM651" s="236"/>
      <c r="AN651" s="236"/>
      <c r="AO651" s="236"/>
      <c r="AP651" s="236"/>
      <c r="AQ651" s="236"/>
      <c r="AR651" s="236"/>
      <c r="AS651" s="236"/>
      <c r="AT651" s="236"/>
      <c r="AU651" s="236"/>
      <c r="AV651" s="236"/>
      <c r="AW651" s="236"/>
      <c r="AX651" s="236"/>
      <c r="AY651" s="236"/>
      <c r="AZ651" s="236"/>
      <c r="BA651" s="236"/>
      <c r="BB651" s="236"/>
      <c r="BC651" s="236"/>
      <c r="BD651" s="236"/>
      <c r="BE651" s="236"/>
      <c r="BF651" s="236"/>
      <c r="BG651" s="236"/>
      <c r="BH651" s="236"/>
    </row>
    <row r="652" spans="1:60" ht="13">
      <c r="A652" s="27"/>
      <c r="B652" s="27"/>
      <c r="C652" s="312"/>
      <c r="D652" s="231"/>
      <c r="E652" s="27"/>
      <c r="F652" s="27"/>
      <c r="G652" s="231"/>
      <c r="H652" s="27"/>
      <c r="I652" s="27"/>
      <c r="J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</row>
    <row r="653" spans="1:60" ht="13">
      <c r="A653" s="236"/>
      <c r="B653" s="236"/>
      <c r="C653" s="311"/>
      <c r="D653" s="237"/>
      <c r="E653" s="236"/>
      <c r="F653" s="236"/>
      <c r="G653" s="237"/>
      <c r="H653" s="236"/>
      <c r="I653" s="236"/>
      <c r="J653" s="236"/>
      <c r="N653" s="236"/>
      <c r="O653" s="236"/>
      <c r="P653" s="236"/>
      <c r="Q653" s="236"/>
      <c r="R653" s="236"/>
      <c r="S653" s="236"/>
      <c r="T653" s="236"/>
      <c r="U653" s="236"/>
      <c r="V653" s="236"/>
      <c r="W653" s="236"/>
      <c r="X653" s="236"/>
      <c r="Y653" s="236"/>
      <c r="Z653" s="236"/>
      <c r="AA653" s="236"/>
      <c r="AB653" s="236"/>
      <c r="AC653" s="236"/>
      <c r="AD653" s="236"/>
      <c r="AE653" s="236"/>
      <c r="AF653" s="236"/>
      <c r="AG653" s="236"/>
      <c r="AH653" s="236"/>
      <c r="AI653" s="236"/>
      <c r="AJ653" s="236"/>
      <c r="AK653" s="236"/>
      <c r="AL653" s="236"/>
      <c r="AM653" s="236"/>
      <c r="AN653" s="236"/>
      <c r="AO653" s="236"/>
      <c r="AP653" s="236"/>
      <c r="AQ653" s="236"/>
      <c r="AR653" s="236"/>
      <c r="AS653" s="236"/>
      <c r="AT653" s="236"/>
      <c r="AU653" s="236"/>
      <c r="AV653" s="236"/>
      <c r="AW653" s="236"/>
      <c r="AX653" s="236"/>
      <c r="AY653" s="236"/>
      <c r="AZ653" s="236"/>
      <c r="BA653" s="236"/>
      <c r="BB653" s="236"/>
      <c r="BC653" s="236"/>
      <c r="BD653" s="236"/>
      <c r="BE653" s="236"/>
      <c r="BF653" s="236"/>
      <c r="BG653" s="236"/>
      <c r="BH653" s="236"/>
    </row>
    <row r="654" spans="1:60" ht="13">
      <c r="A654" s="27"/>
      <c r="B654" s="27"/>
      <c r="C654" s="312"/>
      <c r="D654" s="231"/>
      <c r="E654" s="27"/>
      <c r="F654" s="27"/>
      <c r="G654" s="231"/>
      <c r="H654" s="27"/>
      <c r="I654" s="27"/>
      <c r="J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</row>
    <row r="655" spans="1:60" ht="13">
      <c r="A655" s="236"/>
      <c r="B655" s="236"/>
      <c r="C655" s="311"/>
      <c r="D655" s="237"/>
      <c r="E655" s="236"/>
      <c r="F655" s="236"/>
      <c r="G655" s="237"/>
      <c r="H655" s="236"/>
      <c r="I655" s="236"/>
      <c r="J655" s="236"/>
      <c r="N655" s="236"/>
      <c r="O655" s="236"/>
      <c r="P655" s="236"/>
      <c r="Q655" s="236"/>
      <c r="R655" s="236"/>
      <c r="S655" s="236"/>
      <c r="T655" s="236"/>
      <c r="U655" s="236"/>
      <c r="V655" s="236"/>
      <c r="W655" s="236"/>
      <c r="X655" s="236"/>
      <c r="Y655" s="236"/>
      <c r="Z655" s="236"/>
      <c r="AA655" s="236"/>
      <c r="AB655" s="236"/>
      <c r="AC655" s="236"/>
      <c r="AD655" s="236"/>
      <c r="AE655" s="236"/>
      <c r="AF655" s="236"/>
      <c r="AG655" s="236"/>
      <c r="AH655" s="236"/>
      <c r="AI655" s="236"/>
      <c r="AJ655" s="236"/>
      <c r="AK655" s="236"/>
      <c r="AL655" s="236"/>
      <c r="AM655" s="236"/>
      <c r="AN655" s="236"/>
      <c r="AO655" s="236"/>
      <c r="AP655" s="236"/>
      <c r="AQ655" s="236"/>
      <c r="AR655" s="236"/>
      <c r="AS655" s="236"/>
      <c r="AT655" s="236"/>
      <c r="AU655" s="236"/>
      <c r="AV655" s="236"/>
      <c r="AW655" s="236"/>
      <c r="AX655" s="236"/>
      <c r="AY655" s="236"/>
      <c r="AZ655" s="236"/>
      <c r="BA655" s="236"/>
      <c r="BB655" s="236"/>
      <c r="BC655" s="236"/>
      <c r="BD655" s="236"/>
      <c r="BE655" s="236"/>
      <c r="BF655" s="236"/>
      <c r="BG655" s="236"/>
      <c r="BH655" s="236"/>
    </row>
    <row r="656" spans="1:60" ht="13">
      <c r="A656" s="27"/>
      <c r="B656" s="27"/>
      <c r="C656" s="312"/>
      <c r="D656" s="231"/>
      <c r="E656" s="27"/>
      <c r="F656" s="27"/>
      <c r="G656" s="231"/>
      <c r="H656" s="27"/>
      <c r="I656" s="27"/>
      <c r="J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</row>
    <row r="657" spans="1:60" ht="13">
      <c r="A657" s="236"/>
      <c r="B657" s="236"/>
      <c r="C657" s="311"/>
      <c r="D657" s="237"/>
      <c r="E657" s="236"/>
      <c r="F657" s="236"/>
      <c r="G657" s="237"/>
      <c r="H657" s="236"/>
      <c r="I657" s="236"/>
      <c r="J657" s="236"/>
      <c r="N657" s="236"/>
      <c r="O657" s="236"/>
      <c r="P657" s="236"/>
      <c r="Q657" s="236"/>
      <c r="R657" s="236"/>
      <c r="S657" s="236"/>
      <c r="T657" s="236"/>
      <c r="U657" s="236"/>
      <c r="V657" s="236"/>
      <c r="W657" s="236"/>
      <c r="X657" s="236"/>
      <c r="Y657" s="236"/>
      <c r="Z657" s="236"/>
      <c r="AA657" s="236"/>
      <c r="AB657" s="236"/>
      <c r="AC657" s="236"/>
      <c r="AD657" s="236"/>
      <c r="AE657" s="236"/>
      <c r="AF657" s="236"/>
      <c r="AG657" s="236"/>
      <c r="AH657" s="236"/>
      <c r="AI657" s="236"/>
      <c r="AJ657" s="236"/>
      <c r="AK657" s="236"/>
      <c r="AL657" s="236"/>
      <c r="AM657" s="236"/>
      <c r="AN657" s="236"/>
      <c r="AO657" s="236"/>
      <c r="AP657" s="236"/>
      <c r="AQ657" s="236"/>
      <c r="AR657" s="236"/>
      <c r="AS657" s="236"/>
      <c r="AT657" s="236"/>
      <c r="AU657" s="236"/>
      <c r="AV657" s="236"/>
      <c r="AW657" s="236"/>
      <c r="AX657" s="236"/>
      <c r="AY657" s="236"/>
      <c r="AZ657" s="236"/>
      <c r="BA657" s="236"/>
      <c r="BB657" s="236"/>
      <c r="BC657" s="236"/>
      <c r="BD657" s="236"/>
      <c r="BE657" s="236"/>
      <c r="BF657" s="236"/>
      <c r="BG657" s="236"/>
      <c r="BH657" s="236"/>
    </row>
    <row r="658" spans="1:60" ht="13">
      <c r="A658" s="27"/>
      <c r="B658" s="27"/>
      <c r="C658" s="312"/>
      <c r="D658" s="231"/>
      <c r="E658" s="27"/>
      <c r="F658" s="27"/>
      <c r="G658" s="231"/>
      <c r="H658" s="27"/>
      <c r="I658" s="27"/>
      <c r="J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</row>
    <row r="659" spans="1:60" ht="13">
      <c r="A659" s="236"/>
      <c r="B659" s="236"/>
      <c r="C659" s="311"/>
      <c r="D659" s="237"/>
      <c r="E659" s="236"/>
      <c r="F659" s="236"/>
      <c r="G659" s="237"/>
      <c r="H659" s="236"/>
      <c r="I659" s="236"/>
      <c r="J659" s="236"/>
      <c r="N659" s="236"/>
      <c r="O659" s="236"/>
      <c r="P659" s="236"/>
      <c r="Q659" s="236"/>
      <c r="R659" s="236"/>
      <c r="S659" s="236"/>
      <c r="T659" s="236"/>
      <c r="U659" s="236"/>
      <c r="V659" s="236"/>
      <c r="W659" s="236"/>
      <c r="X659" s="236"/>
      <c r="Y659" s="236"/>
      <c r="Z659" s="236"/>
      <c r="AA659" s="236"/>
      <c r="AB659" s="236"/>
      <c r="AC659" s="236"/>
      <c r="AD659" s="236"/>
      <c r="AE659" s="236"/>
      <c r="AF659" s="236"/>
      <c r="AG659" s="236"/>
      <c r="AH659" s="236"/>
      <c r="AI659" s="236"/>
      <c r="AJ659" s="236"/>
      <c r="AK659" s="236"/>
      <c r="AL659" s="236"/>
      <c r="AM659" s="236"/>
      <c r="AN659" s="236"/>
      <c r="AO659" s="236"/>
      <c r="AP659" s="236"/>
      <c r="AQ659" s="236"/>
      <c r="AR659" s="236"/>
      <c r="AS659" s="236"/>
      <c r="AT659" s="236"/>
      <c r="AU659" s="236"/>
      <c r="AV659" s="236"/>
      <c r="AW659" s="236"/>
      <c r="AX659" s="236"/>
      <c r="AY659" s="236"/>
      <c r="AZ659" s="236"/>
      <c r="BA659" s="236"/>
      <c r="BB659" s="236"/>
      <c r="BC659" s="236"/>
      <c r="BD659" s="236"/>
      <c r="BE659" s="236"/>
      <c r="BF659" s="236"/>
      <c r="BG659" s="236"/>
      <c r="BH659" s="236"/>
    </row>
    <row r="660" spans="1:60" ht="13">
      <c r="A660" s="27"/>
      <c r="B660" s="27"/>
      <c r="C660" s="312"/>
      <c r="D660" s="231"/>
      <c r="E660" s="27"/>
      <c r="F660" s="27"/>
      <c r="G660" s="231"/>
      <c r="H660" s="27"/>
      <c r="I660" s="27"/>
      <c r="J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</row>
    <row r="661" spans="1:60" ht="13">
      <c r="A661" s="236"/>
      <c r="B661" s="236"/>
      <c r="C661" s="311"/>
      <c r="D661" s="237"/>
      <c r="E661" s="236"/>
      <c r="F661" s="236"/>
      <c r="G661" s="237"/>
      <c r="H661" s="236"/>
      <c r="I661" s="236"/>
      <c r="J661" s="236"/>
      <c r="N661" s="236"/>
      <c r="O661" s="236"/>
      <c r="P661" s="236"/>
      <c r="Q661" s="236"/>
      <c r="R661" s="236"/>
      <c r="S661" s="236"/>
      <c r="T661" s="236"/>
      <c r="U661" s="236"/>
      <c r="V661" s="236"/>
      <c r="W661" s="236"/>
      <c r="X661" s="236"/>
      <c r="Y661" s="236"/>
      <c r="Z661" s="236"/>
      <c r="AA661" s="236"/>
      <c r="AB661" s="236"/>
      <c r="AC661" s="236"/>
      <c r="AD661" s="236"/>
      <c r="AE661" s="236"/>
      <c r="AF661" s="236"/>
      <c r="AG661" s="236"/>
      <c r="AH661" s="236"/>
      <c r="AI661" s="236"/>
      <c r="AJ661" s="236"/>
      <c r="AK661" s="236"/>
      <c r="AL661" s="236"/>
      <c r="AM661" s="236"/>
      <c r="AN661" s="236"/>
      <c r="AO661" s="236"/>
      <c r="AP661" s="236"/>
      <c r="AQ661" s="236"/>
      <c r="AR661" s="236"/>
      <c r="AS661" s="236"/>
      <c r="AT661" s="236"/>
      <c r="AU661" s="236"/>
      <c r="AV661" s="236"/>
      <c r="AW661" s="236"/>
      <c r="AX661" s="236"/>
      <c r="AY661" s="236"/>
      <c r="AZ661" s="236"/>
      <c r="BA661" s="236"/>
      <c r="BB661" s="236"/>
      <c r="BC661" s="236"/>
      <c r="BD661" s="236"/>
      <c r="BE661" s="236"/>
      <c r="BF661" s="236"/>
      <c r="BG661" s="236"/>
      <c r="BH661" s="236"/>
    </row>
    <row r="662" spans="1:60" ht="13">
      <c r="A662" s="27"/>
      <c r="B662" s="27"/>
      <c r="C662" s="312"/>
      <c r="D662" s="231"/>
      <c r="E662" s="27"/>
      <c r="F662" s="27"/>
      <c r="G662" s="231"/>
      <c r="H662" s="27"/>
      <c r="I662" s="27"/>
      <c r="J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</row>
    <row r="663" spans="1:60" ht="13">
      <c r="A663" s="236"/>
      <c r="B663" s="236"/>
      <c r="C663" s="311"/>
      <c r="D663" s="237"/>
      <c r="E663" s="236"/>
      <c r="F663" s="236"/>
      <c r="G663" s="237"/>
      <c r="H663" s="236"/>
      <c r="I663" s="236"/>
      <c r="J663" s="236"/>
      <c r="N663" s="236"/>
      <c r="O663" s="236"/>
      <c r="P663" s="236"/>
      <c r="Q663" s="236"/>
      <c r="R663" s="236"/>
      <c r="S663" s="236"/>
      <c r="T663" s="236"/>
      <c r="U663" s="236"/>
      <c r="V663" s="236"/>
      <c r="W663" s="236"/>
      <c r="X663" s="236"/>
      <c r="Y663" s="236"/>
      <c r="Z663" s="236"/>
      <c r="AA663" s="236"/>
      <c r="AB663" s="236"/>
      <c r="AC663" s="236"/>
      <c r="AD663" s="236"/>
      <c r="AE663" s="236"/>
      <c r="AF663" s="236"/>
      <c r="AG663" s="236"/>
      <c r="AH663" s="236"/>
      <c r="AI663" s="236"/>
      <c r="AJ663" s="236"/>
      <c r="AK663" s="236"/>
      <c r="AL663" s="236"/>
      <c r="AM663" s="236"/>
      <c r="AN663" s="236"/>
      <c r="AO663" s="236"/>
      <c r="AP663" s="236"/>
      <c r="AQ663" s="236"/>
      <c r="AR663" s="236"/>
      <c r="AS663" s="236"/>
      <c r="AT663" s="236"/>
      <c r="AU663" s="236"/>
      <c r="AV663" s="236"/>
      <c r="AW663" s="236"/>
      <c r="AX663" s="236"/>
      <c r="AY663" s="236"/>
      <c r="AZ663" s="236"/>
      <c r="BA663" s="236"/>
      <c r="BB663" s="236"/>
      <c r="BC663" s="236"/>
      <c r="BD663" s="236"/>
      <c r="BE663" s="236"/>
      <c r="BF663" s="236"/>
      <c r="BG663" s="236"/>
      <c r="BH663" s="236"/>
    </row>
    <row r="664" spans="1:60" ht="13">
      <c r="A664" s="27"/>
      <c r="B664" s="27"/>
      <c r="C664" s="312"/>
      <c r="D664" s="231"/>
      <c r="E664" s="27"/>
      <c r="F664" s="27"/>
      <c r="G664" s="231"/>
      <c r="H664" s="27"/>
      <c r="I664" s="27"/>
      <c r="J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</row>
    <row r="665" spans="1:60" ht="13">
      <c r="A665" s="236"/>
      <c r="B665" s="236"/>
      <c r="C665" s="311"/>
      <c r="D665" s="237"/>
      <c r="E665" s="236"/>
      <c r="F665" s="236"/>
      <c r="G665" s="237"/>
      <c r="H665" s="236"/>
      <c r="I665" s="236"/>
      <c r="J665" s="236"/>
      <c r="N665" s="236"/>
      <c r="O665" s="236"/>
      <c r="P665" s="236"/>
      <c r="Q665" s="236"/>
      <c r="R665" s="236"/>
      <c r="S665" s="236"/>
      <c r="T665" s="236"/>
      <c r="U665" s="236"/>
      <c r="V665" s="236"/>
      <c r="W665" s="236"/>
      <c r="X665" s="236"/>
      <c r="Y665" s="236"/>
      <c r="Z665" s="236"/>
      <c r="AA665" s="236"/>
      <c r="AB665" s="236"/>
      <c r="AC665" s="236"/>
      <c r="AD665" s="236"/>
      <c r="AE665" s="236"/>
      <c r="AF665" s="236"/>
      <c r="AG665" s="236"/>
      <c r="AH665" s="236"/>
      <c r="AI665" s="236"/>
      <c r="AJ665" s="236"/>
      <c r="AK665" s="236"/>
      <c r="AL665" s="236"/>
      <c r="AM665" s="236"/>
      <c r="AN665" s="236"/>
      <c r="AO665" s="236"/>
      <c r="AP665" s="236"/>
      <c r="AQ665" s="236"/>
      <c r="AR665" s="236"/>
      <c r="AS665" s="236"/>
      <c r="AT665" s="236"/>
      <c r="AU665" s="236"/>
      <c r="AV665" s="236"/>
      <c r="AW665" s="236"/>
      <c r="AX665" s="236"/>
      <c r="AY665" s="236"/>
      <c r="AZ665" s="236"/>
      <c r="BA665" s="236"/>
      <c r="BB665" s="236"/>
      <c r="BC665" s="236"/>
      <c r="BD665" s="236"/>
      <c r="BE665" s="236"/>
      <c r="BF665" s="236"/>
      <c r="BG665" s="236"/>
      <c r="BH665" s="236"/>
    </row>
    <row r="666" spans="1:60" ht="13">
      <c r="A666" s="27"/>
      <c r="B666" s="27"/>
      <c r="C666" s="312"/>
      <c r="D666" s="231"/>
      <c r="E666" s="27"/>
      <c r="F666" s="27"/>
      <c r="G666" s="231"/>
      <c r="H666" s="27"/>
      <c r="I666" s="27"/>
      <c r="J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</row>
    <row r="667" spans="1:60" ht="13">
      <c r="A667" s="236"/>
      <c r="B667" s="236"/>
      <c r="C667" s="311"/>
      <c r="D667" s="237"/>
      <c r="E667" s="236"/>
      <c r="F667" s="236"/>
      <c r="G667" s="237"/>
      <c r="H667" s="236"/>
      <c r="I667" s="236"/>
      <c r="J667" s="236"/>
      <c r="N667" s="236"/>
      <c r="O667" s="236"/>
      <c r="P667" s="236"/>
      <c r="Q667" s="236"/>
      <c r="R667" s="236"/>
      <c r="S667" s="236"/>
      <c r="T667" s="236"/>
      <c r="U667" s="236"/>
      <c r="V667" s="236"/>
      <c r="W667" s="236"/>
      <c r="X667" s="236"/>
      <c r="Y667" s="236"/>
      <c r="Z667" s="236"/>
      <c r="AA667" s="236"/>
      <c r="AB667" s="236"/>
      <c r="AC667" s="236"/>
      <c r="AD667" s="236"/>
      <c r="AE667" s="236"/>
      <c r="AF667" s="236"/>
      <c r="AG667" s="236"/>
      <c r="AH667" s="236"/>
      <c r="AI667" s="236"/>
      <c r="AJ667" s="236"/>
      <c r="AK667" s="236"/>
      <c r="AL667" s="236"/>
      <c r="AM667" s="236"/>
      <c r="AN667" s="236"/>
      <c r="AO667" s="236"/>
      <c r="AP667" s="236"/>
      <c r="AQ667" s="236"/>
      <c r="AR667" s="236"/>
      <c r="AS667" s="236"/>
      <c r="AT667" s="236"/>
      <c r="AU667" s="236"/>
      <c r="AV667" s="236"/>
      <c r="AW667" s="236"/>
      <c r="AX667" s="236"/>
      <c r="AY667" s="236"/>
      <c r="AZ667" s="236"/>
      <c r="BA667" s="236"/>
      <c r="BB667" s="236"/>
      <c r="BC667" s="236"/>
      <c r="BD667" s="236"/>
      <c r="BE667" s="236"/>
      <c r="BF667" s="236"/>
      <c r="BG667" s="236"/>
      <c r="BH667" s="236"/>
    </row>
    <row r="668" spans="1:60" ht="13">
      <c r="A668" s="27"/>
      <c r="B668" s="27"/>
      <c r="C668" s="312"/>
      <c r="D668" s="231"/>
      <c r="E668" s="27"/>
      <c r="F668" s="27"/>
      <c r="G668" s="231"/>
      <c r="H668" s="27"/>
      <c r="I668" s="27"/>
      <c r="J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</row>
    <row r="669" spans="1:60" ht="13">
      <c r="A669" s="236"/>
      <c r="B669" s="236"/>
      <c r="C669" s="311"/>
      <c r="D669" s="237"/>
      <c r="E669" s="236"/>
      <c r="F669" s="236"/>
      <c r="G669" s="237"/>
      <c r="H669" s="236"/>
      <c r="I669" s="236"/>
      <c r="J669" s="236"/>
      <c r="N669" s="236"/>
      <c r="O669" s="236"/>
      <c r="P669" s="236"/>
      <c r="Q669" s="236"/>
      <c r="R669" s="236"/>
      <c r="S669" s="236"/>
      <c r="T669" s="236"/>
      <c r="U669" s="236"/>
      <c r="V669" s="236"/>
      <c r="W669" s="236"/>
      <c r="X669" s="236"/>
      <c r="Y669" s="236"/>
      <c r="Z669" s="236"/>
      <c r="AA669" s="236"/>
      <c r="AB669" s="236"/>
      <c r="AC669" s="236"/>
      <c r="AD669" s="236"/>
      <c r="AE669" s="236"/>
      <c r="AF669" s="236"/>
      <c r="AG669" s="236"/>
      <c r="AH669" s="236"/>
      <c r="AI669" s="236"/>
      <c r="AJ669" s="236"/>
      <c r="AK669" s="236"/>
      <c r="AL669" s="236"/>
      <c r="AM669" s="236"/>
      <c r="AN669" s="236"/>
      <c r="AO669" s="236"/>
      <c r="AP669" s="236"/>
      <c r="AQ669" s="236"/>
      <c r="AR669" s="236"/>
      <c r="AS669" s="236"/>
      <c r="AT669" s="236"/>
      <c r="AU669" s="236"/>
      <c r="AV669" s="236"/>
      <c r="AW669" s="236"/>
      <c r="AX669" s="236"/>
      <c r="AY669" s="236"/>
      <c r="AZ669" s="236"/>
      <c r="BA669" s="236"/>
      <c r="BB669" s="236"/>
      <c r="BC669" s="236"/>
      <c r="BD669" s="236"/>
      <c r="BE669" s="236"/>
      <c r="BF669" s="236"/>
      <c r="BG669" s="236"/>
      <c r="BH669" s="236"/>
    </row>
    <row r="670" spans="1:60" ht="13">
      <c r="A670" s="27"/>
      <c r="B670" s="27"/>
      <c r="C670" s="312"/>
      <c r="D670" s="231"/>
      <c r="E670" s="27"/>
      <c r="F670" s="27"/>
      <c r="G670" s="231"/>
      <c r="H670" s="27"/>
      <c r="I670" s="27"/>
      <c r="J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</row>
    <row r="671" spans="1:60" ht="13">
      <c r="A671" s="236"/>
      <c r="B671" s="236"/>
      <c r="C671" s="311"/>
      <c r="D671" s="237"/>
      <c r="E671" s="236"/>
      <c r="F671" s="236"/>
      <c r="G671" s="237"/>
      <c r="H671" s="236"/>
      <c r="I671" s="236"/>
      <c r="J671" s="236"/>
      <c r="N671" s="236"/>
      <c r="O671" s="236"/>
      <c r="P671" s="236"/>
      <c r="Q671" s="236"/>
      <c r="R671" s="236"/>
      <c r="S671" s="236"/>
      <c r="T671" s="236"/>
      <c r="U671" s="236"/>
      <c r="V671" s="236"/>
      <c r="W671" s="236"/>
      <c r="X671" s="236"/>
      <c r="Y671" s="236"/>
      <c r="Z671" s="236"/>
      <c r="AA671" s="236"/>
      <c r="AB671" s="236"/>
      <c r="AC671" s="236"/>
      <c r="AD671" s="236"/>
      <c r="AE671" s="236"/>
      <c r="AF671" s="236"/>
      <c r="AG671" s="236"/>
      <c r="AH671" s="236"/>
      <c r="AI671" s="236"/>
      <c r="AJ671" s="236"/>
      <c r="AK671" s="236"/>
      <c r="AL671" s="236"/>
      <c r="AM671" s="236"/>
      <c r="AN671" s="236"/>
      <c r="AO671" s="236"/>
      <c r="AP671" s="236"/>
      <c r="AQ671" s="236"/>
      <c r="AR671" s="236"/>
      <c r="AS671" s="236"/>
      <c r="AT671" s="236"/>
      <c r="AU671" s="236"/>
      <c r="AV671" s="236"/>
      <c r="AW671" s="236"/>
      <c r="AX671" s="236"/>
      <c r="AY671" s="236"/>
      <c r="AZ671" s="236"/>
      <c r="BA671" s="236"/>
      <c r="BB671" s="236"/>
      <c r="BC671" s="236"/>
      <c r="BD671" s="236"/>
      <c r="BE671" s="236"/>
      <c r="BF671" s="236"/>
      <c r="BG671" s="236"/>
      <c r="BH671" s="236"/>
    </row>
    <row r="672" spans="1:60" ht="13">
      <c r="A672" s="27"/>
      <c r="B672" s="27"/>
      <c r="C672" s="312"/>
      <c r="D672" s="231"/>
      <c r="E672" s="27"/>
      <c r="F672" s="27"/>
      <c r="G672" s="231"/>
      <c r="H672" s="27"/>
      <c r="I672" s="27"/>
      <c r="J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</row>
    <row r="673" spans="1:60" ht="13">
      <c r="A673" s="236"/>
      <c r="B673" s="236"/>
      <c r="C673" s="311"/>
      <c r="D673" s="237"/>
      <c r="E673" s="236"/>
      <c r="F673" s="236"/>
      <c r="G673" s="237"/>
      <c r="H673" s="236"/>
      <c r="I673" s="236"/>
      <c r="J673" s="236"/>
      <c r="N673" s="236"/>
      <c r="O673" s="236"/>
      <c r="P673" s="236"/>
      <c r="Q673" s="236"/>
      <c r="R673" s="236"/>
      <c r="S673" s="236"/>
      <c r="T673" s="236"/>
      <c r="U673" s="236"/>
      <c r="V673" s="236"/>
      <c r="W673" s="236"/>
      <c r="X673" s="236"/>
      <c r="Y673" s="236"/>
      <c r="Z673" s="236"/>
      <c r="AA673" s="236"/>
      <c r="AB673" s="236"/>
      <c r="AC673" s="236"/>
      <c r="AD673" s="236"/>
      <c r="AE673" s="236"/>
      <c r="AF673" s="236"/>
      <c r="AG673" s="236"/>
      <c r="AH673" s="236"/>
      <c r="AI673" s="236"/>
      <c r="AJ673" s="236"/>
      <c r="AK673" s="236"/>
      <c r="AL673" s="236"/>
      <c r="AM673" s="236"/>
      <c r="AN673" s="236"/>
      <c r="AO673" s="236"/>
      <c r="AP673" s="236"/>
      <c r="AQ673" s="236"/>
      <c r="AR673" s="236"/>
      <c r="AS673" s="236"/>
      <c r="AT673" s="236"/>
      <c r="AU673" s="236"/>
      <c r="AV673" s="236"/>
      <c r="AW673" s="236"/>
      <c r="AX673" s="236"/>
      <c r="AY673" s="236"/>
      <c r="AZ673" s="236"/>
      <c r="BA673" s="236"/>
      <c r="BB673" s="236"/>
      <c r="BC673" s="236"/>
      <c r="BD673" s="236"/>
      <c r="BE673" s="236"/>
      <c r="BF673" s="236"/>
      <c r="BG673" s="236"/>
      <c r="BH673" s="236"/>
    </row>
    <row r="674" spans="1:60" ht="13">
      <c r="A674" s="27"/>
      <c r="B674" s="27"/>
      <c r="C674" s="312"/>
      <c r="D674" s="231"/>
      <c r="E674" s="27"/>
      <c r="F674" s="27"/>
      <c r="G674" s="231"/>
      <c r="H674" s="27"/>
      <c r="I674" s="27"/>
      <c r="J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</row>
    <row r="675" spans="1:60" ht="13">
      <c r="A675" s="236"/>
      <c r="B675" s="236"/>
      <c r="C675" s="311"/>
      <c r="D675" s="237"/>
      <c r="E675" s="236"/>
      <c r="F675" s="236"/>
      <c r="G675" s="237"/>
      <c r="H675" s="236"/>
      <c r="I675" s="236"/>
      <c r="J675" s="236"/>
      <c r="N675" s="236"/>
      <c r="O675" s="236"/>
      <c r="P675" s="236"/>
      <c r="Q675" s="236"/>
      <c r="R675" s="236"/>
      <c r="S675" s="236"/>
      <c r="T675" s="236"/>
      <c r="U675" s="236"/>
      <c r="V675" s="236"/>
      <c r="W675" s="236"/>
      <c r="X675" s="236"/>
      <c r="Y675" s="236"/>
      <c r="Z675" s="236"/>
      <c r="AA675" s="236"/>
      <c r="AB675" s="236"/>
      <c r="AC675" s="236"/>
      <c r="AD675" s="236"/>
      <c r="AE675" s="236"/>
      <c r="AF675" s="236"/>
      <c r="AG675" s="236"/>
      <c r="AH675" s="236"/>
      <c r="AI675" s="236"/>
      <c r="AJ675" s="236"/>
      <c r="AK675" s="236"/>
      <c r="AL675" s="236"/>
      <c r="AM675" s="236"/>
      <c r="AN675" s="236"/>
      <c r="AO675" s="236"/>
      <c r="AP675" s="236"/>
      <c r="AQ675" s="236"/>
      <c r="AR675" s="236"/>
      <c r="AS675" s="236"/>
      <c r="AT675" s="236"/>
      <c r="AU675" s="236"/>
      <c r="AV675" s="236"/>
      <c r="AW675" s="236"/>
      <c r="AX675" s="236"/>
      <c r="AY675" s="236"/>
      <c r="AZ675" s="236"/>
      <c r="BA675" s="236"/>
      <c r="BB675" s="236"/>
      <c r="BC675" s="236"/>
      <c r="BD675" s="236"/>
      <c r="BE675" s="236"/>
      <c r="BF675" s="236"/>
      <c r="BG675" s="236"/>
      <c r="BH675" s="236"/>
    </row>
    <row r="676" spans="1:60" ht="13">
      <c r="A676" s="27"/>
      <c r="B676" s="27"/>
      <c r="C676" s="312"/>
      <c r="D676" s="231"/>
      <c r="E676" s="27"/>
      <c r="F676" s="27"/>
      <c r="G676" s="231"/>
      <c r="H676" s="27"/>
      <c r="I676" s="27"/>
      <c r="J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</row>
    <row r="677" spans="1:60" ht="13">
      <c r="A677" s="236"/>
      <c r="B677" s="236"/>
      <c r="C677" s="311"/>
      <c r="D677" s="237"/>
      <c r="E677" s="236"/>
      <c r="F677" s="236"/>
      <c r="G677" s="237"/>
      <c r="H677" s="236"/>
      <c r="I677" s="236"/>
      <c r="J677" s="236"/>
      <c r="N677" s="236"/>
      <c r="O677" s="236"/>
      <c r="P677" s="236"/>
      <c r="Q677" s="236"/>
      <c r="R677" s="236"/>
      <c r="S677" s="236"/>
      <c r="T677" s="236"/>
      <c r="U677" s="236"/>
      <c r="V677" s="236"/>
      <c r="W677" s="236"/>
      <c r="X677" s="236"/>
      <c r="Y677" s="236"/>
      <c r="Z677" s="236"/>
      <c r="AA677" s="236"/>
      <c r="AB677" s="236"/>
      <c r="AC677" s="236"/>
      <c r="AD677" s="236"/>
      <c r="AE677" s="236"/>
      <c r="AF677" s="236"/>
      <c r="AG677" s="236"/>
      <c r="AH677" s="236"/>
      <c r="AI677" s="236"/>
      <c r="AJ677" s="236"/>
      <c r="AK677" s="236"/>
      <c r="AL677" s="236"/>
      <c r="AM677" s="236"/>
      <c r="AN677" s="236"/>
      <c r="AO677" s="236"/>
      <c r="AP677" s="236"/>
      <c r="AQ677" s="236"/>
      <c r="AR677" s="236"/>
      <c r="AS677" s="236"/>
      <c r="AT677" s="236"/>
      <c r="AU677" s="236"/>
      <c r="AV677" s="236"/>
      <c r="AW677" s="236"/>
      <c r="AX677" s="236"/>
      <c r="AY677" s="236"/>
      <c r="AZ677" s="236"/>
      <c r="BA677" s="236"/>
      <c r="BB677" s="236"/>
      <c r="BC677" s="236"/>
      <c r="BD677" s="236"/>
      <c r="BE677" s="236"/>
      <c r="BF677" s="236"/>
      <c r="BG677" s="236"/>
      <c r="BH677" s="236"/>
    </row>
    <row r="678" spans="1:60" ht="13">
      <c r="A678" s="27"/>
      <c r="B678" s="27"/>
      <c r="C678" s="312"/>
      <c r="D678" s="231"/>
      <c r="E678" s="27"/>
      <c r="F678" s="27"/>
      <c r="G678" s="231"/>
      <c r="H678" s="27"/>
      <c r="I678" s="27"/>
      <c r="J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</row>
    <row r="679" spans="1:60" ht="13">
      <c r="A679" s="236"/>
      <c r="B679" s="236"/>
      <c r="C679" s="311"/>
      <c r="D679" s="237"/>
      <c r="E679" s="236"/>
      <c r="F679" s="236"/>
      <c r="G679" s="237"/>
      <c r="H679" s="236"/>
      <c r="I679" s="236"/>
      <c r="J679" s="236"/>
      <c r="N679" s="236"/>
      <c r="O679" s="236"/>
      <c r="P679" s="236"/>
      <c r="Q679" s="236"/>
      <c r="R679" s="236"/>
      <c r="S679" s="236"/>
      <c r="T679" s="236"/>
      <c r="U679" s="236"/>
      <c r="V679" s="236"/>
      <c r="W679" s="236"/>
      <c r="X679" s="236"/>
      <c r="Y679" s="236"/>
      <c r="Z679" s="236"/>
      <c r="AA679" s="236"/>
      <c r="AB679" s="236"/>
      <c r="AC679" s="236"/>
      <c r="AD679" s="236"/>
      <c r="AE679" s="236"/>
      <c r="AF679" s="236"/>
      <c r="AG679" s="236"/>
      <c r="AH679" s="236"/>
      <c r="AI679" s="236"/>
      <c r="AJ679" s="236"/>
      <c r="AK679" s="236"/>
      <c r="AL679" s="236"/>
      <c r="AM679" s="236"/>
      <c r="AN679" s="236"/>
      <c r="AO679" s="236"/>
      <c r="AP679" s="236"/>
      <c r="AQ679" s="236"/>
      <c r="AR679" s="236"/>
      <c r="AS679" s="236"/>
      <c r="AT679" s="236"/>
      <c r="AU679" s="236"/>
      <c r="AV679" s="236"/>
      <c r="AW679" s="236"/>
      <c r="AX679" s="236"/>
      <c r="AY679" s="236"/>
      <c r="AZ679" s="236"/>
      <c r="BA679" s="236"/>
      <c r="BB679" s="236"/>
      <c r="BC679" s="236"/>
      <c r="BD679" s="236"/>
      <c r="BE679" s="236"/>
      <c r="BF679" s="236"/>
      <c r="BG679" s="236"/>
      <c r="BH679" s="236"/>
    </row>
    <row r="680" spans="1:60" ht="13">
      <c r="A680" s="27"/>
      <c r="B680" s="27"/>
      <c r="C680" s="312"/>
      <c r="D680" s="231"/>
      <c r="E680" s="27"/>
      <c r="F680" s="27"/>
      <c r="G680" s="231"/>
      <c r="H680" s="27"/>
      <c r="I680" s="27"/>
      <c r="J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</row>
    <row r="681" spans="1:60" ht="13">
      <c r="A681" s="236"/>
      <c r="B681" s="236"/>
      <c r="C681" s="311"/>
      <c r="D681" s="237"/>
      <c r="E681" s="236"/>
      <c r="F681" s="236"/>
      <c r="G681" s="237"/>
      <c r="H681" s="236"/>
      <c r="I681" s="236"/>
      <c r="J681" s="236"/>
      <c r="N681" s="236"/>
      <c r="O681" s="236"/>
      <c r="P681" s="236"/>
      <c r="Q681" s="236"/>
      <c r="R681" s="236"/>
      <c r="S681" s="236"/>
      <c r="T681" s="236"/>
      <c r="U681" s="236"/>
      <c r="V681" s="236"/>
      <c r="W681" s="236"/>
      <c r="X681" s="236"/>
      <c r="Y681" s="236"/>
      <c r="Z681" s="236"/>
      <c r="AA681" s="236"/>
      <c r="AB681" s="236"/>
      <c r="AC681" s="236"/>
      <c r="AD681" s="236"/>
      <c r="AE681" s="236"/>
      <c r="AF681" s="236"/>
      <c r="AG681" s="236"/>
      <c r="AH681" s="236"/>
      <c r="AI681" s="236"/>
      <c r="AJ681" s="236"/>
      <c r="AK681" s="236"/>
      <c r="AL681" s="236"/>
      <c r="AM681" s="236"/>
      <c r="AN681" s="236"/>
      <c r="AO681" s="236"/>
      <c r="AP681" s="236"/>
      <c r="AQ681" s="236"/>
      <c r="AR681" s="236"/>
      <c r="AS681" s="236"/>
      <c r="AT681" s="236"/>
      <c r="AU681" s="236"/>
      <c r="AV681" s="236"/>
      <c r="AW681" s="236"/>
      <c r="AX681" s="236"/>
      <c r="AY681" s="236"/>
      <c r="AZ681" s="236"/>
      <c r="BA681" s="236"/>
      <c r="BB681" s="236"/>
      <c r="BC681" s="236"/>
      <c r="BD681" s="236"/>
      <c r="BE681" s="236"/>
      <c r="BF681" s="236"/>
      <c r="BG681" s="236"/>
      <c r="BH681" s="236"/>
    </row>
    <row r="682" spans="1:60" ht="13">
      <c r="A682" s="27"/>
      <c r="B682" s="27"/>
      <c r="C682" s="312"/>
      <c r="D682" s="231"/>
      <c r="E682" s="27"/>
      <c r="F682" s="27"/>
      <c r="G682" s="231"/>
      <c r="H682" s="27"/>
      <c r="I682" s="27"/>
      <c r="J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</row>
    <row r="683" spans="1:60" ht="13">
      <c r="A683" s="236"/>
      <c r="B683" s="236"/>
      <c r="C683" s="311"/>
      <c r="D683" s="237"/>
      <c r="E683" s="236"/>
      <c r="F683" s="236"/>
      <c r="G683" s="237"/>
      <c r="H683" s="236"/>
      <c r="I683" s="236"/>
      <c r="J683" s="236"/>
      <c r="N683" s="236"/>
      <c r="O683" s="236"/>
      <c r="P683" s="236"/>
      <c r="Q683" s="236"/>
      <c r="R683" s="236"/>
      <c r="S683" s="236"/>
      <c r="T683" s="236"/>
      <c r="U683" s="236"/>
      <c r="V683" s="236"/>
      <c r="W683" s="236"/>
      <c r="X683" s="236"/>
      <c r="Y683" s="236"/>
      <c r="Z683" s="236"/>
      <c r="AA683" s="236"/>
      <c r="AB683" s="236"/>
      <c r="AC683" s="236"/>
      <c r="AD683" s="236"/>
      <c r="AE683" s="236"/>
      <c r="AF683" s="236"/>
      <c r="AG683" s="236"/>
      <c r="AH683" s="236"/>
      <c r="AI683" s="236"/>
      <c r="AJ683" s="236"/>
      <c r="AK683" s="236"/>
      <c r="AL683" s="236"/>
      <c r="AM683" s="236"/>
      <c r="AN683" s="236"/>
      <c r="AO683" s="236"/>
      <c r="AP683" s="236"/>
      <c r="AQ683" s="236"/>
      <c r="AR683" s="236"/>
      <c r="AS683" s="236"/>
      <c r="AT683" s="236"/>
      <c r="AU683" s="236"/>
      <c r="AV683" s="236"/>
      <c r="AW683" s="236"/>
      <c r="AX683" s="236"/>
      <c r="AY683" s="236"/>
      <c r="AZ683" s="236"/>
      <c r="BA683" s="236"/>
      <c r="BB683" s="236"/>
      <c r="BC683" s="236"/>
      <c r="BD683" s="236"/>
      <c r="BE683" s="236"/>
      <c r="BF683" s="236"/>
      <c r="BG683" s="236"/>
      <c r="BH683" s="236"/>
    </row>
    <row r="684" spans="1:60" ht="13">
      <c r="A684" s="27"/>
      <c r="B684" s="27"/>
      <c r="C684" s="312"/>
      <c r="D684" s="231"/>
      <c r="E684" s="27"/>
      <c r="F684" s="27"/>
      <c r="G684" s="231"/>
      <c r="H684" s="27"/>
      <c r="I684" s="27"/>
      <c r="J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</row>
    <row r="685" spans="1:60" ht="13">
      <c r="A685" s="236"/>
      <c r="B685" s="236"/>
      <c r="C685" s="311"/>
      <c r="D685" s="237"/>
      <c r="E685" s="236"/>
      <c r="F685" s="236"/>
      <c r="G685" s="237"/>
      <c r="H685" s="236"/>
      <c r="I685" s="236"/>
      <c r="J685" s="236"/>
      <c r="N685" s="236"/>
      <c r="O685" s="236"/>
      <c r="P685" s="236"/>
      <c r="Q685" s="236"/>
      <c r="R685" s="236"/>
      <c r="S685" s="236"/>
      <c r="T685" s="236"/>
      <c r="U685" s="236"/>
      <c r="V685" s="236"/>
      <c r="W685" s="236"/>
      <c r="X685" s="236"/>
      <c r="Y685" s="236"/>
      <c r="Z685" s="236"/>
      <c r="AA685" s="236"/>
      <c r="AB685" s="236"/>
      <c r="AC685" s="236"/>
      <c r="AD685" s="236"/>
      <c r="AE685" s="236"/>
      <c r="AF685" s="236"/>
      <c r="AG685" s="236"/>
      <c r="AH685" s="236"/>
      <c r="AI685" s="236"/>
      <c r="AJ685" s="236"/>
      <c r="AK685" s="236"/>
      <c r="AL685" s="236"/>
      <c r="AM685" s="236"/>
      <c r="AN685" s="236"/>
      <c r="AO685" s="236"/>
      <c r="AP685" s="236"/>
      <c r="AQ685" s="236"/>
      <c r="AR685" s="236"/>
      <c r="AS685" s="236"/>
      <c r="AT685" s="236"/>
      <c r="AU685" s="236"/>
      <c r="AV685" s="236"/>
      <c r="AW685" s="236"/>
      <c r="AX685" s="236"/>
      <c r="AY685" s="236"/>
      <c r="AZ685" s="236"/>
      <c r="BA685" s="236"/>
      <c r="BB685" s="236"/>
      <c r="BC685" s="236"/>
      <c r="BD685" s="236"/>
      <c r="BE685" s="236"/>
      <c r="BF685" s="236"/>
      <c r="BG685" s="236"/>
      <c r="BH685" s="236"/>
    </row>
    <row r="686" spans="1:60" ht="13">
      <c r="A686" s="27"/>
      <c r="B686" s="27"/>
      <c r="C686" s="312"/>
      <c r="D686" s="231"/>
      <c r="E686" s="27"/>
      <c r="F686" s="27"/>
      <c r="G686" s="231"/>
      <c r="H686" s="27"/>
      <c r="I686" s="27"/>
      <c r="J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</row>
    <row r="687" spans="1:60" ht="13">
      <c r="A687" s="236"/>
      <c r="B687" s="236"/>
      <c r="C687" s="311"/>
      <c r="D687" s="237"/>
      <c r="E687" s="236"/>
      <c r="F687" s="236"/>
      <c r="G687" s="237"/>
      <c r="H687" s="236"/>
      <c r="I687" s="236"/>
      <c r="J687" s="236"/>
      <c r="N687" s="236"/>
      <c r="O687" s="236"/>
      <c r="P687" s="236"/>
      <c r="Q687" s="236"/>
      <c r="R687" s="236"/>
      <c r="S687" s="236"/>
      <c r="T687" s="236"/>
      <c r="U687" s="236"/>
      <c r="V687" s="236"/>
      <c r="W687" s="236"/>
      <c r="X687" s="236"/>
      <c r="Y687" s="236"/>
      <c r="Z687" s="236"/>
      <c r="AA687" s="236"/>
      <c r="AB687" s="236"/>
      <c r="AC687" s="236"/>
      <c r="AD687" s="236"/>
      <c r="AE687" s="236"/>
      <c r="AF687" s="236"/>
      <c r="AG687" s="236"/>
      <c r="AH687" s="236"/>
      <c r="AI687" s="236"/>
      <c r="AJ687" s="236"/>
      <c r="AK687" s="236"/>
      <c r="AL687" s="236"/>
      <c r="AM687" s="236"/>
      <c r="AN687" s="236"/>
      <c r="AO687" s="236"/>
      <c r="AP687" s="236"/>
      <c r="AQ687" s="236"/>
      <c r="AR687" s="236"/>
      <c r="AS687" s="236"/>
      <c r="AT687" s="236"/>
      <c r="AU687" s="236"/>
      <c r="AV687" s="236"/>
      <c r="AW687" s="236"/>
      <c r="AX687" s="236"/>
      <c r="AY687" s="236"/>
      <c r="AZ687" s="236"/>
      <c r="BA687" s="236"/>
      <c r="BB687" s="236"/>
      <c r="BC687" s="236"/>
      <c r="BD687" s="236"/>
      <c r="BE687" s="236"/>
      <c r="BF687" s="236"/>
      <c r="BG687" s="236"/>
      <c r="BH687" s="236"/>
    </row>
    <row r="688" spans="1:60" ht="13">
      <c r="A688" s="27"/>
      <c r="B688" s="27"/>
      <c r="C688" s="312"/>
      <c r="D688" s="231"/>
      <c r="E688" s="27"/>
      <c r="F688" s="27"/>
      <c r="G688" s="231"/>
      <c r="H688" s="27"/>
      <c r="I688" s="27"/>
      <c r="J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</row>
    <row r="689" spans="1:60" ht="13">
      <c r="A689" s="236"/>
      <c r="B689" s="236"/>
      <c r="C689" s="311"/>
      <c r="D689" s="237"/>
      <c r="E689" s="236"/>
      <c r="F689" s="236"/>
      <c r="G689" s="237"/>
      <c r="H689" s="236"/>
      <c r="I689" s="236"/>
      <c r="J689" s="236"/>
      <c r="N689" s="236"/>
      <c r="O689" s="236"/>
      <c r="P689" s="236"/>
      <c r="Q689" s="236"/>
      <c r="R689" s="236"/>
      <c r="S689" s="236"/>
      <c r="T689" s="236"/>
      <c r="U689" s="236"/>
      <c r="V689" s="236"/>
      <c r="W689" s="236"/>
      <c r="X689" s="236"/>
      <c r="Y689" s="236"/>
      <c r="Z689" s="236"/>
      <c r="AA689" s="236"/>
      <c r="AB689" s="236"/>
      <c r="AC689" s="236"/>
      <c r="AD689" s="236"/>
      <c r="AE689" s="236"/>
      <c r="AF689" s="236"/>
      <c r="AG689" s="236"/>
      <c r="AH689" s="236"/>
      <c r="AI689" s="236"/>
      <c r="AJ689" s="236"/>
      <c r="AK689" s="236"/>
      <c r="AL689" s="236"/>
      <c r="AM689" s="236"/>
      <c r="AN689" s="236"/>
      <c r="AO689" s="236"/>
      <c r="AP689" s="236"/>
      <c r="AQ689" s="236"/>
      <c r="AR689" s="236"/>
      <c r="AS689" s="236"/>
      <c r="AT689" s="236"/>
      <c r="AU689" s="236"/>
      <c r="AV689" s="236"/>
      <c r="AW689" s="236"/>
      <c r="AX689" s="236"/>
      <c r="AY689" s="236"/>
      <c r="AZ689" s="236"/>
      <c r="BA689" s="236"/>
      <c r="BB689" s="236"/>
      <c r="BC689" s="236"/>
      <c r="BD689" s="236"/>
      <c r="BE689" s="236"/>
      <c r="BF689" s="236"/>
      <c r="BG689" s="236"/>
      <c r="BH689" s="236"/>
    </row>
    <row r="690" spans="1:60" ht="13">
      <c r="A690" s="27"/>
      <c r="B690" s="27"/>
      <c r="C690" s="312"/>
      <c r="D690" s="231"/>
      <c r="E690" s="27"/>
      <c r="F690" s="27"/>
      <c r="G690" s="231"/>
      <c r="H690" s="27"/>
      <c r="I690" s="27"/>
      <c r="J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</row>
    <row r="691" spans="1:60" ht="13">
      <c r="A691" s="236"/>
      <c r="B691" s="236"/>
      <c r="C691" s="311"/>
      <c r="D691" s="237"/>
      <c r="E691" s="236"/>
      <c r="F691" s="236"/>
      <c r="G691" s="237"/>
      <c r="H691" s="236"/>
      <c r="I691" s="236"/>
      <c r="J691" s="236"/>
      <c r="N691" s="236"/>
      <c r="O691" s="236"/>
      <c r="P691" s="236"/>
      <c r="Q691" s="236"/>
      <c r="R691" s="236"/>
      <c r="S691" s="236"/>
      <c r="T691" s="236"/>
      <c r="U691" s="236"/>
      <c r="V691" s="236"/>
      <c r="W691" s="236"/>
      <c r="X691" s="236"/>
      <c r="Y691" s="236"/>
      <c r="Z691" s="236"/>
      <c r="AA691" s="236"/>
      <c r="AB691" s="236"/>
      <c r="AC691" s="236"/>
      <c r="AD691" s="236"/>
      <c r="AE691" s="236"/>
      <c r="AF691" s="236"/>
      <c r="AG691" s="236"/>
      <c r="AH691" s="236"/>
      <c r="AI691" s="236"/>
      <c r="AJ691" s="236"/>
      <c r="AK691" s="236"/>
      <c r="AL691" s="236"/>
      <c r="AM691" s="236"/>
      <c r="AN691" s="236"/>
      <c r="AO691" s="236"/>
      <c r="AP691" s="236"/>
      <c r="AQ691" s="236"/>
      <c r="AR691" s="236"/>
      <c r="AS691" s="236"/>
      <c r="AT691" s="236"/>
      <c r="AU691" s="236"/>
      <c r="AV691" s="236"/>
      <c r="AW691" s="236"/>
      <c r="AX691" s="236"/>
      <c r="AY691" s="236"/>
      <c r="AZ691" s="236"/>
      <c r="BA691" s="236"/>
      <c r="BB691" s="236"/>
      <c r="BC691" s="236"/>
      <c r="BD691" s="236"/>
      <c r="BE691" s="236"/>
      <c r="BF691" s="236"/>
      <c r="BG691" s="236"/>
      <c r="BH691" s="236"/>
    </row>
    <row r="692" spans="1:60" ht="13">
      <c r="A692" s="27"/>
      <c r="B692" s="27"/>
      <c r="C692" s="312"/>
      <c r="D692" s="231"/>
      <c r="E692" s="27"/>
      <c r="F692" s="27"/>
      <c r="G692" s="231"/>
      <c r="H692" s="27"/>
      <c r="I692" s="27"/>
      <c r="J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</row>
    <row r="693" spans="1:60" ht="13">
      <c r="A693" s="236"/>
      <c r="B693" s="236"/>
      <c r="C693" s="311"/>
      <c r="D693" s="237"/>
      <c r="E693" s="236"/>
      <c r="F693" s="236"/>
      <c r="G693" s="237"/>
      <c r="H693" s="236"/>
      <c r="I693" s="236"/>
      <c r="J693" s="236"/>
      <c r="N693" s="236"/>
      <c r="O693" s="236"/>
      <c r="P693" s="236"/>
      <c r="Q693" s="236"/>
      <c r="R693" s="236"/>
      <c r="S693" s="236"/>
      <c r="T693" s="236"/>
      <c r="U693" s="236"/>
      <c r="V693" s="23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236"/>
      <c r="AH693" s="236"/>
      <c r="AI693" s="236"/>
      <c r="AJ693" s="236"/>
      <c r="AK693" s="236"/>
      <c r="AL693" s="236"/>
      <c r="AM693" s="236"/>
      <c r="AN693" s="236"/>
      <c r="AO693" s="236"/>
      <c r="AP693" s="236"/>
      <c r="AQ693" s="236"/>
      <c r="AR693" s="236"/>
      <c r="AS693" s="236"/>
      <c r="AT693" s="236"/>
      <c r="AU693" s="236"/>
      <c r="AV693" s="236"/>
      <c r="AW693" s="236"/>
      <c r="AX693" s="236"/>
      <c r="AY693" s="236"/>
      <c r="AZ693" s="236"/>
      <c r="BA693" s="236"/>
      <c r="BB693" s="236"/>
      <c r="BC693" s="236"/>
      <c r="BD693" s="236"/>
      <c r="BE693" s="236"/>
      <c r="BF693" s="236"/>
      <c r="BG693" s="236"/>
      <c r="BH693" s="236"/>
    </row>
    <row r="694" spans="1:60" ht="13">
      <c r="A694" s="27"/>
      <c r="B694" s="27"/>
      <c r="C694" s="312"/>
      <c r="D694" s="231"/>
      <c r="E694" s="27"/>
      <c r="F694" s="27"/>
      <c r="G694" s="231"/>
      <c r="H694" s="27"/>
      <c r="I694" s="27"/>
      <c r="J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</row>
    <row r="695" spans="1:60" ht="13">
      <c r="A695" s="236"/>
      <c r="B695" s="236"/>
      <c r="C695" s="311"/>
      <c r="D695" s="237"/>
      <c r="E695" s="236"/>
      <c r="F695" s="236"/>
      <c r="G695" s="237"/>
      <c r="H695" s="236"/>
      <c r="I695" s="236"/>
      <c r="J695" s="236"/>
      <c r="N695" s="236"/>
      <c r="O695" s="236"/>
      <c r="P695" s="236"/>
      <c r="Q695" s="236"/>
      <c r="R695" s="236"/>
      <c r="S695" s="236"/>
      <c r="T695" s="236"/>
      <c r="U695" s="236"/>
      <c r="V695" s="23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236"/>
      <c r="AH695" s="236"/>
      <c r="AI695" s="236"/>
      <c r="AJ695" s="236"/>
      <c r="AK695" s="236"/>
      <c r="AL695" s="236"/>
      <c r="AM695" s="236"/>
      <c r="AN695" s="236"/>
      <c r="AO695" s="236"/>
      <c r="AP695" s="236"/>
      <c r="AQ695" s="236"/>
      <c r="AR695" s="236"/>
      <c r="AS695" s="236"/>
      <c r="AT695" s="236"/>
      <c r="AU695" s="236"/>
      <c r="AV695" s="236"/>
      <c r="AW695" s="236"/>
      <c r="AX695" s="236"/>
      <c r="AY695" s="236"/>
      <c r="AZ695" s="236"/>
      <c r="BA695" s="236"/>
      <c r="BB695" s="236"/>
      <c r="BC695" s="236"/>
      <c r="BD695" s="236"/>
      <c r="BE695" s="236"/>
      <c r="BF695" s="236"/>
      <c r="BG695" s="236"/>
      <c r="BH695" s="236"/>
    </row>
    <row r="696" spans="1:60" ht="13">
      <c r="A696" s="27"/>
      <c r="B696" s="27"/>
      <c r="C696" s="312"/>
      <c r="D696" s="231"/>
      <c r="E696" s="27"/>
      <c r="F696" s="27"/>
      <c r="G696" s="231"/>
      <c r="H696" s="27"/>
      <c r="I696" s="27"/>
      <c r="J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</row>
    <row r="697" spans="1:60" ht="13">
      <c r="A697" s="236"/>
      <c r="B697" s="236"/>
      <c r="C697" s="311"/>
      <c r="D697" s="237"/>
      <c r="E697" s="236"/>
      <c r="F697" s="236"/>
      <c r="G697" s="237"/>
      <c r="H697" s="236"/>
      <c r="I697" s="236"/>
      <c r="J697" s="236"/>
      <c r="N697" s="236"/>
      <c r="O697" s="236"/>
      <c r="P697" s="236"/>
      <c r="Q697" s="236"/>
      <c r="R697" s="236"/>
      <c r="S697" s="236"/>
      <c r="T697" s="236"/>
      <c r="U697" s="236"/>
      <c r="V697" s="23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236"/>
      <c r="AH697" s="236"/>
      <c r="AI697" s="236"/>
      <c r="AJ697" s="236"/>
      <c r="AK697" s="236"/>
      <c r="AL697" s="236"/>
      <c r="AM697" s="236"/>
      <c r="AN697" s="236"/>
      <c r="AO697" s="236"/>
      <c r="AP697" s="236"/>
      <c r="AQ697" s="236"/>
      <c r="AR697" s="236"/>
      <c r="AS697" s="236"/>
      <c r="AT697" s="236"/>
      <c r="AU697" s="236"/>
      <c r="AV697" s="236"/>
      <c r="AW697" s="236"/>
      <c r="AX697" s="236"/>
      <c r="AY697" s="236"/>
      <c r="AZ697" s="236"/>
      <c r="BA697" s="236"/>
      <c r="BB697" s="236"/>
      <c r="BC697" s="236"/>
      <c r="BD697" s="236"/>
      <c r="BE697" s="236"/>
      <c r="BF697" s="236"/>
      <c r="BG697" s="236"/>
      <c r="BH697" s="236"/>
    </row>
    <row r="698" spans="1:60" ht="13">
      <c r="A698" s="27"/>
      <c r="B698" s="27"/>
      <c r="C698" s="312"/>
      <c r="D698" s="231"/>
      <c r="E698" s="27"/>
      <c r="F698" s="27"/>
      <c r="G698" s="231"/>
      <c r="H698" s="27"/>
      <c r="I698" s="27"/>
      <c r="J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</row>
    <row r="699" spans="1:60" ht="13">
      <c r="A699" s="236"/>
      <c r="B699" s="236"/>
      <c r="C699" s="311"/>
      <c r="D699" s="237"/>
      <c r="E699" s="236"/>
      <c r="F699" s="236"/>
      <c r="G699" s="237"/>
      <c r="H699" s="236"/>
      <c r="I699" s="236"/>
      <c r="J699" s="236"/>
      <c r="N699" s="236"/>
      <c r="O699" s="236"/>
      <c r="P699" s="236"/>
      <c r="Q699" s="236"/>
      <c r="R699" s="236"/>
      <c r="S699" s="236"/>
      <c r="T699" s="236"/>
      <c r="U699" s="236"/>
      <c r="V699" s="23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236"/>
      <c r="AH699" s="236"/>
      <c r="AI699" s="236"/>
      <c r="AJ699" s="236"/>
      <c r="AK699" s="236"/>
      <c r="AL699" s="236"/>
      <c r="AM699" s="236"/>
      <c r="AN699" s="236"/>
      <c r="AO699" s="236"/>
      <c r="AP699" s="236"/>
      <c r="AQ699" s="236"/>
      <c r="AR699" s="236"/>
      <c r="AS699" s="236"/>
      <c r="AT699" s="236"/>
      <c r="AU699" s="236"/>
      <c r="AV699" s="236"/>
      <c r="AW699" s="236"/>
      <c r="AX699" s="236"/>
      <c r="AY699" s="236"/>
      <c r="AZ699" s="236"/>
      <c r="BA699" s="236"/>
      <c r="BB699" s="236"/>
      <c r="BC699" s="236"/>
      <c r="BD699" s="236"/>
      <c r="BE699" s="236"/>
      <c r="BF699" s="236"/>
      <c r="BG699" s="236"/>
      <c r="BH699" s="236"/>
    </row>
    <row r="700" spans="1:60" ht="13">
      <c r="A700" s="27"/>
      <c r="B700" s="27"/>
      <c r="C700" s="312"/>
      <c r="D700" s="231"/>
      <c r="E700" s="27"/>
      <c r="F700" s="27"/>
      <c r="G700" s="231"/>
      <c r="H700" s="27"/>
      <c r="I700" s="27"/>
      <c r="J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</row>
    <row r="701" spans="1:60" ht="13">
      <c r="A701" s="236"/>
      <c r="B701" s="236"/>
      <c r="C701" s="311"/>
      <c r="D701" s="237"/>
      <c r="E701" s="236"/>
      <c r="F701" s="236"/>
      <c r="G701" s="237"/>
      <c r="H701" s="236"/>
      <c r="I701" s="236"/>
      <c r="J701" s="236"/>
      <c r="N701" s="236"/>
      <c r="O701" s="236"/>
      <c r="P701" s="236"/>
      <c r="Q701" s="236"/>
      <c r="R701" s="236"/>
      <c r="S701" s="236"/>
      <c r="T701" s="236"/>
      <c r="U701" s="236"/>
      <c r="V701" s="23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236"/>
      <c r="AH701" s="236"/>
      <c r="AI701" s="236"/>
      <c r="AJ701" s="236"/>
      <c r="AK701" s="236"/>
      <c r="AL701" s="236"/>
      <c r="AM701" s="236"/>
      <c r="AN701" s="236"/>
      <c r="AO701" s="236"/>
      <c r="AP701" s="236"/>
      <c r="AQ701" s="236"/>
      <c r="AR701" s="236"/>
      <c r="AS701" s="236"/>
      <c r="AT701" s="236"/>
      <c r="AU701" s="236"/>
      <c r="AV701" s="236"/>
      <c r="AW701" s="236"/>
      <c r="AX701" s="236"/>
      <c r="AY701" s="236"/>
      <c r="AZ701" s="236"/>
      <c r="BA701" s="236"/>
      <c r="BB701" s="236"/>
      <c r="BC701" s="236"/>
      <c r="BD701" s="236"/>
      <c r="BE701" s="236"/>
      <c r="BF701" s="236"/>
      <c r="BG701" s="236"/>
      <c r="BH701" s="236"/>
    </row>
    <row r="702" spans="1:60" ht="13">
      <c r="A702" s="27"/>
      <c r="B702" s="27"/>
      <c r="C702" s="312"/>
      <c r="D702" s="231"/>
      <c r="E702" s="27"/>
      <c r="F702" s="27"/>
      <c r="G702" s="231"/>
      <c r="H702" s="27"/>
      <c r="I702" s="27"/>
      <c r="J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</row>
    <row r="703" spans="1:60" ht="13">
      <c r="A703" s="236"/>
      <c r="B703" s="236"/>
      <c r="C703" s="311"/>
      <c r="D703" s="237"/>
      <c r="E703" s="236"/>
      <c r="F703" s="236"/>
      <c r="G703" s="237"/>
      <c r="H703" s="236"/>
      <c r="I703" s="236"/>
      <c r="J703" s="236"/>
      <c r="N703" s="236"/>
      <c r="O703" s="236"/>
      <c r="P703" s="236"/>
      <c r="Q703" s="236"/>
      <c r="R703" s="236"/>
      <c r="S703" s="236"/>
      <c r="T703" s="236"/>
      <c r="U703" s="236"/>
      <c r="V703" s="23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236"/>
      <c r="AH703" s="236"/>
      <c r="AI703" s="236"/>
      <c r="AJ703" s="236"/>
      <c r="AK703" s="236"/>
      <c r="AL703" s="236"/>
      <c r="AM703" s="236"/>
      <c r="AN703" s="236"/>
      <c r="AO703" s="236"/>
      <c r="AP703" s="236"/>
      <c r="AQ703" s="236"/>
      <c r="AR703" s="236"/>
      <c r="AS703" s="236"/>
      <c r="AT703" s="236"/>
      <c r="AU703" s="236"/>
      <c r="AV703" s="236"/>
      <c r="AW703" s="236"/>
      <c r="AX703" s="236"/>
      <c r="AY703" s="236"/>
      <c r="AZ703" s="236"/>
      <c r="BA703" s="236"/>
      <c r="BB703" s="236"/>
      <c r="BC703" s="236"/>
      <c r="BD703" s="236"/>
      <c r="BE703" s="236"/>
      <c r="BF703" s="236"/>
      <c r="BG703" s="236"/>
      <c r="BH703" s="236"/>
    </row>
    <row r="704" spans="1:60" ht="13">
      <c r="A704" s="27"/>
      <c r="B704" s="27"/>
      <c r="C704" s="312"/>
      <c r="D704" s="231"/>
      <c r="E704" s="27"/>
      <c r="F704" s="27"/>
      <c r="G704" s="231"/>
      <c r="H704" s="27"/>
      <c r="I704" s="27"/>
      <c r="J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</row>
    <row r="705" spans="1:60" ht="13">
      <c r="A705" s="236"/>
      <c r="B705" s="236"/>
      <c r="C705" s="311"/>
      <c r="D705" s="237"/>
      <c r="E705" s="236"/>
      <c r="F705" s="236"/>
      <c r="G705" s="237"/>
      <c r="H705" s="236"/>
      <c r="I705" s="236"/>
      <c r="J705" s="236"/>
      <c r="N705" s="236"/>
      <c r="O705" s="236"/>
      <c r="P705" s="236"/>
      <c r="Q705" s="236"/>
      <c r="R705" s="236"/>
      <c r="S705" s="236"/>
      <c r="T705" s="236"/>
      <c r="U705" s="236"/>
      <c r="V705" s="23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236"/>
      <c r="AH705" s="236"/>
      <c r="AI705" s="236"/>
      <c r="AJ705" s="236"/>
      <c r="AK705" s="236"/>
      <c r="AL705" s="236"/>
      <c r="AM705" s="236"/>
      <c r="AN705" s="236"/>
      <c r="AO705" s="236"/>
      <c r="AP705" s="236"/>
      <c r="AQ705" s="236"/>
      <c r="AR705" s="236"/>
      <c r="AS705" s="236"/>
      <c r="AT705" s="236"/>
      <c r="AU705" s="236"/>
      <c r="AV705" s="236"/>
      <c r="AW705" s="236"/>
      <c r="AX705" s="236"/>
      <c r="AY705" s="236"/>
      <c r="AZ705" s="236"/>
      <c r="BA705" s="236"/>
      <c r="BB705" s="236"/>
      <c r="BC705" s="236"/>
      <c r="BD705" s="236"/>
      <c r="BE705" s="236"/>
      <c r="BF705" s="236"/>
      <c r="BG705" s="236"/>
      <c r="BH705" s="236"/>
    </row>
    <row r="706" spans="1:60" ht="13">
      <c r="A706" s="27"/>
      <c r="B706" s="27"/>
      <c r="C706" s="312"/>
      <c r="D706" s="231"/>
      <c r="E706" s="27"/>
      <c r="F706" s="27"/>
      <c r="G706" s="231"/>
      <c r="H706" s="27"/>
      <c r="I706" s="27"/>
      <c r="J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</row>
    <row r="707" spans="1:60" ht="13">
      <c r="A707" s="236"/>
      <c r="B707" s="236"/>
      <c r="C707" s="311"/>
      <c r="D707" s="237"/>
      <c r="E707" s="236"/>
      <c r="F707" s="236"/>
      <c r="G707" s="237"/>
      <c r="H707" s="236"/>
      <c r="I707" s="236"/>
      <c r="J707" s="236"/>
      <c r="N707" s="236"/>
      <c r="O707" s="236"/>
      <c r="P707" s="236"/>
      <c r="Q707" s="236"/>
      <c r="R707" s="236"/>
      <c r="S707" s="236"/>
      <c r="T707" s="236"/>
      <c r="U707" s="236"/>
      <c r="V707" s="23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236"/>
      <c r="AH707" s="236"/>
      <c r="AI707" s="236"/>
      <c r="AJ707" s="236"/>
      <c r="AK707" s="236"/>
      <c r="AL707" s="236"/>
      <c r="AM707" s="236"/>
      <c r="AN707" s="236"/>
      <c r="AO707" s="236"/>
      <c r="AP707" s="236"/>
      <c r="AQ707" s="236"/>
      <c r="AR707" s="236"/>
      <c r="AS707" s="236"/>
      <c r="AT707" s="236"/>
      <c r="AU707" s="236"/>
      <c r="AV707" s="236"/>
      <c r="AW707" s="236"/>
      <c r="AX707" s="236"/>
      <c r="AY707" s="236"/>
      <c r="AZ707" s="236"/>
      <c r="BA707" s="236"/>
      <c r="BB707" s="236"/>
      <c r="BC707" s="236"/>
      <c r="BD707" s="236"/>
      <c r="BE707" s="236"/>
      <c r="BF707" s="236"/>
      <c r="BG707" s="236"/>
      <c r="BH707" s="236"/>
    </row>
    <row r="708" spans="1:60" ht="13">
      <c r="A708" s="27"/>
      <c r="B708" s="27"/>
      <c r="C708" s="312"/>
      <c r="D708" s="231"/>
      <c r="E708" s="27"/>
      <c r="F708" s="27"/>
      <c r="G708" s="231"/>
      <c r="H708" s="27"/>
      <c r="I708" s="27"/>
      <c r="J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</row>
    <row r="709" spans="1:60" ht="13">
      <c r="A709" s="236"/>
      <c r="B709" s="236"/>
      <c r="C709" s="311"/>
      <c r="D709" s="237"/>
      <c r="E709" s="236"/>
      <c r="F709" s="236"/>
      <c r="G709" s="237"/>
      <c r="H709" s="236"/>
      <c r="I709" s="236"/>
      <c r="J709" s="236"/>
      <c r="N709" s="236"/>
      <c r="O709" s="236"/>
      <c r="P709" s="236"/>
      <c r="Q709" s="236"/>
      <c r="R709" s="236"/>
      <c r="S709" s="236"/>
      <c r="T709" s="236"/>
      <c r="U709" s="236"/>
      <c r="V709" s="23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236"/>
      <c r="AH709" s="236"/>
      <c r="AI709" s="236"/>
      <c r="AJ709" s="236"/>
      <c r="AK709" s="236"/>
      <c r="AL709" s="236"/>
      <c r="AM709" s="236"/>
      <c r="AN709" s="236"/>
      <c r="AO709" s="236"/>
      <c r="AP709" s="236"/>
      <c r="AQ709" s="236"/>
      <c r="AR709" s="236"/>
      <c r="AS709" s="236"/>
      <c r="AT709" s="236"/>
      <c r="AU709" s="236"/>
      <c r="AV709" s="236"/>
      <c r="AW709" s="236"/>
      <c r="AX709" s="236"/>
      <c r="AY709" s="236"/>
      <c r="AZ709" s="236"/>
      <c r="BA709" s="236"/>
      <c r="BB709" s="236"/>
      <c r="BC709" s="236"/>
      <c r="BD709" s="236"/>
      <c r="BE709" s="236"/>
      <c r="BF709" s="236"/>
      <c r="BG709" s="236"/>
      <c r="BH709" s="236"/>
    </row>
    <row r="710" spans="1:60" ht="13">
      <c r="A710" s="27"/>
      <c r="B710" s="27"/>
      <c r="C710" s="312"/>
      <c r="D710" s="231"/>
      <c r="E710" s="27"/>
      <c r="F710" s="27"/>
      <c r="G710" s="231"/>
      <c r="H710" s="27"/>
      <c r="I710" s="27"/>
      <c r="J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</row>
    <row r="711" spans="1:60" ht="13">
      <c r="A711" s="236"/>
      <c r="B711" s="236"/>
      <c r="C711" s="311"/>
      <c r="D711" s="237"/>
      <c r="E711" s="236"/>
      <c r="F711" s="236"/>
      <c r="G711" s="237"/>
      <c r="H711" s="236"/>
      <c r="I711" s="236"/>
      <c r="J711" s="236"/>
      <c r="N711" s="236"/>
      <c r="O711" s="236"/>
      <c r="P711" s="236"/>
      <c r="Q711" s="236"/>
      <c r="R711" s="236"/>
      <c r="S711" s="236"/>
      <c r="T711" s="236"/>
      <c r="U711" s="236"/>
      <c r="V711" s="236"/>
      <c r="W711" s="236"/>
      <c r="X711" s="236"/>
      <c r="Y711" s="236"/>
      <c r="Z711" s="236"/>
      <c r="AA711" s="236"/>
      <c r="AB711" s="236"/>
      <c r="AC711" s="236"/>
      <c r="AD711" s="236"/>
      <c r="AE711" s="236"/>
      <c r="AF711" s="236"/>
      <c r="AG711" s="236"/>
      <c r="AH711" s="236"/>
      <c r="AI711" s="236"/>
      <c r="AJ711" s="236"/>
      <c r="AK711" s="236"/>
      <c r="AL711" s="236"/>
      <c r="AM711" s="236"/>
      <c r="AN711" s="236"/>
      <c r="AO711" s="236"/>
      <c r="AP711" s="236"/>
      <c r="AQ711" s="236"/>
      <c r="AR711" s="236"/>
      <c r="AS711" s="236"/>
      <c r="AT711" s="236"/>
      <c r="AU711" s="236"/>
      <c r="AV711" s="236"/>
      <c r="AW711" s="236"/>
      <c r="AX711" s="236"/>
      <c r="AY711" s="236"/>
      <c r="AZ711" s="236"/>
      <c r="BA711" s="236"/>
      <c r="BB711" s="236"/>
      <c r="BC711" s="236"/>
      <c r="BD711" s="236"/>
      <c r="BE711" s="236"/>
      <c r="BF711" s="236"/>
      <c r="BG711" s="236"/>
      <c r="BH711" s="236"/>
    </row>
    <row r="712" spans="1:60" ht="13">
      <c r="A712" s="27"/>
      <c r="B712" s="27"/>
      <c r="C712" s="312"/>
      <c r="D712" s="231"/>
      <c r="E712" s="27"/>
      <c r="F712" s="27"/>
      <c r="G712" s="231"/>
      <c r="H712" s="27"/>
      <c r="I712" s="27"/>
      <c r="J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</row>
    <row r="713" spans="1:60" ht="13">
      <c r="A713" s="236"/>
      <c r="B713" s="236"/>
      <c r="C713" s="311"/>
      <c r="D713" s="237"/>
      <c r="E713" s="236"/>
      <c r="F713" s="236"/>
      <c r="G713" s="237"/>
      <c r="H713" s="236"/>
      <c r="I713" s="236"/>
      <c r="J713" s="236"/>
      <c r="N713" s="236"/>
      <c r="O713" s="236"/>
      <c r="P713" s="236"/>
      <c r="Q713" s="236"/>
      <c r="R713" s="236"/>
      <c r="S713" s="236"/>
      <c r="T713" s="236"/>
      <c r="U713" s="236"/>
      <c r="V713" s="236"/>
      <c r="W713" s="236"/>
      <c r="X713" s="236"/>
      <c r="Y713" s="236"/>
      <c r="Z713" s="236"/>
      <c r="AA713" s="236"/>
      <c r="AB713" s="236"/>
      <c r="AC713" s="236"/>
      <c r="AD713" s="236"/>
      <c r="AE713" s="236"/>
      <c r="AF713" s="236"/>
      <c r="AG713" s="236"/>
      <c r="AH713" s="236"/>
      <c r="AI713" s="236"/>
      <c r="AJ713" s="236"/>
      <c r="AK713" s="236"/>
      <c r="AL713" s="236"/>
      <c r="AM713" s="236"/>
      <c r="AN713" s="236"/>
      <c r="AO713" s="236"/>
      <c r="AP713" s="236"/>
      <c r="AQ713" s="236"/>
      <c r="AR713" s="236"/>
      <c r="AS713" s="236"/>
      <c r="AT713" s="236"/>
      <c r="AU713" s="236"/>
      <c r="AV713" s="236"/>
      <c r="AW713" s="236"/>
      <c r="AX713" s="236"/>
      <c r="AY713" s="236"/>
      <c r="AZ713" s="236"/>
      <c r="BA713" s="236"/>
      <c r="BB713" s="236"/>
      <c r="BC713" s="236"/>
      <c r="BD713" s="236"/>
      <c r="BE713" s="236"/>
      <c r="BF713" s="236"/>
      <c r="BG713" s="236"/>
      <c r="BH713" s="236"/>
    </row>
    <row r="714" spans="1:60" ht="13">
      <c r="A714" s="27"/>
      <c r="B714" s="27"/>
      <c r="C714" s="312"/>
      <c r="D714" s="231"/>
      <c r="E714" s="27"/>
      <c r="F714" s="27"/>
      <c r="G714" s="231"/>
      <c r="H714" s="27"/>
      <c r="I714" s="27"/>
      <c r="J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</row>
    <row r="715" spans="1:60" ht="13">
      <c r="A715" s="236"/>
      <c r="B715" s="236"/>
      <c r="C715" s="311"/>
      <c r="D715" s="237"/>
      <c r="E715" s="236"/>
      <c r="F715" s="236"/>
      <c r="G715" s="237"/>
      <c r="H715" s="236"/>
      <c r="I715" s="236"/>
      <c r="J715" s="236"/>
      <c r="N715" s="236"/>
      <c r="O715" s="236"/>
      <c r="P715" s="236"/>
      <c r="Q715" s="236"/>
      <c r="R715" s="236"/>
      <c r="S715" s="236"/>
      <c r="T715" s="236"/>
      <c r="U715" s="236"/>
      <c r="V715" s="236"/>
      <c r="W715" s="236"/>
      <c r="X715" s="236"/>
      <c r="Y715" s="236"/>
      <c r="Z715" s="236"/>
      <c r="AA715" s="236"/>
      <c r="AB715" s="236"/>
      <c r="AC715" s="236"/>
      <c r="AD715" s="236"/>
      <c r="AE715" s="236"/>
      <c r="AF715" s="236"/>
      <c r="AG715" s="236"/>
      <c r="AH715" s="236"/>
      <c r="AI715" s="236"/>
      <c r="AJ715" s="236"/>
      <c r="AK715" s="236"/>
      <c r="AL715" s="236"/>
      <c r="AM715" s="236"/>
      <c r="AN715" s="236"/>
      <c r="AO715" s="236"/>
      <c r="AP715" s="236"/>
      <c r="AQ715" s="236"/>
      <c r="AR715" s="236"/>
      <c r="AS715" s="236"/>
      <c r="AT715" s="236"/>
      <c r="AU715" s="236"/>
      <c r="AV715" s="236"/>
      <c r="AW715" s="236"/>
      <c r="AX715" s="236"/>
      <c r="AY715" s="236"/>
      <c r="AZ715" s="236"/>
      <c r="BA715" s="236"/>
      <c r="BB715" s="236"/>
      <c r="BC715" s="236"/>
      <c r="BD715" s="236"/>
      <c r="BE715" s="236"/>
      <c r="BF715" s="236"/>
      <c r="BG715" s="236"/>
      <c r="BH715" s="236"/>
    </row>
    <row r="716" spans="1:60" ht="13">
      <c r="A716" s="27"/>
      <c r="B716" s="27"/>
      <c r="C716" s="312"/>
      <c r="D716" s="231"/>
      <c r="E716" s="27"/>
      <c r="F716" s="27"/>
      <c r="G716" s="231"/>
      <c r="H716" s="27"/>
      <c r="I716" s="27"/>
      <c r="J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</row>
    <row r="717" spans="1:60" ht="13">
      <c r="A717" s="236"/>
      <c r="B717" s="236"/>
      <c r="C717" s="311"/>
      <c r="D717" s="237"/>
      <c r="E717" s="236"/>
      <c r="F717" s="236"/>
      <c r="G717" s="237"/>
      <c r="H717" s="236"/>
      <c r="I717" s="236"/>
      <c r="J717" s="236"/>
      <c r="N717" s="236"/>
      <c r="O717" s="236"/>
      <c r="P717" s="236"/>
      <c r="Q717" s="236"/>
      <c r="R717" s="236"/>
      <c r="S717" s="236"/>
      <c r="T717" s="236"/>
      <c r="U717" s="236"/>
      <c r="V717" s="236"/>
      <c r="W717" s="236"/>
      <c r="X717" s="236"/>
      <c r="Y717" s="236"/>
      <c r="Z717" s="236"/>
      <c r="AA717" s="236"/>
      <c r="AB717" s="236"/>
      <c r="AC717" s="236"/>
      <c r="AD717" s="236"/>
      <c r="AE717" s="236"/>
      <c r="AF717" s="236"/>
      <c r="AG717" s="236"/>
      <c r="AH717" s="236"/>
      <c r="AI717" s="236"/>
      <c r="AJ717" s="236"/>
      <c r="AK717" s="236"/>
      <c r="AL717" s="236"/>
      <c r="AM717" s="236"/>
      <c r="AN717" s="236"/>
      <c r="AO717" s="236"/>
      <c r="AP717" s="236"/>
      <c r="AQ717" s="236"/>
      <c r="AR717" s="236"/>
      <c r="AS717" s="236"/>
      <c r="AT717" s="236"/>
      <c r="AU717" s="236"/>
      <c r="AV717" s="236"/>
      <c r="AW717" s="236"/>
      <c r="AX717" s="236"/>
      <c r="AY717" s="236"/>
      <c r="AZ717" s="236"/>
      <c r="BA717" s="236"/>
      <c r="BB717" s="236"/>
      <c r="BC717" s="236"/>
      <c r="BD717" s="236"/>
      <c r="BE717" s="236"/>
      <c r="BF717" s="236"/>
      <c r="BG717" s="236"/>
      <c r="BH717" s="236"/>
    </row>
    <row r="718" spans="1:60" ht="13">
      <c r="A718" s="27"/>
      <c r="B718" s="27"/>
      <c r="C718" s="312"/>
      <c r="D718" s="231"/>
      <c r="E718" s="27"/>
      <c r="F718" s="27"/>
      <c r="G718" s="231"/>
      <c r="H718" s="27"/>
      <c r="I718" s="27"/>
      <c r="J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</row>
    <row r="719" spans="1:60" ht="13">
      <c r="A719" s="236"/>
      <c r="B719" s="236"/>
      <c r="C719" s="311"/>
      <c r="D719" s="237"/>
      <c r="E719" s="236"/>
      <c r="F719" s="236"/>
      <c r="G719" s="237"/>
      <c r="H719" s="236"/>
      <c r="I719" s="236"/>
      <c r="J719" s="236"/>
      <c r="N719" s="236"/>
      <c r="O719" s="236"/>
      <c r="P719" s="236"/>
      <c r="Q719" s="236"/>
      <c r="R719" s="236"/>
      <c r="S719" s="236"/>
      <c r="T719" s="236"/>
      <c r="U719" s="236"/>
      <c r="V719" s="236"/>
      <c r="W719" s="236"/>
      <c r="X719" s="236"/>
      <c r="Y719" s="236"/>
      <c r="Z719" s="236"/>
      <c r="AA719" s="236"/>
      <c r="AB719" s="236"/>
      <c r="AC719" s="236"/>
      <c r="AD719" s="236"/>
      <c r="AE719" s="236"/>
      <c r="AF719" s="236"/>
      <c r="AG719" s="236"/>
      <c r="AH719" s="236"/>
      <c r="AI719" s="236"/>
      <c r="AJ719" s="236"/>
      <c r="AK719" s="236"/>
      <c r="AL719" s="236"/>
      <c r="AM719" s="236"/>
      <c r="AN719" s="236"/>
      <c r="AO719" s="236"/>
      <c r="AP719" s="236"/>
      <c r="AQ719" s="236"/>
      <c r="AR719" s="236"/>
      <c r="AS719" s="236"/>
      <c r="AT719" s="236"/>
      <c r="AU719" s="236"/>
      <c r="AV719" s="236"/>
      <c r="AW719" s="236"/>
      <c r="AX719" s="236"/>
      <c r="AY719" s="236"/>
      <c r="AZ719" s="236"/>
      <c r="BA719" s="236"/>
      <c r="BB719" s="236"/>
      <c r="BC719" s="236"/>
      <c r="BD719" s="236"/>
      <c r="BE719" s="236"/>
      <c r="BF719" s="236"/>
      <c r="BG719" s="236"/>
      <c r="BH719" s="236"/>
    </row>
    <row r="720" spans="1:60" ht="13">
      <c r="A720" s="27"/>
      <c r="B720" s="27"/>
      <c r="C720" s="312"/>
      <c r="D720" s="231"/>
      <c r="E720" s="27"/>
      <c r="F720" s="27"/>
      <c r="G720" s="231"/>
      <c r="H720" s="27"/>
      <c r="I720" s="27"/>
      <c r="J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</row>
    <row r="721" spans="1:60" ht="13">
      <c r="A721" s="236"/>
      <c r="B721" s="236"/>
      <c r="C721" s="311"/>
      <c r="D721" s="237"/>
      <c r="E721" s="236"/>
      <c r="F721" s="236"/>
      <c r="G721" s="237"/>
      <c r="H721" s="236"/>
      <c r="I721" s="236"/>
      <c r="J721" s="236"/>
      <c r="N721" s="236"/>
      <c r="O721" s="236"/>
      <c r="P721" s="236"/>
      <c r="Q721" s="236"/>
      <c r="R721" s="236"/>
      <c r="S721" s="236"/>
      <c r="T721" s="236"/>
      <c r="U721" s="236"/>
      <c r="V721" s="236"/>
      <c r="W721" s="236"/>
      <c r="X721" s="236"/>
      <c r="Y721" s="236"/>
      <c r="Z721" s="236"/>
      <c r="AA721" s="236"/>
      <c r="AB721" s="236"/>
      <c r="AC721" s="236"/>
      <c r="AD721" s="236"/>
      <c r="AE721" s="236"/>
      <c r="AF721" s="236"/>
      <c r="AG721" s="236"/>
      <c r="AH721" s="236"/>
      <c r="AI721" s="236"/>
      <c r="AJ721" s="236"/>
      <c r="AK721" s="236"/>
      <c r="AL721" s="236"/>
      <c r="AM721" s="236"/>
      <c r="AN721" s="236"/>
      <c r="AO721" s="236"/>
      <c r="AP721" s="236"/>
      <c r="AQ721" s="236"/>
      <c r="AR721" s="236"/>
      <c r="AS721" s="236"/>
      <c r="AT721" s="236"/>
      <c r="AU721" s="236"/>
      <c r="AV721" s="236"/>
      <c r="AW721" s="236"/>
      <c r="AX721" s="236"/>
      <c r="AY721" s="236"/>
      <c r="AZ721" s="236"/>
      <c r="BA721" s="236"/>
      <c r="BB721" s="236"/>
      <c r="BC721" s="236"/>
      <c r="BD721" s="236"/>
      <c r="BE721" s="236"/>
      <c r="BF721" s="236"/>
      <c r="BG721" s="236"/>
      <c r="BH721" s="236"/>
    </row>
    <row r="722" spans="1:60" ht="13">
      <c r="A722" s="27"/>
      <c r="B722" s="27"/>
      <c r="C722" s="312"/>
      <c r="D722" s="231"/>
      <c r="E722" s="27"/>
      <c r="F722" s="27"/>
      <c r="G722" s="231"/>
      <c r="H722" s="27"/>
      <c r="I722" s="27"/>
      <c r="J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</row>
    <row r="723" spans="1:60" ht="13">
      <c r="A723" s="236"/>
      <c r="B723" s="236"/>
      <c r="C723" s="311"/>
      <c r="D723" s="237"/>
      <c r="E723" s="236"/>
      <c r="F723" s="236"/>
      <c r="G723" s="237"/>
      <c r="H723" s="236"/>
      <c r="I723" s="236"/>
      <c r="J723" s="236"/>
      <c r="N723" s="236"/>
      <c r="O723" s="236"/>
      <c r="P723" s="236"/>
      <c r="Q723" s="236"/>
      <c r="R723" s="236"/>
      <c r="S723" s="236"/>
      <c r="T723" s="236"/>
      <c r="U723" s="236"/>
      <c r="V723" s="236"/>
      <c r="W723" s="236"/>
      <c r="X723" s="236"/>
      <c r="Y723" s="236"/>
      <c r="Z723" s="236"/>
      <c r="AA723" s="236"/>
      <c r="AB723" s="236"/>
      <c r="AC723" s="236"/>
      <c r="AD723" s="236"/>
      <c r="AE723" s="236"/>
      <c r="AF723" s="236"/>
      <c r="AG723" s="236"/>
      <c r="AH723" s="236"/>
      <c r="AI723" s="236"/>
      <c r="AJ723" s="236"/>
      <c r="AK723" s="236"/>
      <c r="AL723" s="236"/>
      <c r="AM723" s="236"/>
      <c r="AN723" s="236"/>
      <c r="AO723" s="236"/>
      <c r="AP723" s="236"/>
      <c r="AQ723" s="236"/>
      <c r="AR723" s="236"/>
      <c r="AS723" s="236"/>
      <c r="AT723" s="236"/>
      <c r="AU723" s="236"/>
      <c r="AV723" s="236"/>
      <c r="AW723" s="236"/>
      <c r="AX723" s="236"/>
      <c r="AY723" s="236"/>
      <c r="AZ723" s="236"/>
      <c r="BA723" s="236"/>
      <c r="BB723" s="236"/>
      <c r="BC723" s="236"/>
      <c r="BD723" s="236"/>
      <c r="BE723" s="236"/>
      <c r="BF723" s="236"/>
      <c r="BG723" s="236"/>
      <c r="BH723" s="236"/>
    </row>
    <row r="724" spans="1:60" ht="13">
      <c r="A724" s="27"/>
      <c r="B724" s="27"/>
      <c r="C724" s="312"/>
      <c r="D724" s="231"/>
      <c r="E724" s="27"/>
      <c r="F724" s="27"/>
      <c r="G724" s="231"/>
      <c r="H724" s="27"/>
      <c r="I724" s="27"/>
      <c r="J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</row>
    <row r="725" spans="1:60" ht="13">
      <c r="A725" s="236"/>
      <c r="B725" s="236"/>
      <c r="C725" s="311"/>
      <c r="D725" s="237"/>
      <c r="E725" s="236"/>
      <c r="F725" s="236"/>
      <c r="G725" s="237"/>
      <c r="H725" s="236"/>
      <c r="I725" s="236"/>
      <c r="J725" s="236"/>
      <c r="N725" s="236"/>
      <c r="O725" s="236"/>
      <c r="P725" s="236"/>
      <c r="Q725" s="236"/>
      <c r="R725" s="236"/>
      <c r="S725" s="236"/>
      <c r="T725" s="236"/>
      <c r="U725" s="236"/>
      <c r="V725" s="236"/>
      <c r="W725" s="236"/>
      <c r="X725" s="236"/>
      <c r="Y725" s="236"/>
      <c r="Z725" s="236"/>
      <c r="AA725" s="236"/>
      <c r="AB725" s="236"/>
      <c r="AC725" s="236"/>
      <c r="AD725" s="236"/>
      <c r="AE725" s="236"/>
      <c r="AF725" s="236"/>
      <c r="AG725" s="236"/>
      <c r="AH725" s="236"/>
      <c r="AI725" s="236"/>
      <c r="AJ725" s="236"/>
      <c r="AK725" s="236"/>
      <c r="AL725" s="236"/>
      <c r="AM725" s="236"/>
      <c r="AN725" s="236"/>
      <c r="AO725" s="236"/>
      <c r="AP725" s="236"/>
      <c r="AQ725" s="236"/>
      <c r="AR725" s="236"/>
      <c r="AS725" s="236"/>
      <c r="AT725" s="236"/>
      <c r="AU725" s="236"/>
      <c r="AV725" s="236"/>
      <c r="AW725" s="236"/>
      <c r="AX725" s="236"/>
      <c r="AY725" s="236"/>
      <c r="AZ725" s="236"/>
      <c r="BA725" s="236"/>
      <c r="BB725" s="236"/>
      <c r="BC725" s="236"/>
      <c r="BD725" s="236"/>
      <c r="BE725" s="236"/>
      <c r="BF725" s="236"/>
      <c r="BG725" s="236"/>
      <c r="BH725" s="236"/>
    </row>
    <row r="726" spans="1:60" ht="13">
      <c r="A726" s="27"/>
      <c r="B726" s="27"/>
      <c r="C726" s="312"/>
      <c r="D726" s="231"/>
      <c r="E726" s="27"/>
      <c r="F726" s="27"/>
      <c r="G726" s="231"/>
      <c r="H726" s="27"/>
      <c r="I726" s="27"/>
      <c r="J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</row>
    <row r="727" spans="1:60" ht="13">
      <c r="A727" s="236"/>
      <c r="B727" s="236"/>
      <c r="C727" s="311"/>
      <c r="D727" s="237"/>
      <c r="E727" s="236"/>
      <c r="F727" s="236"/>
      <c r="G727" s="237"/>
      <c r="H727" s="236"/>
      <c r="I727" s="236"/>
      <c r="J727" s="236"/>
      <c r="N727" s="236"/>
      <c r="O727" s="236"/>
      <c r="P727" s="236"/>
      <c r="Q727" s="236"/>
      <c r="R727" s="236"/>
      <c r="S727" s="236"/>
      <c r="T727" s="236"/>
      <c r="U727" s="236"/>
      <c r="V727" s="236"/>
      <c r="W727" s="236"/>
      <c r="X727" s="236"/>
      <c r="Y727" s="236"/>
      <c r="Z727" s="236"/>
      <c r="AA727" s="236"/>
      <c r="AB727" s="236"/>
      <c r="AC727" s="236"/>
      <c r="AD727" s="236"/>
      <c r="AE727" s="236"/>
      <c r="AF727" s="236"/>
      <c r="AG727" s="236"/>
      <c r="AH727" s="236"/>
      <c r="AI727" s="236"/>
      <c r="AJ727" s="236"/>
      <c r="AK727" s="236"/>
      <c r="AL727" s="236"/>
      <c r="AM727" s="236"/>
      <c r="AN727" s="236"/>
      <c r="AO727" s="236"/>
      <c r="AP727" s="236"/>
      <c r="AQ727" s="236"/>
      <c r="AR727" s="236"/>
      <c r="AS727" s="236"/>
      <c r="AT727" s="236"/>
      <c r="AU727" s="236"/>
      <c r="AV727" s="236"/>
      <c r="AW727" s="236"/>
      <c r="AX727" s="236"/>
      <c r="AY727" s="236"/>
      <c r="AZ727" s="236"/>
      <c r="BA727" s="236"/>
      <c r="BB727" s="236"/>
      <c r="BC727" s="236"/>
      <c r="BD727" s="236"/>
      <c r="BE727" s="236"/>
      <c r="BF727" s="236"/>
      <c r="BG727" s="236"/>
      <c r="BH727" s="236"/>
    </row>
    <row r="728" spans="1:60" ht="13">
      <c r="A728" s="27"/>
      <c r="B728" s="27"/>
      <c r="C728" s="312"/>
      <c r="D728" s="231"/>
      <c r="E728" s="27"/>
      <c r="F728" s="27"/>
      <c r="G728" s="231"/>
      <c r="H728" s="27"/>
      <c r="I728" s="27"/>
      <c r="J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</row>
    <row r="729" spans="1:60" ht="13">
      <c r="A729" s="236"/>
      <c r="B729" s="236"/>
      <c r="C729" s="311"/>
      <c r="D729" s="237"/>
      <c r="E729" s="236"/>
      <c r="F729" s="236"/>
      <c r="G729" s="237"/>
      <c r="H729" s="236"/>
      <c r="I729" s="236"/>
      <c r="J729" s="236"/>
      <c r="N729" s="236"/>
      <c r="O729" s="236"/>
      <c r="P729" s="236"/>
      <c r="Q729" s="236"/>
      <c r="R729" s="236"/>
      <c r="S729" s="236"/>
      <c r="T729" s="236"/>
      <c r="U729" s="236"/>
      <c r="V729" s="236"/>
      <c r="W729" s="236"/>
      <c r="X729" s="236"/>
      <c r="Y729" s="236"/>
      <c r="Z729" s="236"/>
      <c r="AA729" s="236"/>
      <c r="AB729" s="236"/>
      <c r="AC729" s="236"/>
      <c r="AD729" s="236"/>
      <c r="AE729" s="236"/>
      <c r="AF729" s="236"/>
      <c r="AG729" s="236"/>
      <c r="AH729" s="236"/>
      <c r="AI729" s="236"/>
      <c r="AJ729" s="236"/>
      <c r="AK729" s="236"/>
      <c r="AL729" s="236"/>
      <c r="AM729" s="236"/>
      <c r="AN729" s="236"/>
      <c r="AO729" s="236"/>
      <c r="AP729" s="236"/>
      <c r="AQ729" s="236"/>
      <c r="AR729" s="236"/>
      <c r="AS729" s="236"/>
      <c r="AT729" s="236"/>
      <c r="AU729" s="236"/>
      <c r="AV729" s="236"/>
      <c r="AW729" s="236"/>
      <c r="AX729" s="236"/>
      <c r="AY729" s="236"/>
      <c r="AZ729" s="236"/>
      <c r="BA729" s="236"/>
      <c r="BB729" s="236"/>
      <c r="BC729" s="236"/>
      <c r="BD729" s="236"/>
      <c r="BE729" s="236"/>
      <c r="BF729" s="236"/>
      <c r="BG729" s="236"/>
      <c r="BH729" s="236"/>
    </row>
    <row r="730" spans="1:60" ht="13">
      <c r="A730" s="27"/>
      <c r="B730" s="27"/>
      <c r="C730" s="312"/>
      <c r="D730" s="231"/>
      <c r="E730" s="27"/>
      <c r="F730" s="27"/>
      <c r="G730" s="231"/>
      <c r="H730" s="27"/>
      <c r="I730" s="27"/>
      <c r="J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</row>
    <row r="731" spans="1:60" ht="13">
      <c r="A731" s="236"/>
      <c r="B731" s="236"/>
      <c r="C731" s="311"/>
      <c r="D731" s="237"/>
      <c r="E731" s="236"/>
      <c r="F731" s="236"/>
      <c r="G731" s="237"/>
      <c r="H731" s="236"/>
      <c r="I731" s="236"/>
      <c r="J731" s="236"/>
      <c r="N731" s="236"/>
      <c r="O731" s="236"/>
      <c r="P731" s="236"/>
      <c r="Q731" s="236"/>
      <c r="R731" s="236"/>
      <c r="S731" s="236"/>
      <c r="T731" s="236"/>
      <c r="U731" s="236"/>
      <c r="V731" s="236"/>
      <c r="W731" s="236"/>
      <c r="X731" s="236"/>
      <c r="Y731" s="236"/>
      <c r="Z731" s="236"/>
      <c r="AA731" s="236"/>
      <c r="AB731" s="236"/>
      <c r="AC731" s="236"/>
      <c r="AD731" s="236"/>
      <c r="AE731" s="236"/>
      <c r="AF731" s="236"/>
      <c r="AG731" s="236"/>
      <c r="AH731" s="236"/>
      <c r="AI731" s="236"/>
      <c r="AJ731" s="236"/>
      <c r="AK731" s="236"/>
      <c r="AL731" s="236"/>
      <c r="AM731" s="236"/>
      <c r="AN731" s="236"/>
      <c r="AO731" s="236"/>
      <c r="AP731" s="236"/>
      <c r="AQ731" s="236"/>
      <c r="AR731" s="236"/>
      <c r="AS731" s="236"/>
      <c r="AT731" s="236"/>
      <c r="AU731" s="236"/>
      <c r="AV731" s="236"/>
      <c r="AW731" s="236"/>
      <c r="AX731" s="236"/>
      <c r="AY731" s="236"/>
      <c r="AZ731" s="236"/>
      <c r="BA731" s="236"/>
      <c r="BB731" s="236"/>
      <c r="BC731" s="236"/>
      <c r="BD731" s="236"/>
      <c r="BE731" s="236"/>
      <c r="BF731" s="236"/>
      <c r="BG731" s="236"/>
      <c r="BH731" s="236"/>
    </row>
    <row r="732" spans="1:60" ht="13">
      <c r="A732" s="27"/>
      <c r="B732" s="27"/>
      <c r="C732" s="312"/>
      <c r="D732" s="231"/>
      <c r="E732" s="27"/>
      <c r="F732" s="27"/>
      <c r="G732" s="231"/>
      <c r="H732" s="27"/>
      <c r="I732" s="27"/>
      <c r="J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</row>
    <row r="733" spans="1:60" ht="13">
      <c r="A733" s="236"/>
      <c r="B733" s="236"/>
      <c r="C733" s="311"/>
      <c r="D733" s="237"/>
      <c r="E733" s="236"/>
      <c r="F733" s="236"/>
      <c r="G733" s="237"/>
      <c r="H733" s="236"/>
      <c r="I733" s="236"/>
      <c r="J733" s="236"/>
      <c r="N733" s="236"/>
      <c r="O733" s="236"/>
      <c r="P733" s="236"/>
      <c r="Q733" s="236"/>
      <c r="R733" s="236"/>
      <c r="S733" s="236"/>
      <c r="T733" s="236"/>
      <c r="U733" s="236"/>
      <c r="V733" s="236"/>
      <c r="W733" s="236"/>
      <c r="X733" s="236"/>
      <c r="Y733" s="236"/>
      <c r="Z733" s="236"/>
      <c r="AA733" s="236"/>
      <c r="AB733" s="236"/>
      <c r="AC733" s="236"/>
      <c r="AD733" s="236"/>
      <c r="AE733" s="236"/>
      <c r="AF733" s="236"/>
      <c r="AG733" s="236"/>
      <c r="AH733" s="236"/>
      <c r="AI733" s="236"/>
      <c r="AJ733" s="236"/>
      <c r="AK733" s="236"/>
      <c r="AL733" s="236"/>
      <c r="AM733" s="236"/>
      <c r="AN733" s="236"/>
      <c r="AO733" s="236"/>
      <c r="AP733" s="236"/>
      <c r="AQ733" s="236"/>
      <c r="AR733" s="236"/>
      <c r="AS733" s="236"/>
      <c r="AT733" s="236"/>
      <c r="AU733" s="236"/>
      <c r="AV733" s="236"/>
      <c r="AW733" s="236"/>
      <c r="AX733" s="236"/>
      <c r="AY733" s="236"/>
      <c r="AZ733" s="236"/>
      <c r="BA733" s="236"/>
      <c r="BB733" s="236"/>
      <c r="BC733" s="236"/>
      <c r="BD733" s="236"/>
      <c r="BE733" s="236"/>
      <c r="BF733" s="236"/>
      <c r="BG733" s="236"/>
      <c r="BH733" s="236"/>
    </row>
    <row r="734" spans="1:60" ht="13">
      <c r="A734" s="27"/>
      <c r="B734" s="27"/>
      <c r="C734" s="312"/>
      <c r="D734" s="231"/>
      <c r="E734" s="27"/>
      <c r="F734" s="27"/>
      <c r="G734" s="231"/>
      <c r="H734" s="27"/>
      <c r="I734" s="27"/>
      <c r="J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</row>
    <row r="735" spans="1:60" ht="13">
      <c r="A735" s="236"/>
      <c r="B735" s="236"/>
      <c r="C735" s="311"/>
      <c r="D735" s="237"/>
      <c r="E735" s="236"/>
      <c r="F735" s="236"/>
      <c r="G735" s="237"/>
      <c r="H735" s="236"/>
      <c r="I735" s="236"/>
      <c r="J735" s="236"/>
      <c r="N735" s="236"/>
      <c r="O735" s="236"/>
      <c r="P735" s="236"/>
      <c r="Q735" s="236"/>
      <c r="R735" s="236"/>
      <c r="S735" s="236"/>
      <c r="T735" s="236"/>
      <c r="U735" s="236"/>
      <c r="V735" s="236"/>
      <c r="W735" s="236"/>
      <c r="X735" s="236"/>
      <c r="Y735" s="236"/>
      <c r="Z735" s="236"/>
      <c r="AA735" s="236"/>
      <c r="AB735" s="236"/>
      <c r="AC735" s="236"/>
      <c r="AD735" s="236"/>
      <c r="AE735" s="236"/>
      <c r="AF735" s="236"/>
      <c r="AG735" s="236"/>
      <c r="AH735" s="236"/>
      <c r="AI735" s="236"/>
      <c r="AJ735" s="236"/>
      <c r="AK735" s="236"/>
      <c r="AL735" s="236"/>
      <c r="AM735" s="236"/>
      <c r="AN735" s="236"/>
      <c r="AO735" s="236"/>
      <c r="AP735" s="236"/>
      <c r="AQ735" s="236"/>
      <c r="AR735" s="236"/>
      <c r="AS735" s="236"/>
      <c r="AT735" s="236"/>
      <c r="AU735" s="236"/>
      <c r="AV735" s="236"/>
      <c r="AW735" s="236"/>
      <c r="AX735" s="236"/>
      <c r="AY735" s="236"/>
      <c r="AZ735" s="236"/>
      <c r="BA735" s="236"/>
      <c r="BB735" s="236"/>
      <c r="BC735" s="236"/>
      <c r="BD735" s="236"/>
      <c r="BE735" s="236"/>
      <c r="BF735" s="236"/>
      <c r="BG735" s="236"/>
      <c r="BH735" s="236"/>
    </row>
    <row r="736" spans="1:60" ht="13">
      <c r="A736" s="27"/>
      <c r="B736" s="27"/>
      <c r="C736" s="312"/>
      <c r="D736" s="231"/>
      <c r="E736" s="27"/>
      <c r="F736" s="27"/>
      <c r="G736" s="231"/>
      <c r="H736" s="27"/>
      <c r="I736" s="27"/>
      <c r="J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</row>
    <row r="737" spans="1:60" ht="13">
      <c r="A737" s="236"/>
      <c r="B737" s="236"/>
      <c r="C737" s="311"/>
      <c r="D737" s="237"/>
      <c r="E737" s="236"/>
      <c r="F737" s="236"/>
      <c r="G737" s="237"/>
      <c r="H737" s="236"/>
      <c r="I737" s="236"/>
      <c r="J737" s="236"/>
      <c r="N737" s="236"/>
      <c r="O737" s="236"/>
      <c r="P737" s="236"/>
      <c r="Q737" s="236"/>
      <c r="R737" s="236"/>
      <c r="S737" s="236"/>
      <c r="T737" s="236"/>
      <c r="U737" s="236"/>
      <c r="V737" s="236"/>
      <c r="W737" s="236"/>
      <c r="X737" s="236"/>
      <c r="Y737" s="236"/>
      <c r="Z737" s="236"/>
      <c r="AA737" s="236"/>
      <c r="AB737" s="236"/>
      <c r="AC737" s="236"/>
      <c r="AD737" s="236"/>
      <c r="AE737" s="236"/>
      <c r="AF737" s="236"/>
      <c r="AG737" s="236"/>
      <c r="AH737" s="236"/>
      <c r="AI737" s="236"/>
      <c r="AJ737" s="236"/>
      <c r="AK737" s="236"/>
      <c r="AL737" s="236"/>
      <c r="AM737" s="236"/>
      <c r="AN737" s="236"/>
      <c r="AO737" s="236"/>
      <c r="AP737" s="236"/>
      <c r="AQ737" s="236"/>
      <c r="AR737" s="236"/>
      <c r="AS737" s="236"/>
      <c r="AT737" s="236"/>
      <c r="AU737" s="236"/>
      <c r="AV737" s="236"/>
      <c r="AW737" s="236"/>
      <c r="AX737" s="236"/>
      <c r="AY737" s="236"/>
      <c r="AZ737" s="236"/>
      <c r="BA737" s="236"/>
      <c r="BB737" s="236"/>
      <c r="BC737" s="236"/>
      <c r="BD737" s="236"/>
      <c r="BE737" s="236"/>
      <c r="BF737" s="236"/>
      <c r="BG737" s="236"/>
      <c r="BH737" s="236"/>
    </row>
    <row r="738" spans="1:60" ht="13">
      <c r="A738" s="27"/>
      <c r="B738" s="27"/>
      <c r="C738" s="312"/>
      <c r="D738" s="231"/>
      <c r="E738" s="27"/>
      <c r="F738" s="27"/>
      <c r="G738" s="231"/>
      <c r="H738" s="27"/>
      <c r="I738" s="27"/>
      <c r="J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</row>
    <row r="739" spans="1:60" ht="13">
      <c r="A739" s="236"/>
      <c r="B739" s="236"/>
      <c r="C739" s="311"/>
      <c r="D739" s="237"/>
      <c r="E739" s="236"/>
      <c r="F739" s="236"/>
      <c r="G739" s="237"/>
      <c r="H739" s="236"/>
      <c r="I739" s="236"/>
      <c r="J739" s="236"/>
      <c r="N739" s="236"/>
      <c r="O739" s="236"/>
      <c r="P739" s="236"/>
      <c r="Q739" s="236"/>
      <c r="R739" s="236"/>
      <c r="S739" s="236"/>
      <c r="T739" s="236"/>
      <c r="U739" s="236"/>
      <c r="V739" s="236"/>
      <c r="W739" s="236"/>
      <c r="X739" s="236"/>
      <c r="Y739" s="236"/>
      <c r="Z739" s="236"/>
      <c r="AA739" s="236"/>
      <c r="AB739" s="236"/>
      <c r="AC739" s="236"/>
      <c r="AD739" s="236"/>
      <c r="AE739" s="236"/>
      <c r="AF739" s="236"/>
      <c r="AG739" s="236"/>
      <c r="AH739" s="236"/>
      <c r="AI739" s="236"/>
      <c r="AJ739" s="236"/>
      <c r="AK739" s="236"/>
      <c r="AL739" s="236"/>
      <c r="AM739" s="236"/>
      <c r="AN739" s="236"/>
      <c r="AO739" s="236"/>
      <c r="AP739" s="236"/>
      <c r="AQ739" s="236"/>
      <c r="AR739" s="236"/>
      <c r="AS739" s="236"/>
      <c r="AT739" s="236"/>
      <c r="AU739" s="236"/>
      <c r="AV739" s="236"/>
      <c r="AW739" s="236"/>
      <c r="AX739" s="236"/>
      <c r="AY739" s="236"/>
      <c r="AZ739" s="236"/>
      <c r="BA739" s="236"/>
      <c r="BB739" s="236"/>
      <c r="BC739" s="236"/>
      <c r="BD739" s="236"/>
      <c r="BE739" s="236"/>
      <c r="BF739" s="236"/>
      <c r="BG739" s="236"/>
      <c r="BH739" s="236"/>
    </row>
    <row r="740" spans="1:60" ht="13">
      <c r="A740" s="27"/>
      <c r="B740" s="27"/>
      <c r="C740" s="312"/>
      <c r="D740" s="231"/>
      <c r="E740" s="27"/>
      <c r="F740" s="27"/>
      <c r="G740" s="231"/>
      <c r="H740" s="27"/>
      <c r="I740" s="27"/>
      <c r="J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</row>
    <row r="741" spans="1:60" ht="13">
      <c r="A741" s="236"/>
      <c r="B741" s="236"/>
      <c r="C741" s="311"/>
      <c r="D741" s="237"/>
      <c r="E741" s="236"/>
      <c r="F741" s="236"/>
      <c r="G741" s="237"/>
      <c r="H741" s="236"/>
      <c r="I741" s="236"/>
      <c r="J741" s="236"/>
      <c r="N741" s="236"/>
      <c r="O741" s="236"/>
      <c r="P741" s="236"/>
      <c r="Q741" s="236"/>
      <c r="R741" s="236"/>
      <c r="S741" s="236"/>
      <c r="T741" s="236"/>
      <c r="U741" s="236"/>
      <c r="V741" s="236"/>
      <c r="W741" s="236"/>
      <c r="X741" s="236"/>
      <c r="Y741" s="236"/>
      <c r="Z741" s="236"/>
      <c r="AA741" s="236"/>
      <c r="AB741" s="236"/>
      <c r="AC741" s="236"/>
      <c r="AD741" s="236"/>
      <c r="AE741" s="236"/>
      <c r="AF741" s="236"/>
      <c r="AG741" s="236"/>
      <c r="AH741" s="236"/>
      <c r="AI741" s="236"/>
      <c r="AJ741" s="236"/>
      <c r="AK741" s="236"/>
      <c r="AL741" s="236"/>
      <c r="AM741" s="236"/>
      <c r="AN741" s="236"/>
      <c r="AO741" s="236"/>
      <c r="AP741" s="236"/>
      <c r="AQ741" s="236"/>
      <c r="AR741" s="236"/>
      <c r="AS741" s="236"/>
      <c r="AT741" s="236"/>
      <c r="AU741" s="236"/>
      <c r="AV741" s="236"/>
      <c r="AW741" s="236"/>
      <c r="AX741" s="236"/>
      <c r="AY741" s="236"/>
      <c r="AZ741" s="236"/>
      <c r="BA741" s="236"/>
      <c r="BB741" s="236"/>
      <c r="BC741" s="236"/>
      <c r="BD741" s="236"/>
      <c r="BE741" s="236"/>
      <c r="BF741" s="236"/>
      <c r="BG741" s="236"/>
      <c r="BH741" s="236"/>
    </row>
    <row r="742" spans="1:60" ht="13">
      <c r="A742" s="27"/>
      <c r="B742" s="27"/>
      <c r="C742" s="312"/>
      <c r="D742" s="231"/>
      <c r="E742" s="27"/>
      <c r="F742" s="27"/>
      <c r="G742" s="231"/>
      <c r="H742" s="27"/>
      <c r="I742" s="27"/>
      <c r="J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</row>
    <row r="743" spans="1:60" ht="13">
      <c r="A743" s="236"/>
      <c r="B743" s="236"/>
      <c r="C743" s="311"/>
      <c r="D743" s="237"/>
      <c r="E743" s="236"/>
      <c r="F743" s="236"/>
      <c r="G743" s="237"/>
      <c r="H743" s="236"/>
      <c r="I743" s="236"/>
      <c r="J743" s="236"/>
      <c r="N743" s="236"/>
      <c r="O743" s="236"/>
      <c r="P743" s="236"/>
      <c r="Q743" s="236"/>
      <c r="R743" s="236"/>
      <c r="S743" s="236"/>
      <c r="T743" s="236"/>
      <c r="U743" s="236"/>
      <c r="V743" s="236"/>
      <c r="W743" s="236"/>
      <c r="X743" s="236"/>
      <c r="Y743" s="236"/>
      <c r="Z743" s="236"/>
      <c r="AA743" s="236"/>
      <c r="AB743" s="236"/>
      <c r="AC743" s="236"/>
      <c r="AD743" s="236"/>
      <c r="AE743" s="236"/>
      <c r="AF743" s="236"/>
      <c r="AG743" s="236"/>
      <c r="AH743" s="236"/>
      <c r="AI743" s="236"/>
      <c r="AJ743" s="236"/>
      <c r="AK743" s="236"/>
      <c r="AL743" s="236"/>
      <c r="AM743" s="236"/>
      <c r="AN743" s="236"/>
      <c r="AO743" s="236"/>
      <c r="AP743" s="236"/>
      <c r="AQ743" s="236"/>
      <c r="AR743" s="236"/>
      <c r="AS743" s="236"/>
      <c r="AT743" s="236"/>
      <c r="AU743" s="236"/>
      <c r="AV743" s="236"/>
      <c r="AW743" s="236"/>
      <c r="AX743" s="236"/>
      <c r="AY743" s="236"/>
      <c r="AZ743" s="236"/>
      <c r="BA743" s="236"/>
      <c r="BB743" s="236"/>
      <c r="BC743" s="236"/>
      <c r="BD743" s="236"/>
      <c r="BE743" s="236"/>
      <c r="BF743" s="236"/>
      <c r="BG743" s="236"/>
      <c r="BH743" s="236"/>
    </row>
    <row r="744" spans="1:60" ht="13">
      <c r="A744" s="27"/>
      <c r="B744" s="27"/>
      <c r="C744" s="312"/>
      <c r="D744" s="231"/>
      <c r="E744" s="27"/>
      <c r="F744" s="27"/>
      <c r="G744" s="231"/>
      <c r="H744" s="27"/>
      <c r="I744" s="27"/>
      <c r="J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</row>
    <row r="745" spans="1:60" ht="13">
      <c r="A745" s="236"/>
      <c r="B745" s="236"/>
      <c r="C745" s="311"/>
      <c r="D745" s="237"/>
      <c r="E745" s="236"/>
      <c r="F745" s="236"/>
      <c r="G745" s="237"/>
      <c r="H745" s="236"/>
      <c r="I745" s="236"/>
      <c r="J745" s="236"/>
      <c r="N745" s="236"/>
      <c r="O745" s="236"/>
      <c r="P745" s="236"/>
      <c r="Q745" s="236"/>
      <c r="R745" s="236"/>
      <c r="S745" s="236"/>
      <c r="T745" s="236"/>
      <c r="U745" s="236"/>
      <c r="V745" s="236"/>
      <c r="W745" s="236"/>
      <c r="X745" s="236"/>
      <c r="Y745" s="236"/>
      <c r="Z745" s="236"/>
      <c r="AA745" s="236"/>
      <c r="AB745" s="236"/>
      <c r="AC745" s="236"/>
      <c r="AD745" s="236"/>
      <c r="AE745" s="236"/>
      <c r="AF745" s="236"/>
      <c r="AG745" s="236"/>
      <c r="AH745" s="236"/>
      <c r="AI745" s="236"/>
      <c r="AJ745" s="236"/>
      <c r="AK745" s="236"/>
      <c r="AL745" s="236"/>
      <c r="AM745" s="236"/>
      <c r="AN745" s="236"/>
      <c r="AO745" s="236"/>
      <c r="AP745" s="236"/>
      <c r="AQ745" s="236"/>
      <c r="AR745" s="236"/>
      <c r="AS745" s="236"/>
      <c r="AT745" s="236"/>
      <c r="AU745" s="236"/>
      <c r="AV745" s="236"/>
      <c r="AW745" s="236"/>
      <c r="AX745" s="236"/>
      <c r="AY745" s="236"/>
      <c r="AZ745" s="236"/>
      <c r="BA745" s="236"/>
      <c r="BB745" s="236"/>
      <c r="BC745" s="236"/>
      <c r="BD745" s="236"/>
      <c r="BE745" s="236"/>
      <c r="BF745" s="236"/>
      <c r="BG745" s="236"/>
      <c r="BH745" s="236"/>
    </row>
    <row r="746" spans="1:60" ht="13">
      <c r="A746" s="27"/>
      <c r="B746" s="27"/>
      <c r="C746" s="312"/>
      <c r="D746" s="231"/>
      <c r="E746" s="27"/>
      <c r="F746" s="27"/>
      <c r="G746" s="231"/>
      <c r="H746" s="27"/>
      <c r="I746" s="27"/>
      <c r="J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</row>
    <row r="747" spans="1:60" ht="13">
      <c r="A747" s="236"/>
      <c r="B747" s="236"/>
      <c r="C747" s="311"/>
      <c r="D747" s="237"/>
      <c r="E747" s="236"/>
      <c r="F747" s="236"/>
      <c r="G747" s="237"/>
      <c r="H747" s="236"/>
      <c r="I747" s="236"/>
      <c r="J747" s="236"/>
      <c r="N747" s="236"/>
      <c r="O747" s="236"/>
      <c r="P747" s="236"/>
      <c r="Q747" s="236"/>
      <c r="R747" s="236"/>
      <c r="S747" s="236"/>
      <c r="T747" s="236"/>
      <c r="U747" s="236"/>
      <c r="V747" s="236"/>
      <c r="W747" s="236"/>
      <c r="X747" s="236"/>
      <c r="Y747" s="236"/>
      <c r="Z747" s="236"/>
      <c r="AA747" s="236"/>
      <c r="AB747" s="236"/>
      <c r="AC747" s="236"/>
      <c r="AD747" s="236"/>
      <c r="AE747" s="236"/>
      <c r="AF747" s="236"/>
      <c r="AG747" s="236"/>
      <c r="AH747" s="236"/>
      <c r="AI747" s="236"/>
      <c r="AJ747" s="236"/>
      <c r="AK747" s="236"/>
      <c r="AL747" s="236"/>
      <c r="AM747" s="236"/>
      <c r="AN747" s="236"/>
      <c r="AO747" s="236"/>
      <c r="AP747" s="236"/>
      <c r="AQ747" s="236"/>
      <c r="AR747" s="236"/>
      <c r="AS747" s="236"/>
      <c r="AT747" s="236"/>
      <c r="AU747" s="236"/>
      <c r="AV747" s="236"/>
      <c r="AW747" s="236"/>
      <c r="AX747" s="236"/>
      <c r="AY747" s="236"/>
      <c r="AZ747" s="236"/>
      <c r="BA747" s="236"/>
      <c r="BB747" s="236"/>
      <c r="BC747" s="236"/>
      <c r="BD747" s="236"/>
      <c r="BE747" s="236"/>
      <c r="BF747" s="236"/>
      <c r="BG747" s="236"/>
      <c r="BH747" s="236"/>
    </row>
    <row r="748" spans="1:60" ht="13">
      <c r="A748" s="27"/>
      <c r="B748" s="27"/>
      <c r="C748" s="312"/>
      <c r="D748" s="231"/>
      <c r="E748" s="27"/>
      <c r="F748" s="27"/>
      <c r="G748" s="231"/>
      <c r="H748" s="27"/>
      <c r="I748" s="27"/>
      <c r="J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</row>
    <row r="749" spans="1:60" ht="13">
      <c r="A749" s="236"/>
      <c r="B749" s="236"/>
      <c r="C749" s="311"/>
      <c r="D749" s="237"/>
      <c r="E749" s="236"/>
      <c r="F749" s="236"/>
      <c r="G749" s="237"/>
      <c r="H749" s="236"/>
      <c r="I749" s="236"/>
      <c r="J749" s="236"/>
      <c r="N749" s="236"/>
      <c r="O749" s="236"/>
      <c r="P749" s="236"/>
      <c r="Q749" s="236"/>
      <c r="R749" s="236"/>
      <c r="S749" s="236"/>
      <c r="T749" s="236"/>
      <c r="U749" s="236"/>
      <c r="V749" s="236"/>
      <c r="W749" s="236"/>
      <c r="X749" s="236"/>
      <c r="Y749" s="236"/>
      <c r="Z749" s="236"/>
      <c r="AA749" s="236"/>
      <c r="AB749" s="236"/>
      <c r="AC749" s="236"/>
      <c r="AD749" s="236"/>
      <c r="AE749" s="236"/>
      <c r="AF749" s="236"/>
      <c r="AG749" s="236"/>
      <c r="AH749" s="236"/>
      <c r="AI749" s="236"/>
      <c r="AJ749" s="236"/>
      <c r="AK749" s="236"/>
      <c r="AL749" s="236"/>
      <c r="AM749" s="236"/>
      <c r="AN749" s="236"/>
      <c r="AO749" s="236"/>
      <c r="AP749" s="236"/>
      <c r="AQ749" s="236"/>
      <c r="AR749" s="236"/>
      <c r="AS749" s="236"/>
      <c r="AT749" s="236"/>
      <c r="AU749" s="236"/>
      <c r="AV749" s="236"/>
      <c r="AW749" s="236"/>
      <c r="AX749" s="236"/>
      <c r="AY749" s="236"/>
      <c r="AZ749" s="236"/>
      <c r="BA749" s="236"/>
      <c r="BB749" s="236"/>
      <c r="BC749" s="236"/>
      <c r="BD749" s="236"/>
      <c r="BE749" s="236"/>
      <c r="BF749" s="236"/>
      <c r="BG749" s="236"/>
      <c r="BH749" s="236"/>
    </row>
    <row r="750" spans="1:60" ht="13">
      <c r="A750" s="27"/>
      <c r="B750" s="27"/>
      <c r="C750" s="312"/>
      <c r="D750" s="231"/>
      <c r="E750" s="27"/>
      <c r="F750" s="27"/>
      <c r="G750" s="231"/>
      <c r="H750" s="27"/>
      <c r="I750" s="27"/>
      <c r="J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</row>
    <row r="751" spans="1:60" ht="13">
      <c r="A751" s="236"/>
      <c r="B751" s="236"/>
      <c r="C751" s="311"/>
      <c r="D751" s="237"/>
      <c r="E751" s="236"/>
      <c r="F751" s="236"/>
      <c r="G751" s="237"/>
      <c r="H751" s="236"/>
      <c r="I751" s="236"/>
      <c r="J751" s="236"/>
      <c r="N751" s="236"/>
      <c r="O751" s="236"/>
      <c r="P751" s="236"/>
      <c r="Q751" s="236"/>
      <c r="R751" s="236"/>
      <c r="S751" s="236"/>
      <c r="T751" s="236"/>
      <c r="U751" s="236"/>
      <c r="V751" s="236"/>
      <c r="W751" s="236"/>
      <c r="X751" s="236"/>
      <c r="Y751" s="236"/>
      <c r="Z751" s="236"/>
      <c r="AA751" s="236"/>
      <c r="AB751" s="236"/>
      <c r="AC751" s="236"/>
      <c r="AD751" s="236"/>
      <c r="AE751" s="236"/>
      <c r="AF751" s="236"/>
      <c r="AG751" s="236"/>
      <c r="AH751" s="236"/>
      <c r="AI751" s="236"/>
      <c r="AJ751" s="236"/>
      <c r="AK751" s="236"/>
      <c r="AL751" s="236"/>
      <c r="AM751" s="236"/>
      <c r="AN751" s="236"/>
      <c r="AO751" s="236"/>
      <c r="AP751" s="236"/>
      <c r="AQ751" s="236"/>
      <c r="AR751" s="236"/>
      <c r="AS751" s="236"/>
      <c r="AT751" s="236"/>
      <c r="AU751" s="236"/>
      <c r="AV751" s="236"/>
      <c r="AW751" s="236"/>
      <c r="AX751" s="236"/>
      <c r="AY751" s="236"/>
      <c r="AZ751" s="236"/>
      <c r="BA751" s="236"/>
      <c r="BB751" s="236"/>
      <c r="BC751" s="236"/>
      <c r="BD751" s="236"/>
      <c r="BE751" s="236"/>
      <c r="BF751" s="236"/>
      <c r="BG751" s="236"/>
      <c r="BH751" s="236"/>
    </row>
    <row r="752" spans="1:60" ht="13">
      <c r="A752" s="27"/>
      <c r="B752" s="27"/>
      <c r="C752" s="312"/>
      <c r="D752" s="231"/>
      <c r="E752" s="27"/>
      <c r="F752" s="27"/>
      <c r="G752" s="231"/>
      <c r="H752" s="27"/>
      <c r="I752" s="27"/>
      <c r="J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</row>
    <row r="753" spans="1:60" ht="13">
      <c r="A753" s="236"/>
      <c r="B753" s="236"/>
      <c r="C753" s="311"/>
      <c r="D753" s="237"/>
      <c r="E753" s="236"/>
      <c r="F753" s="236"/>
      <c r="G753" s="237"/>
      <c r="H753" s="236"/>
      <c r="I753" s="236"/>
      <c r="J753" s="236"/>
      <c r="N753" s="236"/>
      <c r="O753" s="236"/>
      <c r="P753" s="236"/>
      <c r="Q753" s="236"/>
      <c r="R753" s="236"/>
      <c r="S753" s="236"/>
      <c r="T753" s="236"/>
      <c r="U753" s="236"/>
      <c r="V753" s="236"/>
      <c r="W753" s="236"/>
      <c r="X753" s="236"/>
      <c r="Y753" s="236"/>
      <c r="Z753" s="236"/>
      <c r="AA753" s="236"/>
      <c r="AB753" s="236"/>
      <c r="AC753" s="236"/>
      <c r="AD753" s="236"/>
      <c r="AE753" s="236"/>
      <c r="AF753" s="236"/>
      <c r="AG753" s="236"/>
      <c r="AH753" s="236"/>
      <c r="AI753" s="236"/>
      <c r="AJ753" s="236"/>
      <c r="AK753" s="236"/>
      <c r="AL753" s="236"/>
      <c r="AM753" s="236"/>
      <c r="AN753" s="236"/>
      <c r="AO753" s="236"/>
      <c r="AP753" s="236"/>
      <c r="AQ753" s="236"/>
      <c r="AR753" s="236"/>
      <c r="AS753" s="236"/>
      <c r="AT753" s="236"/>
      <c r="AU753" s="236"/>
      <c r="AV753" s="236"/>
      <c r="AW753" s="236"/>
      <c r="AX753" s="236"/>
      <c r="AY753" s="236"/>
      <c r="AZ753" s="236"/>
      <c r="BA753" s="236"/>
      <c r="BB753" s="236"/>
      <c r="BC753" s="236"/>
      <c r="BD753" s="236"/>
      <c r="BE753" s="236"/>
      <c r="BF753" s="236"/>
      <c r="BG753" s="236"/>
      <c r="BH753" s="236"/>
    </row>
    <row r="754" spans="1:60" ht="13">
      <c r="A754" s="27"/>
      <c r="B754" s="27"/>
      <c r="C754" s="312"/>
      <c r="D754" s="231"/>
      <c r="E754" s="27"/>
      <c r="F754" s="27"/>
      <c r="G754" s="231"/>
      <c r="H754" s="27"/>
      <c r="I754" s="27"/>
      <c r="J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</row>
    <row r="755" spans="1:60" ht="13">
      <c r="A755" s="236"/>
      <c r="B755" s="236"/>
      <c r="C755" s="311"/>
      <c r="D755" s="237"/>
      <c r="E755" s="236"/>
      <c r="F755" s="236"/>
      <c r="G755" s="237"/>
      <c r="H755" s="236"/>
      <c r="I755" s="236"/>
      <c r="J755" s="236"/>
      <c r="N755" s="236"/>
      <c r="O755" s="236"/>
      <c r="P755" s="236"/>
      <c r="Q755" s="236"/>
      <c r="R755" s="236"/>
      <c r="S755" s="236"/>
      <c r="T755" s="236"/>
      <c r="U755" s="236"/>
      <c r="V755" s="236"/>
      <c r="W755" s="236"/>
      <c r="X755" s="236"/>
      <c r="Y755" s="236"/>
      <c r="Z755" s="236"/>
      <c r="AA755" s="236"/>
      <c r="AB755" s="236"/>
      <c r="AC755" s="236"/>
      <c r="AD755" s="236"/>
      <c r="AE755" s="236"/>
      <c r="AF755" s="236"/>
      <c r="AG755" s="236"/>
      <c r="AH755" s="236"/>
      <c r="AI755" s="236"/>
      <c r="AJ755" s="236"/>
      <c r="AK755" s="236"/>
      <c r="AL755" s="236"/>
      <c r="AM755" s="236"/>
      <c r="AN755" s="236"/>
      <c r="AO755" s="236"/>
      <c r="AP755" s="236"/>
      <c r="AQ755" s="236"/>
      <c r="AR755" s="236"/>
      <c r="AS755" s="236"/>
      <c r="AT755" s="236"/>
      <c r="AU755" s="236"/>
      <c r="AV755" s="236"/>
      <c r="AW755" s="236"/>
      <c r="AX755" s="236"/>
      <c r="AY755" s="236"/>
      <c r="AZ755" s="236"/>
      <c r="BA755" s="236"/>
      <c r="BB755" s="236"/>
      <c r="BC755" s="236"/>
      <c r="BD755" s="236"/>
      <c r="BE755" s="236"/>
      <c r="BF755" s="236"/>
      <c r="BG755" s="236"/>
      <c r="BH755" s="236"/>
    </row>
    <row r="756" spans="1:60" ht="13">
      <c r="A756" s="27"/>
      <c r="B756" s="27"/>
      <c r="C756" s="312"/>
      <c r="D756" s="231"/>
      <c r="E756" s="27"/>
      <c r="F756" s="27"/>
      <c r="G756" s="231"/>
      <c r="H756" s="27"/>
      <c r="I756" s="27"/>
      <c r="J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</row>
    <row r="757" spans="1:60" ht="13">
      <c r="A757" s="236"/>
      <c r="B757" s="236"/>
      <c r="C757" s="311"/>
      <c r="D757" s="237"/>
      <c r="E757" s="236"/>
      <c r="F757" s="236"/>
      <c r="G757" s="237"/>
      <c r="H757" s="236"/>
      <c r="I757" s="236"/>
      <c r="J757" s="236"/>
      <c r="N757" s="236"/>
      <c r="O757" s="236"/>
      <c r="P757" s="236"/>
      <c r="Q757" s="236"/>
      <c r="R757" s="236"/>
      <c r="S757" s="236"/>
      <c r="T757" s="236"/>
      <c r="U757" s="236"/>
      <c r="V757" s="236"/>
      <c r="W757" s="236"/>
      <c r="X757" s="236"/>
      <c r="Y757" s="236"/>
      <c r="Z757" s="236"/>
      <c r="AA757" s="236"/>
      <c r="AB757" s="236"/>
      <c r="AC757" s="236"/>
      <c r="AD757" s="236"/>
      <c r="AE757" s="236"/>
      <c r="AF757" s="236"/>
      <c r="AG757" s="236"/>
      <c r="AH757" s="236"/>
      <c r="AI757" s="236"/>
      <c r="AJ757" s="236"/>
      <c r="AK757" s="236"/>
      <c r="AL757" s="236"/>
      <c r="AM757" s="236"/>
      <c r="AN757" s="236"/>
      <c r="AO757" s="236"/>
      <c r="AP757" s="236"/>
      <c r="AQ757" s="236"/>
      <c r="AR757" s="236"/>
      <c r="AS757" s="236"/>
      <c r="AT757" s="236"/>
      <c r="AU757" s="236"/>
      <c r="AV757" s="236"/>
      <c r="AW757" s="236"/>
      <c r="AX757" s="236"/>
      <c r="AY757" s="236"/>
      <c r="AZ757" s="236"/>
      <c r="BA757" s="236"/>
      <c r="BB757" s="236"/>
      <c r="BC757" s="236"/>
      <c r="BD757" s="236"/>
      <c r="BE757" s="236"/>
      <c r="BF757" s="236"/>
      <c r="BG757" s="236"/>
      <c r="BH757" s="236"/>
    </row>
    <row r="758" spans="1:60" ht="13">
      <c r="A758" s="27"/>
      <c r="B758" s="27"/>
      <c r="C758" s="312"/>
      <c r="D758" s="231"/>
      <c r="E758" s="27"/>
      <c r="F758" s="27"/>
      <c r="G758" s="231"/>
      <c r="H758" s="27"/>
      <c r="I758" s="27"/>
      <c r="J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</row>
    <row r="759" spans="1:60" ht="13">
      <c r="A759" s="236"/>
      <c r="B759" s="236"/>
      <c r="C759" s="311"/>
      <c r="D759" s="237"/>
      <c r="E759" s="236"/>
      <c r="F759" s="236"/>
      <c r="G759" s="237"/>
      <c r="H759" s="236"/>
      <c r="I759" s="236"/>
      <c r="J759" s="236"/>
      <c r="N759" s="236"/>
      <c r="O759" s="236"/>
      <c r="P759" s="236"/>
      <c r="Q759" s="236"/>
      <c r="R759" s="236"/>
      <c r="S759" s="236"/>
      <c r="T759" s="236"/>
      <c r="U759" s="236"/>
      <c r="V759" s="236"/>
      <c r="W759" s="236"/>
      <c r="X759" s="236"/>
      <c r="Y759" s="236"/>
      <c r="Z759" s="236"/>
      <c r="AA759" s="236"/>
      <c r="AB759" s="236"/>
      <c r="AC759" s="236"/>
      <c r="AD759" s="236"/>
      <c r="AE759" s="236"/>
      <c r="AF759" s="236"/>
      <c r="AG759" s="236"/>
      <c r="AH759" s="236"/>
      <c r="AI759" s="236"/>
      <c r="AJ759" s="236"/>
      <c r="AK759" s="236"/>
      <c r="AL759" s="236"/>
      <c r="AM759" s="236"/>
      <c r="AN759" s="236"/>
      <c r="AO759" s="236"/>
      <c r="AP759" s="236"/>
      <c r="AQ759" s="236"/>
      <c r="AR759" s="236"/>
      <c r="AS759" s="236"/>
      <c r="AT759" s="236"/>
      <c r="AU759" s="236"/>
      <c r="AV759" s="236"/>
      <c r="AW759" s="236"/>
      <c r="AX759" s="236"/>
      <c r="AY759" s="236"/>
      <c r="AZ759" s="236"/>
      <c r="BA759" s="236"/>
      <c r="BB759" s="236"/>
      <c r="BC759" s="236"/>
      <c r="BD759" s="236"/>
      <c r="BE759" s="236"/>
      <c r="BF759" s="236"/>
      <c r="BG759" s="236"/>
      <c r="BH759" s="236"/>
    </row>
    <row r="760" spans="1:60" ht="13">
      <c r="A760" s="27"/>
      <c r="B760" s="27"/>
      <c r="C760" s="312"/>
      <c r="D760" s="231"/>
      <c r="E760" s="27"/>
      <c r="F760" s="27"/>
      <c r="G760" s="231"/>
      <c r="H760" s="27"/>
      <c r="I760" s="27"/>
      <c r="J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</row>
    <row r="761" spans="1:60" ht="13">
      <c r="A761" s="236"/>
      <c r="B761" s="236"/>
      <c r="C761" s="311"/>
      <c r="D761" s="237"/>
      <c r="E761" s="236"/>
      <c r="F761" s="236"/>
      <c r="G761" s="237"/>
      <c r="H761" s="236"/>
      <c r="I761" s="236"/>
      <c r="J761" s="236"/>
      <c r="N761" s="236"/>
      <c r="O761" s="236"/>
      <c r="P761" s="236"/>
      <c r="Q761" s="236"/>
      <c r="R761" s="236"/>
      <c r="S761" s="236"/>
      <c r="T761" s="236"/>
      <c r="U761" s="236"/>
      <c r="V761" s="236"/>
      <c r="W761" s="236"/>
      <c r="X761" s="236"/>
      <c r="Y761" s="236"/>
      <c r="Z761" s="236"/>
      <c r="AA761" s="236"/>
      <c r="AB761" s="236"/>
      <c r="AC761" s="236"/>
      <c r="AD761" s="236"/>
      <c r="AE761" s="236"/>
      <c r="AF761" s="236"/>
      <c r="AG761" s="236"/>
      <c r="AH761" s="236"/>
      <c r="AI761" s="236"/>
      <c r="AJ761" s="236"/>
      <c r="AK761" s="236"/>
      <c r="AL761" s="236"/>
      <c r="AM761" s="236"/>
      <c r="AN761" s="236"/>
      <c r="AO761" s="236"/>
      <c r="AP761" s="236"/>
      <c r="AQ761" s="236"/>
      <c r="AR761" s="236"/>
      <c r="AS761" s="236"/>
      <c r="AT761" s="236"/>
      <c r="AU761" s="236"/>
      <c r="AV761" s="236"/>
      <c r="AW761" s="236"/>
      <c r="AX761" s="236"/>
      <c r="AY761" s="236"/>
      <c r="AZ761" s="236"/>
      <c r="BA761" s="236"/>
      <c r="BB761" s="236"/>
      <c r="BC761" s="236"/>
      <c r="BD761" s="236"/>
      <c r="BE761" s="236"/>
      <c r="BF761" s="236"/>
      <c r="BG761" s="236"/>
      <c r="BH761" s="236"/>
    </row>
    <row r="762" spans="1:60" ht="13">
      <c r="A762" s="27"/>
      <c r="B762" s="27"/>
      <c r="C762" s="312"/>
      <c r="D762" s="231"/>
      <c r="E762" s="27"/>
      <c r="F762" s="27"/>
      <c r="G762" s="231"/>
      <c r="H762" s="27"/>
      <c r="I762" s="27"/>
      <c r="J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</row>
    <row r="763" spans="1:60" ht="13">
      <c r="A763" s="236"/>
      <c r="B763" s="236"/>
      <c r="C763" s="311"/>
      <c r="D763" s="237"/>
      <c r="E763" s="236"/>
      <c r="F763" s="236"/>
      <c r="G763" s="237"/>
      <c r="H763" s="236"/>
      <c r="I763" s="236"/>
      <c r="J763" s="236"/>
      <c r="N763" s="236"/>
      <c r="O763" s="236"/>
      <c r="P763" s="236"/>
      <c r="Q763" s="236"/>
      <c r="R763" s="236"/>
      <c r="S763" s="236"/>
      <c r="T763" s="236"/>
      <c r="U763" s="236"/>
      <c r="V763" s="236"/>
      <c r="W763" s="236"/>
      <c r="X763" s="236"/>
      <c r="Y763" s="236"/>
      <c r="Z763" s="236"/>
      <c r="AA763" s="236"/>
      <c r="AB763" s="236"/>
      <c r="AC763" s="236"/>
      <c r="AD763" s="236"/>
      <c r="AE763" s="236"/>
      <c r="AF763" s="236"/>
      <c r="AG763" s="236"/>
      <c r="AH763" s="236"/>
      <c r="AI763" s="236"/>
      <c r="AJ763" s="236"/>
      <c r="AK763" s="236"/>
      <c r="AL763" s="236"/>
      <c r="AM763" s="236"/>
      <c r="AN763" s="236"/>
      <c r="AO763" s="236"/>
      <c r="AP763" s="236"/>
      <c r="AQ763" s="236"/>
      <c r="AR763" s="236"/>
      <c r="AS763" s="236"/>
      <c r="AT763" s="236"/>
      <c r="AU763" s="236"/>
      <c r="AV763" s="236"/>
      <c r="AW763" s="236"/>
      <c r="AX763" s="236"/>
      <c r="AY763" s="236"/>
      <c r="AZ763" s="236"/>
      <c r="BA763" s="236"/>
      <c r="BB763" s="236"/>
      <c r="BC763" s="236"/>
      <c r="BD763" s="236"/>
      <c r="BE763" s="236"/>
      <c r="BF763" s="236"/>
      <c r="BG763" s="236"/>
      <c r="BH763" s="236"/>
    </row>
    <row r="764" spans="1:60" ht="13">
      <c r="A764" s="27"/>
      <c r="B764" s="27"/>
      <c r="C764" s="312"/>
      <c r="D764" s="231"/>
      <c r="E764" s="27"/>
      <c r="F764" s="27"/>
      <c r="G764" s="231"/>
      <c r="H764" s="27"/>
      <c r="I764" s="27"/>
      <c r="J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</row>
    <row r="765" spans="1:60" ht="13">
      <c r="A765" s="236"/>
      <c r="B765" s="236"/>
      <c r="C765" s="311"/>
      <c r="D765" s="237"/>
      <c r="E765" s="236"/>
      <c r="F765" s="236"/>
      <c r="G765" s="237"/>
      <c r="H765" s="236"/>
      <c r="I765" s="236"/>
      <c r="J765" s="236"/>
      <c r="N765" s="236"/>
      <c r="O765" s="236"/>
      <c r="P765" s="236"/>
      <c r="Q765" s="236"/>
      <c r="R765" s="236"/>
      <c r="S765" s="236"/>
      <c r="T765" s="236"/>
      <c r="U765" s="236"/>
      <c r="V765" s="236"/>
      <c r="W765" s="236"/>
      <c r="X765" s="236"/>
      <c r="Y765" s="236"/>
      <c r="Z765" s="236"/>
      <c r="AA765" s="236"/>
      <c r="AB765" s="236"/>
      <c r="AC765" s="236"/>
      <c r="AD765" s="236"/>
      <c r="AE765" s="236"/>
      <c r="AF765" s="236"/>
      <c r="AG765" s="236"/>
      <c r="AH765" s="236"/>
      <c r="AI765" s="236"/>
      <c r="AJ765" s="236"/>
      <c r="AK765" s="236"/>
      <c r="AL765" s="236"/>
      <c r="AM765" s="236"/>
      <c r="AN765" s="236"/>
      <c r="AO765" s="236"/>
      <c r="AP765" s="236"/>
      <c r="AQ765" s="236"/>
      <c r="AR765" s="236"/>
      <c r="AS765" s="236"/>
      <c r="AT765" s="236"/>
      <c r="AU765" s="236"/>
      <c r="AV765" s="236"/>
      <c r="AW765" s="236"/>
      <c r="AX765" s="236"/>
      <c r="AY765" s="236"/>
      <c r="AZ765" s="236"/>
      <c r="BA765" s="236"/>
      <c r="BB765" s="236"/>
      <c r="BC765" s="236"/>
      <c r="BD765" s="236"/>
      <c r="BE765" s="236"/>
      <c r="BF765" s="236"/>
      <c r="BG765" s="236"/>
      <c r="BH765" s="236"/>
    </row>
    <row r="766" spans="1:60" ht="13">
      <c r="A766" s="27"/>
      <c r="B766" s="27"/>
      <c r="C766" s="312"/>
      <c r="D766" s="231"/>
      <c r="E766" s="27"/>
      <c r="F766" s="27"/>
      <c r="G766" s="231"/>
      <c r="H766" s="27"/>
      <c r="I766" s="27"/>
      <c r="J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</row>
    <row r="767" spans="1:60" ht="13">
      <c r="A767" s="236"/>
      <c r="B767" s="236"/>
      <c r="C767" s="311"/>
      <c r="D767" s="237"/>
      <c r="E767" s="236"/>
      <c r="F767" s="236"/>
      <c r="G767" s="237"/>
      <c r="H767" s="236"/>
      <c r="I767" s="236"/>
      <c r="J767" s="236"/>
      <c r="N767" s="236"/>
      <c r="O767" s="236"/>
      <c r="P767" s="236"/>
      <c r="Q767" s="236"/>
      <c r="R767" s="236"/>
      <c r="S767" s="236"/>
      <c r="T767" s="236"/>
      <c r="U767" s="236"/>
      <c r="V767" s="236"/>
      <c r="W767" s="236"/>
      <c r="X767" s="236"/>
      <c r="Y767" s="236"/>
      <c r="Z767" s="236"/>
      <c r="AA767" s="236"/>
      <c r="AB767" s="236"/>
      <c r="AC767" s="236"/>
      <c r="AD767" s="236"/>
      <c r="AE767" s="236"/>
      <c r="AF767" s="236"/>
      <c r="AG767" s="236"/>
      <c r="AH767" s="236"/>
      <c r="AI767" s="236"/>
      <c r="AJ767" s="236"/>
      <c r="AK767" s="236"/>
      <c r="AL767" s="236"/>
      <c r="AM767" s="236"/>
      <c r="AN767" s="236"/>
      <c r="AO767" s="236"/>
      <c r="AP767" s="236"/>
      <c r="AQ767" s="236"/>
      <c r="AR767" s="236"/>
      <c r="AS767" s="236"/>
      <c r="AT767" s="236"/>
      <c r="AU767" s="236"/>
      <c r="AV767" s="236"/>
      <c r="AW767" s="236"/>
      <c r="AX767" s="236"/>
      <c r="AY767" s="236"/>
      <c r="AZ767" s="236"/>
      <c r="BA767" s="236"/>
      <c r="BB767" s="236"/>
      <c r="BC767" s="236"/>
      <c r="BD767" s="236"/>
      <c r="BE767" s="236"/>
      <c r="BF767" s="236"/>
      <c r="BG767" s="236"/>
      <c r="BH767" s="236"/>
    </row>
    <row r="768" spans="1:60" ht="13">
      <c r="A768" s="27"/>
      <c r="B768" s="27"/>
      <c r="C768" s="312"/>
      <c r="D768" s="231"/>
      <c r="E768" s="27"/>
      <c r="F768" s="27"/>
      <c r="G768" s="231"/>
      <c r="H768" s="27"/>
      <c r="I768" s="27"/>
      <c r="J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</row>
    <row r="769" spans="1:60" ht="13">
      <c r="A769" s="236"/>
      <c r="B769" s="236"/>
      <c r="C769" s="311"/>
      <c r="D769" s="237"/>
      <c r="E769" s="236"/>
      <c r="F769" s="236"/>
      <c r="G769" s="237"/>
      <c r="H769" s="236"/>
      <c r="I769" s="236"/>
      <c r="J769" s="236"/>
      <c r="N769" s="236"/>
      <c r="O769" s="236"/>
      <c r="P769" s="236"/>
      <c r="Q769" s="236"/>
      <c r="R769" s="236"/>
      <c r="S769" s="236"/>
      <c r="T769" s="236"/>
      <c r="U769" s="236"/>
      <c r="V769" s="236"/>
      <c r="W769" s="236"/>
      <c r="X769" s="236"/>
      <c r="Y769" s="236"/>
      <c r="Z769" s="236"/>
      <c r="AA769" s="236"/>
      <c r="AB769" s="236"/>
      <c r="AC769" s="236"/>
      <c r="AD769" s="236"/>
      <c r="AE769" s="236"/>
      <c r="AF769" s="236"/>
      <c r="AG769" s="236"/>
      <c r="AH769" s="236"/>
      <c r="AI769" s="236"/>
      <c r="AJ769" s="236"/>
      <c r="AK769" s="236"/>
      <c r="AL769" s="236"/>
      <c r="AM769" s="236"/>
      <c r="AN769" s="236"/>
      <c r="AO769" s="236"/>
      <c r="AP769" s="236"/>
      <c r="AQ769" s="236"/>
      <c r="AR769" s="236"/>
      <c r="AS769" s="236"/>
      <c r="AT769" s="236"/>
      <c r="AU769" s="236"/>
      <c r="AV769" s="236"/>
      <c r="AW769" s="236"/>
      <c r="AX769" s="236"/>
      <c r="AY769" s="236"/>
      <c r="AZ769" s="236"/>
      <c r="BA769" s="236"/>
      <c r="BB769" s="236"/>
      <c r="BC769" s="236"/>
      <c r="BD769" s="236"/>
      <c r="BE769" s="236"/>
      <c r="BF769" s="236"/>
      <c r="BG769" s="236"/>
      <c r="BH769" s="236"/>
    </row>
    <row r="770" spans="1:60" ht="13">
      <c r="A770" s="27"/>
      <c r="B770" s="27"/>
      <c r="C770" s="312"/>
      <c r="D770" s="231"/>
      <c r="E770" s="27"/>
      <c r="F770" s="27"/>
      <c r="G770" s="231"/>
      <c r="H770" s="27"/>
      <c r="I770" s="27"/>
      <c r="J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</row>
    <row r="771" spans="1:60" ht="13">
      <c r="A771" s="236"/>
      <c r="B771" s="236"/>
      <c r="C771" s="311"/>
      <c r="D771" s="237"/>
      <c r="E771" s="236"/>
      <c r="F771" s="236"/>
      <c r="G771" s="237"/>
      <c r="H771" s="236"/>
      <c r="I771" s="236"/>
      <c r="J771" s="236"/>
      <c r="N771" s="236"/>
      <c r="O771" s="236"/>
      <c r="P771" s="236"/>
      <c r="Q771" s="236"/>
      <c r="R771" s="236"/>
      <c r="S771" s="236"/>
      <c r="T771" s="236"/>
      <c r="U771" s="236"/>
      <c r="V771" s="236"/>
      <c r="W771" s="236"/>
      <c r="X771" s="236"/>
      <c r="Y771" s="236"/>
      <c r="Z771" s="236"/>
      <c r="AA771" s="236"/>
      <c r="AB771" s="236"/>
      <c r="AC771" s="236"/>
      <c r="AD771" s="236"/>
      <c r="AE771" s="236"/>
      <c r="AF771" s="236"/>
      <c r="AG771" s="236"/>
      <c r="AH771" s="236"/>
      <c r="AI771" s="236"/>
      <c r="AJ771" s="236"/>
      <c r="AK771" s="236"/>
      <c r="AL771" s="236"/>
      <c r="AM771" s="236"/>
      <c r="AN771" s="236"/>
      <c r="AO771" s="236"/>
      <c r="AP771" s="236"/>
      <c r="AQ771" s="236"/>
      <c r="AR771" s="236"/>
      <c r="AS771" s="236"/>
      <c r="AT771" s="236"/>
      <c r="AU771" s="236"/>
      <c r="AV771" s="236"/>
      <c r="AW771" s="236"/>
      <c r="AX771" s="236"/>
      <c r="AY771" s="236"/>
      <c r="AZ771" s="236"/>
      <c r="BA771" s="236"/>
      <c r="BB771" s="236"/>
      <c r="BC771" s="236"/>
      <c r="BD771" s="236"/>
      <c r="BE771" s="236"/>
      <c r="BF771" s="236"/>
      <c r="BG771" s="236"/>
      <c r="BH771" s="236"/>
    </row>
    <row r="772" spans="1:60" ht="13">
      <c r="A772" s="27"/>
      <c r="B772" s="27"/>
      <c r="C772" s="312"/>
      <c r="D772" s="231"/>
      <c r="E772" s="27"/>
      <c r="F772" s="27"/>
      <c r="G772" s="231"/>
      <c r="H772" s="27"/>
      <c r="I772" s="27"/>
      <c r="J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</row>
    <row r="773" spans="1:60" ht="13">
      <c r="A773" s="236"/>
      <c r="B773" s="236"/>
      <c r="C773" s="311"/>
      <c r="D773" s="237"/>
      <c r="E773" s="236"/>
      <c r="F773" s="236"/>
      <c r="G773" s="237"/>
      <c r="H773" s="236"/>
      <c r="I773" s="236"/>
      <c r="J773" s="236"/>
      <c r="N773" s="236"/>
      <c r="O773" s="236"/>
      <c r="P773" s="236"/>
      <c r="Q773" s="236"/>
      <c r="R773" s="236"/>
      <c r="S773" s="236"/>
      <c r="T773" s="236"/>
      <c r="U773" s="236"/>
      <c r="V773" s="236"/>
      <c r="W773" s="236"/>
      <c r="X773" s="236"/>
      <c r="Y773" s="236"/>
      <c r="Z773" s="236"/>
      <c r="AA773" s="236"/>
      <c r="AB773" s="236"/>
      <c r="AC773" s="236"/>
      <c r="AD773" s="236"/>
      <c r="AE773" s="236"/>
      <c r="AF773" s="236"/>
      <c r="AG773" s="236"/>
      <c r="AH773" s="236"/>
      <c r="AI773" s="236"/>
      <c r="AJ773" s="236"/>
      <c r="AK773" s="236"/>
      <c r="AL773" s="236"/>
      <c r="AM773" s="236"/>
      <c r="AN773" s="236"/>
      <c r="AO773" s="236"/>
      <c r="AP773" s="236"/>
      <c r="AQ773" s="236"/>
      <c r="AR773" s="236"/>
      <c r="AS773" s="236"/>
      <c r="AT773" s="236"/>
      <c r="AU773" s="236"/>
      <c r="AV773" s="236"/>
      <c r="AW773" s="236"/>
      <c r="AX773" s="236"/>
      <c r="AY773" s="236"/>
      <c r="AZ773" s="236"/>
      <c r="BA773" s="236"/>
      <c r="BB773" s="236"/>
      <c r="BC773" s="236"/>
      <c r="BD773" s="236"/>
      <c r="BE773" s="236"/>
      <c r="BF773" s="236"/>
      <c r="BG773" s="236"/>
      <c r="BH773" s="236"/>
    </row>
    <row r="774" spans="1:60" ht="13">
      <c r="A774" s="27"/>
      <c r="B774" s="27"/>
      <c r="C774" s="312"/>
      <c r="D774" s="231"/>
      <c r="E774" s="27"/>
      <c r="F774" s="27"/>
      <c r="G774" s="231"/>
      <c r="H774" s="27"/>
      <c r="I774" s="27"/>
      <c r="J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</row>
    <row r="775" spans="1:60" ht="13">
      <c r="A775" s="236"/>
      <c r="B775" s="236"/>
      <c r="C775" s="311"/>
      <c r="D775" s="237"/>
      <c r="E775" s="236"/>
      <c r="F775" s="236"/>
      <c r="G775" s="237"/>
      <c r="H775" s="236"/>
      <c r="I775" s="236"/>
      <c r="J775" s="236"/>
      <c r="N775" s="236"/>
      <c r="O775" s="236"/>
      <c r="P775" s="236"/>
      <c r="Q775" s="236"/>
      <c r="R775" s="236"/>
      <c r="S775" s="236"/>
      <c r="T775" s="236"/>
      <c r="U775" s="236"/>
      <c r="V775" s="236"/>
      <c r="W775" s="236"/>
      <c r="X775" s="236"/>
      <c r="Y775" s="236"/>
      <c r="Z775" s="236"/>
      <c r="AA775" s="236"/>
      <c r="AB775" s="236"/>
      <c r="AC775" s="236"/>
      <c r="AD775" s="236"/>
      <c r="AE775" s="236"/>
      <c r="AF775" s="236"/>
      <c r="AG775" s="236"/>
      <c r="AH775" s="236"/>
      <c r="AI775" s="236"/>
      <c r="AJ775" s="236"/>
      <c r="AK775" s="236"/>
      <c r="AL775" s="236"/>
      <c r="AM775" s="236"/>
      <c r="AN775" s="236"/>
      <c r="AO775" s="236"/>
      <c r="AP775" s="236"/>
      <c r="AQ775" s="236"/>
      <c r="AR775" s="236"/>
      <c r="AS775" s="236"/>
      <c r="AT775" s="236"/>
      <c r="AU775" s="236"/>
      <c r="AV775" s="236"/>
      <c r="AW775" s="236"/>
      <c r="AX775" s="236"/>
      <c r="AY775" s="236"/>
      <c r="AZ775" s="236"/>
      <c r="BA775" s="236"/>
      <c r="BB775" s="236"/>
      <c r="BC775" s="236"/>
      <c r="BD775" s="236"/>
      <c r="BE775" s="236"/>
      <c r="BF775" s="236"/>
      <c r="BG775" s="236"/>
      <c r="BH775" s="236"/>
    </row>
    <row r="776" spans="1:60" ht="13">
      <c r="A776" s="27"/>
      <c r="B776" s="27"/>
      <c r="C776" s="312"/>
      <c r="D776" s="231"/>
      <c r="E776" s="27"/>
      <c r="F776" s="27"/>
      <c r="G776" s="231"/>
      <c r="H776" s="27"/>
      <c r="I776" s="27"/>
      <c r="J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</row>
    <row r="777" spans="1:60" ht="13">
      <c r="A777" s="236"/>
      <c r="B777" s="236"/>
      <c r="C777" s="311"/>
      <c r="D777" s="237"/>
      <c r="E777" s="236"/>
      <c r="F777" s="236"/>
      <c r="G777" s="237"/>
      <c r="H777" s="236"/>
      <c r="I777" s="236"/>
      <c r="J777" s="236"/>
      <c r="N777" s="236"/>
      <c r="O777" s="236"/>
      <c r="P777" s="236"/>
      <c r="Q777" s="236"/>
      <c r="R777" s="236"/>
      <c r="S777" s="236"/>
      <c r="T777" s="236"/>
      <c r="U777" s="236"/>
      <c r="V777" s="236"/>
      <c r="W777" s="236"/>
      <c r="X777" s="236"/>
      <c r="Y777" s="236"/>
      <c r="Z777" s="236"/>
      <c r="AA777" s="236"/>
      <c r="AB777" s="236"/>
      <c r="AC777" s="236"/>
      <c r="AD777" s="236"/>
      <c r="AE777" s="236"/>
      <c r="AF777" s="236"/>
      <c r="AG777" s="236"/>
      <c r="AH777" s="236"/>
      <c r="AI777" s="236"/>
      <c r="AJ777" s="236"/>
      <c r="AK777" s="236"/>
      <c r="AL777" s="236"/>
      <c r="AM777" s="236"/>
      <c r="AN777" s="236"/>
      <c r="AO777" s="236"/>
      <c r="AP777" s="236"/>
      <c r="AQ777" s="236"/>
      <c r="AR777" s="236"/>
      <c r="AS777" s="236"/>
      <c r="AT777" s="236"/>
      <c r="AU777" s="236"/>
      <c r="AV777" s="236"/>
      <c r="AW777" s="236"/>
      <c r="AX777" s="236"/>
      <c r="AY777" s="236"/>
      <c r="AZ777" s="236"/>
      <c r="BA777" s="236"/>
      <c r="BB777" s="236"/>
      <c r="BC777" s="236"/>
      <c r="BD777" s="236"/>
      <c r="BE777" s="236"/>
      <c r="BF777" s="236"/>
      <c r="BG777" s="236"/>
      <c r="BH777" s="236"/>
    </row>
    <row r="778" spans="1:60" ht="13">
      <c r="A778" s="27"/>
      <c r="B778" s="27"/>
      <c r="C778" s="312"/>
      <c r="D778" s="231"/>
      <c r="E778" s="27"/>
      <c r="F778" s="27"/>
      <c r="G778" s="231"/>
      <c r="H778" s="27"/>
      <c r="I778" s="27"/>
      <c r="J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</row>
    <row r="779" spans="1:60" ht="13">
      <c r="A779" s="236"/>
      <c r="B779" s="236"/>
      <c r="C779" s="311"/>
      <c r="D779" s="237"/>
      <c r="E779" s="236"/>
      <c r="F779" s="236"/>
      <c r="G779" s="237"/>
      <c r="H779" s="236"/>
      <c r="I779" s="236"/>
      <c r="J779" s="236"/>
      <c r="N779" s="236"/>
      <c r="O779" s="236"/>
      <c r="P779" s="236"/>
      <c r="Q779" s="236"/>
      <c r="R779" s="236"/>
      <c r="S779" s="236"/>
      <c r="T779" s="236"/>
      <c r="U779" s="236"/>
      <c r="V779" s="236"/>
      <c r="W779" s="236"/>
      <c r="X779" s="236"/>
      <c r="Y779" s="236"/>
      <c r="Z779" s="236"/>
      <c r="AA779" s="236"/>
      <c r="AB779" s="236"/>
      <c r="AC779" s="236"/>
      <c r="AD779" s="236"/>
      <c r="AE779" s="236"/>
      <c r="AF779" s="236"/>
      <c r="AG779" s="236"/>
      <c r="AH779" s="236"/>
      <c r="AI779" s="236"/>
      <c r="AJ779" s="236"/>
      <c r="AK779" s="236"/>
      <c r="AL779" s="236"/>
      <c r="AM779" s="236"/>
      <c r="AN779" s="236"/>
      <c r="AO779" s="236"/>
      <c r="AP779" s="236"/>
      <c r="AQ779" s="236"/>
      <c r="AR779" s="236"/>
      <c r="AS779" s="236"/>
      <c r="AT779" s="236"/>
      <c r="AU779" s="236"/>
      <c r="AV779" s="236"/>
      <c r="AW779" s="236"/>
      <c r="AX779" s="236"/>
      <c r="AY779" s="236"/>
      <c r="AZ779" s="236"/>
      <c r="BA779" s="236"/>
      <c r="BB779" s="236"/>
      <c r="BC779" s="236"/>
      <c r="BD779" s="236"/>
      <c r="BE779" s="236"/>
      <c r="BF779" s="236"/>
      <c r="BG779" s="236"/>
      <c r="BH779" s="236"/>
    </row>
    <row r="780" spans="1:60" ht="13">
      <c r="A780" s="27"/>
      <c r="B780" s="27"/>
      <c r="C780" s="312"/>
      <c r="D780" s="231"/>
      <c r="E780" s="27"/>
      <c r="F780" s="27"/>
      <c r="G780" s="231"/>
      <c r="H780" s="27"/>
      <c r="I780" s="27"/>
      <c r="J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</row>
    <row r="781" spans="1:60" ht="13">
      <c r="A781" s="236"/>
      <c r="B781" s="236"/>
      <c r="C781" s="311"/>
      <c r="D781" s="237"/>
      <c r="E781" s="236"/>
      <c r="F781" s="236"/>
      <c r="G781" s="237"/>
      <c r="H781" s="236"/>
      <c r="I781" s="236"/>
      <c r="J781" s="236"/>
      <c r="N781" s="236"/>
      <c r="O781" s="236"/>
      <c r="P781" s="236"/>
      <c r="Q781" s="236"/>
      <c r="R781" s="236"/>
      <c r="S781" s="236"/>
      <c r="T781" s="236"/>
      <c r="U781" s="236"/>
      <c r="V781" s="236"/>
      <c r="W781" s="236"/>
      <c r="X781" s="236"/>
      <c r="Y781" s="236"/>
      <c r="Z781" s="236"/>
      <c r="AA781" s="236"/>
      <c r="AB781" s="236"/>
      <c r="AC781" s="236"/>
      <c r="AD781" s="236"/>
      <c r="AE781" s="236"/>
      <c r="AF781" s="236"/>
      <c r="AG781" s="236"/>
      <c r="AH781" s="236"/>
      <c r="AI781" s="236"/>
      <c r="AJ781" s="236"/>
      <c r="AK781" s="236"/>
      <c r="AL781" s="236"/>
      <c r="AM781" s="236"/>
      <c r="AN781" s="236"/>
      <c r="AO781" s="236"/>
      <c r="AP781" s="236"/>
      <c r="AQ781" s="236"/>
      <c r="AR781" s="236"/>
      <c r="AS781" s="236"/>
      <c r="AT781" s="236"/>
      <c r="AU781" s="236"/>
      <c r="AV781" s="236"/>
      <c r="AW781" s="236"/>
      <c r="AX781" s="236"/>
      <c r="AY781" s="236"/>
      <c r="AZ781" s="236"/>
      <c r="BA781" s="236"/>
      <c r="BB781" s="236"/>
      <c r="BC781" s="236"/>
      <c r="BD781" s="236"/>
      <c r="BE781" s="236"/>
      <c r="BF781" s="236"/>
      <c r="BG781" s="236"/>
      <c r="BH781" s="236"/>
    </row>
    <row r="782" spans="1:60" ht="13">
      <c r="A782" s="27"/>
      <c r="B782" s="27"/>
      <c r="C782" s="312"/>
      <c r="D782" s="231"/>
      <c r="E782" s="27"/>
      <c r="F782" s="27"/>
      <c r="G782" s="231"/>
      <c r="H782" s="27"/>
      <c r="I782" s="27"/>
      <c r="J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</row>
    <row r="783" spans="1:60" ht="13">
      <c r="A783" s="236"/>
      <c r="B783" s="236"/>
      <c r="C783" s="311"/>
      <c r="D783" s="237"/>
      <c r="E783" s="236"/>
      <c r="F783" s="236"/>
      <c r="G783" s="237"/>
      <c r="H783" s="236"/>
      <c r="I783" s="236"/>
      <c r="J783" s="236"/>
      <c r="N783" s="236"/>
      <c r="O783" s="236"/>
      <c r="P783" s="236"/>
      <c r="Q783" s="236"/>
      <c r="R783" s="236"/>
      <c r="S783" s="236"/>
      <c r="T783" s="236"/>
      <c r="U783" s="236"/>
      <c r="V783" s="236"/>
      <c r="W783" s="236"/>
      <c r="X783" s="236"/>
      <c r="Y783" s="236"/>
      <c r="Z783" s="236"/>
      <c r="AA783" s="236"/>
      <c r="AB783" s="236"/>
      <c r="AC783" s="236"/>
      <c r="AD783" s="236"/>
      <c r="AE783" s="236"/>
      <c r="AF783" s="236"/>
      <c r="AG783" s="236"/>
      <c r="AH783" s="236"/>
      <c r="AI783" s="236"/>
      <c r="AJ783" s="236"/>
      <c r="AK783" s="236"/>
      <c r="AL783" s="236"/>
      <c r="AM783" s="236"/>
      <c r="AN783" s="236"/>
      <c r="AO783" s="236"/>
      <c r="AP783" s="236"/>
      <c r="AQ783" s="236"/>
      <c r="AR783" s="236"/>
      <c r="AS783" s="236"/>
      <c r="AT783" s="236"/>
      <c r="AU783" s="236"/>
      <c r="AV783" s="236"/>
      <c r="AW783" s="236"/>
      <c r="AX783" s="236"/>
      <c r="AY783" s="236"/>
      <c r="AZ783" s="236"/>
      <c r="BA783" s="236"/>
      <c r="BB783" s="236"/>
      <c r="BC783" s="236"/>
      <c r="BD783" s="236"/>
      <c r="BE783" s="236"/>
      <c r="BF783" s="236"/>
      <c r="BG783" s="236"/>
      <c r="BH783" s="236"/>
    </row>
    <row r="784" spans="1:60" ht="13">
      <c r="A784" s="27"/>
      <c r="B784" s="27"/>
      <c r="C784" s="312"/>
      <c r="D784" s="231"/>
      <c r="E784" s="27"/>
      <c r="F784" s="27"/>
      <c r="G784" s="231"/>
      <c r="H784" s="27"/>
      <c r="I784" s="27"/>
      <c r="J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</row>
    <row r="785" spans="1:60" ht="13">
      <c r="A785" s="236"/>
      <c r="B785" s="236"/>
      <c r="C785" s="311"/>
      <c r="D785" s="237"/>
      <c r="E785" s="236"/>
      <c r="F785" s="236"/>
      <c r="G785" s="237"/>
      <c r="H785" s="236"/>
      <c r="I785" s="236"/>
      <c r="J785" s="236"/>
      <c r="N785" s="236"/>
      <c r="O785" s="236"/>
      <c r="P785" s="236"/>
      <c r="Q785" s="236"/>
      <c r="R785" s="236"/>
      <c r="S785" s="236"/>
      <c r="T785" s="236"/>
      <c r="U785" s="236"/>
      <c r="V785" s="236"/>
      <c r="W785" s="236"/>
      <c r="X785" s="236"/>
      <c r="Y785" s="236"/>
      <c r="Z785" s="236"/>
      <c r="AA785" s="236"/>
      <c r="AB785" s="236"/>
      <c r="AC785" s="236"/>
      <c r="AD785" s="236"/>
      <c r="AE785" s="236"/>
      <c r="AF785" s="236"/>
      <c r="AG785" s="236"/>
      <c r="AH785" s="236"/>
      <c r="AI785" s="236"/>
      <c r="AJ785" s="236"/>
      <c r="AK785" s="236"/>
      <c r="AL785" s="236"/>
      <c r="AM785" s="236"/>
      <c r="AN785" s="236"/>
      <c r="AO785" s="236"/>
      <c r="AP785" s="236"/>
      <c r="AQ785" s="236"/>
      <c r="AR785" s="236"/>
      <c r="AS785" s="236"/>
      <c r="AT785" s="236"/>
      <c r="AU785" s="236"/>
      <c r="AV785" s="236"/>
      <c r="AW785" s="236"/>
      <c r="AX785" s="236"/>
      <c r="AY785" s="236"/>
      <c r="AZ785" s="236"/>
      <c r="BA785" s="236"/>
      <c r="BB785" s="236"/>
      <c r="BC785" s="236"/>
      <c r="BD785" s="236"/>
      <c r="BE785" s="236"/>
      <c r="BF785" s="236"/>
      <c r="BG785" s="236"/>
      <c r="BH785" s="236"/>
    </row>
    <row r="786" spans="1:60" ht="13">
      <c r="A786" s="27"/>
      <c r="B786" s="27"/>
      <c r="C786" s="312"/>
      <c r="D786" s="231"/>
      <c r="E786" s="27"/>
      <c r="F786" s="27"/>
      <c r="G786" s="231"/>
      <c r="H786" s="27"/>
      <c r="I786" s="27"/>
      <c r="J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</row>
    <row r="787" spans="1:60" ht="13">
      <c r="A787" s="236"/>
      <c r="B787" s="236"/>
      <c r="C787" s="311"/>
      <c r="D787" s="237"/>
      <c r="E787" s="236"/>
      <c r="F787" s="236"/>
      <c r="G787" s="237"/>
      <c r="H787" s="236"/>
      <c r="I787" s="236"/>
      <c r="J787" s="236"/>
      <c r="N787" s="236"/>
      <c r="O787" s="236"/>
      <c r="P787" s="236"/>
      <c r="Q787" s="236"/>
      <c r="R787" s="236"/>
      <c r="S787" s="236"/>
      <c r="T787" s="236"/>
      <c r="U787" s="236"/>
      <c r="V787" s="236"/>
      <c r="W787" s="236"/>
      <c r="X787" s="236"/>
      <c r="Y787" s="236"/>
      <c r="Z787" s="236"/>
      <c r="AA787" s="236"/>
      <c r="AB787" s="236"/>
      <c r="AC787" s="236"/>
      <c r="AD787" s="236"/>
      <c r="AE787" s="236"/>
      <c r="AF787" s="236"/>
      <c r="AG787" s="236"/>
      <c r="AH787" s="236"/>
      <c r="AI787" s="236"/>
      <c r="AJ787" s="236"/>
      <c r="AK787" s="236"/>
      <c r="AL787" s="236"/>
      <c r="AM787" s="236"/>
      <c r="AN787" s="236"/>
      <c r="AO787" s="236"/>
      <c r="AP787" s="236"/>
      <c r="AQ787" s="236"/>
      <c r="AR787" s="236"/>
      <c r="AS787" s="236"/>
      <c r="AT787" s="236"/>
      <c r="AU787" s="236"/>
      <c r="AV787" s="236"/>
      <c r="AW787" s="236"/>
      <c r="AX787" s="236"/>
      <c r="AY787" s="236"/>
      <c r="AZ787" s="236"/>
      <c r="BA787" s="236"/>
      <c r="BB787" s="236"/>
      <c r="BC787" s="236"/>
      <c r="BD787" s="236"/>
      <c r="BE787" s="236"/>
      <c r="BF787" s="236"/>
      <c r="BG787" s="236"/>
      <c r="BH787" s="236"/>
    </row>
    <row r="788" spans="1:60" ht="13">
      <c r="A788" s="27"/>
      <c r="B788" s="27"/>
      <c r="C788" s="312"/>
      <c r="D788" s="231"/>
      <c r="E788" s="27"/>
      <c r="F788" s="27"/>
      <c r="G788" s="231"/>
      <c r="H788" s="27"/>
      <c r="I788" s="27"/>
      <c r="J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</row>
    <row r="789" spans="1:60" ht="13">
      <c r="A789" s="236"/>
      <c r="B789" s="236"/>
      <c r="C789" s="311"/>
      <c r="D789" s="237"/>
      <c r="E789" s="236"/>
      <c r="F789" s="236"/>
      <c r="G789" s="237"/>
      <c r="H789" s="236"/>
      <c r="I789" s="236"/>
      <c r="J789" s="236"/>
      <c r="N789" s="236"/>
      <c r="O789" s="236"/>
      <c r="P789" s="236"/>
      <c r="Q789" s="236"/>
      <c r="R789" s="236"/>
      <c r="S789" s="236"/>
      <c r="T789" s="236"/>
      <c r="U789" s="236"/>
      <c r="V789" s="236"/>
      <c r="W789" s="236"/>
      <c r="X789" s="236"/>
      <c r="Y789" s="236"/>
      <c r="Z789" s="236"/>
      <c r="AA789" s="236"/>
      <c r="AB789" s="236"/>
      <c r="AC789" s="236"/>
      <c r="AD789" s="236"/>
      <c r="AE789" s="236"/>
      <c r="AF789" s="236"/>
      <c r="AG789" s="236"/>
      <c r="AH789" s="236"/>
      <c r="AI789" s="236"/>
      <c r="AJ789" s="236"/>
      <c r="AK789" s="236"/>
      <c r="AL789" s="236"/>
      <c r="AM789" s="236"/>
      <c r="AN789" s="236"/>
      <c r="AO789" s="236"/>
      <c r="AP789" s="236"/>
      <c r="AQ789" s="236"/>
      <c r="AR789" s="236"/>
      <c r="AS789" s="236"/>
      <c r="AT789" s="236"/>
      <c r="AU789" s="236"/>
      <c r="AV789" s="236"/>
      <c r="AW789" s="236"/>
      <c r="AX789" s="236"/>
      <c r="AY789" s="236"/>
      <c r="AZ789" s="236"/>
      <c r="BA789" s="236"/>
      <c r="BB789" s="236"/>
      <c r="BC789" s="236"/>
      <c r="BD789" s="236"/>
      <c r="BE789" s="236"/>
      <c r="BF789" s="236"/>
      <c r="BG789" s="236"/>
      <c r="BH789" s="236"/>
    </row>
    <row r="790" spans="1:60" ht="13">
      <c r="A790" s="27"/>
      <c r="B790" s="27"/>
      <c r="C790" s="312"/>
      <c r="D790" s="231"/>
      <c r="E790" s="27"/>
      <c r="F790" s="27"/>
      <c r="G790" s="231"/>
      <c r="H790" s="27"/>
      <c r="I790" s="27"/>
      <c r="J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</row>
    <row r="791" spans="1:60" ht="13">
      <c r="A791" s="236"/>
      <c r="B791" s="236"/>
      <c r="C791" s="311"/>
      <c r="D791" s="237"/>
      <c r="E791" s="236"/>
      <c r="F791" s="236"/>
      <c r="G791" s="237"/>
      <c r="H791" s="236"/>
      <c r="I791" s="236"/>
      <c r="J791" s="236"/>
      <c r="N791" s="236"/>
      <c r="O791" s="236"/>
      <c r="P791" s="236"/>
      <c r="Q791" s="236"/>
      <c r="R791" s="236"/>
      <c r="S791" s="236"/>
      <c r="T791" s="236"/>
      <c r="U791" s="236"/>
      <c r="V791" s="236"/>
      <c r="W791" s="236"/>
      <c r="X791" s="236"/>
      <c r="Y791" s="236"/>
      <c r="Z791" s="236"/>
      <c r="AA791" s="236"/>
      <c r="AB791" s="236"/>
      <c r="AC791" s="236"/>
      <c r="AD791" s="236"/>
      <c r="AE791" s="236"/>
      <c r="AF791" s="236"/>
      <c r="AG791" s="236"/>
      <c r="AH791" s="236"/>
      <c r="AI791" s="236"/>
      <c r="AJ791" s="236"/>
      <c r="AK791" s="236"/>
      <c r="AL791" s="236"/>
      <c r="AM791" s="236"/>
      <c r="AN791" s="236"/>
      <c r="AO791" s="236"/>
      <c r="AP791" s="236"/>
      <c r="AQ791" s="236"/>
      <c r="AR791" s="236"/>
      <c r="AS791" s="236"/>
      <c r="AT791" s="236"/>
      <c r="AU791" s="236"/>
      <c r="AV791" s="236"/>
      <c r="AW791" s="236"/>
      <c r="AX791" s="236"/>
      <c r="AY791" s="236"/>
      <c r="AZ791" s="236"/>
      <c r="BA791" s="236"/>
      <c r="BB791" s="236"/>
      <c r="BC791" s="236"/>
      <c r="BD791" s="236"/>
      <c r="BE791" s="236"/>
      <c r="BF791" s="236"/>
      <c r="BG791" s="236"/>
      <c r="BH791" s="236"/>
    </row>
    <row r="792" spans="1:60" ht="13">
      <c r="A792" s="27"/>
      <c r="B792" s="27"/>
      <c r="C792" s="312"/>
      <c r="D792" s="231"/>
      <c r="E792" s="27"/>
      <c r="F792" s="27"/>
      <c r="G792" s="231"/>
      <c r="H792" s="27"/>
      <c r="I792" s="27"/>
      <c r="J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</row>
    <row r="793" spans="1:60" ht="13">
      <c r="A793" s="236"/>
      <c r="B793" s="236"/>
      <c r="C793" s="311"/>
      <c r="D793" s="237"/>
      <c r="E793" s="236"/>
      <c r="F793" s="236"/>
      <c r="G793" s="237"/>
      <c r="H793" s="236"/>
      <c r="I793" s="236"/>
      <c r="J793" s="236"/>
      <c r="N793" s="236"/>
      <c r="O793" s="236"/>
      <c r="P793" s="236"/>
      <c r="Q793" s="236"/>
      <c r="R793" s="236"/>
      <c r="S793" s="236"/>
      <c r="T793" s="236"/>
      <c r="U793" s="236"/>
      <c r="V793" s="236"/>
      <c r="W793" s="236"/>
      <c r="X793" s="236"/>
      <c r="Y793" s="236"/>
      <c r="Z793" s="236"/>
      <c r="AA793" s="236"/>
      <c r="AB793" s="236"/>
      <c r="AC793" s="236"/>
      <c r="AD793" s="236"/>
      <c r="AE793" s="236"/>
      <c r="AF793" s="236"/>
      <c r="AG793" s="236"/>
      <c r="AH793" s="236"/>
      <c r="AI793" s="236"/>
      <c r="AJ793" s="236"/>
      <c r="AK793" s="236"/>
      <c r="AL793" s="236"/>
      <c r="AM793" s="236"/>
      <c r="AN793" s="236"/>
      <c r="AO793" s="236"/>
      <c r="AP793" s="236"/>
      <c r="AQ793" s="236"/>
      <c r="AR793" s="236"/>
      <c r="AS793" s="236"/>
      <c r="AT793" s="236"/>
      <c r="AU793" s="236"/>
      <c r="AV793" s="236"/>
      <c r="AW793" s="236"/>
      <c r="AX793" s="236"/>
      <c r="AY793" s="236"/>
      <c r="AZ793" s="236"/>
      <c r="BA793" s="236"/>
      <c r="BB793" s="236"/>
      <c r="BC793" s="236"/>
      <c r="BD793" s="236"/>
      <c r="BE793" s="236"/>
      <c r="BF793" s="236"/>
      <c r="BG793" s="236"/>
      <c r="BH793" s="236"/>
    </row>
    <row r="794" spans="1:60" ht="13">
      <c r="A794" s="27"/>
      <c r="B794" s="27"/>
      <c r="C794" s="312"/>
      <c r="D794" s="231"/>
      <c r="E794" s="27"/>
      <c r="F794" s="27"/>
      <c r="G794" s="231"/>
      <c r="H794" s="27"/>
      <c r="I794" s="27"/>
      <c r="J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</row>
    <row r="795" spans="1:60" ht="13">
      <c r="A795" s="236"/>
      <c r="B795" s="236"/>
      <c r="C795" s="311"/>
      <c r="D795" s="237"/>
      <c r="E795" s="236"/>
      <c r="F795" s="236"/>
      <c r="G795" s="237"/>
      <c r="H795" s="236"/>
      <c r="I795" s="236"/>
      <c r="J795" s="236"/>
      <c r="N795" s="236"/>
      <c r="O795" s="236"/>
      <c r="P795" s="236"/>
      <c r="Q795" s="236"/>
      <c r="R795" s="236"/>
      <c r="S795" s="236"/>
      <c r="T795" s="236"/>
      <c r="U795" s="236"/>
      <c r="V795" s="236"/>
      <c r="W795" s="236"/>
      <c r="X795" s="236"/>
      <c r="Y795" s="236"/>
      <c r="Z795" s="236"/>
      <c r="AA795" s="236"/>
      <c r="AB795" s="236"/>
      <c r="AC795" s="236"/>
      <c r="AD795" s="236"/>
      <c r="AE795" s="236"/>
      <c r="AF795" s="236"/>
      <c r="AG795" s="236"/>
      <c r="AH795" s="236"/>
      <c r="AI795" s="236"/>
      <c r="AJ795" s="236"/>
      <c r="AK795" s="236"/>
      <c r="AL795" s="236"/>
      <c r="AM795" s="236"/>
      <c r="AN795" s="236"/>
      <c r="AO795" s="236"/>
      <c r="AP795" s="236"/>
      <c r="AQ795" s="236"/>
      <c r="AR795" s="236"/>
      <c r="AS795" s="236"/>
      <c r="AT795" s="236"/>
      <c r="AU795" s="236"/>
      <c r="AV795" s="236"/>
      <c r="AW795" s="236"/>
      <c r="AX795" s="236"/>
      <c r="AY795" s="236"/>
      <c r="AZ795" s="236"/>
      <c r="BA795" s="236"/>
      <c r="BB795" s="236"/>
      <c r="BC795" s="236"/>
      <c r="BD795" s="236"/>
      <c r="BE795" s="236"/>
      <c r="BF795" s="236"/>
      <c r="BG795" s="236"/>
      <c r="BH795" s="236"/>
    </row>
    <row r="796" spans="1:60" ht="13">
      <c r="A796" s="27"/>
      <c r="B796" s="27"/>
      <c r="C796" s="312"/>
      <c r="D796" s="231"/>
      <c r="E796" s="27"/>
      <c r="F796" s="27"/>
      <c r="G796" s="231"/>
      <c r="H796" s="27"/>
      <c r="I796" s="27"/>
      <c r="J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</row>
    <row r="797" spans="1:60" ht="13">
      <c r="A797" s="236"/>
      <c r="B797" s="236"/>
      <c r="C797" s="311"/>
      <c r="D797" s="237"/>
      <c r="E797" s="236"/>
      <c r="F797" s="236"/>
      <c r="G797" s="237"/>
      <c r="H797" s="236"/>
      <c r="I797" s="236"/>
      <c r="J797" s="236"/>
      <c r="N797" s="236"/>
      <c r="O797" s="236"/>
      <c r="P797" s="236"/>
      <c r="Q797" s="236"/>
      <c r="R797" s="236"/>
      <c r="S797" s="236"/>
      <c r="T797" s="236"/>
      <c r="U797" s="236"/>
      <c r="V797" s="236"/>
      <c r="W797" s="236"/>
      <c r="X797" s="236"/>
      <c r="Y797" s="236"/>
      <c r="Z797" s="236"/>
      <c r="AA797" s="236"/>
      <c r="AB797" s="236"/>
      <c r="AC797" s="236"/>
      <c r="AD797" s="236"/>
      <c r="AE797" s="236"/>
      <c r="AF797" s="236"/>
      <c r="AG797" s="236"/>
      <c r="AH797" s="236"/>
      <c r="AI797" s="236"/>
      <c r="AJ797" s="236"/>
      <c r="AK797" s="236"/>
      <c r="AL797" s="236"/>
      <c r="AM797" s="236"/>
      <c r="AN797" s="236"/>
      <c r="AO797" s="236"/>
      <c r="AP797" s="236"/>
      <c r="AQ797" s="236"/>
      <c r="AR797" s="236"/>
      <c r="AS797" s="236"/>
      <c r="AT797" s="236"/>
      <c r="AU797" s="236"/>
      <c r="AV797" s="236"/>
      <c r="AW797" s="236"/>
      <c r="AX797" s="236"/>
      <c r="AY797" s="236"/>
      <c r="AZ797" s="236"/>
      <c r="BA797" s="236"/>
      <c r="BB797" s="236"/>
      <c r="BC797" s="236"/>
      <c r="BD797" s="236"/>
      <c r="BE797" s="236"/>
      <c r="BF797" s="236"/>
      <c r="BG797" s="236"/>
      <c r="BH797" s="236"/>
    </row>
    <row r="798" spans="1:60" ht="13">
      <c r="A798" s="27"/>
      <c r="B798" s="27"/>
      <c r="C798" s="312"/>
      <c r="D798" s="231"/>
      <c r="E798" s="27"/>
      <c r="F798" s="27"/>
      <c r="G798" s="231"/>
      <c r="H798" s="27"/>
      <c r="I798" s="27"/>
      <c r="J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</row>
    <row r="799" spans="1:60" ht="13">
      <c r="A799" s="236"/>
      <c r="B799" s="236"/>
      <c r="C799" s="311"/>
      <c r="D799" s="237"/>
      <c r="E799" s="236"/>
      <c r="F799" s="236"/>
      <c r="G799" s="237"/>
      <c r="H799" s="236"/>
      <c r="I799" s="236"/>
      <c r="J799" s="236"/>
      <c r="N799" s="236"/>
      <c r="O799" s="236"/>
      <c r="P799" s="236"/>
      <c r="Q799" s="236"/>
      <c r="R799" s="236"/>
      <c r="S799" s="236"/>
      <c r="T799" s="236"/>
      <c r="U799" s="236"/>
      <c r="V799" s="236"/>
      <c r="W799" s="236"/>
      <c r="X799" s="236"/>
      <c r="Y799" s="236"/>
      <c r="Z799" s="236"/>
      <c r="AA799" s="236"/>
      <c r="AB799" s="236"/>
      <c r="AC799" s="236"/>
      <c r="AD799" s="236"/>
      <c r="AE799" s="236"/>
      <c r="AF799" s="236"/>
      <c r="AG799" s="236"/>
      <c r="AH799" s="236"/>
      <c r="AI799" s="236"/>
      <c r="AJ799" s="236"/>
      <c r="AK799" s="236"/>
      <c r="AL799" s="236"/>
      <c r="AM799" s="236"/>
      <c r="AN799" s="236"/>
      <c r="AO799" s="236"/>
      <c r="AP799" s="236"/>
      <c r="AQ799" s="236"/>
      <c r="AR799" s="236"/>
      <c r="AS799" s="236"/>
      <c r="AT799" s="236"/>
      <c r="AU799" s="236"/>
      <c r="AV799" s="236"/>
      <c r="AW799" s="236"/>
      <c r="AX799" s="236"/>
      <c r="AY799" s="236"/>
      <c r="AZ799" s="236"/>
      <c r="BA799" s="236"/>
      <c r="BB799" s="236"/>
      <c r="BC799" s="236"/>
      <c r="BD799" s="236"/>
      <c r="BE799" s="236"/>
      <c r="BF799" s="236"/>
      <c r="BG799" s="236"/>
      <c r="BH799" s="236"/>
    </row>
    <row r="800" spans="1:60" ht="13">
      <c r="A800" s="27"/>
      <c r="B800" s="27"/>
      <c r="C800" s="312"/>
      <c r="D800" s="231"/>
      <c r="E800" s="27"/>
      <c r="F800" s="27"/>
      <c r="G800" s="231"/>
      <c r="H800" s="27"/>
      <c r="I800" s="27"/>
      <c r="J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</row>
    <row r="801" spans="1:60" ht="13">
      <c r="A801" s="236"/>
      <c r="B801" s="236"/>
      <c r="C801" s="311"/>
      <c r="D801" s="237"/>
      <c r="E801" s="236"/>
      <c r="F801" s="236"/>
      <c r="G801" s="237"/>
      <c r="H801" s="236"/>
      <c r="I801" s="236"/>
      <c r="J801" s="236"/>
      <c r="N801" s="236"/>
      <c r="O801" s="236"/>
      <c r="P801" s="236"/>
      <c r="Q801" s="236"/>
      <c r="R801" s="236"/>
      <c r="S801" s="236"/>
      <c r="T801" s="236"/>
      <c r="U801" s="236"/>
      <c r="V801" s="236"/>
      <c r="W801" s="236"/>
      <c r="X801" s="236"/>
      <c r="Y801" s="236"/>
      <c r="Z801" s="236"/>
      <c r="AA801" s="236"/>
      <c r="AB801" s="236"/>
      <c r="AC801" s="236"/>
      <c r="AD801" s="236"/>
      <c r="AE801" s="236"/>
      <c r="AF801" s="236"/>
      <c r="AG801" s="236"/>
      <c r="AH801" s="236"/>
      <c r="AI801" s="236"/>
      <c r="AJ801" s="236"/>
      <c r="AK801" s="236"/>
      <c r="AL801" s="236"/>
      <c r="AM801" s="236"/>
      <c r="AN801" s="236"/>
      <c r="AO801" s="236"/>
      <c r="AP801" s="236"/>
      <c r="AQ801" s="236"/>
      <c r="AR801" s="236"/>
      <c r="AS801" s="236"/>
      <c r="AT801" s="236"/>
      <c r="AU801" s="236"/>
      <c r="AV801" s="236"/>
      <c r="AW801" s="236"/>
      <c r="AX801" s="236"/>
      <c r="AY801" s="236"/>
      <c r="AZ801" s="236"/>
      <c r="BA801" s="236"/>
      <c r="BB801" s="236"/>
      <c r="BC801" s="236"/>
      <c r="BD801" s="236"/>
      <c r="BE801" s="236"/>
      <c r="BF801" s="236"/>
      <c r="BG801" s="236"/>
      <c r="BH801" s="236"/>
    </row>
    <row r="802" spans="1:60" ht="13">
      <c r="A802" s="27"/>
      <c r="B802" s="27"/>
      <c r="C802" s="312"/>
      <c r="D802" s="231"/>
      <c r="E802" s="27"/>
      <c r="F802" s="27"/>
      <c r="G802" s="231"/>
      <c r="H802" s="27"/>
      <c r="I802" s="27"/>
      <c r="J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</row>
    <row r="803" spans="1:60" ht="13">
      <c r="A803" s="236"/>
      <c r="B803" s="236"/>
      <c r="C803" s="311"/>
      <c r="D803" s="237"/>
      <c r="E803" s="236"/>
      <c r="F803" s="236"/>
      <c r="G803" s="237"/>
      <c r="H803" s="236"/>
      <c r="I803" s="236"/>
      <c r="J803" s="236"/>
      <c r="N803" s="236"/>
      <c r="O803" s="236"/>
      <c r="P803" s="236"/>
      <c r="Q803" s="236"/>
      <c r="R803" s="236"/>
      <c r="S803" s="236"/>
      <c r="T803" s="236"/>
      <c r="U803" s="236"/>
      <c r="V803" s="236"/>
      <c r="W803" s="236"/>
      <c r="X803" s="236"/>
      <c r="Y803" s="236"/>
      <c r="Z803" s="236"/>
      <c r="AA803" s="236"/>
      <c r="AB803" s="236"/>
      <c r="AC803" s="236"/>
      <c r="AD803" s="236"/>
      <c r="AE803" s="236"/>
      <c r="AF803" s="236"/>
      <c r="AG803" s="236"/>
      <c r="AH803" s="236"/>
      <c r="AI803" s="236"/>
      <c r="AJ803" s="236"/>
      <c r="AK803" s="236"/>
      <c r="AL803" s="236"/>
      <c r="AM803" s="236"/>
      <c r="AN803" s="236"/>
      <c r="AO803" s="236"/>
      <c r="AP803" s="236"/>
      <c r="AQ803" s="236"/>
      <c r="AR803" s="236"/>
      <c r="AS803" s="236"/>
      <c r="AT803" s="236"/>
      <c r="AU803" s="236"/>
      <c r="AV803" s="236"/>
      <c r="AW803" s="236"/>
      <c r="AX803" s="236"/>
      <c r="AY803" s="236"/>
      <c r="AZ803" s="236"/>
      <c r="BA803" s="236"/>
      <c r="BB803" s="236"/>
      <c r="BC803" s="236"/>
      <c r="BD803" s="236"/>
      <c r="BE803" s="236"/>
      <c r="BF803" s="236"/>
      <c r="BG803" s="236"/>
      <c r="BH803" s="236"/>
    </row>
    <row r="804" spans="1:60" ht="13">
      <c r="A804" s="27"/>
      <c r="B804" s="27"/>
      <c r="C804" s="312"/>
      <c r="D804" s="231"/>
      <c r="E804" s="27"/>
      <c r="F804" s="27"/>
      <c r="G804" s="231"/>
      <c r="H804" s="27"/>
      <c r="I804" s="27"/>
      <c r="J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</row>
    <row r="805" spans="1:60" ht="13">
      <c r="A805" s="236"/>
      <c r="B805" s="236"/>
      <c r="C805" s="311"/>
      <c r="D805" s="237"/>
      <c r="E805" s="236"/>
      <c r="F805" s="236"/>
      <c r="G805" s="237"/>
      <c r="H805" s="236"/>
      <c r="I805" s="236"/>
      <c r="J805" s="236"/>
      <c r="N805" s="236"/>
      <c r="O805" s="236"/>
      <c r="P805" s="236"/>
      <c r="Q805" s="236"/>
      <c r="R805" s="236"/>
      <c r="S805" s="236"/>
      <c r="T805" s="236"/>
      <c r="U805" s="236"/>
      <c r="V805" s="236"/>
      <c r="W805" s="236"/>
      <c r="X805" s="236"/>
      <c r="Y805" s="236"/>
      <c r="Z805" s="236"/>
      <c r="AA805" s="236"/>
      <c r="AB805" s="236"/>
      <c r="AC805" s="236"/>
      <c r="AD805" s="236"/>
      <c r="AE805" s="236"/>
      <c r="AF805" s="236"/>
      <c r="AG805" s="236"/>
      <c r="AH805" s="236"/>
      <c r="AI805" s="236"/>
      <c r="AJ805" s="236"/>
      <c r="AK805" s="236"/>
      <c r="AL805" s="236"/>
      <c r="AM805" s="236"/>
      <c r="AN805" s="236"/>
      <c r="AO805" s="236"/>
      <c r="AP805" s="236"/>
      <c r="AQ805" s="236"/>
      <c r="AR805" s="236"/>
      <c r="AS805" s="236"/>
      <c r="AT805" s="236"/>
      <c r="AU805" s="236"/>
      <c r="AV805" s="236"/>
      <c r="AW805" s="236"/>
      <c r="AX805" s="236"/>
      <c r="AY805" s="236"/>
      <c r="AZ805" s="236"/>
      <c r="BA805" s="236"/>
      <c r="BB805" s="236"/>
      <c r="BC805" s="236"/>
      <c r="BD805" s="236"/>
      <c r="BE805" s="236"/>
      <c r="BF805" s="236"/>
      <c r="BG805" s="236"/>
      <c r="BH805" s="236"/>
    </row>
    <row r="806" spans="1:60" ht="13">
      <c r="A806" s="27"/>
      <c r="B806" s="27"/>
      <c r="C806" s="312"/>
      <c r="D806" s="231"/>
      <c r="E806" s="27"/>
      <c r="F806" s="27"/>
      <c r="G806" s="231"/>
      <c r="H806" s="27"/>
      <c r="I806" s="27"/>
      <c r="J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</row>
    <row r="807" spans="1:60" ht="13">
      <c r="A807" s="236"/>
      <c r="B807" s="236"/>
      <c r="C807" s="311"/>
      <c r="D807" s="237"/>
      <c r="E807" s="236"/>
      <c r="F807" s="236"/>
      <c r="G807" s="237"/>
      <c r="H807" s="236"/>
      <c r="I807" s="236"/>
      <c r="J807" s="236"/>
      <c r="N807" s="236"/>
      <c r="O807" s="236"/>
      <c r="P807" s="236"/>
      <c r="Q807" s="236"/>
      <c r="R807" s="236"/>
      <c r="S807" s="236"/>
      <c r="T807" s="236"/>
      <c r="U807" s="236"/>
      <c r="V807" s="236"/>
      <c r="W807" s="236"/>
      <c r="X807" s="236"/>
      <c r="Y807" s="236"/>
      <c r="Z807" s="236"/>
      <c r="AA807" s="236"/>
      <c r="AB807" s="236"/>
      <c r="AC807" s="236"/>
      <c r="AD807" s="236"/>
      <c r="AE807" s="236"/>
      <c r="AF807" s="236"/>
      <c r="AG807" s="236"/>
      <c r="AH807" s="236"/>
      <c r="AI807" s="236"/>
      <c r="AJ807" s="236"/>
      <c r="AK807" s="236"/>
      <c r="AL807" s="236"/>
      <c r="AM807" s="236"/>
      <c r="AN807" s="236"/>
      <c r="AO807" s="236"/>
      <c r="AP807" s="236"/>
      <c r="AQ807" s="236"/>
      <c r="AR807" s="236"/>
      <c r="AS807" s="236"/>
      <c r="AT807" s="236"/>
      <c r="AU807" s="236"/>
      <c r="AV807" s="236"/>
      <c r="AW807" s="236"/>
      <c r="AX807" s="236"/>
      <c r="AY807" s="236"/>
      <c r="AZ807" s="236"/>
      <c r="BA807" s="236"/>
      <c r="BB807" s="236"/>
      <c r="BC807" s="236"/>
      <c r="BD807" s="236"/>
      <c r="BE807" s="236"/>
      <c r="BF807" s="236"/>
      <c r="BG807" s="236"/>
      <c r="BH807" s="236"/>
    </row>
    <row r="808" spans="1:60" ht="13">
      <c r="A808" s="27"/>
      <c r="B808" s="27"/>
      <c r="C808" s="312"/>
      <c r="D808" s="231"/>
      <c r="E808" s="27"/>
      <c r="F808" s="27"/>
      <c r="G808" s="231"/>
      <c r="H808" s="27"/>
      <c r="I808" s="27"/>
      <c r="J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</row>
    <row r="809" spans="1:60" ht="13">
      <c r="A809" s="236"/>
      <c r="B809" s="236"/>
      <c r="C809" s="311"/>
      <c r="D809" s="237"/>
      <c r="E809" s="236"/>
      <c r="F809" s="236"/>
      <c r="G809" s="237"/>
      <c r="H809" s="236"/>
      <c r="I809" s="236"/>
      <c r="J809" s="236"/>
      <c r="N809" s="236"/>
      <c r="O809" s="236"/>
      <c r="P809" s="236"/>
      <c r="Q809" s="236"/>
      <c r="R809" s="236"/>
      <c r="S809" s="236"/>
      <c r="T809" s="236"/>
      <c r="U809" s="236"/>
      <c r="V809" s="236"/>
      <c r="W809" s="236"/>
      <c r="X809" s="236"/>
      <c r="Y809" s="236"/>
      <c r="Z809" s="236"/>
      <c r="AA809" s="236"/>
      <c r="AB809" s="236"/>
      <c r="AC809" s="236"/>
      <c r="AD809" s="236"/>
      <c r="AE809" s="236"/>
      <c r="AF809" s="236"/>
      <c r="AG809" s="236"/>
      <c r="AH809" s="236"/>
      <c r="AI809" s="236"/>
      <c r="AJ809" s="236"/>
      <c r="AK809" s="236"/>
      <c r="AL809" s="236"/>
      <c r="AM809" s="236"/>
      <c r="AN809" s="236"/>
      <c r="AO809" s="236"/>
      <c r="AP809" s="236"/>
      <c r="AQ809" s="236"/>
      <c r="AR809" s="236"/>
      <c r="AS809" s="236"/>
      <c r="AT809" s="236"/>
      <c r="AU809" s="236"/>
      <c r="AV809" s="236"/>
      <c r="AW809" s="236"/>
      <c r="AX809" s="236"/>
      <c r="AY809" s="236"/>
      <c r="AZ809" s="236"/>
      <c r="BA809" s="236"/>
      <c r="BB809" s="236"/>
      <c r="BC809" s="236"/>
      <c r="BD809" s="236"/>
      <c r="BE809" s="236"/>
      <c r="BF809" s="236"/>
      <c r="BG809" s="236"/>
      <c r="BH809" s="236"/>
    </row>
    <row r="810" spans="1:60" ht="13">
      <c r="A810" s="27"/>
      <c r="B810" s="27"/>
      <c r="C810" s="312"/>
      <c r="D810" s="231"/>
      <c r="E810" s="27"/>
      <c r="F810" s="27"/>
      <c r="G810" s="231"/>
      <c r="H810" s="27"/>
      <c r="I810" s="27"/>
      <c r="J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</row>
    <row r="811" spans="1:60" ht="13">
      <c r="A811" s="236"/>
      <c r="B811" s="236"/>
      <c r="C811" s="311"/>
      <c r="D811" s="237"/>
      <c r="E811" s="236"/>
      <c r="F811" s="236"/>
      <c r="G811" s="237"/>
      <c r="H811" s="236"/>
      <c r="I811" s="236"/>
      <c r="J811" s="236"/>
      <c r="N811" s="236"/>
      <c r="O811" s="236"/>
      <c r="P811" s="236"/>
      <c r="Q811" s="236"/>
      <c r="R811" s="236"/>
      <c r="S811" s="236"/>
      <c r="T811" s="236"/>
      <c r="U811" s="236"/>
      <c r="V811" s="236"/>
      <c r="W811" s="236"/>
      <c r="X811" s="236"/>
      <c r="Y811" s="236"/>
      <c r="Z811" s="236"/>
      <c r="AA811" s="236"/>
      <c r="AB811" s="236"/>
      <c r="AC811" s="236"/>
      <c r="AD811" s="236"/>
      <c r="AE811" s="236"/>
      <c r="AF811" s="236"/>
      <c r="AG811" s="236"/>
      <c r="AH811" s="236"/>
      <c r="AI811" s="236"/>
      <c r="AJ811" s="236"/>
      <c r="AK811" s="236"/>
      <c r="AL811" s="236"/>
      <c r="AM811" s="236"/>
      <c r="AN811" s="236"/>
      <c r="AO811" s="236"/>
      <c r="AP811" s="236"/>
      <c r="AQ811" s="236"/>
      <c r="AR811" s="236"/>
      <c r="AS811" s="236"/>
      <c r="AT811" s="236"/>
      <c r="AU811" s="236"/>
      <c r="AV811" s="236"/>
      <c r="AW811" s="236"/>
      <c r="AX811" s="236"/>
      <c r="AY811" s="236"/>
      <c r="AZ811" s="236"/>
      <c r="BA811" s="236"/>
      <c r="BB811" s="236"/>
      <c r="BC811" s="236"/>
      <c r="BD811" s="236"/>
      <c r="BE811" s="236"/>
      <c r="BF811" s="236"/>
      <c r="BG811" s="236"/>
      <c r="BH811" s="236"/>
    </row>
    <row r="812" spans="1:60" ht="13">
      <c r="A812" s="27"/>
      <c r="B812" s="27"/>
      <c r="C812" s="312"/>
      <c r="D812" s="231"/>
      <c r="E812" s="27"/>
      <c r="F812" s="27"/>
      <c r="G812" s="231"/>
      <c r="H812" s="27"/>
      <c r="I812" s="27"/>
      <c r="J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</row>
    <row r="813" spans="1:60" ht="13">
      <c r="A813" s="236"/>
      <c r="B813" s="236"/>
      <c r="C813" s="311"/>
      <c r="D813" s="237"/>
      <c r="E813" s="236"/>
      <c r="F813" s="236"/>
      <c r="G813" s="237"/>
      <c r="H813" s="236"/>
      <c r="I813" s="236"/>
      <c r="J813" s="236"/>
      <c r="N813" s="236"/>
      <c r="O813" s="236"/>
      <c r="P813" s="236"/>
      <c r="Q813" s="236"/>
      <c r="R813" s="236"/>
      <c r="S813" s="236"/>
      <c r="T813" s="236"/>
      <c r="U813" s="236"/>
      <c r="V813" s="236"/>
      <c r="W813" s="236"/>
      <c r="X813" s="236"/>
      <c r="Y813" s="236"/>
      <c r="Z813" s="236"/>
      <c r="AA813" s="236"/>
      <c r="AB813" s="236"/>
      <c r="AC813" s="236"/>
      <c r="AD813" s="236"/>
      <c r="AE813" s="236"/>
      <c r="AF813" s="236"/>
      <c r="AG813" s="236"/>
      <c r="AH813" s="236"/>
      <c r="AI813" s="236"/>
      <c r="AJ813" s="236"/>
      <c r="AK813" s="236"/>
      <c r="AL813" s="236"/>
      <c r="AM813" s="236"/>
      <c r="AN813" s="236"/>
      <c r="AO813" s="236"/>
      <c r="AP813" s="236"/>
      <c r="AQ813" s="236"/>
      <c r="AR813" s="236"/>
      <c r="AS813" s="236"/>
      <c r="AT813" s="236"/>
      <c r="AU813" s="236"/>
      <c r="AV813" s="236"/>
      <c r="AW813" s="236"/>
      <c r="AX813" s="236"/>
      <c r="AY813" s="236"/>
      <c r="AZ813" s="236"/>
      <c r="BA813" s="236"/>
      <c r="BB813" s="236"/>
      <c r="BC813" s="236"/>
      <c r="BD813" s="236"/>
      <c r="BE813" s="236"/>
      <c r="BF813" s="236"/>
      <c r="BG813" s="236"/>
      <c r="BH813" s="236"/>
    </row>
    <row r="814" spans="1:60" ht="13">
      <c r="A814" s="27"/>
      <c r="B814" s="27"/>
      <c r="C814" s="312"/>
      <c r="D814" s="231"/>
      <c r="E814" s="27"/>
      <c r="F814" s="27"/>
      <c r="G814" s="231"/>
      <c r="H814" s="27"/>
      <c r="I814" s="27"/>
      <c r="J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</row>
    <row r="815" spans="1:60" ht="13">
      <c r="A815" s="236"/>
      <c r="B815" s="236"/>
      <c r="C815" s="311"/>
      <c r="D815" s="237"/>
      <c r="E815" s="236"/>
      <c r="F815" s="236"/>
      <c r="G815" s="237"/>
      <c r="H815" s="236"/>
      <c r="I815" s="236"/>
      <c r="J815" s="236"/>
      <c r="N815" s="236"/>
      <c r="O815" s="236"/>
      <c r="P815" s="236"/>
      <c r="Q815" s="236"/>
      <c r="R815" s="236"/>
      <c r="S815" s="236"/>
      <c r="T815" s="236"/>
      <c r="U815" s="236"/>
      <c r="V815" s="236"/>
      <c r="W815" s="236"/>
      <c r="X815" s="236"/>
      <c r="Y815" s="236"/>
      <c r="Z815" s="236"/>
      <c r="AA815" s="236"/>
      <c r="AB815" s="236"/>
      <c r="AC815" s="236"/>
      <c r="AD815" s="236"/>
      <c r="AE815" s="236"/>
      <c r="AF815" s="236"/>
      <c r="AG815" s="236"/>
      <c r="AH815" s="236"/>
      <c r="AI815" s="236"/>
      <c r="AJ815" s="236"/>
      <c r="AK815" s="236"/>
      <c r="AL815" s="236"/>
      <c r="AM815" s="236"/>
      <c r="AN815" s="236"/>
      <c r="AO815" s="236"/>
      <c r="AP815" s="236"/>
      <c r="AQ815" s="236"/>
      <c r="AR815" s="236"/>
      <c r="AS815" s="236"/>
      <c r="AT815" s="236"/>
      <c r="AU815" s="236"/>
      <c r="AV815" s="236"/>
      <c r="AW815" s="236"/>
      <c r="AX815" s="236"/>
      <c r="AY815" s="236"/>
      <c r="AZ815" s="236"/>
      <c r="BA815" s="236"/>
      <c r="BB815" s="236"/>
      <c r="BC815" s="236"/>
      <c r="BD815" s="236"/>
      <c r="BE815" s="236"/>
      <c r="BF815" s="236"/>
      <c r="BG815" s="236"/>
      <c r="BH815" s="236"/>
    </row>
    <row r="816" spans="1:60" ht="13">
      <c r="A816" s="27"/>
      <c r="B816" s="27"/>
      <c r="C816" s="312"/>
      <c r="D816" s="231"/>
      <c r="E816" s="27"/>
      <c r="F816" s="27"/>
      <c r="G816" s="231"/>
      <c r="H816" s="27"/>
      <c r="I816" s="27"/>
      <c r="J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</row>
    <row r="817" spans="1:60" ht="13">
      <c r="A817" s="236"/>
      <c r="B817" s="236"/>
      <c r="C817" s="311"/>
      <c r="D817" s="237"/>
      <c r="E817" s="236"/>
      <c r="F817" s="236"/>
      <c r="G817" s="237"/>
      <c r="H817" s="236"/>
      <c r="I817" s="236"/>
      <c r="J817" s="236"/>
      <c r="N817" s="236"/>
      <c r="O817" s="236"/>
      <c r="P817" s="236"/>
      <c r="Q817" s="236"/>
      <c r="R817" s="236"/>
      <c r="S817" s="236"/>
      <c r="T817" s="236"/>
      <c r="U817" s="236"/>
      <c r="V817" s="236"/>
      <c r="W817" s="236"/>
      <c r="X817" s="236"/>
      <c r="Y817" s="236"/>
      <c r="Z817" s="236"/>
      <c r="AA817" s="236"/>
      <c r="AB817" s="236"/>
      <c r="AC817" s="236"/>
      <c r="AD817" s="236"/>
      <c r="AE817" s="236"/>
      <c r="AF817" s="236"/>
      <c r="AG817" s="236"/>
      <c r="AH817" s="236"/>
      <c r="AI817" s="236"/>
      <c r="AJ817" s="236"/>
      <c r="AK817" s="236"/>
      <c r="AL817" s="236"/>
      <c r="AM817" s="236"/>
      <c r="AN817" s="236"/>
      <c r="AO817" s="236"/>
      <c r="AP817" s="236"/>
      <c r="AQ817" s="236"/>
      <c r="AR817" s="236"/>
      <c r="AS817" s="236"/>
      <c r="AT817" s="236"/>
      <c r="AU817" s="236"/>
      <c r="AV817" s="236"/>
      <c r="AW817" s="236"/>
      <c r="AX817" s="236"/>
      <c r="AY817" s="236"/>
      <c r="AZ817" s="236"/>
      <c r="BA817" s="236"/>
      <c r="BB817" s="236"/>
      <c r="BC817" s="236"/>
      <c r="BD817" s="236"/>
      <c r="BE817" s="236"/>
      <c r="BF817" s="236"/>
      <c r="BG817" s="236"/>
      <c r="BH817" s="236"/>
    </row>
    <row r="818" spans="1:60" ht="13">
      <c r="A818" s="27"/>
      <c r="B818" s="27"/>
      <c r="C818" s="312"/>
      <c r="D818" s="231"/>
      <c r="E818" s="27"/>
      <c r="F818" s="27"/>
      <c r="G818" s="231"/>
      <c r="H818" s="27"/>
      <c r="I818" s="27"/>
      <c r="J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</row>
    <row r="819" spans="1:60" ht="13">
      <c r="A819" s="236"/>
      <c r="B819" s="236"/>
      <c r="C819" s="311"/>
      <c r="D819" s="237"/>
      <c r="E819" s="236"/>
      <c r="F819" s="236"/>
      <c r="G819" s="237"/>
      <c r="H819" s="236"/>
      <c r="I819" s="236"/>
      <c r="J819" s="236"/>
      <c r="N819" s="236"/>
      <c r="O819" s="236"/>
      <c r="P819" s="236"/>
      <c r="Q819" s="236"/>
      <c r="R819" s="236"/>
      <c r="S819" s="236"/>
      <c r="T819" s="236"/>
      <c r="U819" s="236"/>
      <c r="V819" s="236"/>
      <c r="W819" s="236"/>
      <c r="X819" s="236"/>
      <c r="Y819" s="236"/>
      <c r="Z819" s="236"/>
      <c r="AA819" s="236"/>
      <c r="AB819" s="236"/>
      <c r="AC819" s="236"/>
      <c r="AD819" s="236"/>
      <c r="AE819" s="236"/>
      <c r="AF819" s="236"/>
      <c r="AG819" s="236"/>
      <c r="AH819" s="236"/>
      <c r="AI819" s="236"/>
      <c r="AJ819" s="236"/>
      <c r="AK819" s="236"/>
      <c r="AL819" s="236"/>
      <c r="AM819" s="236"/>
      <c r="AN819" s="236"/>
      <c r="AO819" s="236"/>
      <c r="AP819" s="236"/>
      <c r="AQ819" s="236"/>
      <c r="AR819" s="236"/>
      <c r="AS819" s="236"/>
      <c r="AT819" s="236"/>
      <c r="AU819" s="236"/>
      <c r="AV819" s="236"/>
      <c r="AW819" s="236"/>
      <c r="AX819" s="236"/>
      <c r="AY819" s="236"/>
      <c r="AZ819" s="236"/>
      <c r="BA819" s="236"/>
      <c r="BB819" s="236"/>
      <c r="BC819" s="236"/>
      <c r="BD819" s="236"/>
      <c r="BE819" s="236"/>
      <c r="BF819" s="236"/>
      <c r="BG819" s="236"/>
      <c r="BH819" s="236"/>
    </row>
    <row r="820" spans="1:60" ht="13">
      <c r="A820" s="27"/>
      <c r="B820" s="27"/>
      <c r="C820" s="312"/>
      <c r="D820" s="231"/>
      <c r="E820" s="27"/>
      <c r="F820" s="27"/>
      <c r="G820" s="231"/>
      <c r="H820" s="27"/>
      <c r="I820" s="27"/>
      <c r="J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</row>
    <row r="821" spans="1:60" ht="13">
      <c r="A821" s="236"/>
      <c r="B821" s="236"/>
      <c r="C821" s="311"/>
      <c r="D821" s="237"/>
      <c r="E821" s="236"/>
      <c r="F821" s="236"/>
      <c r="G821" s="237"/>
      <c r="H821" s="236"/>
      <c r="I821" s="236"/>
      <c r="J821" s="236"/>
      <c r="N821" s="236"/>
      <c r="O821" s="236"/>
      <c r="P821" s="236"/>
      <c r="Q821" s="236"/>
      <c r="R821" s="236"/>
      <c r="S821" s="236"/>
      <c r="T821" s="236"/>
      <c r="U821" s="236"/>
      <c r="V821" s="236"/>
      <c r="W821" s="236"/>
      <c r="X821" s="236"/>
      <c r="Y821" s="236"/>
      <c r="Z821" s="236"/>
      <c r="AA821" s="236"/>
      <c r="AB821" s="236"/>
      <c r="AC821" s="236"/>
      <c r="AD821" s="236"/>
      <c r="AE821" s="236"/>
      <c r="AF821" s="236"/>
      <c r="AG821" s="236"/>
      <c r="AH821" s="236"/>
      <c r="AI821" s="236"/>
      <c r="AJ821" s="236"/>
      <c r="AK821" s="236"/>
      <c r="AL821" s="236"/>
      <c r="AM821" s="236"/>
      <c r="AN821" s="236"/>
      <c r="AO821" s="236"/>
      <c r="AP821" s="236"/>
      <c r="AQ821" s="236"/>
      <c r="AR821" s="236"/>
      <c r="AS821" s="236"/>
      <c r="AT821" s="236"/>
      <c r="AU821" s="236"/>
      <c r="AV821" s="236"/>
      <c r="AW821" s="236"/>
      <c r="AX821" s="236"/>
      <c r="AY821" s="236"/>
      <c r="AZ821" s="236"/>
      <c r="BA821" s="236"/>
      <c r="BB821" s="236"/>
      <c r="BC821" s="236"/>
      <c r="BD821" s="236"/>
      <c r="BE821" s="236"/>
      <c r="BF821" s="236"/>
      <c r="BG821" s="236"/>
      <c r="BH821" s="236"/>
    </row>
    <row r="822" spans="1:60" ht="13">
      <c r="A822" s="27"/>
      <c r="B822" s="27"/>
      <c r="C822" s="312"/>
      <c r="D822" s="231"/>
      <c r="E822" s="27"/>
      <c r="F822" s="27"/>
      <c r="G822" s="231"/>
      <c r="H822" s="27"/>
      <c r="I822" s="27"/>
      <c r="J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</row>
    <row r="823" spans="1:60" ht="13">
      <c r="A823" s="236"/>
      <c r="B823" s="236"/>
      <c r="C823" s="311"/>
      <c r="D823" s="237"/>
      <c r="E823" s="236"/>
      <c r="F823" s="236"/>
      <c r="G823" s="237"/>
      <c r="H823" s="236"/>
      <c r="I823" s="236"/>
      <c r="J823" s="236"/>
      <c r="N823" s="236"/>
      <c r="O823" s="236"/>
      <c r="P823" s="236"/>
      <c r="Q823" s="236"/>
      <c r="R823" s="236"/>
      <c r="S823" s="236"/>
      <c r="T823" s="236"/>
      <c r="U823" s="236"/>
      <c r="V823" s="236"/>
      <c r="W823" s="236"/>
      <c r="X823" s="236"/>
      <c r="Y823" s="236"/>
      <c r="Z823" s="236"/>
      <c r="AA823" s="236"/>
      <c r="AB823" s="236"/>
      <c r="AC823" s="236"/>
      <c r="AD823" s="236"/>
      <c r="AE823" s="236"/>
      <c r="AF823" s="236"/>
      <c r="AG823" s="236"/>
      <c r="AH823" s="236"/>
      <c r="AI823" s="236"/>
      <c r="AJ823" s="236"/>
      <c r="AK823" s="236"/>
      <c r="AL823" s="236"/>
      <c r="AM823" s="236"/>
      <c r="AN823" s="236"/>
      <c r="AO823" s="236"/>
      <c r="AP823" s="236"/>
      <c r="AQ823" s="236"/>
      <c r="AR823" s="236"/>
      <c r="AS823" s="236"/>
      <c r="AT823" s="236"/>
      <c r="AU823" s="236"/>
      <c r="AV823" s="236"/>
      <c r="AW823" s="236"/>
      <c r="AX823" s="236"/>
      <c r="AY823" s="236"/>
      <c r="AZ823" s="236"/>
      <c r="BA823" s="236"/>
      <c r="BB823" s="236"/>
      <c r="BC823" s="236"/>
      <c r="BD823" s="236"/>
      <c r="BE823" s="236"/>
      <c r="BF823" s="236"/>
      <c r="BG823" s="236"/>
      <c r="BH823" s="236"/>
    </row>
    <row r="824" spans="1:60" ht="13">
      <c r="A824" s="27"/>
      <c r="B824" s="27"/>
      <c r="C824" s="312"/>
      <c r="D824" s="231"/>
      <c r="E824" s="27"/>
      <c r="F824" s="27"/>
      <c r="G824" s="231"/>
      <c r="H824" s="27"/>
      <c r="I824" s="27"/>
      <c r="J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</row>
    <row r="825" spans="1:60" ht="13">
      <c r="A825" s="236"/>
      <c r="B825" s="236"/>
      <c r="C825" s="311"/>
      <c r="D825" s="237"/>
      <c r="E825" s="236"/>
      <c r="F825" s="236"/>
      <c r="G825" s="237"/>
      <c r="H825" s="236"/>
      <c r="I825" s="236"/>
      <c r="J825" s="236"/>
      <c r="N825" s="236"/>
      <c r="O825" s="236"/>
      <c r="P825" s="236"/>
      <c r="Q825" s="236"/>
      <c r="R825" s="236"/>
      <c r="S825" s="236"/>
      <c r="T825" s="236"/>
      <c r="U825" s="236"/>
      <c r="V825" s="236"/>
      <c r="W825" s="236"/>
      <c r="X825" s="236"/>
      <c r="Y825" s="236"/>
      <c r="Z825" s="236"/>
      <c r="AA825" s="236"/>
      <c r="AB825" s="236"/>
      <c r="AC825" s="236"/>
      <c r="AD825" s="236"/>
      <c r="AE825" s="236"/>
      <c r="AF825" s="236"/>
      <c r="AG825" s="236"/>
      <c r="AH825" s="236"/>
      <c r="AI825" s="236"/>
      <c r="AJ825" s="236"/>
      <c r="AK825" s="236"/>
      <c r="AL825" s="236"/>
      <c r="AM825" s="236"/>
      <c r="AN825" s="236"/>
      <c r="AO825" s="236"/>
      <c r="AP825" s="236"/>
      <c r="AQ825" s="236"/>
      <c r="AR825" s="236"/>
      <c r="AS825" s="236"/>
      <c r="AT825" s="236"/>
      <c r="AU825" s="236"/>
      <c r="AV825" s="236"/>
      <c r="AW825" s="236"/>
      <c r="AX825" s="236"/>
      <c r="AY825" s="236"/>
      <c r="AZ825" s="236"/>
      <c r="BA825" s="236"/>
      <c r="BB825" s="236"/>
      <c r="BC825" s="236"/>
      <c r="BD825" s="236"/>
      <c r="BE825" s="236"/>
      <c r="BF825" s="236"/>
      <c r="BG825" s="236"/>
      <c r="BH825" s="236"/>
    </row>
    <row r="826" spans="1:60" ht="13">
      <c r="A826" s="27"/>
      <c r="B826" s="27"/>
      <c r="C826" s="312"/>
      <c r="D826" s="231"/>
      <c r="E826" s="27"/>
      <c r="F826" s="27"/>
      <c r="G826" s="231"/>
      <c r="H826" s="27"/>
      <c r="I826" s="27"/>
      <c r="J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</row>
    <row r="827" spans="1:60" ht="13">
      <c r="A827" s="236"/>
      <c r="B827" s="236"/>
      <c r="C827" s="311"/>
      <c r="D827" s="237"/>
      <c r="E827" s="236"/>
      <c r="F827" s="236"/>
      <c r="G827" s="237"/>
      <c r="H827" s="236"/>
      <c r="I827" s="236"/>
      <c r="J827" s="236"/>
      <c r="N827" s="236"/>
      <c r="O827" s="236"/>
      <c r="P827" s="236"/>
      <c r="Q827" s="236"/>
      <c r="R827" s="236"/>
      <c r="S827" s="236"/>
      <c r="T827" s="236"/>
      <c r="U827" s="236"/>
      <c r="V827" s="236"/>
      <c r="W827" s="236"/>
      <c r="X827" s="236"/>
      <c r="Y827" s="236"/>
      <c r="Z827" s="236"/>
      <c r="AA827" s="236"/>
      <c r="AB827" s="236"/>
      <c r="AC827" s="236"/>
      <c r="AD827" s="236"/>
      <c r="AE827" s="236"/>
      <c r="AF827" s="236"/>
      <c r="AG827" s="236"/>
      <c r="AH827" s="236"/>
      <c r="AI827" s="236"/>
      <c r="AJ827" s="236"/>
      <c r="AK827" s="236"/>
      <c r="AL827" s="236"/>
      <c r="AM827" s="236"/>
      <c r="AN827" s="236"/>
      <c r="AO827" s="236"/>
      <c r="AP827" s="236"/>
      <c r="AQ827" s="236"/>
      <c r="AR827" s="236"/>
      <c r="AS827" s="236"/>
      <c r="AT827" s="236"/>
      <c r="AU827" s="236"/>
      <c r="AV827" s="236"/>
      <c r="AW827" s="236"/>
      <c r="AX827" s="236"/>
      <c r="AY827" s="236"/>
      <c r="AZ827" s="236"/>
      <c r="BA827" s="236"/>
      <c r="BB827" s="236"/>
      <c r="BC827" s="236"/>
      <c r="BD827" s="236"/>
      <c r="BE827" s="236"/>
      <c r="BF827" s="236"/>
      <c r="BG827" s="236"/>
      <c r="BH827" s="236"/>
    </row>
    <row r="828" spans="1:60" ht="13">
      <c r="A828" s="27"/>
      <c r="B828" s="27"/>
      <c r="C828" s="312"/>
      <c r="D828" s="231"/>
      <c r="E828" s="27"/>
      <c r="F828" s="27"/>
      <c r="G828" s="231"/>
      <c r="H828" s="27"/>
      <c r="I828" s="27"/>
      <c r="J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</row>
    <row r="829" spans="1:60" ht="13">
      <c r="A829" s="236"/>
      <c r="B829" s="236"/>
      <c r="C829" s="311"/>
      <c r="D829" s="237"/>
      <c r="E829" s="236"/>
      <c r="F829" s="236"/>
      <c r="G829" s="237"/>
      <c r="H829" s="236"/>
      <c r="I829" s="236"/>
      <c r="J829" s="236"/>
      <c r="N829" s="236"/>
      <c r="O829" s="236"/>
      <c r="P829" s="236"/>
      <c r="Q829" s="236"/>
      <c r="R829" s="236"/>
      <c r="S829" s="236"/>
      <c r="T829" s="236"/>
      <c r="U829" s="236"/>
      <c r="V829" s="236"/>
      <c r="W829" s="236"/>
      <c r="X829" s="236"/>
      <c r="Y829" s="236"/>
      <c r="Z829" s="236"/>
      <c r="AA829" s="236"/>
      <c r="AB829" s="236"/>
      <c r="AC829" s="236"/>
      <c r="AD829" s="236"/>
      <c r="AE829" s="236"/>
      <c r="AF829" s="236"/>
      <c r="AG829" s="236"/>
      <c r="AH829" s="236"/>
      <c r="AI829" s="236"/>
      <c r="AJ829" s="236"/>
      <c r="AK829" s="236"/>
      <c r="AL829" s="236"/>
      <c r="AM829" s="236"/>
      <c r="AN829" s="236"/>
      <c r="AO829" s="236"/>
      <c r="AP829" s="236"/>
      <c r="AQ829" s="236"/>
      <c r="AR829" s="236"/>
      <c r="AS829" s="236"/>
      <c r="AT829" s="236"/>
      <c r="AU829" s="236"/>
      <c r="AV829" s="236"/>
      <c r="AW829" s="236"/>
      <c r="AX829" s="236"/>
      <c r="AY829" s="236"/>
      <c r="AZ829" s="236"/>
      <c r="BA829" s="236"/>
      <c r="BB829" s="236"/>
      <c r="BC829" s="236"/>
      <c r="BD829" s="236"/>
      <c r="BE829" s="236"/>
      <c r="BF829" s="236"/>
      <c r="BG829" s="236"/>
      <c r="BH829" s="236"/>
    </row>
    <row r="830" spans="1:60" ht="13">
      <c r="A830" s="27"/>
      <c r="B830" s="27"/>
      <c r="C830" s="312"/>
      <c r="D830" s="231"/>
      <c r="E830" s="27"/>
      <c r="F830" s="27"/>
      <c r="G830" s="231"/>
      <c r="H830" s="27"/>
      <c r="I830" s="27"/>
      <c r="J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</row>
    <row r="831" spans="1:60" ht="13">
      <c r="A831" s="236"/>
      <c r="B831" s="236"/>
      <c r="C831" s="311"/>
      <c r="D831" s="237"/>
      <c r="E831" s="236"/>
      <c r="F831" s="236"/>
      <c r="G831" s="237"/>
      <c r="H831" s="236"/>
      <c r="I831" s="236"/>
      <c r="J831" s="236"/>
      <c r="N831" s="236"/>
      <c r="O831" s="236"/>
      <c r="P831" s="236"/>
      <c r="Q831" s="236"/>
      <c r="R831" s="236"/>
      <c r="S831" s="236"/>
      <c r="T831" s="236"/>
      <c r="U831" s="236"/>
      <c r="V831" s="236"/>
      <c r="W831" s="236"/>
      <c r="X831" s="236"/>
      <c r="Y831" s="236"/>
      <c r="Z831" s="236"/>
      <c r="AA831" s="236"/>
      <c r="AB831" s="236"/>
      <c r="AC831" s="236"/>
      <c r="AD831" s="236"/>
      <c r="AE831" s="236"/>
      <c r="AF831" s="236"/>
      <c r="AG831" s="236"/>
      <c r="AH831" s="236"/>
      <c r="AI831" s="236"/>
      <c r="AJ831" s="236"/>
      <c r="AK831" s="236"/>
      <c r="AL831" s="236"/>
      <c r="AM831" s="236"/>
      <c r="AN831" s="236"/>
      <c r="AO831" s="236"/>
      <c r="AP831" s="236"/>
      <c r="AQ831" s="236"/>
      <c r="AR831" s="236"/>
      <c r="AS831" s="236"/>
      <c r="AT831" s="236"/>
      <c r="AU831" s="236"/>
      <c r="AV831" s="236"/>
      <c r="AW831" s="236"/>
      <c r="AX831" s="236"/>
      <c r="AY831" s="236"/>
      <c r="AZ831" s="236"/>
      <c r="BA831" s="236"/>
      <c r="BB831" s="236"/>
      <c r="BC831" s="236"/>
      <c r="BD831" s="236"/>
      <c r="BE831" s="236"/>
      <c r="BF831" s="236"/>
      <c r="BG831" s="236"/>
      <c r="BH831" s="236"/>
    </row>
    <row r="832" spans="1:60" ht="13">
      <c r="A832" s="27"/>
      <c r="B832" s="27"/>
      <c r="C832" s="312"/>
      <c r="D832" s="231"/>
      <c r="E832" s="27"/>
      <c r="F832" s="27"/>
      <c r="G832" s="231"/>
      <c r="H832" s="27"/>
      <c r="I832" s="27"/>
      <c r="J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</row>
    <row r="833" spans="1:60" ht="13">
      <c r="A833" s="236"/>
      <c r="B833" s="236"/>
      <c r="C833" s="311"/>
      <c r="D833" s="237"/>
      <c r="E833" s="236"/>
      <c r="F833" s="236"/>
      <c r="G833" s="237"/>
      <c r="H833" s="236"/>
      <c r="I833" s="236"/>
      <c r="J833" s="236"/>
      <c r="N833" s="236"/>
      <c r="O833" s="236"/>
      <c r="P833" s="236"/>
      <c r="Q833" s="236"/>
      <c r="R833" s="236"/>
      <c r="S833" s="236"/>
      <c r="T833" s="236"/>
      <c r="U833" s="236"/>
      <c r="V833" s="236"/>
      <c r="W833" s="236"/>
      <c r="X833" s="236"/>
      <c r="Y833" s="236"/>
      <c r="Z833" s="236"/>
      <c r="AA833" s="236"/>
      <c r="AB833" s="236"/>
      <c r="AC833" s="236"/>
      <c r="AD833" s="236"/>
      <c r="AE833" s="236"/>
      <c r="AF833" s="236"/>
      <c r="AG833" s="236"/>
      <c r="AH833" s="236"/>
      <c r="AI833" s="236"/>
      <c r="AJ833" s="236"/>
      <c r="AK833" s="236"/>
      <c r="AL833" s="236"/>
      <c r="AM833" s="236"/>
      <c r="AN833" s="236"/>
      <c r="AO833" s="236"/>
      <c r="AP833" s="236"/>
      <c r="AQ833" s="236"/>
      <c r="AR833" s="236"/>
      <c r="AS833" s="236"/>
      <c r="AT833" s="236"/>
      <c r="AU833" s="236"/>
      <c r="AV833" s="236"/>
      <c r="AW833" s="236"/>
      <c r="AX833" s="236"/>
      <c r="AY833" s="236"/>
      <c r="AZ833" s="236"/>
      <c r="BA833" s="236"/>
      <c r="BB833" s="236"/>
      <c r="BC833" s="236"/>
      <c r="BD833" s="236"/>
      <c r="BE833" s="236"/>
      <c r="BF833" s="236"/>
      <c r="BG833" s="236"/>
      <c r="BH833" s="236"/>
    </row>
    <row r="834" spans="1:60" ht="13">
      <c r="A834" s="27"/>
      <c r="B834" s="27"/>
      <c r="C834" s="312"/>
      <c r="D834" s="231"/>
      <c r="E834" s="27"/>
      <c r="F834" s="27"/>
      <c r="G834" s="231"/>
      <c r="H834" s="27"/>
      <c r="I834" s="27"/>
      <c r="J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</row>
    <row r="835" spans="1:60" ht="13">
      <c r="A835" s="236"/>
      <c r="B835" s="236"/>
      <c r="C835" s="311"/>
      <c r="D835" s="237"/>
      <c r="E835" s="236"/>
      <c r="F835" s="236"/>
      <c r="G835" s="237"/>
      <c r="H835" s="236"/>
      <c r="I835" s="236"/>
      <c r="J835" s="236"/>
      <c r="N835" s="236"/>
      <c r="O835" s="236"/>
      <c r="P835" s="236"/>
      <c r="Q835" s="236"/>
      <c r="R835" s="236"/>
      <c r="S835" s="236"/>
      <c r="T835" s="236"/>
      <c r="U835" s="236"/>
      <c r="V835" s="236"/>
      <c r="W835" s="236"/>
      <c r="X835" s="236"/>
      <c r="Y835" s="236"/>
      <c r="Z835" s="236"/>
      <c r="AA835" s="236"/>
      <c r="AB835" s="236"/>
      <c r="AC835" s="236"/>
      <c r="AD835" s="236"/>
      <c r="AE835" s="236"/>
      <c r="AF835" s="236"/>
      <c r="AG835" s="236"/>
      <c r="AH835" s="236"/>
      <c r="AI835" s="236"/>
      <c r="AJ835" s="236"/>
      <c r="AK835" s="236"/>
      <c r="AL835" s="236"/>
      <c r="AM835" s="236"/>
      <c r="AN835" s="236"/>
      <c r="AO835" s="236"/>
      <c r="AP835" s="236"/>
      <c r="AQ835" s="236"/>
      <c r="AR835" s="236"/>
      <c r="AS835" s="236"/>
      <c r="AT835" s="236"/>
      <c r="AU835" s="236"/>
      <c r="AV835" s="236"/>
      <c r="AW835" s="236"/>
      <c r="AX835" s="236"/>
      <c r="AY835" s="236"/>
      <c r="AZ835" s="236"/>
      <c r="BA835" s="236"/>
      <c r="BB835" s="236"/>
      <c r="BC835" s="236"/>
      <c r="BD835" s="236"/>
      <c r="BE835" s="236"/>
      <c r="BF835" s="236"/>
      <c r="BG835" s="236"/>
      <c r="BH835" s="236"/>
    </row>
    <row r="836" spans="1:60" ht="13">
      <c r="A836" s="27"/>
      <c r="B836" s="27"/>
      <c r="C836" s="312"/>
      <c r="D836" s="231"/>
      <c r="E836" s="27"/>
      <c r="F836" s="27"/>
      <c r="G836" s="231"/>
      <c r="H836" s="27"/>
      <c r="I836" s="27"/>
      <c r="J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</row>
    <row r="837" spans="1:60" ht="13">
      <c r="A837" s="236"/>
      <c r="B837" s="236"/>
      <c r="C837" s="311"/>
      <c r="D837" s="237"/>
      <c r="E837" s="236"/>
      <c r="F837" s="236"/>
      <c r="G837" s="237"/>
      <c r="H837" s="236"/>
      <c r="I837" s="236"/>
      <c r="J837" s="236"/>
      <c r="N837" s="236"/>
      <c r="O837" s="236"/>
      <c r="P837" s="236"/>
      <c r="Q837" s="236"/>
      <c r="R837" s="236"/>
      <c r="S837" s="236"/>
      <c r="T837" s="236"/>
      <c r="U837" s="236"/>
      <c r="V837" s="236"/>
      <c r="W837" s="236"/>
      <c r="X837" s="236"/>
      <c r="Y837" s="236"/>
      <c r="Z837" s="236"/>
      <c r="AA837" s="236"/>
      <c r="AB837" s="236"/>
      <c r="AC837" s="236"/>
      <c r="AD837" s="236"/>
      <c r="AE837" s="236"/>
      <c r="AF837" s="236"/>
      <c r="AG837" s="236"/>
      <c r="AH837" s="236"/>
      <c r="AI837" s="236"/>
      <c r="AJ837" s="236"/>
      <c r="AK837" s="236"/>
      <c r="AL837" s="236"/>
      <c r="AM837" s="236"/>
      <c r="AN837" s="236"/>
      <c r="AO837" s="236"/>
      <c r="AP837" s="236"/>
      <c r="AQ837" s="236"/>
      <c r="AR837" s="236"/>
      <c r="AS837" s="236"/>
      <c r="AT837" s="236"/>
      <c r="AU837" s="236"/>
      <c r="AV837" s="236"/>
      <c r="AW837" s="236"/>
      <c r="AX837" s="236"/>
      <c r="AY837" s="236"/>
      <c r="AZ837" s="236"/>
      <c r="BA837" s="236"/>
      <c r="BB837" s="236"/>
      <c r="BC837" s="236"/>
      <c r="BD837" s="236"/>
      <c r="BE837" s="236"/>
      <c r="BF837" s="236"/>
      <c r="BG837" s="236"/>
      <c r="BH837" s="236"/>
    </row>
    <row r="838" spans="1:60" ht="13">
      <c r="A838" s="27"/>
      <c r="B838" s="27"/>
      <c r="C838" s="312"/>
      <c r="D838" s="231"/>
      <c r="E838" s="27"/>
      <c r="F838" s="27"/>
      <c r="G838" s="231"/>
      <c r="H838" s="27"/>
      <c r="I838" s="27"/>
      <c r="J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</row>
    <row r="839" spans="1:60" ht="13">
      <c r="A839" s="236"/>
      <c r="B839" s="236"/>
      <c r="C839" s="311"/>
      <c r="D839" s="237"/>
      <c r="E839" s="236"/>
      <c r="F839" s="236"/>
      <c r="G839" s="237"/>
      <c r="H839" s="236"/>
      <c r="I839" s="236"/>
      <c r="J839" s="236"/>
      <c r="N839" s="236"/>
      <c r="O839" s="236"/>
      <c r="P839" s="236"/>
      <c r="Q839" s="236"/>
      <c r="R839" s="236"/>
      <c r="S839" s="236"/>
      <c r="T839" s="236"/>
      <c r="U839" s="236"/>
      <c r="V839" s="236"/>
      <c r="W839" s="236"/>
      <c r="X839" s="236"/>
      <c r="Y839" s="236"/>
      <c r="Z839" s="236"/>
      <c r="AA839" s="236"/>
      <c r="AB839" s="236"/>
      <c r="AC839" s="236"/>
      <c r="AD839" s="236"/>
      <c r="AE839" s="236"/>
      <c r="AF839" s="236"/>
      <c r="AG839" s="236"/>
      <c r="AH839" s="236"/>
      <c r="AI839" s="236"/>
      <c r="AJ839" s="236"/>
      <c r="AK839" s="236"/>
      <c r="AL839" s="236"/>
      <c r="AM839" s="236"/>
      <c r="AN839" s="236"/>
      <c r="AO839" s="236"/>
      <c r="AP839" s="236"/>
      <c r="AQ839" s="236"/>
      <c r="AR839" s="236"/>
      <c r="AS839" s="236"/>
      <c r="AT839" s="236"/>
      <c r="AU839" s="236"/>
      <c r="AV839" s="236"/>
      <c r="AW839" s="236"/>
      <c r="AX839" s="236"/>
      <c r="AY839" s="236"/>
      <c r="AZ839" s="236"/>
      <c r="BA839" s="236"/>
      <c r="BB839" s="236"/>
      <c r="BC839" s="236"/>
      <c r="BD839" s="236"/>
      <c r="BE839" s="236"/>
      <c r="BF839" s="236"/>
      <c r="BG839" s="236"/>
      <c r="BH839" s="236"/>
    </row>
    <row r="840" spans="1:60" ht="13">
      <c r="A840" s="27"/>
      <c r="B840" s="27"/>
      <c r="C840" s="312"/>
      <c r="D840" s="231"/>
      <c r="E840" s="27"/>
      <c r="F840" s="27"/>
      <c r="G840" s="231"/>
      <c r="H840" s="27"/>
      <c r="I840" s="27"/>
      <c r="J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</row>
    <row r="841" spans="1:60" ht="13">
      <c r="A841" s="236"/>
      <c r="B841" s="236"/>
      <c r="C841" s="311"/>
      <c r="D841" s="237"/>
      <c r="E841" s="236"/>
      <c r="F841" s="236"/>
      <c r="G841" s="237"/>
      <c r="H841" s="236"/>
      <c r="I841" s="236"/>
      <c r="J841" s="236"/>
      <c r="N841" s="236"/>
      <c r="O841" s="236"/>
      <c r="P841" s="236"/>
      <c r="Q841" s="236"/>
      <c r="R841" s="236"/>
      <c r="S841" s="236"/>
      <c r="T841" s="236"/>
      <c r="U841" s="236"/>
      <c r="V841" s="236"/>
      <c r="W841" s="236"/>
      <c r="X841" s="236"/>
      <c r="Y841" s="236"/>
      <c r="Z841" s="236"/>
      <c r="AA841" s="236"/>
      <c r="AB841" s="236"/>
      <c r="AC841" s="236"/>
      <c r="AD841" s="236"/>
      <c r="AE841" s="236"/>
      <c r="AF841" s="236"/>
      <c r="AG841" s="236"/>
      <c r="AH841" s="236"/>
      <c r="AI841" s="236"/>
      <c r="AJ841" s="236"/>
      <c r="AK841" s="236"/>
      <c r="AL841" s="236"/>
      <c r="AM841" s="236"/>
      <c r="AN841" s="236"/>
      <c r="AO841" s="236"/>
      <c r="AP841" s="236"/>
      <c r="AQ841" s="236"/>
      <c r="AR841" s="236"/>
      <c r="AS841" s="236"/>
      <c r="AT841" s="236"/>
      <c r="AU841" s="236"/>
      <c r="AV841" s="236"/>
      <c r="AW841" s="236"/>
      <c r="AX841" s="236"/>
      <c r="AY841" s="236"/>
      <c r="AZ841" s="236"/>
      <c r="BA841" s="236"/>
      <c r="BB841" s="236"/>
      <c r="BC841" s="236"/>
      <c r="BD841" s="236"/>
      <c r="BE841" s="236"/>
      <c r="BF841" s="236"/>
      <c r="BG841" s="236"/>
      <c r="BH841" s="236"/>
    </row>
    <row r="842" spans="1:60" ht="13">
      <c r="A842" s="27"/>
      <c r="B842" s="27"/>
      <c r="C842" s="312"/>
      <c r="D842" s="231"/>
      <c r="E842" s="27"/>
      <c r="F842" s="27"/>
      <c r="G842" s="231"/>
      <c r="H842" s="27"/>
      <c r="I842" s="27"/>
      <c r="J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</row>
    <row r="843" spans="1:60" ht="13">
      <c r="A843" s="236"/>
      <c r="B843" s="236"/>
      <c r="C843" s="311"/>
      <c r="D843" s="237"/>
      <c r="E843" s="236"/>
      <c r="F843" s="236"/>
      <c r="G843" s="237"/>
      <c r="H843" s="236"/>
      <c r="I843" s="236"/>
      <c r="J843" s="236"/>
      <c r="N843" s="236"/>
      <c r="O843" s="236"/>
      <c r="P843" s="236"/>
      <c r="Q843" s="236"/>
      <c r="R843" s="236"/>
      <c r="S843" s="236"/>
      <c r="T843" s="236"/>
      <c r="U843" s="236"/>
      <c r="V843" s="236"/>
      <c r="W843" s="236"/>
      <c r="X843" s="236"/>
      <c r="Y843" s="236"/>
      <c r="Z843" s="236"/>
      <c r="AA843" s="236"/>
      <c r="AB843" s="236"/>
      <c r="AC843" s="236"/>
      <c r="AD843" s="236"/>
      <c r="AE843" s="236"/>
      <c r="AF843" s="236"/>
      <c r="AG843" s="236"/>
      <c r="AH843" s="236"/>
      <c r="AI843" s="236"/>
      <c r="AJ843" s="236"/>
      <c r="AK843" s="236"/>
      <c r="AL843" s="236"/>
      <c r="AM843" s="236"/>
      <c r="AN843" s="236"/>
      <c r="AO843" s="236"/>
      <c r="AP843" s="236"/>
      <c r="AQ843" s="236"/>
      <c r="AR843" s="236"/>
      <c r="AS843" s="236"/>
      <c r="AT843" s="236"/>
      <c r="AU843" s="236"/>
      <c r="AV843" s="236"/>
      <c r="AW843" s="236"/>
      <c r="AX843" s="236"/>
      <c r="AY843" s="236"/>
      <c r="AZ843" s="236"/>
      <c r="BA843" s="236"/>
      <c r="BB843" s="236"/>
      <c r="BC843" s="236"/>
      <c r="BD843" s="236"/>
      <c r="BE843" s="236"/>
      <c r="BF843" s="236"/>
      <c r="BG843" s="236"/>
      <c r="BH843" s="236"/>
    </row>
    <row r="844" spans="1:60" ht="13">
      <c r="A844" s="27"/>
      <c r="B844" s="27"/>
      <c r="C844" s="312"/>
      <c r="D844" s="231"/>
      <c r="E844" s="27"/>
      <c r="F844" s="27"/>
      <c r="G844" s="231"/>
      <c r="H844" s="27"/>
      <c r="I844" s="27"/>
      <c r="J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</row>
    <row r="845" spans="1:60" ht="13">
      <c r="A845" s="236"/>
      <c r="B845" s="236"/>
      <c r="C845" s="311"/>
      <c r="D845" s="237"/>
      <c r="E845" s="236"/>
      <c r="F845" s="236"/>
      <c r="G845" s="237"/>
      <c r="H845" s="236"/>
      <c r="I845" s="236"/>
      <c r="J845" s="236"/>
      <c r="N845" s="236"/>
      <c r="O845" s="236"/>
      <c r="P845" s="236"/>
      <c r="Q845" s="236"/>
      <c r="R845" s="236"/>
      <c r="S845" s="236"/>
      <c r="T845" s="236"/>
      <c r="U845" s="236"/>
      <c r="V845" s="236"/>
      <c r="W845" s="236"/>
      <c r="X845" s="236"/>
      <c r="Y845" s="236"/>
      <c r="Z845" s="236"/>
      <c r="AA845" s="236"/>
      <c r="AB845" s="236"/>
      <c r="AC845" s="236"/>
      <c r="AD845" s="236"/>
      <c r="AE845" s="236"/>
      <c r="AF845" s="236"/>
      <c r="AG845" s="236"/>
      <c r="AH845" s="236"/>
      <c r="AI845" s="236"/>
      <c r="AJ845" s="236"/>
      <c r="AK845" s="236"/>
      <c r="AL845" s="236"/>
      <c r="AM845" s="236"/>
      <c r="AN845" s="236"/>
      <c r="AO845" s="236"/>
      <c r="AP845" s="236"/>
      <c r="AQ845" s="236"/>
      <c r="AR845" s="236"/>
      <c r="AS845" s="236"/>
      <c r="AT845" s="236"/>
      <c r="AU845" s="236"/>
      <c r="AV845" s="236"/>
      <c r="AW845" s="236"/>
      <c r="AX845" s="236"/>
      <c r="AY845" s="236"/>
      <c r="AZ845" s="236"/>
      <c r="BA845" s="236"/>
      <c r="BB845" s="236"/>
      <c r="BC845" s="236"/>
      <c r="BD845" s="236"/>
      <c r="BE845" s="236"/>
      <c r="BF845" s="236"/>
      <c r="BG845" s="236"/>
      <c r="BH845" s="236"/>
    </row>
    <row r="846" spans="1:60" ht="13">
      <c r="A846" s="27"/>
      <c r="B846" s="27"/>
      <c r="C846" s="312"/>
      <c r="D846" s="231"/>
      <c r="E846" s="27"/>
      <c r="F846" s="27"/>
      <c r="G846" s="231"/>
      <c r="H846" s="27"/>
      <c r="I846" s="27"/>
      <c r="J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</row>
    <row r="847" spans="1:60" ht="13">
      <c r="A847" s="236"/>
      <c r="B847" s="236"/>
      <c r="C847" s="311"/>
      <c r="D847" s="237"/>
      <c r="E847" s="236"/>
      <c r="F847" s="236"/>
      <c r="G847" s="237"/>
      <c r="H847" s="236"/>
      <c r="I847" s="236"/>
      <c r="J847" s="236"/>
      <c r="N847" s="236"/>
      <c r="O847" s="236"/>
      <c r="P847" s="236"/>
      <c r="Q847" s="236"/>
      <c r="R847" s="236"/>
      <c r="S847" s="236"/>
      <c r="T847" s="236"/>
      <c r="U847" s="236"/>
      <c r="V847" s="236"/>
      <c r="W847" s="236"/>
      <c r="X847" s="236"/>
      <c r="Y847" s="236"/>
      <c r="Z847" s="236"/>
      <c r="AA847" s="236"/>
      <c r="AB847" s="236"/>
      <c r="AC847" s="236"/>
      <c r="AD847" s="236"/>
      <c r="AE847" s="236"/>
      <c r="AF847" s="236"/>
      <c r="AG847" s="236"/>
      <c r="AH847" s="236"/>
      <c r="AI847" s="236"/>
      <c r="AJ847" s="236"/>
      <c r="AK847" s="236"/>
      <c r="AL847" s="236"/>
      <c r="AM847" s="236"/>
      <c r="AN847" s="236"/>
      <c r="AO847" s="236"/>
      <c r="AP847" s="236"/>
      <c r="AQ847" s="236"/>
      <c r="AR847" s="236"/>
      <c r="AS847" s="236"/>
      <c r="AT847" s="236"/>
      <c r="AU847" s="236"/>
      <c r="AV847" s="236"/>
      <c r="AW847" s="236"/>
      <c r="AX847" s="236"/>
      <c r="AY847" s="236"/>
      <c r="AZ847" s="236"/>
      <c r="BA847" s="236"/>
      <c r="BB847" s="236"/>
      <c r="BC847" s="236"/>
      <c r="BD847" s="236"/>
      <c r="BE847" s="236"/>
      <c r="BF847" s="236"/>
      <c r="BG847" s="236"/>
      <c r="BH847" s="236"/>
    </row>
    <row r="848" spans="1:60" ht="13">
      <c r="A848" s="27"/>
      <c r="B848" s="27"/>
      <c r="C848" s="312"/>
      <c r="D848" s="231"/>
      <c r="E848" s="27"/>
      <c r="F848" s="27"/>
      <c r="G848" s="231"/>
      <c r="H848" s="27"/>
      <c r="I848" s="27"/>
      <c r="J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</row>
    <row r="849" spans="1:60" ht="13">
      <c r="A849" s="236"/>
      <c r="B849" s="236"/>
      <c r="C849" s="311"/>
      <c r="D849" s="237"/>
      <c r="E849" s="236"/>
      <c r="F849" s="236"/>
      <c r="G849" s="237"/>
      <c r="H849" s="236"/>
      <c r="I849" s="236"/>
      <c r="J849" s="236"/>
      <c r="N849" s="236"/>
      <c r="O849" s="236"/>
      <c r="P849" s="236"/>
      <c r="Q849" s="236"/>
      <c r="R849" s="236"/>
      <c r="S849" s="236"/>
      <c r="T849" s="236"/>
      <c r="U849" s="236"/>
      <c r="V849" s="236"/>
      <c r="W849" s="236"/>
      <c r="X849" s="236"/>
      <c r="Y849" s="236"/>
      <c r="Z849" s="236"/>
      <c r="AA849" s="236"/>
      <c r="AB849" s="236"/>
      <c r="AC849" s="236"/>
      <c r="AD849" s="236"/>
      <c r="AE849" s="236"/>
      <c r="AF849" s="236"/>
      <c r="AG849" s="236"/>
      <c r="AH849" s="236"/>
      <c r="AI849" s="236"/>
      <c r="AJ849" s="236"/>
      <c r="AK849" s="236"/>
      <c r="AL849" s="236"/>
      <c r="AM849" s="236"/>
      <c r="AN849" s="236"/>
      <c r="AO849" s="236"/>
      <c r="AP849" s="236"/>
      <c r="AQ849" s="236"/>
      <c r="AR849" s="236"/>
      <c r="AS849" s="236"/>
      <c r="AT849" s="236"/>
      <c r="AU849" s="236"/>
      <c r="AV849" s="236"/>
      <c r="AW849" s="236"/>
      <c r="AX849" s="236"/>
      <c r="AY849" s="236"/>
      <c r="AZ849" s="236"/>
      <c r="BA849" s="236"/>
      <c r="BB849" s="236"/>
      <c r="BC849" s="236"/>
      <c r="BD849" s="236"/>
      <c r="BE849" s="236"/>
      <c r="BF849" s="236"/>
      <c r="BG849" s="236"/>
      <c r="BH849" s="236"/>
    </row>
    <row r="850" spans="1:60" ht="13">
      <c r="A850" s="27"/>
      <c r="B850" s="27"/>
      <c r="C850" s="312"/>
      <c r="D850" s="231"/>
      <c r="E850" s="27"/>
      <c r="F850" s="27"/>
      <c r="G850" s="231"/>
      <c r="H850" s="27"/>
      <c r="I850" s="27"/>
      <c r="J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</row>
    <row r="851" spans="1:60" ht="13">
      <c r="A851" s="236"/>
      <c r="B851" s="236"/>
      <c r="C851" s="311"/>
      <c r="D851" s="237"/>
      <c r="E851" s="236"/>
      <c r="F851" s="236"/>
      <c r="G851" s="237"/>
      <c r="H851" s="236"/>
      <c r="I851" s="236"/>
      <c r="J851" s="236"/>
      <c r="N851" s="236"/>
      <c r="O851" s="236"/>
      <c r="P851" s="236"/>
      <c r="Q851" s="236"/>
      <c r="R851" s="236"/>
      <c r="S851" s="236"/>
      <c r="T851" s="236"/>
      <c r="U851" s="236"/>
      <c r="V851" s="236"/>
      <c r="W851" s="236"/>
      <c r="X851" s="236"/>
      <c r="Y851" s="236"/>
      <c r="Z851" s="236"/>
      <c r="AA851" s="236"/>
      <c r="AB851" s="236"/>
      <c r="AC851" s="236"/>
      <c r="AD851" s="236"/>
      <c r="AE851" s="236"/>
      <c r="AF851" s="236"/>
      <c r="AG851" s="236"/>
      <c r="AH851" s="236"/>
      <c r="AI851" s="236"/>
      <c r="AJ851" s="236"/>
      <c r="AK851" s="236"/>
      <c r="AL851" s="236"/>
      <c r="AM851" s="236"/>
      <c r="AN851" s="236"/>
      <c r="AO851" s="236"/>
      <c r="AP851" s="236"/>
      <c r="AQ851" s="236"/>
      <c r="AR851" s="236"/>
      <c r="AS851" s="236"/>
      <c r="AT851" s="236"/>
      <c r="AU851" s="236"/>
      <c r="AV851" s="236"/>
      <c r="AW851" s="236"/>
      <c r="AX851" s="236"/>
      <c r="AY851" s="236"/>
      <c r="AZ851" s="236"/>
      <c r="BA851" s="236"/>
      <c r="BB851" s="236"/>
      <c r="BC851" s="236"/>
      <c r="BD851" s="236"/>
      <c r="BE851" s="236"/>
      <c r="BF851" s="236"/>
      <c r="BG851" s="236"/>
      <c r="BH851" s="236"/>
    </row>
    <row r="852" spans="1:60" ht="13">
      <c r="A852" s="27"/>
      <c r="B852" s="27"/>
      <c r="C852" s="312"/>
      <c r="D852" s="231"/>
      <c r="E852" s="27"/>
      <c r="F852" s="27"/>
      <c r="G852" s="231"/>
      <c r="H852" s="27"/>
      <c r="I852" s="27"/>
      <c r="J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</row>
    <row r="853" spans="1:60" ht="13">
      <c r="A853" s="236"/>
      <c r="B853" s="236"/>
      <c r="C853" s="311"/>
      <c r="D853" s="237"/>
      <c r="E853" s="236"/>
      <c r="F853" s="236"/>
      <c r="G853" s="237"/>
      <c r="H853" s="236"/>
      <c r="I853" s="236"/>
      <c r="J853" s="236"/>
      <c r="N853" s="236"/>
      <c r="O853" s="236"/>
      <c r="P853" s="236"/>
      <c r="Q853" s="236"/>
      <c r="R853" s="236"/>
      <c r="S853" s="236"/>
      <c r="T853" s="236"/>
      <c r="U853" s="236"/>
      <c r="V853" s="236"/>
      <c r="W853" s="236"/>
      <c r="X853" s="236"/>
      <c r="Y853" s="236"/>
      <c r="Z853" s="236"/>
      <c r="AA853" s="236"/>
      <c r="AB853" s="236"/>
      <c r="AC853" s="236"/>
      <c r="AD853" s="236"/>
      <c r="AE853" s="236"/>
      <c r="AF853" s="236"/>
      <c r="AG853" s="236"/>
      <c r="AH853" s="236"/>
      <c r="AI853" s="236"/>
      <c r="AJ853" s="236"/>
      <c r="AK853" s="236"/>
      <c r="AL853" s="236"/>
      <c r="AM853" s="236"/>
      <c r="AN853" s="236"/>
      <c r="AO853" s="236"/>
      <c r="AP853" s="236"/>
      <c r="AQ853" s="236"/>
      <c r="AR853" s="236"/>
      <c r="AS853" s="236"/>
      <c r="AT853" s="236"/>
      <c r="AU853" s="236"/>
      <c r="AV853" s="236"/>
      <c r="AW853" s="236"/>
      <c r="AX853" s="236"/>
      <c r="AY853" s="236"/>
      <c r="AZ853" s="236"/>
      <c r="BA853" s="236"/>
      <c r="BB853" s="236"/>
      <c r="BC853" s="236"/>
      <c r="BD853" s="236"/>
      <c r="BE853" s="236"/>
      <c r="BF853" s="236"/>
      <c r="BG853" s="236"/>
      <c r="BH853" s="236"/>
    </row>
    <row r="854" spans="1:60" ht="13">
      <c r="A854" s="27"/>
      <c r="B854" s="27"/>
      <c r="C854" s="312"/>
      <c r="D854" s="231"/>
      <c r="E854" s="27"/>
      <c r="F854" s="27"/>
      <c r="G854" s="231"/>
      <c r="H854" s="27"/>
      <c r="I854" s="27"/>
      <c r="J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</row>
    <row r="855" spans="1:60" ht="13">
      <c r="A855" s="236"/>
      <c r="B855" s="236"/>
      <c r="C855" s="311"/>
      <c r="D855" s="237"/>
      <c r="E855" s="236"/>
      <c r="F855" s="236"/>
      <c r="G855" s="237"/>
      <c r="H855" s="236"/>
      <c r="I855" s="236"/>
      <c r="J855" s="236"/>
      <c r="N855" s="236"/>
      <c r="O855" s="236"/>
      <c r="P855" s="236"/>
      <c r="Q855" s="236"/>
      <c r="R855" s="236"/>
      <c r="S855" s="236"/>
      <c r="T855" s="236"/>
      <c r="U855" s="236"/>
      <c r="V855" s="236"/>
      <c r="W855" s="236"/>
      <c r="X855" s="236"/>
      <c r="Y855" s="236"/>
      <c r="Z855" s="236"/>
      <c r="AA855" s="236"/>
      <c r="AB855" s="236"/>
      <c r="AC855" s="236"/>
      <c r="AD855" s="236"/>
      <c r="AE855" s="236"/>
      <c r="AF855" s="236"/>
      <c r="AG855" s="236"/>
      <c r="AH855" s="236"/>
      <c r="AI855" s="236"/>
      <c r="AJ855" s="236"/>
      <c r="AK855" s="236"/>
      <c r="AL855" s="236"/>
      <c r="AM855" s="236"/>
      <c r="AN855" s="236"/>
      <c r="AO855" s="236"/>
      <c r="AP855" s="236"/>
      <c r="AQ855" s="236"/>
      <c r="AR855" s="236"/>
      <c r="AS855" s="236"/>
      <c r="AT855" s="236"/>
      <c r="AU855" s="236"/>
      <c r="AV855" s="236"/>
      <c r="AW855" s="236"/>
      <c r="AX855" s="236"/>
      <c r="AY855" s="236"/>
      <c r="AZ855" s="236"/>
      <c r="BA855" s="236"/>
      <c r="BB855" s="236"/>
      <c r="BC855" s="236"/>
      <c r="BD855" s="236"/>
      <c r="BE855" s="236"/>
      <c r="BF855" s="236"/>
      <c r="BG855" s="236"/>
      <c r="BH855" s="236"/>
    </row>
    <row r="856" spans="1:60" ht="13">
      <c r="A856" s="27"/>
      <c r="B856" s="27"/>
      <c r="C856" s="312"/>
      <c r="D856" s="231"/>
      <c r="E856" s="27"/>
      <c r="F856" s="27"/>
      <c r="G856" s="231"/>
      <c r="H856" s="27"/>
      <c r="I856" s="27"/>
      <c r="J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</row>
    <row r="857" spans="1:60" ht="13">
      <c r="A857" s="236"/>
      <c r="B857" s="236"/>
      <c r="C857" s="311"/>
      <c r="D857" s="237"/>
      <c r="E857" s="236"/>
      <c r="F857" s="236"/>
      <c r="G857" s="237"/>
      <c r="H857" s="236"/>
      <c r="I857" s="236"/>
      <c r="J857" s="236"/>
      <c r="N857" s="236"/>
      <c r="O857" s="236"/>
      <c r="P857" s="236"/>
      <c r="Q857" s="236"/>
      <c r="R857" s="236"/>
      <c r="S857" s="236"/>
      <c r="T857" s="236"/>
      <c r="U857" s="236"/>
      <c r="V857" s="236"/>
      <c r="W857" s="236"/>
      <c r="X857" s="236"/>
      <c r="Y857" s="236"/>
      <c r="Z857" s="236"/>
      <c r="AA857" s="236"/>
      <c r="AB857" s="236"/>
      <c r="AC857" s="236"/>
      <c r="AD857" s="236"/>
      <c r="AE857" s="236"/>
      <c r="AF857" s="236"/>
      <c r="AG857" s="236"/>
      <c r="AH857" s="236"/>
      <c r="AI857" s="236"/>
      <c r="AJ857" s="236"/>
      <c r="AK857" s="236"/>
      <c r="AL857" s="236"/>
      <c r="AM857" s="236"/>
      <c r="AN857" s="236"/>
      <c r="AO857" s="236"/>
      <c r="AP857" s="236"/>
      <c r="AQ857" s="236"/>
      <c r="AR857" s="236"/>
      <c r="AS857" s="236"/>
      <c r="AT857" s="236"/>
      <c r="AU857" s="236"/>
      <c r="AV857" s="236"/>
      <c r="AW857" s="236"/>
      <c r="AX857" s="236"/>
      <c r="AY857" s="236"/>
      <c r="AZ857" s="236"/>
      <c r="BA857" s="236"/>
      <c r="BB857" s="236"/>
      <c r="BC857" s="236"/>
      <c r="BD857" s="236"/>
      <c r="BE857" s="236"/>
      <c r="BF857" s="236"/>
      <c r="BG857" s="236"/>
      <c r="BH857" s="236"/>
    </row>
    <row r="858" spans="1:60" ht="13">
      <c r="A858" s="27"/>
      <c r="B858" s="27"/>
      <c r="C858" s="312"/>
      <c r="D858" s="231"/>
      <c r="E858" s="27"/>
      <c r="F858" s="27"/>
      <c r="G858" s="231"/>
      <c r="H858" s="27"/>
      <c r="I858" s="27"/>
      <c r="J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</row>
    <row r="859" spans="1:60" ht="13">
      <c r="A859" s="236"/>
      <c r="B859" s="236"/>
      <c r="C859" s="311"/>
      <c r="D859" s="237"/>
      <c r="E859" s="236"/>
      <c r="F859" s="236"/>
      <c r="G859" s="237"/>
      <c r="H859" s="236"/>
      <c r="I859" s="236"/>
      <c r="J859" s="236"/>
      <c r="N859" s="236"/>
      <c r="O859" s="236"/>
      <c r="P859" s="236"/>
      <c r="Q859" s="236"/>
      <c r="R859" s="236"/>
      <c r="S859" s="236"/>
      <c r="T859" s="236"/>
      <c r="U859" s="236"/>
      <c r="V859" s="236"/>
      <c r="W859" s="236"/>
      <c r="X859" s="236"/>
      <c r="Y859" s="236"/>
      <c r="Z859" s="236"/>
      <c r="AA859" s="236"/>
      <c r="AB859" s="236"/>
      <c r="AC859" s="236"/>
      <c r="AD859" s="236"/>
      <c r="AE859" s="236"/>
      <c r="AF859" s="236"/>
      <c r="AG859" s="236"/>
      <c r="AH859" s="236"/>
      <c r="AI859" s="236"/>
      <c r="AJ859" s="236"/>
      <c r="AK859" s="236"/>
      <c r="AL859" s="236"/>
      <c r="AM859" s="236"/>
      <c r="AN859" s="236"/>
      <c r="AO859" s="236"/>
      <c r="AP859" s="236"/>
      <c r="AQ859" s="236"/>
      <c r="AR859" s="236"/>
      <c r="AS859" s="236"/>
      <c r="AT859" s="236"/>
      <c r="AU859" s="236"/>
      <c r="AV859" s="236"/>
      <c r="AW859" s="236"/>
      <c r="AX859" s="236"/>
      <c r="AY859" s="236"/>
      <c r="AZ859" s="236"/>
      <c r="BA859" s="236"/>
      <c r="BB859" s="236"/>
      <c r="BC859" s="236"/>
      <c r="BD859" s="236"/>
      <c r="BE859" s="236"/>
      <c r="BF859" s="236"/>
      <c r="BG859" s="236"/>
      <c r="BH859" s="236"/>
    </row>
    <row r="860" spans="1:60" ht="13">
      <c r="A860" s="27"/>
      <c r="B860" s="27"/>
      <c r="C860" s="312"/>
      <c r="D860" s="231"/>
      <c r="E860" s="27"/>
      <c r="F860" s="27"/>
      <c r="G860" s="231"/>
      <c r="H860" s="27"/>
      <c r="I860" s="27"/>
      <c r="J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</row>
    <row r="861" spans="1:60" ht="13">
      <c r="A861" s="236"/>
      <c r="B861" s="236"/>
      <c r="C861" s="311"/>
      <c r="D861" s="237"/>
      <c r="E861" s="236"/>
      <c r="F861" s="236"/>
      <c r="G861" s="237"/>
      <c r="H861" s="236"/>
      <c r="I861" s="236"/>
      <c r="J861" s="236"/>
      <c r="N861" s="236"/>
      <c r="O861" s="236"/>
      <c r="P861" s="236"/>
      <c r="Q861" s="236"/>
      <c r="R861" s="236"/>
      <c r="S861" s="236"/>
      <c r="T861" s="236"/>
      <c r="U861" s="236"/>
      <c r="V861" s="236"/>
      <c r="W861" s="236"/>
      <c r="X861" s="236"/>
      <c r="Y861" s="236"/>
      <c r="Z861" s="236"/>
      <c r="AA861" s="236"/>
      <c r="AB861" s="236"/>
      <c r="AC861" s="236"/>
      <c r="AD861" s="236"/>
      <c r="AE861" s="236"/>
      <c r="AF861" s="236"/>
      <c r="AG861" s="236"/>
      <c r="AH861" s="236"/>
      <c r="AI861" s="236"/>
      <c r="AJ861" s="236"/>
      <c r="AK861" s="236"/>
      <c r="AL861" s="236"/>
      <c r="AM861" s="236"/>
      <c r="AN861" s="236"/>
      <c r="AO861" s="236"/>
      <c r="AP861" s="236"/>
      <c r="AQ861" s="236"/>
      <c r="AR861" s="236"/>
      <c r="AS861" s="236"/>
      <c r="AT861" s="236"/>
      <c r="AU861" s="236"/>
      <c r="AV861" s="236"/>
      <c r="AW861" s="236"/>
      <c r="AX861" s="236"/>
      <c r="AY861" s="236"/>
      <c r="AZ861" s="236"/>
      <c r="BA861" s="236"/>
      <c r="BB861" s="236"/>
      <c r="BC861" s="236"/>
      <c r="BD861" s="236"/>
      <c r="BE861" s="236"/>
      <c r="BF861" s="236"/>
      <c r="BG861" s="236"/>
      <c r="BH861" s="236"/>
    </row>
    <row r="862" spans="1:60" ht="13">
      <c r="A862" s="27"/>
      <c r="B862" s="27"/>
      <c r="C862" s="312"/>
      <c r="D862" s="231"/>
      <c r="E862" s="27"/>
      <c r="F862" s="27"/>
      <c r="G862" s="231"/>
      <c r="H862" s="27"/>
      <c r="I862" s="27"/>
      <c r="J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</row>
    <row r="863" spans="1:60" ht="13">
      <c r="A863" s="236"/>
      <c r="B863" s="236"/>
      <c r="C863" s="311"/>
      <c r="D863" s="237"/>
      <c r="E863" s="236"/>
      <c r="F863" s="236"/>
      <c r="G863" s="237"/>
      <c r="H863" s="236"/>
      <c r="I863" s="236"/>
      <c r="J863" s="236"/>
      <c r="N863" s="236"/>
      <c r="O863" s="236"/>
      <c r="P863" s="236"/>
      <c r="Q863" s="236"/>
      <c r="R863" s="236"/>
      <c r="S863" s="236"/>
      <c r="T863" s="236"/>
      <c r="U863" s="236"/>
      <c r="V863" s="236"/>
      <c r="W863" s="236"/>
      <c r="X863" s="236"/>
      <c r="Y863" s="236"/>
      <c r="Z863" s="236"/>
      <c r="AA863" s="236"/>
      <c r="AB863" s="236"/>
      <c r="AC863" s="236"/>
      <c r="AD863" s="236"/>
      <c r="AE863" s="236"/>
      <c r="AF863" s="236"/>
      <c r="AG863" s="236"/>
      <c r="AH863" s="236"/>
      <c r="AI863" s="236"/>
      <c r="AJ863" s="236"/>
      <c r="AK863" s="236"/>
      <c r="AL863" s="236"/>
      <c r="AM863" s="236"/>
      <c r="AN863" s="236"/>
      <c r="AO863" s="236"/>
      <c r="AP863" s="236"/>
      <c r="AQ863" s="236"/>
      <c r="AR863" s="236"/>
      <c r="AS863" s="236"/>
      <c r="AT863" s="236"/>
      <c r="AU863" s="236"/>
      <c r="AV863" s="236"/>
      <c r="AW863" s="236"/>
      <c r="AX863" s="236"/>
      <c r="AY863" s="236"/>
      <c r="AZ863" s="236"/>
      <c r="BA863" s="236"/>
      <c r="BB863" s="236"/>
      <c r="BC863" s="236"/>
      <c r="BD863" s="236"/>
      <c r="BE863" s="236"/>
      <c r="BF863" s="236"/>
      <c r="BG863" s="236"/>
      <c r="BH863" s="236"/>
    </row>
    <row r="864" spans="1:60" ht="13">
      <c r="A864" s="27"/>
      <c r="B864" s="27"/>
      <c r="C864" s="312"/>
      <c r="D864" s="231"/>
      <c r="E864" s="27"/>
      <c r="F864" s="27"/>
      <c r="G864" s="231"/>
      <c r="H864" s="27"/>
      <c r="I864" s="27"/>
      <c r="J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</row>
    <row r="865" spans="1:60" ht="13">
      <c r="A865" s="236"/>
      <c r="B865" s="236"/>
      <c r="C865" s="311"/>
      <c r="D865" s="237"/>
      <c r="E865" s="236"/>
      <c r="F865" s="236"/>
      <c r="G865" s="237"/>
      <c r="H865" s="236"/>
      <c r="I865" s="236"/>
      <c r="J865" s="236"/>
      <c r="N865" s="236"/>
      <c r="O865" s="236"/>
      <c r="P865" s="236"/>
      <c r="Q865" s="236"/>
      <c r="R865" s="236"/>
      <c r="S865" s="236"/>
      <c r="T865" s="236"/>
      <c r="U865" s="236"/>
      <c r="V865" s="236"/>
      <c r="W865" s="236"/>
      <c r="X865" s="236"/>
      <c r="Y865" s="236"/>
      <c r="Z865" s="236"/>
      <c r="AA865" s="236"/>
      <c r="AB865" s="236"/>
      <c r="AC865" s="236"/>
      <c r="AD865" s="236"/>
      <c r="AE865" s="236"/>
      <c r="AF865" s="236"/>
      <c r="AG865" s="236"/>
      <c r="AH865" s="236"/>
      <c r="AI865" s="236"/>
      <c r="AJ865" s="236"/>
      <c r="AK865" s="236"/>
      <c r="AL865" s="236"/>
      <c r="AM865" s="236"/>
      <c r="AN865" s="236"/>
      <c r="AO865" s="236"/>
      <c r="AP865" s="236"/>
      <c r="AQ865" s="236"/>
      <c r="AR865" s="236"/>
      <c r="AS865" s="236"/>
      <c r="AT865" s="236"/>
      <c r="AU865" s="236"/>
      <c r="AV865" s="236"/>
      <c r="AW865" s="236"/>
      <c r="AX865" s="236"/>
      <c r="AY865" s="236"/>
      <c r="AZ865" s="236"/>
      <c r="BA865" s="236"/>
      <c r="BB865" s="236"/>
      <c r="BC865" s="236"/>
      <c r="BD865" s="236"/>
      <c r="BE865" s="236"/>
      <c r="BF865" s="236"/>
      <c r="BG865" s="236"/>
      <c r="BH865" s="236"/>
    </row>
    <row r="866" spans="1:60" ht="13">
      <c r="A866" s="27"/>
      <c r="B866" s="27"/>
      <c r="C866" s="312"/>
      <c r="D866" s="231"/>
      <c r="E866" s="27"/>
      <c r="F866" s="27"/>
      <c r="G866" s="231"/>
      <c r="H866" s="27"/>
      <c r="I866" s="27"/>
      <c r="J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</row>
    <row r="867" spans="1:60" ht="13">
      <c r="A867" s="236"/>
      <c r="B867" s="236"/>
      <c r="C867" s="311"/>
      <c r="D867" s="237"/>
      <c r="E867" s="236"/>
      <c r="F867" s="236"/>
      <c r="G867" s="237"/>
      <c r="H867" s="236"/>
      <c r="I867" s="236"/>
      <c r="J867" s="236"/>
      <c r="N867" s="236"/>
      <c r="O867" s="236"/>
      <c r="P867" s="236"/>
      <c r="Q867" s="236"/>
      <c r="R867" s="236"/>
      <c r="S867" s="236"/>
      <c r="T867" s="236"/>
      <c r="U867" s="236"/>
      <c r="V867" s="236"/>
      <c r="W867" s="236"/>
      <c r="X867" s="236"/>
      <c r="Y867" s="236"/>
      <c r="Z867" s="236"/>
      <c r="AA867" s="236"/>
      <c r="AB867" s="236"/>
      <c r="AC867" s="236"/>
      <c r="AD867" s="236"/>
      <c r="AE867" s="236"/>
      <c r="AF867" s="236"/>
      <c r="AG867" s="236"/>
      <c r="AH867" s="236"/>
      <c r="AI867" s="236"/>
      <c r="AJ867" s="236"/>
      <c r="AK867" s="236"/>
      <c r="AL867" s="236"/>
      <c r="AM867" s="236"/>
      <c r="AN867" s="236"/>
      <c r="AO867" s="236"/>
      <c r="AP867" s="236"/>
      <c r="AQ867" s="236"/>
      <c r="AR867" s="236"/>
      <c r="AS867" s="236"/>
      <c r="AT867" s="236"/>
      <c r="AU867" s="236"/>
      <c r="AV867" s="236"/>
      <c r="AW867" s="236"/>
      <c r="AX867" s="236"/>
      <c r="AY867" s="236"/>
      <c r="AZ867" s="236"/>
      <c r="BA867" s="236"/>
      <c r="BB867" s="236"/>
      <c r="BC867" s="236"/>
      <c r="BD867" s="236"/>
      <c r="BE867" s="236"/>
      <c r="BF867" s="236"/>
      <c r="BG867" s="236"/>
      <c r="BH867" s="236"/>
    </row>
    <row r="868" spans="1:60" ht="13">
      <c r="A868" s="27"/>
      <c r="B868" s="27"/>
      <c r="C868" s="312"/>
      <c r="D868" s="231"/>
      <c r="E868" s="27"/>
      <c r="F868" s="27"/>
      <c r="G868" s="231"/>
      <c r="H868" s="27"/>
      <c r="I868" s="27"/>
      <c r="J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</row>
    <row r="869" spans="1:60" ht="13">
      <c r="A869" s="236"/>
      <c r="B869" s="236"/>
      <c r="C869" s="311"/>
      <c r="D869" s="237"/>
      <c r="E869" s="236"/>
      <c r="F869" s="236"/>
      <c r="G869" s="237"/>
      <c r="H869" s="236"/>
      <c r="I869" s="236"/>
      <c r="J869" s="236"/>
      <c r="N869" s="236"/>
      <c r="O869" s="236"/>
      <c r="P869" s="236"/>
      <c r="Q869" s="236"/>
      <c r="R869" s="236"/>
      <c r="S869" s="236"/>
      <c r="T869" s="236"/>
      <c r="U869" s="236"/>
      <c r="V869" s="236"/>
      <c r="W869" s="236"/>
      <c r="X869" s="236"/>
      <c r="Y869" s="236"/>
      <c r="Z869" s="236"/>
      <c r="AA869" s="236"/>
      <c r="AB869" s="236"/>
      <c r="AC869" s="236"/>
      <c r="AD869" s="236"/>
      <c r="AE869" s="236"/>
      <c r="AF869" s="236"/>
      <c r="AG869" s="236"/>
      <c r="AH869" s="236"/>
      <c r="AI869" s="236"/>
      <c r="AJ869" s="236"/>
      <c r="AK869" s="236"/>
      <c r="AL869" s="236"/>
      <c r="AM869" s="236"/>
      <c r="AN869" s="236"/>
      <c r="AO869" s="236"/>
      <c r="AP869" s="236"/>
      <c r="AQ869" s="236"/>
      <c r="AR869" s="236"/>
      <c r="AS869" s="236"/>
      <c r="AT869" s="236"/>
      <c r="AU869" s="236"/>
      <c r="AV869" s="236"/>
      <c r="AW869" s="236"/>
      <c r="AX869" s="236"/>
      <c r="AY869" s="236"/>
      <c r="AZ869" s="236"/>
      <c r="BA869" s="236"/>
      <c r="BB869" s="236"/>
      <c r="BC869" s="236"/>
      <c r="BD869" s="236"/>
      <c r="BE869" s="236"/>
      <c r="BF869" s="236"/>
      <c r="BG869" s="236"/>
      <c r="BH869" s="236"/>
    </row>
    <row r="870" spans="1:60" ht="13">
      <c r="A870" s="27"/>
      <c r="B870" s="27"/>
      <c r="C870" s="312"/>
      <c r="D870" s="231"/>
      <c r="E870" s="27"/>
      <c r="F870" s="27"/>
      <c r="G870" s="231"/>
      <c r="H870" s="27"/>
      <c r="I870" s="27"/>
      <c r="J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</row>
    <row r="871" spans="1:60" ht="13">
      <c r="A871" s="236"/>
      <c r="B871" s="236"/>
      <c r="C871" s="311"/>
      <c r="D871" s="237"/>
      <c r="E871" s="236"/>
      <c r="F871" s="236"/>
      <c r="G871" s="237"/>
      <c r="H871" s="236"/>
      <c r="I871" s="236"/>
      <c r="J871" s="236"/>
      <c r="N871" s="236"/>
      <c r="O871" s="236"/>
      <c r="P871" s="236"/>
      <c r="Q871" s="236"/>
      <c r="R871" s="236"/>
      <c r="S871" s="236"/>
      <c r="T871" s="236"/>
      <c r="U871" s="236"/>
      <c r="V871" s="236"/>
      <c r="W871" s="236"/>
      <c r="X871" s="236"/>
      <c r="Y871" s="236"/>
      <c r="Z871" s="236"/>
      <c r="AA871" s="236"/>
      <c r="AB871" s="236"/>
      <c r="AC871" s="236"/>
      <c r="AD871" s="236"/>
      <c r="AE871" s="236"/>
      <c r="AF871" s="236"/>
      <c r="AG871" s="236"/>
      <c r="AH871" s="236"/>
      <c r="AI871" s="236"/>
      <c r="AJ871" s="236"/>
      <c r="AK871" s="236"/>
      <c r="AL871" s="236"/>
      <c r="AM871" s="236"/>
      <c r="AN871" s="236"/>
      <c r="AO871" s="236"/>
      <c r="AP871" s="236"/>
      <c r="AQ871" s="236"/>
      <c r="AR871" s="236"/>
      <c r="AS871" s="236"/>
      <c r="AT871" s="236"/>
      <c r="AU871" s="236"/>
      <c r="AV871" s="236"/>
      <c r="AW871" s="236"/>
      <c r="AX871" s="236"/>
      <c r="AY871" s="236"/>
      <c r="AZ871" s="236"/>
      <c r="BA871" s="236"/>
      <c r="BB871" s="236"/>
      <c r="BC871" s="236"/>
      <c r="BD871" s="236"/>
      <c r="BE871" s="236"/>
      <c r="BF871" s="236"/>
      <c r="BG871" s="236"/>
      <c r="BH871" s="236"/>
    </row>
    <row r="872" spans="1:60" ht="13">
      <c r="A872" s="27"/>
      <c r="B872" s="27"/>
      <c r="C872" s="312"/>
      <c r="D872" s="231"/>
      <c r="E872" s="27"/>
      <c r="F872" s="27"/>
      <c r="G872" s="231"/>
      <c r="H872" s="27"/>
      <c r="I872" s="27"/>
      <c r="J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</row>
    <row r="873" spans="1:60" ht="13">
      <c r="A873" s="236"/>
      <c r="B873" s="236"/>
      <c r="C873" s="311"/>
      <c r="D873" s="237"/>
      <c r="E873" s="236"/>
      <c r="F873" s="236"/>
      <c r="G873" s="237"/>
      <c r="H873" s="236"/>
      <c r="I873" s="236"/>
      <c r="J873" s="236"/>
      <c r="N873" s="236"/>
      <c r="O873" s="236"/>
      <c r="P873" s="236"/>
      <c r="Q873" s="236"/>
      <c r="R873" s="236"/>
      <c r="S873" s="236"/>
      <c r="T873" s="236"/>
      <c r="U873" s="236"/>
      <c r="V873" s="236"/>
      <c r="W873" s="236"/>
      <c r="X873" s="236"/>
      <c r="Y873" s="236"/>
      <c r="Z873" s="236"/>
      <c r="AA873" s="236"/>
      <c r="AB873" s="236"/>
      <c r="AC873" s="236"/>
      <c r="AD873" s="236"/>
      <c r="AE873" s="236"/>
      <c r="AF873" s="236"/>
      <c r="AG873" s="236"/>
      <c r="AH873" s="236"/>
      <c r="AI873" s="236"/>
      <c r="AJ873" s="236"/>
      <c r="AK873" s="236"/>
      <c r="AL873" s="236"/>
      <c r="AM873" s="236"/>
      <c r="AN873" s="236"/>
      <c r="AO873" s="236"/>
      <c r="AP873" s="236"/>
      <c r="AQ873" s="236"/>
      <c r="AR873" s="236"/>
      <c r="AS873" s="236"/>
      <c r="AT873" s="236"/>
      <c r="AU873" s="236"/>
      <c r="AV873" s="236"/>
      <c r="AW873" s="236"/>
      <c r="AX873" s="236"/>
      <c r="AY873" s="236"/>
      <c r="AZ873" s="236"/>
      <c r="BA873" s="236"/>
      <c r="BB873" s="236"/>
      <c r="BC873" s="236"/>
      <c r="BD873" s="236"/>
      <c r="BE873" s="236"/>
      <c r="BF873" s="236"/>
      <c r="BG873" s="236"/>
      <c r="BH873" s="236"/>
    </row>
    <row r="874" spans="1:60" ht="13">
      <c r="A874" s="27"/>
      <c r="B874" s="27"/>
      <c r="C874" s="312"/>
      <c r="D874" s="231"/>
      <c r="E874" s="27"/>
      <c r="F874" s="27"/>
      <c r="G874" s="231"/>
      <c r="H874" s="27"/>
      <c r="I874" s="27"/>
      <c r="J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</row>
    <row r="875" spans="1:60" ht="13">
      <c r="A875" s="236"/>
      <c r="B875" s="236"/>
      <c r="C875" s="311"/>
      <c r="D875" s="237"/>
      <c r="E875" s="236"/>
      <c r="F875" s="236"/>
      <c r="G875" s="237"/>
      <c r="H875" s="236"/>
      <c r="I875" s="236"/>
      <c r="J875" s="236"/>
      <c r="N875" s="236"/>
      <c r="O875" s="236"/>
      <c r="P875" s="236"/>
      <c r="Q875" s="236"/>
      <c r="R875" s="236"/>
      <c r="S875" s="236"/>
      <c r="T875" s="236"/>
      <c r="U875" s="236"/>
      <c r="V875" s="236"/>
      <c r="W875" s="236"/>
      <c r="X875" s="236"/>
      <c r="Y875" s="236"/>
      <c r="Z875" s="236"/>
      <c r="AA875" s="236"/>
      <c r="AB875" s="236"/>
      <c r="AC875" s="236"/>
      <c r="AD875" s="236"/>
      <c r="AE875" s="236"/>
      <c r="AF875" s="236"/>
      <c r="AG875" s="236"/>
      <c r="AH875" s="236"/>
      <c r="AI875" s="236"/>
      <c r="AJ875" s="236"/>
      <c r="AK875" s="236"/>
      <c r="AL875" s="236"/>
      <c r="AM875" s="236"/>
      <c r="AN875" s="236"/>
      <c r="AO875" s="236"/>
      <c r="AP875" s="236"/>
      <c r="AQ875" s="236"/>
      <c r="AR875" s="236"/>
      <c r="AS875" s="236"/>
      <c r="AT875" s="236"/>
      <c r="AU875" s="236"/>
      <c r="AV875" s="236"/>
      <c r="AW875" s="236"/>
      <c r="AX875" s="236"/>
      <c r="AY875" s="236"/>
      <c r="AZ875" s="236"/>
      <c r="BA875" s="236"/>
      <c r="BB875" s="236"/>
      <c r="BC875" s="236"/>
      <c r="BD875" s="236"/>
      <c r="BE875" s="236"/>
      <c r="BF875" s="236"/>
      <c r="BG875" s="236"/>
      <c r="BH875" s="236"/>
    </row>
    <row r="876" spans="1:60" ht="13">
      <c r="A876" s="27"/>
      <c r="B876" s="27"/>
      <c r="C876" s="312"/>
      <c r="D876" s="231"/>
      <c r="E876" s="27"/>
      <c r="F876" s="27"/>
      <c r="G876" s="231"/>
      <c r="H876" s="27"/>
      <c r="I876" s="27"/>
      <c r="J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</row>
    <row r="877" spans="1:60" ht="13">
      <c r="A877" s="236"/>
      <c r="B877" s="236"/>
      <c r="C877" s="311"/>
      <c r="D877" s="237"/>
      <c r="E877" s="236"/>
      <c r="F877" s="236"/>
      <c r="G877" s="237"/>
      <c r="H877" s="236"/>
      <c r="I877" s="236"/>
      <c r="J877" s="236"/>
      <c r="N877" s="236"/>
      <c r="O877" s="236"/>
      <c r="P877" s="236"/>
      <c r="Q877" s="236"/>
      <c r="R877" s="236"/>
      <c r="S877" s="236"/>
      <c r="T877" s="236"/>
      <c r="U877" s="236"/>
      <c r="V877" s="236"/>
      <c r="W877" s="236"/>
      <c r="X877" s="236"/>
      <c r="Y877" s="236"/>
      <c r="Z877" s="236"/>
      <c r="AA877" s="236"/>
      <c r="AB877" s="236"/>
      <c r="AC877" s="236"/>
      <c r="AD877" s="236"/>
      <c r="AE877" s="236"/>
      <c r="AF877" s="236"/>
      <c r="AG877" s="236"/>
      <c r="AH877" s="236"/>
      <c r="AI877" s="236"/>
      <c r="AJ877" s="236"/>
      <c r="AK877" s="236"/>
      <c r="AL877" s="236"/>
      <c r="AM877" s="236"/>
      <c r="AN877" s="236"/>
      <c r="AO877" s="236"/>
      <c r="AP877" s="236"/>
      <c r="AQ877" s="236"/>
      <c r="AR877" s="236"/>
      <c r="AS877" s="236"/>
      <c r="AT877" s="236"/>
      <c r="AU877" s="236"/>
      <c r="AV877" s="236"/>
      <c r="AW877" s="236"/>
      <c r="AX877" s="236"/>
      <c r="AY877" s="236"/>
      <c r="AZ877" s="236"/>
      <c r="BA877" s="236"/>
      <c r="BB877" s="236"/>
      <c r="BC877" s="236"/>
      <c r="BD877" s="236"/>
      <c r="BE877" s="236"/>
      <c r="BF877" s="236"/>
      <c r="BG877" s="236"/>
      <c r="BH877" s="236"/>
    </row>
    <row r="878" spans="1:60" ht="13">
      <c r="A878" s="27"/>
      <c r="B878" s="27"/>
      <c r="C878" s="312"/>
      <c r="D878" s="231"/>
      <c r="E878" s="27"/>
      <c r="F878" s="27"/>
      <c r="G878" s="231"/>
      <c r="H878" s="27"/>
      <c r="I878" s="27"/>
      <c r="J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</row>
    <row r="879" spans="1:60" ht="13">
      <c r="A879" s="236"/>
      <c r="B879" s="236"/>
      <c r="C879" s="311"/>
      <c r="D879" s="237"/>
      <c r="E879" s="236"/>
      <c r="F879" s="236"/>
      <c r="G879" s="237"/>
      <c r="H879" s="236"/>
      <c r="I879" s="236"/>
      <c r="J879" s="236"/>
      <c r="N879" s="236"/>
      <c r="O879" s="236"/>
      <c r="P879" s="236"/>
      <c r="Q879" s="236"/>
      <c r="R879" s="236"/>
      <c r="S879" s="236"/>
      <c r="T879" s="236"/>
      <c r="U879" s="236"/>
      <c r="V879" s="236"/>
      <c r="W879" s="236"/>
      <c r="X879" s="236"/>
      <c r="Y879" s="236"/>
      <c r="Z879" s="236"/>
      <c r="AA879" s="236"/>
      <c r="AB879" s="236"/>
      <c r="AC879" s="236"/>
      <c r="AD879" s="236"/>
      <c r="AE879" s="236"/>
      <c r="AF879" s="236"/>
      <c r="AG879" s="236"/>
      <c r="AH879" s="236"/>
      <c r="AI879" s="236"/>
      <c r="AJ879" s="236"/>
      <c r="AK879" s="236"/>
      <c r="AL879" s="236"/>
      <c r="AM879" s="236"/>
      <c r="AN879" s="236"/>
      <c r="AO879" s="236"/>
      <c r="AP879" s="236"/>
      <c r="AQ879" s="236"/>
      <c r="AR879" s="236"/>
      <c r="AS879" s="236"/>
      <c r="AT879" s="236"/>
      <c r="AU879" s="236"/>
      <c r="AV879" s="236"/>
      <c r="AW879" s="236"/>
      <c r="AX879" s="236"/>
      <c r="AY879" s="236"/>
      <c r="AZ879" s="236"/>
      <c r="BA879" s="236"/>
      <c r="BB879" s="236"/>
      <c r="BC879" s="236"/>
      <c r="BD879" s="236"/>
      <c r="BE879" s="236"/>
      <c r="BF879" s="236"/>
      <c r="BG879" s="236"/>
      <c r="BH879" s="236"/>
    </row>
    <row r="880" spans="1:60" ht="13">
      <c r="A880" s="27"/>
      <c r="B880" s="27"/>
      <c r="C880" s="312"/>
      <c r="D880" s="231"/>
      <c r="E880" s="27"/>
      <c r="F880" s="27"/>
      <c r="G880" s="231"/>
      <c r="H880" s="27"/>
      <c r="I880" s="27"/>
      <c r="J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</row>
    <row r="881" spans="1:60" ht="13">
      <c r="A881" s="236"/>
      <c r="B881" s="236"/>
      <c r="C881" s="311"/>
      <c r="D881" s="237"/>
      <c r="E881" s="236"/>
      <c r="F881" s="236"/>
      <c r="G881" s="237"/>
      <c r="H881" s="236"/>
      <c r="I881" s="236"/>
      <c r="J881" s="236"/>
      <c r="N881" s="236"/>
      <c r="O881" s="236"/>
      <c r="P881" s="236"/>
      <c r="Q881" s="236"/>
      <c r="R881" s="236"/>
      <c r="S881" s="236"/>
      <c r="T881" s="236"/>
      <c r="U881" s="236"/>
      <c r="V881" s="236"/>
      <c r="W881" s="236"/>
      <c r="X881" s="236"/>
      <c r="Y881" s="236"/>
      <c r="Z881" s="236"/>
      <c r="AA881" s="236"/>
      <c r="AB881" s="236"/>
      <c r="AC881" s="236"/>
      <c r="AD881" s="236"/>
      <c r="AE881" s="236"/>
      <c r="AF881" s="236"/>
      <c r="AG881" s="236"/>
      <c r="AH881" s="236"/>
      <c r="AI881" s="236"/>
      <c r="AJ881" s="236"/>
      <c r="AK881" s="236"/>
      <c r="AL881" s="236"/>
      <c r="AM881" s="236"/>
      <c r="AN881" s="236"/>
      <c r="AO881" s="236"/>
      <c r="AP881" s="236"/>
      <c r="AQ881" s="236"/>
      <c r="AR881" s="236"/>
      <c r="AS881" s="236"/>
      <c r="AT881" s="236"/>
      <c r="AU881" s="236"/>
      <c r="AV881" s="236"/>
      <c r="AW881" s="236"/>
      <c r="AX881" s="236"/>
      <c r="AY881" s="236"/>
      <c r="AZ881" s="236"/>
      <c r="BA881" s="236"/>
      <c r="BB881" s="236"/>
      <c r="BC881" s="236"/>
      <c r="BD881" s="236"/>
      <c r="BE881" s="236"/>
      <c r="BF881" s="236"/>
      <c r="BG881" s="236"/>
      <c r="BH881" s="236"/>
    </row>
    <row r="882" spans="1:60" ht="13">
      <c r="A882" s="27"/>
      <c r="B882" s="27"/>
      <c r="C882" s="312"/>
      <c r="D882" s="231"/>
      <c r="E882" s="27"/>
      <c r="F882" s="27"/>
      <c r="G882" s="231"/>
      <c r="H882" s="27"/>
      <c r="I882" s="27"/>
      <c r="J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</row>
    <row r="883" spans="1:60" ht="13">
      <c r="A883" s="236"/>
      <c r="B883" s="236"/>
      <c r="C883" s="311"/>
      <c r="D883" s="237"/>
      <c r="E883" s="236"/>
      <c r="F883" s="236"/>
      <c r="G883" s="237"/>
      <c r="H883" s="236"/>
      <c r="I883" s="236"/>
      <c r="J883" s="236"/>
      <c r="N883" s="236"/>
      <c r="O883" s="236"/>
      <c r="P883" s="236"/>
      <c r="Q883" s="236"/>
      <c r="R883" s="236"/>
      <c r="S883" s="236"/>
      <c r="T883" s="236"/>
      <c r="U883" s="236"/>
      <c r="V883" s="236"/>
      <c r="W883" s="236"/>
      <c r="X883" s="236"/>
      <c r="Y883" s="236"/>
      <c r="Z883" s="236"/>
      <c r="AA883" s="236"/>
      <c r="AB883" s="236"/>
      <c r="AC883" s="236"/>
      <c r="AD883" s="236"/>
      <c r="AE883" s="236"/>
      <c r="AF883" s="236"/>
      <c r="AG883" s="236"/>
      <c r="AH883" s="236"/>
      <c r="AI883" s="236"/>
      <c r="AJ883" s="236"/>
      <c r="AK883" s="236"/>
      <c r="AL883" s="236"/>
      <c r="AM883" s="236"/>
      <c r="AN883" s="236"/>
      <c r="AO883" s="236"/>
      <c r="AP883" s="236"/>
      <c r="AQ883" s="236"/>
      <c r="AR883" s="236"/>
      <c r="AS883" s="236"/>
      <c r="AT883" s="236"/>
      <c r="AU883" s="236"/>
      <c r="AV883" s="236"/>
      <c r="AW883" s="236"/>
      <c r="AX883" s="236"/>
      <c r="AY883" s="236"/>
      <c r="AZ883" s="236"/>
      <c r="BA883" s="236"/>
      <c r="BB883" s="236"/>
      <c r="BC883" s="236"/>
      <c r="BD883" s="236"/>
      <c r="BE883" s="236"/>
      <c r="BF883" s="236"/>
      <c r="BG883" s="236"/>
      <c r="BH883" s="236"/>
    </row>
    <row r="884" spans="1:60" ht="13">
      <c r="A884" s="27"/>
      <c r="B884" s="27"/>
      <c r="C884" s="312"/>
      <c r="D884" s="231"/>
      <c r="E884" s="27"/>
      <c r="F884" s="27"/>
      <c r="G884" s="231"/>
      <c r="H884" s="27"/>
      <c r="I884" s="27"/>
      <c r="J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</row>
    <row r="885" spans="1:60" ht="13">
      <c r="A885" s="236"/>
      <c r="B885" s="236"/>
      <c r="C885" s="311"/>
      <c r="D885" s="237"/>
      <c r="E885" s="236"/>
      <c r="F885" s="236"/>
      <c r="G885" s="237"/>
      <c r="H885" s="236"/>
      <c r="I885" s="236"/>
      <c r="J885" s="236"/>
      <c r="N885" s="236"/>
      <c r="O885" s="236"/>
      <c r="P885" s="236"/>
      <c r="Q885" s="236"/>
      <c r="R885" s="236"/>
      <c r="S885" s="236"/>
      <c r="T885" s="236"/>
      <c r="U885" s="236"/>
      <c r="V885" s="236"/>
      <c r="W885" s="236"/>
      <c r="X885" s="236"/>
      <c r="Y885" s="236"/>
      <c r="Z885" s="236"/>
      <c r="AA885" s="236"/>
      <c r="AB885" s="236"/>
      <c r="AC885" s="236"/>
      <c r="AD885" s="236"/>
      <c r="AE885" s="236"/>
      <c r="AF885" s="236"/>
      <c r="AG885" s="236"/>
      <c r="AH885" s="236"/>
      <c r="AI885" s="236"/>
      <c r="AJ885" s="236"/>
      <c r="AK885" s="236"/>
      <c r="AL885" s="236"/>
      <c r="AM885" s="236"/>
      <c r="AN885" s="236"/>
      <c r="AO885" s="236"/>
      <c r="AP885" s="236"/>
      <c r="AQ885" s="236"/>
      <c r="AR885" s="236"/>
      <c r="AS885" s="236"/>
      <c r="AT885" s="236"/>
      <c r="AU885" s="236"/>
      <c r="AV885" s="236"/>
      <c r="AW885" s="236"/>
      <c r="AX885" s="236"/>
      <c r="AY885" s="236"/>
      <c r="AZ885" s="236"/>
      <c r="BA885" s="236"/>
      <c r="BB885" s="236"/>
      <c r="BC885" s="236"/>
      <c r="BD885" s="236"/>
      <c r="BE885" s="236"/>
      <c r="BF885" s="236"/>
      <c r="BG885" s="236"/>
      <c r="BH885" s="236"/>
    </row>
    <row r="886" spans="1:60" ht="13">
      <c r="A886" s="27"/>
      <c r="B886" s="27"/>
      <c r="C886" s="312"/>
      <c r="D886" s="231"/>
      <c r="E886" s="27"/>
      <c r="F886" s="27"/>
      <c r="G886" s="231"/>
      <c r="H886" s="27"/>
      <c r="I886" s="27"/>
      <c r="J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</row>
    <row r="887" spans="1:60" ht="13">
      <c r="A887" s="236"/>
      <c r="B887" s="236"/>
      <c r="C887" s="311"/>
      <c r="D887" s="237"/>
      <c r="E887" s="236"/>
      <c r="F887" s="236"/>
      <c r="G887" s="237"/>
      <c r="H887" s="236"/>
      <c r="I887" s="236"/>
      <c r="J887" s="236"/>
      <c r="N887" s="236"/>
      <c r="O887" s="236"/>
      <c r="P887" s="236"/>
      <c r="Q887" s="236"/>
      <c r="R887" s="236"/>
      <c r="S887" s="236"/>
      <c r="T887" s="236"/>
      <c r="U887" s="236"/>
      <c r="V887" s="236"/>
      <c r="W887" s="236"/>
      <c r="X887" s="236"/>
      <c r="Y887" s="236"/>
      <c r="Z887" s="236"/>
      <c r="AA887" s="236"/>
      <c r="AB887" s="236"/>
      <c r="AC887" s="236"/>
      <c r="AD887" s="236"/>
      <c r="AE887" s="236"/>
      <c r="AF887" s="236"/>
      <c r="AG887" s="236"/>
      <c r="AH887" s="236"/>
      <c r="AI887" s="236"/>
      <c r="AJ887" s="236"/>
      <c r="AK887" s="236"/>
      <c r="AL887" s="236"/>
      <c r="AM887" s="236"/>
      <c r="AN887" s="236"/>
      <c r="AO887" s="236"/>
      <c r="AP887" s="236"/>
      <c r="AQ887" s="236"/>
      <c r="AR887" s="236"/>
      <c r="AS887" s="236"/>
      <c r="AT887" s="236"/>
      <c r="AU887" s="236"/>
      <c r="AV887" s="236"/>
      <c r="AW887" s="236"/>
      <c r="AX887" s="236"/>
      <c r="AY887" s="236"/>
      <c r="AZ887" s="236"/>
      <c r="BA887" s="236"/>
      <c r="BB887" s="236"/>
      <c r="BC887" s="236"/>
      <c r="BD887" s="236"/>
      <c r="BE887" s="236"/>
      <c r="BF887" s="236"/>
      <c r="BG887" s="236"/>
      <c r="BH887" s="236"/>
    </row>
    <row r="888" spans="1:60" ht="13">
      <c r="A888" s="27"/>
      <c r="B888" s="27"/>
      <c r="C888" s="312"/>
      <c r="D888" s="231"/>
      <c r="E888" s="27"/>
      <c r="F888" s="27"/>
      <c r="G888" s="231"/>
      <c r="H888" s="27"/>
      <c r="I888" s="27"/>
      <c r="J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</row>
    <row r="889" spans="1:60" ht="13">
      <c r="A889" s="236"/>
      <c r="B889" s="236"/>
      <c r="C889" s="311"/>
      <c r="D889" s="237"/>
      <c r="E889" s="236"/>
      <c r="F889" s="236"/>
      <c r="G889" s="237"/>
      <c r="H889" s="236"/>
      <c r="I889" s="236"/>
      <c r="J889" s="236"/>
      <c r="N889" s="236"/>
      <c r="O889" s="236"/>
      <c r="P889" s="236"/>
      <c r="Q889" s="236"/>
      <c r="R889" s="236"/>
      <c r="S889" s="236"/>
      <c r="T889" s="236"/>
      <c r="U889" s="236"/>
      <c r="V889" s="236"/>
      <c r="W889" s="236"/>
      <c r="X889" s="236"/>
      <c r="Y889" s="236"/>
      <c r="Z889" s="236"/>
      <c r="AA889" s="236"/>
      <c r="AB889" s="236"/>
      <c r="AC889" s="236"/>
      <c r="AD889" s="236"/>
      <c r="AE889" s="236"/>
      <c r="AF889" s="236"/>
      <c r="AG889" s="236"/>
      <c r="AH889" s="236"/>
      <c r="AI889" s="236"/>
      <c r="AJ889" s="236"/>
      <c r="AK889" s="236"/>
      <c r="AL889" s="236"/>
      <c r="AM889" s="236"/>
      <c r="AN889" s="236"/>
      <c r="AO889" s="236"/>
      <c r="AP889" s="236"/>
      <c r="AQ889" s="236"/>
      <c r="AR889" s="236"/>
      <c r="AS889" s="236"/>
      <c r="AT889" s="236"/>
      <c r="AU889" s="236"/>
      <c r="AV889" s="236"/>
      <c r="AW889" s="236"/>
      <c r="AX889" s="236"/>
      <c r="AY889" s="236"/>
      <c r="AZ889" s="236"/>
      <c r="BA889" s="236"/>
      <c r="BB889" s="236"/>
      <c r="BC889" s="236"/>
      <c r="BD889" s="236"/>
      <c r="BE889" s="236"/>
      <c r="BF889" s="236"/>
      <c r="BG889" s="236"/>
      <c r="BH889" s="236"/>
    </row>
    <row r="890" spans="1:60" ht="13">
      <c r="A890" s="27"/>
      <c r="B890" s="27"/>
      <c r="C890" s="312"/>
      <c r="D890" s="231"/>
      <c r="E890" s="27"/>
      <c r="F890" s="27"/>
      <c r="G890" s="231"/>
      <c r="H890" s="27"/>
      <c r="I890" s="27"/>
      <c r="J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</row>
    <row r="891" spans="1:60" ht="13">
      <c r="A891" s="236"/>
      <c r="B891" s="236"/>
      <c r="C891" s="311"/>
      <c r="D891" s="237"/>
      <c r="E891" s="236"/>
      <c r="F891" s="236"/>
      <c r="G891" s="237"/>
      <c r="H891" s="236"/>
      <c r="I891" s="236"/>
      <c r="J891" s="236"/>
      <c r="N891" s="236"/>
      <c r="O891" s="236"/>
      <c r="P891" s="236"/>
      <c r="Q891" s="236"/>
      <c r="R891" s="236"/>
      <c r="S891" s="236"/>
      <c r="T891" s="236"/>
      <c r="U891" s="236"/>
      <c r="V891" s="236"/>
      <c r="W891" s="236"/>
      <c r="X891" s="236"/>
      <c r="Y891" s="236"/>
      <c r="Z891" s="236"/>
      <c r="AA891" s="236"/>
      <c r="AB891" s="236"/>
      <c r="AC891" s="236"/>
      <c r="AD891" s="236"/>
      <c r="AE891" s="236"/>
      <c r="AF891" s="236"/>
      <c r="AG891" s="236"/>
      <c r="AH891" s="236"/>
      <c r="AI891" s="236"/>
      <c r="AJ891" s="236"/>
      <c r="AK891" s="236"/>
      <c r="AL891" s="236"/>
      <c r="AM891" s="236"/>
      <c r="AN891" s="236"/>
      <c r="AO891" s="236"/>
      <c r="AP891" s="236"/>
      <c r="AQ891" s="236"/>
      <c r="AR891" s="236"/>
      <c r="AS891" s="236"/>
      <c r="AT891" s="236"/>
      <c r="AU891" s="236"/>
      <c r="AV891" s="236"/>
      <c r="AW891" s="236"/>
      <c r="AX891" s="236"/>
      <c r="AY891" s="236"/>
      <c r="AZ891" s="236"/>
      <c r="BA891" s="236"/>
      <c r="BB891" s="236"/>
      <c r="BC891" s="236"/>
      <c r="BD891" s="236"/>
      <c r="BE891" s="236"/>
      <c r="BF891" s="236"/>
      <c r="BG891" s="236"/>
      <c r="BH891" s="236"/>
    </row>
    <row r="892" spans="1:60" ht="13">
      <c r="A892" s="27"/>
      <c r="B892" s="27"/>
      <c r="C892" s="312"/>
      <c r="D892" s="231"/>
      <c r="E892" s="27"/>
      <c r="F892" s="27"/>
      <c r="G892" s="231"/>
      <c r="H892" s="27"/>
      <c r="I892" s="27"/>
      <c r="J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</row>
    <row r="893" spans="1:60" ht="13">
      <c r="A893" s="236"/>
      <c r="B893" s="236"/>
      <c r="C893" s="311"/>
      <c r="D893" s="237"/>
      <c r="E893" s="236"/>
      <c r="F893" s="236"/>
      <c r="G893" s="237"/>
      <c r="H893" s="236"/>
      <c r="I893" s="236"/>
      <c r="J893" s="236"/>
      <c r="N893" s="236"/>
      <c r="O893" s="236"/>
      <c r="P893" s="236"/>
      <c r="Q893" s="236"/>
      <c r="R893" s="236"/>
      <c r="S893" s="236"/>
      <c r="T893" s="236"/>
      <c r="U893" s="236"/>
      <c r="V893" s="236"/>
      <c r="W893" s="236"/>
      <c r="X893" s="236"/>
      <c r="Y893" s="236"/>
      <c r="Z893" s="236"/>
      <c r="AA893" s="236"/>
      <c r="AB893" s="236"/>
      <c r="AC893" s="236"/>
      <c r="AD893" s="236"/>
      <c r="AE893" s="236"/>
      <c r="AF893" s="236"/>
      <c r="AG893" s="236"/>
      <c r="AH893" s="236"/>
      <c r="AI893" s="236"/>
      <c r="AJ893" s="236"/>
      <c r="AK893" s="236"/>
      <c r="AL893" s="236"/>
      <c r="AM893" s="236"/>
      <c r="AN893" s="236"/>
      <c r="AO893" s="236"/>
      <c r="AP893" s="236"/>
      <c r="AQ893" s="236"/>
      <c r="AR893" s="236"/>
      <c r="AS893" s="236"/>
      <c r="AT893" s="236"/>
      <c r="AU893" s="236"/>
      <c r="AV893" s="236"/>
      <c r="AW893" s="236"/>
      <c r="AX893" s="236"/>
      <c r="AY893" s="236"/>
      <c r="AZ893" s="236"/>
      <c r="BA893" s="236"/>
      <c r="BB893" s="236"/>
      <c r="BC893" s="236"/>
      <c r="BD893" s="236"/>
      <c r="BE893" s="236"/>
      <c r="BF893" s="236"/>
      <c r="BG893" s="236"/>
      <c r="BH893" s="236"/>
    </row>
    <row r="894" spans="1:60" ht="13">
      <c r="A894" s="27"/>
      <c r="B894" s="27"/>
      <c r="C894" s="312"/>
      <c r="D894" s="231"/>
      <c r="E894" s="27"/>
      <c r="F894" s="27"/>
      <c r="G894" s="231"/>
      <c r="H894" s="27"/>
      <c r="I894" s="27"/>
      <c r="J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</row>
    <row r="895" spans="1:60" ht="13">
      <c r="A895" s="236"/>
      <c r="B895" s="236"/>
      <c r="C895" s="311"/>
      <c r="D895" s="237"/>
      <c r="E895" s="236"/>
      <c r="F895" s="236"/>
      <c r="G895" s="237"/>
      <c r="H895" s="236"/>
      <c r="I895" s="236"/>
      <c r="J895" s="236"/>
      <c r="N895" s="236"/>
      <c r="O895" s="236"/>
      <c r="P895" s="236"/>
      <c r="Q895" s="236"/>
      <c r="R895" s="236"/>
      <c r="S895" s="236"/>
      <c r="T895" s="236"/>
      <c r="U895" s="236"/>
      <c r="V895" s="236"/>
      <c r="W895" s="236"/>
      <c r="X895" s="236"/>
      <c r="Y895" s="236"/>
      <c r="Z895" s="236"/>
      <c r="AA895" s="236"/>
      <c r="AB895" s="236"/>
      <c r="AC895" s="236"/>
      <c r="AD895" s="236"/>
      <c r="AE895" s="236"/>
      <c r="AF895" s="236"/>
      <c r="AG895" s="236"/>
      <c r="AH895" s="236"/>
      <c r="AI895" s="236"/>
      <c r="AJ895" s="236"/>
      <c r="AK895" s="236"/>
      <c r="AL895" s="236"/>
      <c r="AM895" s="236"/>
      <c r="AN895" s="236"/>
      <c r="AO895" s="236"/>
      <c r="AP895" s="236"/>
      <c r="AQ895" s="236"/>
      <c r="AR895" s="236"/>
      <c r="AS895" s="236"/>
      <c r="AT895" s="236"/>
      <c r="AU895" s="236"/>
      <c r="AV895" s="236"/>
      <c r="AW895" s="236"/>
      <c r="AX895" s="236"/>
      <c r="AY895" s="236"/>
      <c r="AZ895" s="236"/>
      <c r="BA895" s="236"/>
      <c r="BB895" s="236"/>
      <c r="BC895" s="236"/>
      <c r="BD895" s="236"/>
      <c r="BE895" s="236"/>
      <c r="BF895" s="236"/>
      <c r="BG895" s="236"/>
      <c r="BH895" s="236"/>
    </row>
    <row r="896" spans="1:60" ht="13">
      <c r="A896" s="27"/>
      <c r="B896" s="27"/>
      <c r="C896" s="312"/>
      <c r="D896" s="231"/>
      <c r="E896" s="27"/>
      <c r="F896" s="27"/>
      <c r="G896" s="231"/>
      <c r="H896" s="27"/>
      <c r="I896" s="27"/>
      <c r="J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</row>
    <row r="897" spans="1:60" ht="13">
      <c r="A897" s="236"/>
      <c r="B897" s="236"/>
      <c r="C897" s="311"/>
      <c r="D897" s="237"/>
      <c r="E897" s="236"/>
      <c r="F897" s="236"/>
      <c r="G897" s="237"/>
      <c r="H897" s="236"/>
      <c r="I897" s="236"/>
      <c r="J897" s="236"/>
      <c r="N897" s="236"/>
      <c r="O897" s="236"/>
      <c r="P897" s="236"/>
      <c r="Q897" s="236"/>
      <c r="R897" s="236"/>
      <c r="S897" s="236"/>
      <c r="T897" s="236"/>
      <c r="U897" s="236"/>
      <c r="V897" s="236"/>
      <c r="W897" s="236"/>
      <c r="X897" s="236"/>
      <c r="Y897" s="236"/>
      <c r="Z897" s="236"/>
      <c r="AA897" s="236"/>
      <c r="AB897" s="236"/>
      <c r="AC897" s="236"/>
      <c r="AD897" s="236"/>
      <c r="AE897" s="236"/>
      <c r="AF897" s="236"/>
      <c r="AG897" s="236"/>
      <c r="AH897" s="236"/>
      <c r="AI897" s="236"/>
      <c r="AJ897" s="236"/>
      <c r="AK897" s="236"/>
      <c r="AL897" s="236"/>
      <c r="AM897" s="236"/>
      <c r="AN897" s="236"/>
      <c r="AO897" s="236"/>
      <c r="AP897" s="236"/>
      <c r="AQ897" s="236"/>
      <c r="AR897" s="236"/>
      <c r="AS897" s="236"/>
      <c r="AT897" s="236"/>
      <c r="AU897" s="236"/>
      <c r="AV897" s="236"/>
      <c r="AW897" s="236"/>
      <c r="AX897" s="236"/>
      <c r="AY897" s="236"/>
      <c r="AZ897" s="236"/>
      <c r="BA897" s="236"/>
      <c r="BB897" s="236"/>
      <c r="BC897" s="236"/>
      <c r="BD897" s="236"/>
      <c r="BE897" s="236"/>
      <c r="BF897" s="236"/>
      <c r="BG897" s="236"/>
      <c r="BH897" s="236"/>
    </row>
    <row r="898" spans="1:60" ht="13">
      <c r="A898" s="27"/>
      <c r="B898" s="27"/>
      <c r="C898" s="312"/>
      <c r="D898" s="231"/>
      <c r="E898" s="27"/>
      <c r="F898" s="27"/>
      <c r="G898" s="231"/>
      <c r="H898" s="27"/>
      <c r="I898" s="27"/>
      <c r="J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</row>
    <row r="899" spans="1:60" ht="13">
      <c r="A899" s="236"/>
      <c r="B899" s="236"/>
      <c r="C899" s="311"/>
      <c r="D899" s="237"/>
      <c r="E899" s="236"/>
      <c r="F899" s="236"/>
      <c r="G899" s="237"/>
      <c r="H899" s="236"/>
      <c r="I899" s="236"/>
      <c r="J899" s="236"/>
      <c r="N899" s="236"/>
      <c r="O899" s="236"/>
      <c r="P899" s="236"/>
      <c r="Q899" s="236"/>
      <c r="R899" s="236"/>
      <c r="S899" s="236"/>
      <c r="T899" s="236"/>
      <c r="U899" s="236"/>
      <c r="V899" s="236"/>
      <c r="W899" s="236"/>
      <c r="X899" s="236"/>
      <c r="Y899" s="236"/>
      <c r="Z899" s="236"/>
      <c r="AA899" s="236"/>
      <c r="AB899" s="236"/>
      <c r="AC899" s="236"/>
      <c r="AD899" s="236"/>
      <c r="AE899" s="236"/>
      <c r="AF899" s="236"/>
      <c r="AG899" s="236"/>
      <c r="AH899" s="236"/>
      <c r="AI899" s="236"/>
      <c r="AJ899" s="236"/>
      <c r="AK899" s="236"/>
      <c r="AL899" s="236"/>
      <c r="AM899" s="236"/>
      <c r="AN899" s="236"/>
      <c r="AO899" s="236"/>
      <c r="AP899" s="236"/>
      <c r="AQ899" s="236"/>
      <c r="AR899" s="236"/>
      <c r="AS899" s="236"/>
      <c r="AT899" s="236"/>
      <c r="AU899" s="236"/>
      <c r="AV899" s="236"/>
      <c r="AW899" s="236"/>
      <c r="AX899" s="236"/>
      <c r="AY899" s="236"/>
      <c r="AZ899" s="236"/>
      <c r="BA899" s="236"/>
      <c r="BB899" s="236"/>
      <c r="BC899" s="236"/>
      <c r="BD899" s="236"/>
      <c r="BE899" s="236"/>
      <c r="BF899" s="236"/>
      <c r="BG899" s="236"/>
      <c r="BH899" s="236"/>
    </row>
    <row r="900" spans="1:60" ht="13">
      <c r="A900" s="27"/>
      <c r="B900" s="27"/>
      <c r="C900" s="312"/>
      <c r="D900" s="231"/>
      <c r="E900" s="27"/>
      <c r="F900" s="27"/>
      <c r="G900" s="231"/>
      <c r="H900" s="27"/>
      <c r="I900" s="27"/>
      <c r="J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</row>
    <row r="901" spans="1:60" ht="13">
      <c r="A901" s="236"/>
      <c r="B901" s="236"/>
      <c r="C901" s="311"/>
      <c r="D901" s="237"/>
      <c r="E901" s="236"/>
      <c r="F901" s="236"/>
      <c r="G901" s="237"/>
      <c r="H901" s="236"/>
      <c r="I901" s="236"/>
      <c r="J901" s="236"/>
      <c r="N901" s="236"/>
      <c r="O901" s="236"/>
      <c r="P901" s="236"/>
      <c r="Q901" s="236"/>
      <c r="R901" s="236"/>
      <c r="S901" s="236"/>
      <c r="T901" s="236"/>
      <c r="U901" s="236"/>
      <c r="V901" s="236"/>
      <c r="W901" s="236"/>
      <c r="X901" s="236"/>
      <c r="Y901" s="236"/>
      <c r="Z901" s="236"/>
      <c r="AA901" s="236"/>
      <c r="AB901" s="236"/>
      <c r="AC901" s="236"/>
      <c r="AD901" s="236"/>
      <c r="AE901" s="236"/>
      <c r="AF901" s="236"/>
      <c r="AG901" s="236"/>
      <c r="AH901" s="236"/>
      <c r="AI901" s="236"/>
      <c r="AJ901" s="236"/>
      <c r="AK901" s="236"/>
      <c r="AL901" s="236"/>
      <c r="AM901" s="236"/>
      <c r="AN901" s="236"/>
      <c r="AO901" s="236"/>
      <c r="AP901" s="236"/>
      <c r="AQ901" s="236"/>
      <c r="AR901" s="236"/>
      <c r="AS901" s="236"/>
      <c r="AT901" s="236"/>
      <c r="AU901" s="236"/>
      <c r="AV901" s="236"/>
      <c r="AW901" s="236"/>
      <c r="AX901" s="236"/>
      <c r="AY901" s="236"/>
      <c r="AZ901" s="236"/>
      <c r="BA901" s="236"/>
      <c r="BB901" s="236"/>
      <c r="BC901" s="236"/>
      <c r="BD901" s="236"/>
      <c r="BE901" s="236"/>
      <c r="BF901" s="236"/>
      <c r="BG901" s="236"/>
      <c r="BH901" s="236"/>
    </row>
    <row r="902" spans="1:60" ht="13">
      <c r="A902" s="27"/>
      <c r="B902" s="27"/>
      <c r="C902" s="312"/>
      <c r="D902" s="231"/>
      <c r="E902" s="27"/>
      <c r="F902" s="27"/>
      <c r="G902" s="231"/>
      <c r="H902" s="27"/>
      <c r="I902" s="27"/>
      <c r="J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</row>
    <row r="903" spans="1:60" ht="13">
      <c r="A903" s="236"/>
      <c r="B903" s="236"/>
      <c r="C903" s="311"/>
      <c r="D903" s="237"/>
      <c r="E903" s="236"/>
      <c r="F903" s="236"/>
      <c r="G903" s="237"/>
      <c r="H903" s="236"/>
      <c r="I903" s="236"/>
      <c r="J903" s="236"/>
      <c r="N903" s="236"/>
      <c r="O903" s="236"/>
      <c r="P903" s="236"/>
      <c r="Q903" s="236"/>
      <c r="R903" s="236"/>
      <c r="S903" s="236"/>
      <c r="T903" s="236"/>
      <c r="U903" s="236"/>
      <c r="V903" s="236"/>
      <c r="W903" s="236"/>
      <c r="X903" s="236"/>
      <c r="Y903" s="236"/>
      <c r="Z903" s="236"/>
      <c r="AA903" s="236"/>
      <c r="AB903" s="236"/>
      <c r="AC903" s="236"/>
      <c r="AD903" s="236"/>
      <c r="AE903" s="236"/>
      <c r="AF903" s="236"/>
      <c r="AG903" s="236"/>
      <c r="AH903" s="236"/>
      <c r="AI903" s="236"/>
      <c r="AJ903" s="236"/>
      <c r="AK903" s="236"/>
      <c r="AL903" s="236"/>
      <c r="AM903" s="236"/>
      <c r="AN903" s="236"/>
      <c r="AO903" s="236"/>
      <c r="AP903" s="236"/>
      <c r="AQ903" s="236"/>
      <c r="AR903" s="236"/>
      <c r="AS903" s="236"/>
      <c r="AT903" s="236"/>
      <c r="AU903" s="236"/>
      <c r="AV903" s="236"/>
      <c r="AW903" s="236"/>
      <c r="AX903" s="236"/>
      <c r="AY903" s="236"/>
      <c r="AZ903" s="236"/>
      <c r="BA903" s="236"/>
      <c r="BB903" s="236"/>
      <c r="BC903" s="236"/>
      <c r="BD903" s="236"/>
      <c r="BE903" s="236"/>
      <c r="BF903" s="236"/>
      <c r="BG903" s="236"/>
      <c r="BH903" s="236"/>
    </row>
    <row r="904" spans="1:60" ht="13">
      <c r="A904" s="27"/>
      <c r="B904" s="27"/>
      <c r="C904" s="312"/>
      <c r="D904" s="231"/>
      <c r="E904" s="27"/>
      <c r="F904" s="27"/>
      <c r="G904" s="231"/>
      <c r="H904" s="27"/>
      <c r="I904" s="27"/>
      <c r="J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</row>
    <row r="905" spans="1:60" ht="13">
      <c r="A905" s="236"/>
      <c r="B905" s="236"/>
      <c r="C905" s="311"/>
      <c r="D905" s="237"/>
      <c r="E905" s="236"/>
      <c r="F905" s="236"/>
      <c r="G905" s="237"/>
      <c r="H905" s="236"/>
      <c r="I905" s="236"/>
      <c r="J905" s="236"/>
      <c r="N905" s="236"/>
      <c r="O905" s="236"/>
      <c r="P905" s="236"/>
      <c r="Q905" s="236"/>
      <c r="R905" s="236"/>
      <c r="S905" s="236"/>
      <c r="T905" s="236"/>
      <c r="U905" s="236"/>
      <c r="V905" s="236"/>
      <c r="W905" s="236"/>
      <c r="X905" s="236"/>
      <c r="Y905" s="236"/>
      <c r="Z905" s="236"/>
      <c r="AA905" s="236"/>
      <c r="AB905" s="236"/>
      <c r="AC905" s="236"/>
      <c r="AD905" s="236"/>
      <c r="AE905" s="236"/>
      <c r="AF905" s="236"/>
      <c r="AG905" s="236"/>
      <c r="AH905" s="236"/>
      <c r="AI905" s="236"/>
      <c r="AJ905" s="236"/>
      <c r="AK905" s="236"/>
      <c r="AL905" s="236"/>
      <c r="AM905" s="236"/>
      <c r="AN905" s="236"/>
      <c r="AO905" s="236"/>
      <c r="AP905" s="236"/>
      <c r="AQ905" s="236"/>
      <c r="AR905" s="236"/>
      <c r="AS905" s="236"/>
      <c r="AT905" s="236"/>
      <c r="AU905" s="236"/>
      <c r="AV905" s="236"/>
      <c r="AW905" s="236"/>
      <c r="AX905" s="236"/>
      <c r="AY905" s="236"/>
      <c r="AZ905" s="236"/>
      <c r="BA905" s="236"/>
      <c r="BB905" s="236"/>
      <c r="BC905" s="236"/>
      <c r="BD905" s="236"/>
      <c r="BE905" s="236"/>
      <c r="BF905" s="236"/>
      <c r="BG905" s="236"/>
      <c r="BH905" s="236"/>
    </row>
    <row r="906" spans="1:60" ht="13">
      <c r="A906" s="27"/>
      <c r="B906" s="27"/>
      <c r="C906" s="312"/>
      <c r="D906" s="231"/>
      <c r="E906" s="27"/>
      <c r="F906" s="27"/>
      <c r="G906" s="231"/>
      <c r="H906" s="27"/>
      <c r="I906" s="27"/>
      <c r="J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</row>
    <row r="907" spans="1:60" ht="13">
      <c r="A907" s="236"/>
      <c r="B907" s="236"/>
      <c r="C907" s="311"/>
      <c r="D907" s="237"/>
      <c r="E907" s="236"/>
      <c r="F907" s="236"/>
      <c r="G907" s="237"/>
      <c r="H907" s="236"/>
      <c r="I907" s="236"/>
      <c r="J907" s="236"/>
      <c r="N907" s="236"/>
      <c r="O907" s="236"/>
      <c r="P907" s="236"/>
      <c r="Q907" s="236"/>
      <c r="R907" s="236"/>
      <c r="S907" s="236"/>
      <c r="T907" s="236"/>
      <c r="U907" s="236"/>
      <c r="V907" s="236"/>
      <c r="W907" s="236"/>
      <c r="X907" s="236"/>
      <c r="Y907" s="236"/>
      <c r="Z907" s="236"/>
      <c r="AA907" s="236"/>
      <c r="AB907" s="236"/>
      <c r="AC907" s="236"/>
      <c r="AD907" s="236"/>
      <c r="AE907" s="236"/>
      <c r="AF907" s="236"/>
      <c r="AG907" s="236"/>
      <c r="AH907" s="236"/>
      <c r="AI907" s="236"/>
      <c r="AJ907" s="236"/>
      <c r="AK907" s="236"/>
      <c r="AL907" s="236"/>
      <c r="AM907" s="236"/>
      <c r="AN907" s="236"/>
      <c r="AO907" s="236"/>
      <c r="AP907" s="236"/>
      <c r="AQ907" s="236"/>
      <c r="AR907" s="236"/>
      <c r="AS907" s="236"/>
      <c r="AT907" s="236"/>
      <c r="AU907" s="236"/>
      <c r="AV907" s="236"/>
      <c r="AW907" s="236"/>
      <c r="AX907" s="236"/>
      <c r="AY907" s="236"/>
      <c r="AZ907" s="236"/>
      <c r="BA907" s="236"/>
      <c r="BB907" s="236"/>
      <c r="BC907" s="236"/>
      <c r="BD907" s="236"/>
      <c r="BE907" s="236"/>
      <c r="BF907" s="236"/>
      <c r="BG907" s="236"/>
      <c r="BH907" s="236"/>
    </row>
    <row r="908" spans="1:60" ht="13">
      <c r="A908" s="27"/>
      <c r="B908" s="27"/>
      <c r="C908" s="312"/>
      <c r="D908" s="231"/>
      <c r="E908" s="27"/>
      <c r="F908" s="27"/>
      <c r="G908" s="231"/>
      <c r="H908" s="27"/>
      <c r="I908" s="27"/>
      <c r="J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</row>
    <row r="909" spans="1:60" ht="13">
      <c r="A909" s="236"/>
      <c r="B909" s="236"/>
      <c r="C909" s="311"/>
      <c r="D909" s="237"/>
      <c r="E909" s="236"/>
      <c r="F909" s="236"/>
      <c r="G909" s="237"/>
      <c r="H909" s="236"/>
      <c r="I909" s="236"/>
      <c r="J909" s="236"/>
      <c r="N909" s="236"/>
      <c r="O909" s="236"/>
      <c r="P909" s="236"/>
      <c r="Q909" s="236"/>
      <c r="R909" s="236"/>
      <c r="S909" s="236"/>
      <c r="T909" s="236"/>
      <c r="U909" s="236"/>
      <c r="V909" s="236"/>
      <c r="W909" s="236"/>
      <c r="X909" s="236"/>
      <c r="Y909" s="236"/>
      <c r="Z909" s="236"/>
      <c r="AA909" s="236"/>
      <c r="AB909" s="236"/>
      <c r="AC909" s="236"/>
      <c r="AD909" s="236"/>
      <c r="AE909" s="236"/>
      <c r="AF909" s="236"/>
      <c r="AG909" s="236"/>
      <c r="AH909" s="236"/>
      <c r="AI909" s="236"/>
      <c r="AJ909" s="236"/>
      <c r="AK909" s="236"/>
      <c r="AL909" s="236"/>
      <c r="AM909" s="236"/>
      <c r="AN909" s="236"/>
      <c r="AO909" s="236"/>
      <c r="AP909" s="236"/>
      <c r="AQ909" s="236"/>
      <c r="AR909" s="236"/>
      <c r="AS909" s="236"/>
      <c r="AT909" s="236"/>
      <c r="AU909" s="236"/>
      <c r="AV909" s="236"/>
      <c r="AW909" s="236"/>
      <c r="AX909" s="236"/>
      <c r="AY909" s="236"/>
      <c r="AZ909" s="236"/>
      <c r="BA909" s="236"/>
      <c r="BB909" s="236"/>
      <c r="BC909" s="236"/>
      <c r="BD909" s="236"/>
      <c r="BE909" s="236"/>
      <c r="BF909" s="236"/>
      <c r="BG909" s="236"/>
      <c r="BH909" s="236"/>
    </row>
    <row r="910" spans="1:60" ht="13">
      <c r="A910" s="27"/>
      <c r="B910" s="27"/>
      <c r="C910" s="312"/>
      <c r="D910" s="231"/>
      <c r="E910" s="27"/>
      <c r="F910" s="27"/>
      <c r="G910" s="231"/>
      <c r="H910" s="27"/>
      <c r="I910" s="27"/>
      <c r="J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</row>
    <row r="911" spans="1:60" ht="13">
      <c r="A911" s="236"/>
      <c r="B911" s="236"/>
      <c r="C911" s="311"/>
      <c r="D911" s="237"/>
      <c r="E911" s="236"/>
      <c r="F911" s="236"/>
      <c r="G911" s="237"/>
      <c r="H911" s="236"/>
      <c r="I911" s="236"/>
      <c r="J911" s="236"/>
      <c r="N911" s="236"/>
      <c r="O911" s="236"/>
      <c r="P911" s="236"/>
      <c r="Q911" s="236"/>
      <c r="R911" s="236"/>
      <c r="S911" s="236"/>
      <c r="T911" s="236"/>
      <c r="U911" s="236"/>
      <c r="V911" s="236"/>
      <c r="W911" s="236"/>
      <c r="X911" s="236"/>
      <c r="Y911" s="236"/>
      <c r="Z911" s="236"/>
      <c r="AA911" s="236"/>
      <c r="AB911" s="236"/>
      <c r="AC911" s="236"/>
      <c r="AD911" s="236"/>
      <c r="AE911" s="236"/>
      <c r="AF911" s="236"/>
      <c r="AG911" s="236"/>
      <c r="AH911" s="236"/>
      <c r="AI911" s="236"/>
      <c r="AJ911" s="236"/>
      <c r="AK911" s="236"/>
      <c r="AL911" s="236"/>
      <c r="AM911" s="236"/>
      <c r="AN911" s="236"/>
      <c r="AO911" s="236"/>
      <c r="AP911" s="236"/>
      <c r="AQ911" s="236"/>
      <c r="AR911" s="236"/>
      <c r="AS911" s="236"/>
      <c r="AT911" s="236"/>
      <c r="AU911" s="236"/>
      <c r="AV911" s="236"/>
      <c r="AW911" s="236"/>
      <c r="AX911" s="236"/>
      <c r="AY911" s="236"/>
      <c r="AZ911" s="236"/>
      <c r="BA911" s="236"/>
      <c r="BB911" s="236"/>
      <c r="BC911" s="236"/>
      <c r="BD911" s="236"/>
      <c r="BE911" s="236"/>
      <c r="BF911" s="236"/>
      <c r="BG911" s="236"/>
      <c r="BH911" s="236"/>
    </row>
    <row r="912" spans="1:60" ht="13">
      <c r="A912" s="27"/>
      <c r="B912" s="27"/>
      <c r="C912" s="312"/>
      <c r="D912" s="231"/>
      <c r="E912" s="27"/>
      <c r="F912" s="27"/>
      <c r="G912" s="231"/>
      <c r="H912" s="27"/>
      <c r="I912" s="27"/>
      <c r="J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</row>
    <row r="913" spans="1:60" ht="13">
      <c r="A913" s="236"/>
      <c r="B913" s="236"/>
      <c r="C913" s="311"/>
      <c r="D913" s="237"/>
      <c r="E913" s="236"/>
      <c r="F913" s="236"/>
      <c r="G913" s="237"/>
      <c r="H913" s="236"/>
      <c r="I913" s="236"/>
      <c r="J913" s="236"/>
      <c r="N913" s="236"/>
      <c r="O913" s="236"/>
      <c r="P913" s="236"/>
      <c r="Q913" s="236"/>
      <c r="R913" s="236"/>
      <c r="S913" s="236"/>
      <c r="T913" s="236"/>
      <c r="U913" s="236"/>
      <c r="V913" s="236"/>
      <c r="W913" s="236"/>
      <c r="X913" s="236"/>
      <c r="Y913" s="236"/>
      <c r="Z913" s="236"/>
      <c r="AA913" s="236"/>
      <c r="AB913" s="236"/>
      <c r="AC913" s="236"/>
      <c r="AD913" s="236"/>
      <c r="AE913" s="236"/>
      <c r="AF913" s="236"/>
      <c r="AG913" s="236"/>
      <c r="AH913" s="236"/>
      <c r="AI913" s="236"/>
      <c r="AJ913" s="236"/>
      <c r="AK913" s="236"/>
      <c r="AL913" s="236"/>
      <c r="AM913" s="236"/>
      <c r="AN913" s="236"/>
      <c r="AO913" s="236"/>
      <c r="AP913" s="236"/>
      <c r="AQ913" s="236"/>
      <c r="AR913" s="236"/>
      <c r="AS913" s="236"/>
      <c r="AT913" s="236"/>
      <c r="AU913" s="236"/>
      <c r="AV913" s="236"/>
      <c r="AW913" s="236"/>
      <c r="AX913" s="236"/>
      <c r="AY913" s="236"/>
      <c r="AZ913" s="236"/>
      <c r="BA913" s="236"/>
      <c r="BB913" s="236"/>
      <c r="BC913" s="236"/>
      <c r="BD913" s="236"/>
      <c r="BE913" s="236"/>
      <c r="BF913" s="236"/>
      <c r="BG913" s="236"/>
      <c r="BH913" s="236"/>
    </row>
    <row r="914" spans="1:60" ht="13">
      <c r="A914" s="27"/>
      <c r="B914" s="27"/>
      <c r="C914" s="312"/>
      <c r="D914" s="231"/>
      <c r="E914" s="27"/>
      <c r="F914" s="27"/>
      <c r="G914" s="231"/>
      <c r="H914" s="27"/>
      <c r="I914" s="27"/>
      <c r="J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</row>
    <row r="915" spans="1:60" ht="13">
      <c r="A915" s="236"/>
      <c r="B915" s="236"/>
      <c r="C915" s="311"/>
      <c r="D915" s="237"/>
      <c r="E915" s="236"/>
      <c r="F915" s="236"/>
      <c r="G915" s="237"/>
      <c r="H915" s="236"/>
      <c r="I915" s="236"/>
      <c r="J915" s="236"/>
      <c r="N915" s="236"/>
      <c r="O915" s="236"/>
      <c r="P915" s="236"/>
      <c r="Q915" s="236"/>
      <c r="R915" s="236"/>
      <c r="S915" s="236"/>
      <c r="T915" s="236"/>
      <c r="U915" s="236"/>
      <c r="V915" s="236"/>
      <c r="W915" s="236"/>
      <c r="X915" s="236"/>
      <c r="Y915" s="236"/>
      <c r="Z915" s="236"/>
      <c r="AA915" s="236"/>
      <c r="AB915" s="236"/>
      <c r="AC915" s="236"/>
      <c r="AD915" s="236"/>
      <c r="AE915" s="236"/>
      <c r="AF915" s="236"/>
      <c r="AG915" s="236"/>
      <c r="AH915" s="236"/>
      <c r="AI915" s="236"/>
      <c r="AJ915" s="236"/>
      <c r="AK915" s="236"/>
      <c r="AL915" s="236"/>
      <c r="AM915" s="236"/>
      <c r="AN915" s="236"/>
      <c r="AO915" s="236"/>
      <c r="AP915" s="236"/>
      <c r="AQ915" s="236"/>
      <c r="AR915" s="236"/>
      <c r="AS915" s="236"/>
      <c r="AT915" s="236"/>
      <c r="AU915" s="236"/>
      <c r="AV915" s="236"/>
      <c r="AW915" s="236"/>
      <c r="AX915" s="236"/>
      <c r="AY915" s="236"/>
      <c r="AZ915" s="236"/>
      <c r="BA915" s="236"/>
      <c r="BB915" s="236"/>
      <c r="BC915" s="236"/>
      <c r="BD915" s="236"/>
      <c r="BE915" s="236"/>
      <c r="BF915" s="236"/>
      <c r="BG915" s="236"/>
      <c r="BH915" s="236"/>
    </row>
    <row r="916" spans="1:60" ht="13">
      <c r="A916" s="27"/>
      <c r="B916" s="27"/>
      <c r="C916" s="312"/>
      <c r="D916" s="231"/>
      <c r="E916" s="27"/>
      <c r="F916" s="27"/>
      <c r="G916" s="231"/>
      <c r="H916" s="27"/>
      <c r="I916" s="27"/>
      <c r="J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</row>
    <row r="917" spans="1:60" ht="13">
      <c r="A917" s="236"/>
      <c r="B917" s="236"/>
      <c r="C917" s="311"/>
      <c r="D917" s="237"/>
      <c r="E917" s="236"/>
      <c r="F917" s="236"/>
      <c r="G917" s="237"/>
      <c r="H917" s="236"/>
      <c r="I917" s="236"/>
      <c r="J917" s="236"/>
      <c r="N917" s="236"/>
      <c r="O917" s="236"/>
      <c r="P917" s="236"/>
      <c r="Q917" s="236"/>
      <c r="R917" s="236"/>
      <c r="S917" s="236"/>
      <c r="T917" s="236"/>
      <c r="U917" s="236"/>
      <c r="V917" s="236"/>
      <c r="W917" s="236"/>
      <c r="X917" s="236"/>
      <c r="Y917" s="236"/>
      <c r="Z917" s="236"/>
      <c r="AA917" s="236"/>
      <c r="AB917" s="236"/>
      <c r="AC917" s="236"/>
      <c r="AD917" s="236"/>
      <c r="AE917" s="236"/>
      <c r="AF917" s="236"/>
      <c r="AG917" s="236"/>
      <c r="AH917" s="236"/>
      <c r="AI917" s="236"/>
      <c r="AJ917" s="236"/>
      <c r="AK917" s="236"/>
      <c r="AL917" s="236"/>
      <c r="AM917" s="236"/>
      <c r="AN917" s="236"/>
      <c r="AO917" s="236"/>
      <c r="AP917" s="236"/>
      <c r="AQ917" s="236"/>
      <c r="AR917" s="236"/>
      <c r="AS917" s="236"/>
      <c r="AT917" s="236"/>
      <c r="AU917" s="236"/>
      <c r="AV917" s="236"/>
      <c r="AW917" s="236"/>
      <c r="AX917" s="236"/>
      <c r="AY917" s="236"/>
      <c r="AZ917" s="236"/>
      <c r="BA917" s="236"/>
      <c r="BB917" s="236"/>
      <c r="BC917" s="236"/>
      <c r="BD917" s="236"/>
      <c r="BE917" s="236"/>
      <c r="BF917" s="236"/>
      <c r="BG917" s="236"/>
      <c r="BH917" s="236"/>
    </row>
    <row r="918" spans="1:60" ht="13">
      <c r="A918" s="27"/>
      <c r="B918" s="27"/>
      <c r="C918" s="312"/>
      <c r="D918" s="231"/>
      <c r="E918" s="27"/>
      <c r="F918" s="27"/>
      <c r="G918" s="231"/>
      <c r="H918" s="27"/>
      <c r="I918" s="27"/>
      <c r="J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</row>
    <row r="919" spans="1:60" ht="13">
      <c r="A919" s="236"/>
      <c r="B919" s="236"/>
      <c r="C919" s="311"/>
      <c r="D919" s="237"/>
      <c r="E919" s="236"/>
      <c r="F919" s="236"/>
      <c r="G919" s="237"/>
      <c r="H919" s="236"/>
      <c r="I919" s="236"/>
      <c r="J919" s="236"/>
      <c r="N919" s="236"/>
      <c r="O919" s="236"/>
      <c r="P919" s="236"/>
      <c r="Q919" s="236"/>
      <c r="R919" s="236"/>
      <c r="S919" s="236"/>
      <c r="T919" s="236"/>
      <c r="U919" s="236"/>
      <c r="V919" s="236"/>
      <c r="W919" s="236"/>
      <c r="X919" s="236"/>
      <c r="Y919" s="236"/>
      <c r="Z919" s="236"/>
      <c r="AA919" s="236"/>
      <c r="AB919" s="236"/>
      <c r="AC919" s="236"/>
      <c r="AD919" s="236"/>
      <c r="AE919" s="236"/>
      <c r="AF919" s="236"/>
      <c r="AG919" s="236"/>
      <c r="AH919" s="236"/>
      <c r="AI919" s="236"/>
      <c r="AJ919" s="236"/>
      <c r="AK919" s="236"/>
      <c r="AL919" s="236"/>
      <c r="AM919" s="236"/>
      <c r="AN919" s="236"/>
      <c r="AO919" s="236"/>
      <c r="AP919" s="236"/>
      <c r="AQ919" s="236"/>
      <c r="AR919" s="236"/>
      <c r="AS919" s="236"/>
      <c r="AT919" s="236"/>
      <c r="AU919" s="236"/>
      <c r="AV919" s="236"/>
      <c r="AW919" s="236"/>
      <c r="AX919" s="236"/>
      <c r="AY919" s="236"/>
      <c r="AZ919" s="236"/>
      <c r="BA919" s="236"/>
      <c r="BB919" s="236"/>
      <c r="BC919" s="236"/>
      <c r="BD919" s="236"/>
      <c r="BE919" s="236"/>
      <c r="BF919" s="236"/>
      <c r="BG919" s="236"/>
      <c r="BH919" s="236"/>
    </row>
    <row r="920" spans="1:60" ht="13">
      <c r="A920" s="27"/>
      <c r="B920" s="27"/>
      <c r="C920" s="312"/>
      <c r="D920" s="231"/>
      <c r="E920" s="27"/>
      <c r="F920" s="27"/>
      <c r="G920" s="231"/>
      <c r="H920" s="27"/>
      <c r="I920" s="27"/>
      <c r="J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</row>
    <row r="921" spans="1:60" ht="13">
      <c r="A921" s="236"/>
      <c r="B921" s="236"/>
      <c r="C921" s="311"/>
      <c r="D921" s="237"/>
      <c r="E921" s="236"/>
      <c r="F921" s="236"/>
      <c r="G921" s="237"/>
      <c r="H921" s="236"/>
      <c r="I921" s="236"/>
      <c r="J921" s="236"/>
      <c r="N921" s="236"/>
      <c r="O921" s="236"/>
      <c r="P921" s="236"/>
      <c r="Q921" s="236"/>
      <c r="R921" s="236"/>
      <c r="S921" s="236"/>
      <c r="T921" s="236"/>
      <c r="U921" s="236"/>
      <c r="V921" s="236"/>
      <c r="W921" s="236"/>
      <c r="X921" s="236"/>
      <c r="Y921" s="236"/>
      <c r="Z921" s="236"/>
      <c r="AA921" s="236"/>
      <c r="AB921" s="236"/>
      <c r="AC921" s="236"/>
      <c r="AD921" s="236"/>
      <c r="AE921" s="236"/>
      <c r="AF921" s="236"/>
      <c r="AG921" s="236"/>
      <c r="AH921" s="236"/>
      <c r="AI921" s="236"/>
      <c r="AJ921" s="236"/>
      <c r="AK921" s="236"/>
      <c r="AL921" s="236"/>
      <c r="AM921" s="236"/>
      <c r="AN921" s="236"/>
      <c r="AO921" s="236"/>
      <c r="AP921" s="236"/>
      <c r="AQ921" s="236"/>
      <c r="AR921" s="236"/>
      <c r="AS921" s="236"/>
      <c r="AT921" s="236"/>
      <c r="AU921" s="236"/>
      <c r="AV921" s="236"/>
      <c r="AW921" s="236"/>
      <c r="AX921" s="236"/>
      <c r="AY921" s="236"/>
      <c r="AZ921" s="236"/>
      <c r="BA921" s="236"/>
      <c r="BB921" s="236"/>
      <c r="BC921" s="236"/>
      <c r="BD921" s="236"/>
      <c r="BE921" s="236"/>
      <c r="BF921" s="236"/>
      <c r="BG921" s="236"/>
      <c r="BH921" s="236"/>
    </row>
    <row r="922" spans="1:60" ht="13">
      <c r="A922" s="27"/>
      <c r="B922" s="27"/>
      <c r="C922" s="312"/>
      <c r="D922" s="231"/>
      <c r="E922" s="27"/>
      <c r="F922" s="27"/>
      <c r="G922" s="231"/>
      <c r="H922" s="27"/>
      <c r="I922" s="27"/>
      <c r="J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</row>
    <row r="923" spans="1:60" ht="13">
      <c r="A923" s="236"/>
      <c r="B923" s="236"/>
      <c r="C923" s="311"/>
      <c r="D923" s="237"/>
      <c r="E923" s="236"/>
      <c r="F923" s="236"/>
      <c r="G923" s="237"/>
      <c r="H923" s="236"/>
      <c r="I923" s="236"/>
      <c r="J923" s="236"/>
      <c r="N923" s="236"/>
      <c r="O923" s="236"/>
      <c r="P923" s="236"/>
      <c r="Q923" s="236"/>
      <c r="R923" s="236"/>
      <c r="S923" s="236"/>
      <c r="T923" s="236"/>
      <c r="U923" s="236"/>
      <c r="V923" s="236"/>
      <c r="W923" s="236"/>
      <c r="X923" s="236"/>
      <c r="Y923" s="236"/>
      <c r="Z923" s="236"/>
      <c r="AA923" s="236"/>
      <c r="AB923" s="236"/>
      <c r="AC923" s="236"/>
      <c r="AD923" s="236"/>
      <c r="AE923" s="236"/>
      <c r="AF923" s="236"/>
      <c r="AG923" s="236"/>
      <c r="AH923" s="236"/>
      <c r="AI923" s="236"/>
      <c r="AJ923" s="236"/>
      <c r="AK923" s="236"/>
      <c r="AL923" s="236"/>
      <c r="AM923" s="236"/>
      <c r="AN923" s="236"/>
      <c r="AO923" s="236"/>
      <c r="AP923" s="236"/>
      <c r="AQ923" s="236"/>
      <c r="AR923" s="236"/>
      <c r="AS923" s="236"/>
      <c r="AT923" s="236"/>
      <c r="AU923" s="236"/>
      <c r="AV923" s="236"/>
      <c r="AW923" s="236"/>
      <c r="AX923" s="236"/>
      <c r="AY923" s="236"/>
      <c r="AZ923" s="236"/>
      <c r="BA923" s="236"/>
      <c r="BB923" s="236"/>
      <c r="BC923" s="236"/>
      <c r="BD923" s="236"/>
      <c r="BE923" s="236"/>
      <c r="BF923" s="236"/>
      <c r="BG923" s="236"/>
      <c r="BH923" s="236"/>
    </row>
    <row r="924" spans="1:60" ht="13">
      <c r="A924" s="27"/>
      <c r="B924" s="27"/>
      <c r="C924" s="312"/>
      <c r="D924" s="231"/>
      <c r="E924" s="27"/>
      <c r="F924" s="27"/>
      <c r="G924" s="231"/>
      <c r="H924" s="27"/>
      <c r="I924" s="27"/>
      <c r="J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</row>
    <row r="925" spans="1:60" ht="13">
      <c r="A925" s="236"/>
      <c r="B925" s="236"/>
      <c r="C925" s="311"/>
      <c r="D925" s="237"/>
      <c r="E925" s="236"/>
      <c r="F925" s="236"/>
      <c r="G925" s="237"/>
      <c r="H925" s="236"/>
      <c r="I925" s="236"/>
      <c r="J925" s="236"/>
      <c r="N925" s="236"/>
      <c r="O925" s="236"/>
      <c r="P925" s="236"/>
      <c r="Q925" s="236"/>
      <c r="R925" s="236"/>
      <c r="S925" s="236"/>
      <c r="T925" s="236"/>
      <c r="U925" s="236"/>
      <c r="V925" s="236"/>
      <c r="W925" s="236"/>
      <c r="X925" s="236"/>
      <c r="Y925" s="236"/>
      <c r="Z925" s="236"/>
      <c r="AA925" s="236"/>
      <c r="AB925" s="236"/>
      <c r="AC925" s="236"/>
      <c r="AD925" s="236"/>
      <c r="AE925" s="236"/>
      <c r="AF925" s="236"/>
      <c r="AG925" s="236"/>
      <c r="AH925" s="236"/>
      <c r="AI925" s="236"/>
      <c r="AJ925" s="236"/>
      <c r="AK925" s="236"/>
      <c r="AL925" s="236"/>
      <c r="AM925" s="236"/>
      <c r="AN925" s="236"/>
      <c r="AO925" s="236"/>
      <c r="AP925" s="236"/>
      <c r="AQ925" s="236"/>
      <c r="AR925" s="236"/>
      <c r="AS925" s="236"/>
      <c r="AT925" s="236"/>
      <c r="AU925" s="236"/>
      <c r="AV925" s="236"/>
      <c r="AW925" s="236"/>
      <c r="AX925" s="236"/>
      <c r="AY925" s="236"/>
      <c r="AZ925" s="236"/>
      <c r="BA925" s="236"/>
      <c r="BB925" s="236"/>
      <c r="BC925" s="236"/>
      <c r="BD925" s="236"/>
      <c r="BE925" s="236"/>
      <c r="BF925" s="236"/>
      <c r="BG925" s="236"/>
      <c r="BH925" s="236"/>
    </row>
    <row r="926" spans="1:60" ht="13">
      <c r="A926" s="27"/>
      <c r="B926" s="27"/>
      <c r="C926" s="312"/>
      <c r="D926" s="231"/>
      <c r="E926" s="27"/>
      <c r="F926" s="27"/>
      <c r="G926" s="231"/>
      <c r="H926" s="27"/>
      <c r="I926" s="27"/>
      <c r="J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</row>
    <row r="927" spans="1:60" ht="13">
      <c r="A927" s="236"/>
      <c r="B927" s="236"/>
      <c r="C927" s="311"/>
      <c r="D927" s="237"/>
      <c r="E927" s="236"/>
      <c r="F927" s="236"/>
      <c r="G927" s="237"/>
      <c r="H927" s="236"/>
      <c r="I927" s="236"/>
      <c r="J927" s="236"/>
      <c r="N927" s="236"/>
      <c r="O927" s="236"/>
      <c r="P927" s="236"/>
      <c r="Q927" s="236"/>
      <c r="R927" s="236"/>
      <c r="S927" s="236"/>
      <c r="T927" s="236"/>
      <c r="U927" s="236"/>
      <c r="V927" s="236"/>
      <c r="W927" s="236"/>
      <c r="X927" s="236"/>
      <c r="Y927" s="236"/>
      <c r="Z927" s="236"/>
      <c r="AA927" s="236"/>
      <c r="AB927" s="236"/>
      <c r="AC927" s="236"/>
      <c r="AD927" s="236"/>
      <c r="AE927" s="236"/>
      <c r="AF927" s="236"/>
      <c r="AG927" s="236"/>
      <c r="AH927" s="236"/>
      <c r="AI927" s="236"/>
      <c r="AJ927" s="236"/>
      <c r="AK927" s="236"/>
      <c r="AL927" s="236"/>
      <c r="AM927" s="236"/>
      <c r="AN927" s="236"/>
      <c r="AO927" s="236"/>
      <c r="AP927" s="236"/>
      <c r="AQ927" s="236"/>
      <c r="AR927" s="236"/>
      <c r="AS927" s="236"/>
      <c r="AT927" s="236"/>
      <c r="AU927" s="236"/>
      <c r="AV927" s="236"/>
      <c r="AW927" s="236"/>
      <c r="AX927" s="236"/>
      <c r="AY927" s="236"/>
      <c r="AZ927" s="236"/>
      <c r="BA927" s="236"/>
      <c r="BB927" s="236"/>
      <c r="BC927" s="236"/>
      <c r="BD927" s="236"/>
      <c r="BE927" s="236"/>
      <c r="BF927" s="236"/>
      <c r="BG927" s="236"/>
      <c r="BH927" s="236"/>
    </row>
    <row r="928" spans="1:60" ht="13">
      <c r="A928" s="27"/>
      <c r="B928" s="27"/>
      <c r="C928" s="312"/>
      <c r="D928" s="231"/>
      <c r="E928" s="27"/>
      <c r="F928" s="27"/>
      <c r="G928" s="231"/>
      <c r="H928" s="27"/>
      <c r="I928" s="27"/>
      <c r="J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</row>
    <row r="929" spans="1:60" ht="13">
      <c r="A929" s="236"/>
      <c r="B929" s="236"/>
      <c r="C929" s="311"/>
      <c r="D929" s="237"/>
      <c r="E929" s="236"/>
      <c r="F929" s="236"/>
      <c r="G929" s="237"/>
      <c r="H929" s="236"/>
      <c r="I929" s="236"/>
      <c r="J929" s="236"/>
      <c r="N929" s="236"/>
      <c r="O929" s="236"/>
      <c r="P929" s="236"/>
      <c r="Q929" s="236"/>
      <c r="R929" s="236"/>
      <c r="S929" s="236"/>
      <c r="T929" s="236"/>
      <c r="U929" s="236"/>
      <c r="V929" s="236"/>
      <c r="W929" s="236"/>
      <c r="X929" s="236"/>
      <c r="Y929" s="236"/>
      <c r="Z929" s="236"/>
      <c r="AA929" s="236"/>
      <c r="AB929" s="236"/>
      <c r="AC929" s="236"/>
      <c r="AD929" s="236"/>
      <c r="AE929" s="236"/>
      <c r="AF929" s="236"/>
      <c r="AG929" s="236"/>
      <c r="AH929" s="236"/>
      <c r="AI929" s="236"/>
      <c r="AJ929" s="236"/>
      <c r="AK929" s="236"/>
      <c r="AL929" s="236"/>
      <c r="AM929" s="236"/>
      <c r="AN929" s="236"/>
      <c r="AO929" s="236"/>
      <c r="AP929" s="236"/>
      <c r="AQ929" s="236"/>
      <c r="AR929" s="236"/>
      <c r="AS929" s="236"/>
      <c r="AT929" s="236"/>
      <c r="AU929" s="236"/>
      <c r="AV929" s="236"/>
      <c r="AW929" s="236"/>
      <c r="AX929" s="236"/>
      <c r="AY929" s="236"/>
      <c r="AZ929" s="236"/>
      <c r="BA929" s="236"/>
      <c r="BB929" s="236"/>
      <c r="BC929" s="236"/>
      <c r="BD929" s="236"/>
      <c r="BE929" s="236"/>
      <c r="BF929" s="236"/>
      <c r="BG929" s="236"/>
      <c r="BH929" s="236"/>
    </row>
    <row r="930" spans="1:60" ht="13">
      <c r="A930" s="27"/>
      <c r="B930" s="27"/>
      <c r="C930" s="312"/>
      <c r="D930" s="231"/>
      <c r="E930" s="27"/>
      <c r="F930" s="27"/>
      <c r="G930" s="231"/>
      <c r="H930" s="27"/>
      <c r="I930" s="27"/>
      <c r="J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</row>
    <row r="931" spans="1:60" ht="13">
      <c r="A931" s="236"/>
      <c r="B931" s="236"/>
      <c r="C931" s="311"/>
      <c r="D931" s="237"/>
      <c r="E931" s="236"/>
      <c r="F931" s="236"/>
      <c r="G931" s="237"/>
      <c r="H931" s="236"/>
      <c r="I931" s="236"/>
      <c r="J931" s="236"/>
      <c r="N931" s="236"/>
      <c r="O931" s="236"/>
      <c r="P931" s="236"/>
      <c r="Q931" s="236"/>
      <c r="R931" s="236"/>
      <c r="S931" s="236"/>
      <c r="T931" s="236"/>
      <c r="U931" s="236"/>
      <c r="V931" s="236"/>
      <c r="W931" s="236"/>
      <c r="X931" s="236"/>
      <c r="Y931" s="236"/>
      <c r="Z931" s="236"/>
      <c r="AA931" s="236"/>
      <c r="AB931" s="236"/>
      <c r="AC931" s="236"/>
      <c r="AD931" s="236"/>
      <c r="AE931" s="236"/>
      <c r="AF931" s="236"/>
      <c r="AG931" s="236"/>
      <c r="AH931" s="236"/>
      <c r="AI931" s="236"/>
      <c r="AJ931" s="236"/>
      <c r="AK931" s="236"/>
      <c r="AL931" s="236"/>
      <c r="AM931" s="236"/>
      <c r="AN931" s="236"/>
      <c r="AO931" s="236"/>
      <c r="AP931" s="236"/>
      <c r="AQ931" s="236"/>
      <c r="AR931" s="236"/>
      <c r="AS931" s="236"/>
      <c r="AT931" s="236"/>
      <c r="AU931" s="236"/>
      <c r="AV931" s="236"/>
      <c r="AW931" s="236"/>
      <c r="AX931" s="236"/>
      <c r="AY931" s="236"/>
      <c r="AZ931" s="236"/>
      <c r="BA931" s="236"/>
      <c r="BB931" s="236"/>
      <c r="BC931" s="236"/>
      <c r="BD931" s="236"/>
      <c r="BE931" s="236"/>
      <c r="BF931" s="236"/>
      <c r="BG931" s="236"/>
      <c r="BH931" s="236"/>
    </row>
    <row r="932" spans="1:60" ht="13">
      <c r="A932" s="27"/>
      <c r="B932" s="27"/>
      <c r="C932" s="312"/>
      <c r="D932" s="231"/>
      <c r="E932" s="27"/>
      <c r="F932" s="27"/>
      <c r="G932" s="231"/>
      <c r="H932" s="27"/>
      <c r="I932" s="27"/>
      <c r="J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</row>
    <row r="933" spans="1:60" ht="13">
      <c r="A933" s="236"/>
      <c r="B933" s="236"/>
      <c r="C933" s="311"/>
      <c r="D933" s="237"/>
      <c r="E933" s="236"/>
      <c r="F933" s="236"/>
      <c r="G933" s="237"/>
      <c r="H933" s="236"/>
      <c r="I933" s="236"/>
      <c r="J933" s="236"/>
      <c r="N933" s="236"/>
      <c r="O933" s="236"/>
      <c r="P933" s="236"/>
      <c r="Q933" s="236"/>
      <c r="R933" s="236"/>
      <c r="S933" s="236"/>
      <c r="T933" s="236"/>
      <c r="U933" s="236"/>
      <c r="V933" s="236"/>
      <c r="W933" s="236"/>
      <c r="X933" s="236"/>
      <c r="Y933" s="236"/>
      <c r="Z933" s="236"/>
      <c r="AA933" s="236"/>
      <c r="AB933" s="236"/>
      <c r="AC933" s="236"/>
      <c r="AD933" s="236"/>
      <c r="AE933" s="236"/>
      <c r="AF933" s="236"/>
      <c r="AG933" s="236"/>
      <c r="AH933" s="236"/>
      <c r="AI933" s="236"/>
      <c r="AJ933" s="236"/>
      <c r="AK933" s="236"/>
      <c r="AL933" s="236"/>
      <c r="AM933" s="236"/>
      <c r="AN933" s="236"/>
      <c r="AO933" s="236"/>
      <c r="AP933" s="236"/>
      <c r="AQ933" s="236"/>
      <c r="AR933" s="236"/>
      <c r="AS933" s="236"/>
      <c r="AT933" s="236"/>
      <c r="AU933" s="236"/>
      <c r="AV933" s="236"/>
      <c r="AW933" s="236"/>
      <c r="AX933" s="236"/>
      <c r="AY933" s="236"/>
      <c r="AZ933" s="236"/>
      <c r="BA933" s="236"/>
      <c r="BB933" s="236"/>
      <c r="BC933" s="236"/>
      <c r="BD933" s="236"/>
      <c r="BE933" s="236"/>
      <c r="BF933" s="236"/>
      <c r="BG933" s="236"/>
      <c r="BH933" s="236"/>
    </row>
    <row r="934" spans="1:60" ht="13">
      <c r="A934" s="27"/>
      <c r="B934" s="27"/>
      <c r="C934" s="312"/>
      <c r="D934" s="231"/>
      <c r="E934" s="27"/>
      <c r="F934" s="27"/>
      <c r="G934" s="231"/>
      <c r="H934" s="27"/>
      <c r="I934" s="27"/>
      <c r="J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</row>
    <row r="935" spans="1:60" ht="13">
      <c r="A935" s="236"/>
      <c r="B935" s="236"/>
      <c r="C935" s="311"/>
      <c r="D935" s="237"/>
      <c r="E935" s="236"/>
      <c r="F935" s="236"/>
      <c r="G935" s="237"/>
      <c r="H935" s="236"/>
      <c r="I935" s="236"/>
      <c r="J935" s="236"/>
      <c r="N935" s="236"/>
      <c r="O935" s="236"/>
      <c r="P935" s="236"/>
      <c r="Q935" s="236"/>
      <c r="R935" s="236"/>
      <c r="S935" s="236"/>
      <c r="T935" s="236"/>
      <c r="U935" s="236"/>
      <c r="V935" s="236"/>
      <c r="W935" s="236"/>
      <c r="X935" s="236"/>
      <c r="Y935" s="236"/>
      <c r="Z935" s="236"/>
      <c r="AA935" s="236"/>
      <c r="AB935" s="236"/>
      <c r="AC935" s="236"/>
      <c r="AD935" s="236"/>
      <c r="AE935" s="236"/>
      <c r="AF935" s="236"/>
      <c r="AG935" s="236"/>
      <c r="AH935" s="236"/>
      <c r="AI935" s="236"/>
      <c r="AJ935" s="236"/>
      <c r="AK935" s="236"/>
      <c r="AL935" s="236"/>
      <c r="AM935" s="236"/>
      <c r="AN935" s="236"/>
      <c r="AO935" s="236"/>
      <c r="AP935" s="236"/>
      <c r="AQ935" s="236"/>
      <c r="AR935" s="236"/>
      <c r="AS935" s="236"/>
      <c r="AT935" s="236"/>
      <c r="AU935" s="236"/>
      <c r="AV935" s="236"/>
      <c r="AW935" s="236"/>
      <c r="AX935" s="236"/>
      <c r="AY935" s="236"/>
      <c r="AZ935" s="236"/>
      <c r="BA935" s="236"/>
      <c r="BB935" s="236"/>
      <c r="BC935" s="236"/>
      <c r="BD935" s="236"/>
      <c r="BE935" s="236"/>
      <c r="BF935" s="236"/>
      <c r="BG935" s="236"/>
      <c r="BH935" s="236"/>
    </row>
    <row r="936" spans="1:60" ht="13">
      <c r="A936" s="27"/>
      <c r="B936" s="27"/>
      <c r="C936" s="312"/>
      <c r="D936" s="231"/>
      <c r="E936" s="27"/>
      <c r="F936" s="27"/>
      <c r="G936" s="231"/>
      <c r="H936" s="27"/>
      <c r="I936" s="27"/>
      <c r="J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</row>
    <row r="937" spans="1:60" ht="13">
      <c r="A937" s="236"/>
      <c r="B937" s="236"/>
      <c r="C937" s="311"/>
      <c r="D937" s="237"/>
      <c r="E937" s="236"/>
      <c r="F937" s="236"/>
      <c r="G937" s="237"/>
      <c r="H937" s="236"/>
      <c r="I937" s="236"/>
      <c r="J937" s="236"/>
      <c r="N937" s="236"/>
      <c r="O937" s="236"/>
      <c r="P937" s="236"/>
      <c r="Q937" s="236"/>
      <c r="R937" s="236"/>
      <c r="S937" s="236"/>
      <c r="T937" s="236"/>
      <c r="U937" s="236"/>
      <c r="V937" s="236"/>
      <c r="W937" s="236"/>
      <c r="X937" s="236"/>
      <c r="Y937" s="236"/>
      <c r="Z937" s="236"/>
      <c r="AA937" s="236"/>
      <c r="AB937" s="236"/>
      <c r="AC937" s="236"/>
      <c r="AD937" s="236"/>
      <c r="AE937" s="236"/>
      <c r="AF937" s="236"/>
      <c r="AG937" s="236"/>
      <c r="AH937" s="236"/>
      <c r="AI937" s="236"/>
      <c r="AJ937" s="236"/>
      <c r="AK937" s="236"/>
      <c r="AL937" s="236"/>
      <c r="AM937" s="236"/>
      <c r="AN937" s="236"/>
      <c r="AO937" s="236"/>
      <c r="AP937" s="236"/>
      <c r="AQ937" s="236"/>
      <c r="AR937" s="236"/>
      <c r="AS937" s="236"/>
      <c r="AT937" s="236"/>
      <c r="AU937" s="236"/>
      <c r="AV937" s="236"/>
      <c r="AW937" s="236"/>
      <c r="AX937" s="236"/>
      <c r="AY937" s="236"/>
      <c r="AZ937" s="236"/>
      <c r="BA937" s="236"/>
      <c r="BB937" s="236"/>
      <c r="BC937" s="236"/>
      <c r="BD937" s="236"/>
      <c r="BE937" s="236"/>
      <c r="BF937" s="236"/>
      <c r="BG937" s="236"/>
      <c r="BH937" s="236"/>
    </row>
    <row r="938" spans="1:60" ht="13">
      <c r="A938" s="27"/>
      <c r="B938" s="27"/>
      <c r="C938" s="312"/>
      <c r="D938" s="231"/>
      <c r="E938" s="27"/>
      <c r="F938" s="27"/>
      <c r="G938" s="231"/>
      <c r="H938" s="27"/>
      <c r="I938" s="27"/>
      <c r="J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</row>
    <row r="939" spans="1:60" ht="13">
      <c r="A939" s="236"/>
      <c r="B939" s="236"/>
      <c r="C939" s="311"/>
      <c r="D939" s="237"/>
      <c r="E939" s="236"/>
      <c r="F939" s="236"/>
      <c r="G939" s="237"/>
      <c r="H939" s="236"/>
      <c r="I939" s="236"/>
      <c r="J939" s="236"/>
      <c r="N939" s="236"/>
      <c r="O939" s="236"/>
      <c r="P939" s="236"/>
      <c r="Q939" s="236"/>
      <c r="R939" s="236"/>
      <c r="S939" s="236"/>
      <c r="T939" s="236"/>
      <c r="U939" s="236"/>
      <c r="V939" s="236"/>
      <c r="W939" s="236"/>
      <c r="X939" s="236"/>
      <c r="Y939" s="236"/>
      <c r="Z939" s="236"/>
      <c r="AA939" s="236"/>
      <c r="AB939" s="236"/>
      <c r="AC939" s="236"/>
      <c r="AD939" s="236"/>
      <c r="AE939" s="236"/>
      <c r="AF939" s="236"/>
      <c r="AG939" s="236"/>
      <c r="AH939" s="236"/>
      <c r="AI939" s="236"/>
      <c r="AJ939" s="236"/>
      <c r="AK939" s="236"/>
      <c r="AL939" s="236"/>
      <c r="AM939" s="236"/>
      <c r="AN939" s="236"/>
      <c r="AO939" s="236"/>
      <c r="AP939" s="236"/>
      <c r="AQ939" s="236"/>
      <c r="AR939" s="236"/>
      <c r="AS939" s="236"/>
      <c r="AT939" s="236"/>
      <c r="AU939" s="236"/>
      <c r="AV939" s="236"/>
      <c r="AW939" s="236"/>
      <c r="AX939" s="236"/>
      <c r="AY939" s="236"/>
      <c r="AZ939" s="236"/>
      <c r="BA939" s="236"/>
      <c r="BB939" s="236"/>
      <c r="BC939" s="236"/>
      <c r="BD939" s="236"/>
      <c r="BE939" s="236"/>
      <c r="BF939" s="236"/>
      <c r="BG939" s="236"/>
      <c r="BH939" s="236"/>
    </row>
    <row r="940" spans="1:60" ht="13">
      <c r="A940" s="27"/>
      <c r="B940" s="27"/>
      <c r="C940" s="312"/>
      <c r="D940" s="231"/>
      <c r="E940" s="27"/>
      <c r="F940" s="27"/>
      <c r="G940" s="231"/>
      <c r="H940" s="27"/>
      <c r="I940" s="27"/>
      <c r="J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</row>
    <row r="941" spans="1:60" ht="13">
      <c r="A941" s="236"/>
      <c r="B941" s="236"/>
      <c r="C941" s="311"/>
      <c r="D941" s="237"/>
      <c r="E941" s="236"/>
      <c r="F941" s="236"/>
      <c r="G941" s="237"/>
      <c r="H941" s="236"/>
      <c r="I941" s="236"/>
      <c r="J941" s="236"/>
      <c r="N941" s="236"/>
      <c r="O941" s="236"/>
      <c r="P941" s="236"/>
      <c r="Q941" s="236"/>
      <c r="R941" s="236"/>
      <c r="S941" s="236"/>
      <c r="T941" s="236"/>
      <c r="U941" s="236"/>
      <c r="V941" s="236"/>
      <c r="W941" s="236"/>
      <c r="X941" s="236"/>
      <c r="Y941" s="236"/>
      <c r="Z941" s="236"/>
      <c r="AA941" s="236"/>
      <c r="AB941" s="236"/>
      <c r="AC941" s="236"/>
      <c r="AD941" s="236"/>
      <c r="AE941" s="236"/>
      <c r="AF941" s="236"/>
      <c r="AG941" s="236"/>
      <c r="AH941" s="236"/>
      <c r="AI941" s="236"/>
      <c r="AJ941" s="236"/>
      <c r="AK941" s="236"/>
      <c r="AL941" s="236"/>
      <c r="AM941" s="236"/>
      <c r="AN941" s="236"/>
      <c r="AO941" s="236"/>
      <c r="AP941" s="236"/>
      <c r="AQ941" s="236"/>
      <c r="AR941" s="236"/>
      <c r="AS941" s="236"/>
      <c r="AT941" s="236"/>
      <c r="AU941" s="236"/>
      <c r="AV941" s="236"/>
      <c r="AW941" s="236"/>
      <c r="AX941" s="236"/>
      <c r="AY941" s="236"/>
      <c r="AZ941" s="236"/>
      <c r="BA941" s="236"/>
      <c r="BB941" s="236"/>
      <c r="BC941" s="236"/>
      <c r="BD941" s="236"/>
      <c r="BE941" s="236"/>
      <c r="BF941" s="236"/>
      <c r="BG941" s="236"/>
      <c r="BH941" s="236"/>
    </row>
    <row r="942" spans="1:60" ht="13">
      <c r="A942" s="27"/>
      <c r="B942" s="27"/>
      <c r="C942" s="312"/>
      <c r="D942" s="231"/>
      <c r="E942" s="27"/>
      <c r="F942" s="27"/>
      <c r="G942" s="231"/>
      <c r="H942" s="27"/>
      <c r="I942" s="27"/>
      <c r="J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</row>
    <row r="943" spans="1:60" ht="13">
      <c r="A943" s="236"/>
      <c r="B943" s="236"/>
      <c r="C943" s="311"/>
      <c r="D943" s="237"/>
      <c r="E943" s="236"/>
      <c r="F943" s="236"/>
      <c r="G943" s="237"/>
      <c r="H943" s="236"/>
      <c r="I943" s="236"/>
      <c r="J943" s="236"/>
      <c r="N943" s="236"/>
      <c r="O943" s="236"/>
      <c r="P943" s="236"/>
      <c r="Q943" s="236"/>
      <c r="R943" s="236"/>
      <c r="S943" s="236"/>
      <c r="T943" s="236"/>
      <c r="U943" s="236"/>
      <c r="V943" s="236"/>
      <c r="W943" s="236"/>
      <c r="X943" s="236"/>
      <c r="Y943" s="236"/>
      <c r="Z943" s="236"/>
      <c r="AA943" s="236"/>
      <c r="AB943" s="236"/>
      <c r="AC943" s="236"/>
      <c r="AD943" s="236"/>
      <c r="AE943" s="236"/>
      <c r="AF943" s="236"/>
      <c r="AG943" s="236"/>
      <c r="AH943" s="236"/>
      <c r="AI943" s="236"/>
      <c r="AJ943" s="236"/>
      <c r="AK943" s="236"/>
      <c r="AL943" s="236"/>
      <c r="AM943" s="236"/>
      <c r="AN943" s="236"/>
      <c r="AO943" s="236"/>
      <c r="AP943" s="236"/>
      <c r="AQ943" s="236"/>
      <c r="AR943" s="236"/>
      <c r="AS943" s="236"/>
      <c r="AT943" s="236"/>
      <c r="AU943" s="236"/>
      <c r="AV943" s="236"/>
      <c r="AW943" s="236"/>
      <c r="AX943" s="236"/>
      <c r="AY943" s="236"/>
      <c r="AZ943" s="236"/>
      <c r="BA943" s="236"/>
      <c r="BB943" s="236"/>
      <c r="BC943" s="236"/>
      <c r="BD943" s="236"/>
      <c r="BE943" s="236"/>
      <c r="BF943" s="236"/>
      <c r="BG943" s="236"/>
      <c r="BH943" s="236"/>
    </row>
    <row r="944" spans="1:60" ht="13">
      <c r="A944" s="27"/>
      <c r="B944" s="27"/>
      <c r="C944" s="312"/>
      <c r="D944" s="231"/>
      <c r="E944" s="27"/>
      <c r="F944" s="27"/>
      <c r="G944" s="231"/>
      <c r="H944" s="27"/>
      <c r="I944" s="27"/>
      <c r="J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</row>
    <row r="945" spans="1:60" ht="13">
      <c r="A945" s="236"/>
      <c r="B945" s="236"/>
      <c r="C945" s="311"/>
      <c r="D945" s="237"/>
      <c r="E945" s="236"/>
      <c r="F945" s="236"/>
      <c r="G945" s="237"/>
      <c r="H945" s="236"/>
      <c r="I945" s="236"/>
      <c r="J945" s="236"/>
      <c r="N945" s="236"/>
      <c r="O945" s="236"/>
      <c r="P945" s="236"/>
      <c r="Q945" s="236"/>
      <c r="R945" s="236"/>
      <c r="S945" s="236"/>
      <c r="T945" s="236"/>
      <c r="U945" s="236"/>
      <c r="V945" s="236"/>
      <c r="W945" s="236"/>
      <c r="X945" s="236"/>
      <c r="Y945" s="236"/>
      <c r="Z945" s="236"/>
      <c r="AA945" s="236"/>
      <c r="AB945" s="236"/>
      <c r="AC945" s="236"/>
      <c r="AD945" s="236"/>
      <c r="AE945" s="236"/>
      <c r="AF945" s="236"/>
      <c r="AG945" s="236"/>
      <c r="AH945" s="236"/>
      <c r="AI945" s="236"/>
      <c r="AJ945" s="236"/>
      <c r="AK945" s="236"/>
      <c r="AL945" s="236"/>
      <c r="AM945" s="236"/>
      <c r="AN945" s="236"/>
      <c r="AO945" s="236"/>
      <c r="AP945" s="236"/>
      <c r="AQ945" s="236"/>
      <c r="AR945" s="236"/>
      <c r="AS945" s="236"/>
      <c r="AT945" s="236"/>
      <c r="AU945" s="236"/>
      <c r="AV945" s="236"/>
      <c r="AW945" s="236"/>
      <c r="AX945" s="236"/>
      <c r="AY945" s="236"/>
      <c r="AZ945" s="236"/>
      <c r="BA945" s="236"/>
      <c r="BB945" s="236"/>
      <c r="BC945" s="236"/>
      <c r="BD945" s="236"/>
      <c r="BE945" s="236"/>
      <c r="BF945" s="236"/>
      <c r="BG945" s="236"/>
      <c r="BH945" s="236"/>
    </row>
    <row r="946" spans="1:60" ht="13">
      <c r="A946" s="27"/>
      <c r="B946" s="27"/>
      <c r="C946" s="312"/>
      <c r="D946" s="231"/>
      <c r="E946" s="27"/>
      <c r="F946" s="27"/>
      <c r="G946" s="231"/>
      <c r="H946" s="27"/>
      <c r="I946" s="27"/>
      <c r="J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</row>
    <row r="947" spans="1:60" ht="13">
      <c r="A947" s="236"/>
      <c r="B947" s="236"/>
      <c r="C947" s="311"/>
      <c r="D947" s="237"/>
      <c r="E947" s="236"/>
      <c r="F947" s="236"/>
      <c r="G947" s="237"/>
      <c r="H947" s="236"/>
      <c r="I947" s="236"/>
      <c r="J947" s="236"/>
      <c r="N947" s="236"/>
      <c r="O947" s="236"/>
      <c r="P947" s="236"/>
      <c r="Q947" s="236"/>
      <c r="R947" s="236"/>
      <c r="S947" s="236"/>
      <c r="T947" s="236"/>
      <c r="U947" s="236"/>
      <c r="V947" s="236"/>
      <c r="W947" s="236"/>
      <c r="X947" s="236"/>
      <c r="Y947" s="236"/>
      <c r="Z947" s="236"/>
      <c r="AA947" s="236"/>
      <c r="AB947" s="236"/>
      <c r="AC947" s="236"/>
      <c r="AD947" s="236"/>
      <c r="AE947" s="236"/>
      <c r="AF947" s="236"/>
      <c r="AG947" s="236"/>
      <c r="AH947" s="236"/>
      <c r="AI947" s="236"/>
      <c r="AJ947" s="236"/>
      <c r="AK947" s="236"/>
      <c r="AL947" s="236"/>
      <c r="AM947" s="236"/>
      <c r="AN947" s="236"/>
      <c r="AO947" s="236"/>
      <c r="AP947" s="236"/>
      <c r="AQ947" s="236"/>
      <c r="AR947" s="236"/>
      <c r="AS947" s="236"/>
      <c r="AT947" s="236"/>
      <c r="AU947" s="236"/>
      <c r="AV947" s="236"/>
      <c r="AW947" s="236"/>
      <c r="AX947" s="236"/>
      <c r="AY947" s="236"/>
      <c r="AZ947" s="236"/>
      <c r="BA947" s="236"/>
      <c r="BB947" s="236"/>
      <c r="BC947" s="236"/>
      <c r="BD947" s="236"/>
      <c r="BE947" s="236"/>
      <c r="BF947" s="236"/>
      <c r="BG947" s="236"/>
      <c r="BH947" s="236"/>
    </row>
    <row r="948" spans="1:60" ht="13">
      <c r="A948" s="27"/>
      <c r="B948" s="27"/>
      <c r="C948" s="312"/>
      <c r="D948" s="231"/>
      <c r="E948" s="27"/>
      <c r="F948" s="27"/>
      <c r="G948" s="231"/>
      <c r="H948" s="27"/>
      <c r="I948" s="27"/>
      <c r="J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</row>
    <row r="949" spans="1:60" ht="13">
      <c r="A949" s="236"/>
      <c r="B949" s="236"/>
      <c r="C949" s="311"/>
      <c r="D949" s="237"/>
      <c r="E949" s="236"/>
      <c r="F949" s="236"/>
      <c r="G949" s="237"/>
      <c r="H949" s="236"/>
      <c r="I949" s="236"/>
      <c r="J949" s="236"/>
      <c r="N949" s="236"/>
      <c r="O949" s="236"/>
      <c r="P949" s="236"/>
      <c r="Q949" s="236"/>
      <c r="R949" s="236"/>
      <c r="S949" s="236"/>
      <c r="T949" s="236"/>
      <c r="U949" s="236"/>
      <c r="V949" s="236"/>
      <c r="W949" s="236"/>
      <c r="X949" s="236"/>
      <c r="Y949" s="236"/>
      <c r="Z949" s="236"/>
      <c r="AA949" s="236"/>
      <c r="AB949" s="236"/>
      <c r="AC949" s="236"/>
      <c r="AD949" s="236"/>
      <c r="AE949" s="236"/>
      <c r="AF949" s="236"/>
      <c r="AG949" s="236"/>
      <c r="AH949" s="236"/>
      <c r="AI949" s="236"/>
      <c r="AJ949" s="236"/>
      <c r="AK949" s="236"/>
      <c r="AL949" s="236"/>
      <c r="AM949" s="236"/>
      <c r="AN949" s="236"/>
      <c r="AO949" s="236"/>
      <c r="AP949" s="236"/>
      <c r="AQ949" s="236"/>
      <c r="AR949" s="236"/>
      <c r="AS949" s="236"/>
      <c r="AT949" s="236"/>
      <c r="AU949" s="236"/>
      <c r="AV949" s="236"/>
      <c r="AW949" s="236"/>
      <c r="AX949" s="236"/>
      <c r="AY949" s="236"/>
      <c r="AZ949" s="236"/>
      <c r="BA949" s="236"/>
      <c r="BB949" s="236"/>
      <c r="BC949" s="236"/>
      <c r="BD949" s="236"/>
      <c r="BE949" s="236"/>
      <c r="BF949" s="236"/>
      <c r="BG949" s="236"/>
      <c r="BH949" s="236"/>
    </row>
    <row r="950" spans="1:60" ht="13">
      <c r="A950" s="27"/>
      <c r="B950" s="27"/>
      <c r="C950" s="312"/>
      <c r="D950" s="231"/>
      <c r="E950" s="27"/>
      <c r="F950" s="27"/>
      <c r="G950" s="231"/>
      <c r="H950" s="27"/>
      <c r="I950" s="27"/>
      <c r="J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</row>
    <row r="951" spans="1:60" ht="13">
      <c r="A951" s="236"/>
      <c r="B951" s="236"/>
      <c r="C951" s="311"/>
      <c r="D951" s="237"/>
      <c r="E951" s="236"/>
      <c r="F951" s="236"/>
      <c r="G951" s="237"/>
      <c r="H951" s="236"/>
      <c r="I951" s="236"/>
      <c r="J951" s="236"/>
      <c r="N951" s="236"/>
      <c r="O951" s="236"/>
      <c r="P951" s="236"/>
      <c r="Q951" s="236"/>
      <c r="R951" s="236"/>
      <c r="S951" s="236"/>
      <c r="T951" s="236"/>
      <c r="U951" s="236"/>
      <c r="V951" s="236"/>
      <c r="W951" s="236"/>
      <c r="X951" s="236"/>
      <c r="Y951" s="236"/>
      <c r="Z951" s="236"/>
      <c r="AA951" s="236"/>
      <c r="AB951" s="236"/>
      <c r="AC951" s="236"/>
      <c r="AD951" s="236"/>
      <c r="AE951" s="236"/>
      <c r="AF951" s="236"/>
      <c r="AG951" s="236"/>
      <c r="AH951" s="236"/>
      <c r="AI951" s="236"/>
      <c r="AJ951" s="236"/>
      <c r="AK951" s="236"/>
      <c r="AL951" s="236"/>
      <c r="AM951" s="236"/>
      <c r="AN951" s="236"/>
      <c r="AO951" s="236"/>
      <c r="AP951" s="236"/>
      <c r="AQ951" s="236"/>
      <c r="AR951" s="236"/>
      <c r="AS951" s="236"/>
      <c r="AT951" s="236"/>
      <c r="AU951" s="236"/>
      <c r="AV951" s="236"/>
      <c r="AW951" s="236"/>
      <c r="AX951" s="236"/>
      <c r="AY951" s="236"/>
      <c r="AZ951" s="236"/>
      <c r="BA951" s="236"/>
      <c r="BB951" s="236"/>
      <c r="BC951" s="236"/>
      <c r="BD951" s="236"/>
      <c r="BE951" s="236"/>
      <c r="BF951" s="236"/>
      <c r="BG951" s="236"/>
      <c r="BH951" s="236"/>
    </row>
    <row r="952" spans="1:60" ht="13">
      <c r="A952" s="27"/>
      <c r="B952" s="27"/>
      <c r="C952" s="312"/>
      <c r="D952" s="231"/>
      <c r="E952" s="27"/>
      <c r="F952" s="27"/>
      <c r="G952" s="231"/>
      <c r="H952" s="27"/>
      <c r="I952" s="27"/>
      <c r="J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</row>
    <row r="953" spans="1:60" ht="13">
      <c r="A953" s="236"/>
      <c r="B953" s="236"/>
      <c r="C953" s="311"/>
      <c r="D953" s="237"/>
      <c r="E953" s="236"/>
      <c r="F953" s="236"/>
      <c r="G953" s="237"/>
      <c r="H953" s="236"/>
      <c r="I953" s="236"/>
      <c r="J953" s="236"/>
      <c r="N953" s="236"/>
      <c r="O953" s="236"/>
      <c r="P953" s="236"/>
      <c r="Q953" s="236"/>
      <c r="R953" s="236"/>
      <c r="S953" s="236"/>
      <c r="T953" s="236"/>
      <c r="U953" s="236"/>
      <c r="V953" s="236"/>
      <c r="W953" s="236"/>
      <c r="X953" s="236"/>
      <c r="Y953" s="236"/>
      <c r="Z953" s="236"/>
      <c r="AA953" s="236"/>
      <c r="AB953" s="236"/>
      <c r="AC953" s="236"/>
      <c r="AD953" s="236"/>
      <c r="AE953" s="236"/>
      <c r="AF953" s="236"/>
      <c r="AG953" s="236"/>
      <c r="AH953" s="236"/>
      <c r="AI953" s="236"/>
      <c r="AJ953" s="236"/>
      <c r="AK953" s="236"/>
      <c r="AL953" s="236"/>
      <c r="AM953" s="236"/>
      <c r="AN953" s="236"/>
      <c r="AO953" s="236"/>
      <c r="AP953" s="236"/>
      <c r="AQ953" s="236"/>
      <c r="AR953" s="236"/>
      <c r="AS953" s="236"/>
      <c r="AT953" s="236"/>
      <c r="AU953" s="236"/>
      <c r="AV953" s="236"/>
      <c r="AW953" s="236"/>
      <c r="AX953" s="236"/>
      <c r="AY953" s="236"/>
      <c r="AZ953" s="236"/>
      <c r="BA953" s="236"/>
      <c r="BB953" s="236"/>
      <c r="BC953" s="236"/>
      <c r="BD953" s="236"/>
      <c r="BE953" s="236"/>
      <c r="BF953" s="236"/>
      <c r="BG953" s="236"/>
      <c r="BH953" s="236"/>
    </row>
    <row r="954" spans="1:60" ht="13">
      <c r="A954" s="27"/>
      <c r="B954" s="27"/>
      <c r="C954" s="312"/>
      <c r="D954" s="231"/>
      <c r="E954" s="27"/>
      <c r="F954" s="27"/>
      <c r="G954" s="231"/>
      <c r="H954" s="27"/>
      <c r="I954" s="27"/>
      <c r="J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</row>
    <row r="955" spans="1:60" ht="13">
      <c r="A955" s="236"/>
      <c r="B955" s="236"/>
      <c r="C955" s="311"/>
      <c r="D955" s="237"/>
      <c r="E955" s="236"/>
      <c r="F955" s="236"/>
      <c r="G955" s="237"/>
      <c r="H955" s="236"/>
      <c r="I955" s="236"/>
      <c r="J955" s="236"/>
      <c r="N955" s="236"/>
      <c r="O955" s="236"/>
      <c r="P955" s="236"/>
      <c r="Q955" s="236"/>
      <c r="R955" s="236"/>
      <c r="S955" s="236"/>
      <c r="T955" s="236"/>
      <c r="U955" s="236"/>
      <c r="V955" s="236"/>
      <c r="W955" s="236"/>
      <c r="X955" s="236"/>
      <c r="Y955" s="236"/>
      <c r="Z955" s="236"/>
      <c r="AA955" s="236"/>
      <c r="AB955" s="236"/>
      <c r="AC955" s="236"/>
      <c r="AD955" s="236"/>
      <c r="AE955" s="236"/>
      <c r="AF955" s="236"/>
      <c r="AG955" s="236"/>
      <c r="AH955" s="236"/>
      <c r="AI955" s="236"/>
      <c r="AJ955" s="236"/>
      <c r="AK955" s="236"/>
      <c r="AL955" s="236"/>
      <c r="AM955" s="236"/>
      <c r="AN955" s="236"/>
      <c r="AO955" s="236"/>
      <c r="AP955" s="236"/>
      <c r="AQ955" s="236"/>
      <c r="AR955" s="236"/>
      <c r="AS955" s="236"/>
      <c r="AT955" s="236"/>
      <c r="AU955" s="236"/>
      <c r="AV955" s="236"/>
      <c r="AW955" s="236"/>
      <c r="AX955" s="236"/>
      <c r="AY955" s="236"/>
      <c r="AZ955" s="236"/>
      <c r="BA955" s="236"/>
      <c r="BB955" s="236"/>
      <c r="BC955" s="236"/>
      <c r="BD955" s="236"/>
      <c r="BE955" s="236"/>
      <c r="BF955" s="236"/>
      <c r="BG955" s="236"/>
      <c r="BH955" s="236"/>
    </row>
    <row r="956" spans="1:60" ht="13">
      <c r="A956" s="27"/>
      <c r="B956" s="27"/>
      <c r="C956" s="312"/>
      <c r="D956" s="231"/>
      <c r="E956" s="27"/>
      <c r="F956" s="27"/>
      <c r="G956" s="231"/>
      <c r="H956" s="27"/>
      <c r="I956" s="27"/>
      <c r="J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</row>
    <row r="957" spans="1:60" ht="13">
      <c r="A957" s="236"/>
      <c r="B957" s="236"/>
      <c r="C957" s="311"/>
      <c r="D957" s="237"/>
      <c r="E957" s="236"/>
      <c r="F957" s="236"/>
      <c r="G957" s="237"/>
      <c r="H957" s="236"/>
      <c r="I957" s="236"/>
      <c r="J957" s="236"/>
      <c r="N957" s="236"/>
      <c r="O957" s="236"/>
      <c r="P957" s="236"/>
      <c r="Q957" s="236"/>
      <c r="R957" s="236"/>
      <c r="S957" s="236"/>
      <c r="T957" s="236"/>
      <c r="U957" s="236"/>
      <c r="V957" s="236"/>
      <c r="W957" s="236"/>
      <c r="X957" s="236"/>
      <c r="Y957" s="236"/>
      <c r="Z957" s="236"/>
      <c r="AA957" s="236"/>
      <c r="AB957" s="236"/>
      <c r="AC957" s="236"/>
      <c r="AD957" s="236"/>
      <c r="AE957" s="236"/>
      <c r="AF957" s="236"/>
      <c r="AG957" s="236"/>
      <c r="AH957" s="236"/>
      <c r="AI957" s="236"/>
      <c r="AJ957" s="236"/>
      <c r="AK957" s="236"/>
      <c r="AL957" s="236"/>
      <c r="AM957" s="236"/>
      <c r="AN957" s="236"/>
      <c r="AO957" s="236"/>
      <c r="AP957" s="236"/>
      <c r="AQ957" s="236"/>
      <c r="AR957" s="236"/>
      <c r="AS957" s="236"/>
      <c r="AT957" s="236"/>
      <c r="AU957" s="236"/>
      <c r="AV957" s="236"/>
      <c r="AW957" s="236"/>
      <c r="AX957" s="236"/>
      <c r="AY957" s="236"/>
      <c r="AZ957" s="236"/>
      <c r="BA957" s="236"/>
      <c r="BB957" s="236"/>
      <c r="BC957" s="236"/>
      <c r="BD957" s="236"/>
      <c r="BE957" s="236"/>
      <c r="BF957" s="236"/>
      <c r="BG957" s="236"/>
      <c r="BH957" s="236"/>
    </row>
    <row r="958" spans="1:60" ht="13">
      <c r="A958" s="27"/>
      <c r="B958" s="27"/>
      <c r="C958" s="312"/>
      <c r="D958" s="231"/>
      <c r="E958" s="27"/>
      <c r="F958" s="27"/>
      <c r="G958" s="231"/>
      <c r="H958" s="27"/>
      <c r="I958" s="27"/>
      <c r="J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</row>
    <row r="959" spans="1:60" ht="13">
      <c r="A959" s="236"/>
      <c r="B959" s="236"/>
      <c r="C959" s="311"/>
      <c r="D959" s="237"/>
      <c r="E959" s="236"/>
      <c r="F959" s="236"/>
      <c r="G959" s="237"/>
      <c r="H959" s="236"/>
      <c r="I959" s="236"/>
      <c r="J959" s="236"/>
      <c r="N959" s="236"/>
      <c r="O959" s="236"/>
      <c r="P959" s="236"/>
      <c r="Q959" s="236"/>
      <c r="R959" s="236"/>
      <c r="S959" s="236"/>
      <c r="T959" s="236"/>
      <c r="U959" s="236"/>
      <c r="V959" s="236"/>
      <c r="W959" s="236"/>
      <c r="X959" s="236"/>
      <c r="Y959" s="236"/>
      <c r="Z959" s="236"/>
      <c r="AA959" s="236"/>
      <c r="AB959" s="236"/>
      <c r="AC959" s="236"/>
      <c r="AD959" s="236"/>
      <c r="AE959" s="236"/>
      <c r="AF959" s="236"/>
      <c r="AG959" s="236"/>
      <c r="AH959" s="236"/>
      <c r="AI959" s="236"/>
      <c r="AJ959" s="236"/>
      <c r="AK959" s="236"/>
      <c r="AL959" s="236"/>
      <c r="AM959" s="236"/>
      <c r="AN959" s="236"/>
      <c r="AO959" s="236"/>
      <c r="AP959" s="236"/>
      <c r="AQ959" s="236"/>
      <c r="AR959" s="236"/>
      <c r="AS959" s="236"/>
      <c r="AT959" s="236"/>
      <c r="AU959" s="236"/>
      <c r="AV959" s="236"/>
      <c r="AW959" s="236"/>
      <c r="AX959" s="236"/>
      <c r="AY959" s="236"/>
      <c r="AZ959" s="236"/>
      <c r="BA959" s="236"/>
      <c r="BB959" s="236"/>
      <c r="BC959" s="236"/>
      <c r="BD959" s="236"/>
      <c r="BE959" s="236"/>
      <c r="BF959" s="236"/>
      <c r="BG959" s="236"/>
      <c r="BH959" s="236"/>
    </row>
    <row r="960" spans="1:60" ht="13">
      <c r="A960" s="27"/>
      <c r="B960" s="27"/>
      <c r="C960" s="312"/>
      <c r="D960" s="231"/>
      <c r="E960" s="27"/>
      <c r="F960" s="27"/>
      <c r="G960" s="231"/>
      <c r="H960" s="27"/>
      <c r="I960" s="27"/>
      <c r="J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</row>
    <row r="961" spans="1:60" ht="13">
      <c r="A961" s="236"/>
      <c r="B961" s="236"/>
      <c r="C961" s="311"/>
      <c r="D961" s="237"/>
      <c r="E961" s="236"/>
      <c r="F961" s="236"/>
      <c r="G961" s="237"/>
      <c r="H961" s="236"/>
      <c r="I961" s="236"/>
      <c r="J961" s="236"/>
      <c r="N961" s="236"/>
      <c r="O961" s="236"/>
      <c r="P961" s="236"/>
      <c r="Q961" s="236"/>
      <c r="R961" s="236"/>
      <c r="S961" s="236"/>
      <c r="T961" s="236"/>
      <c r="U961" s="236"/>
      <c r="V961" s="236"/>
      <c r="W961" s="236"/>
      <c r="X961" s="236"/>
      <c r="Y961" s="236"/>
      <c r="Z961" s="236"/>
      <c r="AA961" s="236"/>
      <c r="AB961" s="236"/>
      <c r="AC961" s="236"/>
      <c r="AD961" s="236"/>
      <c r="AE961" s="236"/>
      <c r="AF961" s="236"/>
      <c r="AG961" s="236"/>
      <c r="AH961" s="236"/>
      <c r="AI961" s="236"/>
      <c r="AJ961" s="236"/>
      <c r="AK961" s="236"/>
      <c r="AL961" s="236"/>
      <c r="AM961" s="236"/>
      <c r="AN961" s="236"/>
      <c r="AO961" s="236"/>
      <c r="AP961" s="236"/>
      <c r="AQ961" s="236"/>
      <c r="AR961" s="236"/>
      <c r="AS961" s="236"/>
      <c r="AT961" s="236"/>
      <c r="AU961" s="236"/>
      <c r="AV961" s="236"/>
      <c r="AW961" s="236"/>
      <c r="AX961" s="236"/>
      <c r="AY961" s="236"/>
      <c r="AZ961" s="236"/>
      <c r="BA961" s="236"/>
      <c r="BB961" s="236"/>
      <c r="BC961" s="236"/>
      <c r="BD961" s="236"/>
      <c r="BE961" s="236"/>
      <c r="BF961" s="236"/>
      <c r="BG961" s="236"/>
      <c r="BH961" s="236"/>
    </row>
    <row r="962" spans="1:60" ht="13">
      <c r="A962" s="27"/>
      <c r="B962" s="27"/>
      <c r="C962" s="312"/>
      <c r="D962" s="231"/>
      <c r="E962" s="27"/>
      <c r="F962" s="27"/>
      <c r="G962" s="231"/>
      <c r="H962" s="27"/>
      <c r="I962" s="27"/>
      <c r="J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</row>
    <row r="963" spans="1:60" ht="13">
      <c r="A963" s="236"/>
      <c r="B963" s="236"/>
      <c r="C963" s="311"/>
      <c r="D963" s="237"/>
      <c r="E963" s="236"/>
      <c r="F963" s="236"/>
      <c r="G963" s="237"/>
      <c r="H963" s="236"/>
      <c r="I963" s="236"/>
      <c r="J963" s="236"/>
      <c r="N963" s="236"/>
      <c r="O963" s="236"/>
      <c r="P963" s="236"/>
      <c r="Q963" s="236"/>
      <c r="R963" s="236"/>
      <c r="S963" s="236"/>
      <c r="T963" s="236"/>
      <c r="U963" s="236"/>
      <c r="V963" s="236"/>
      <c r="W963" s="236"/>
      <c r="X963" s="236"/>
      <c r="Y963" s="236"/>
      <c r="Z963" s="236"/>
      <c r="AA963" s="236"/>
      <c r="AB963" s="236"/>
      <c r="AC963" s="236"/>
      <c r="AD963" s="236"/>
      <c r="AE963" s="236"/>
      <c r="AF963" s="236"/>
      <c r="AG963" s="236"/>
      <c r="AH963" s="236"/>
      <c r="AI963" s="236"/>
      <c r="AJ963" s="236"/>
      <c r="AK963" s="236"/>
      <c r="AL963" s="236"/>
      <c r="AM963" s="236"/>
      <c r="AN963" s="236"/>
      <c r="AO963" s="236"/>
      <c r="AP963" s="236"/>
      <c r="AQ963" s="236"/>
      <c r="AR963" s="236"/>
      <c r="AS963" s="236"/>
      <c r="AT963" s="236"/>
      <c r="AU963" s="236"/>
      <c r="AV963" s="236"/>
      <c r="AW963" s="236"/>
      <c r="AX963" s="236"/>
      <c r="AY963" s="236"/>
      <c r="AZ963" s="236"/>
      <c r="BA963" s="236"/>
      <c r="BB963" s="236"/>
      <c r="BC963" s="236"/>
      <c r="BD963" s="236"/>
      <c r="BE963" s="236"/>
      <c r="BF963" s="236"/>
      <c r="BG963" s="236"/>
      <c r="BH963" s="236"/>
    </row>
    <row r="964" spans="1:60" ht="13">
      <c r="A964" s="27"/>
      <c r="B964" s="27"/>
      <c r="C964" s="312"/>
      <c r="D964" s="231"/>
      <c r="E964" s="27"/>
      <c r="F964" s="27"/>
      <c r="G964" s="231"/>
      <c r="H964" s="27"/>
      <c r="I964" s="27"/>
      <c r="J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</row>
    <row r="965" spans="1:60" ht="13">
      <c r="A965" s="236"/>
      <c r="B965" s="236"/>
      <c r="C965" s="311"/>
      <c r="D965" s="237"/>
      <c r="E965" s="236"/>
      <c r="F965" s="236"/>
      <c r="G965" s="237"/>
      <c r="H965" s="236"/>
      <c r="I965" s="236"/>
      <c r="J965" s="236"/>
      <c r="N965" s="236"/>
      <c r="O965" s="236"/>
      <c r="P965" s="236"/>
      <c r="Q965" s="236"/>
      <c r="R965" s="236"/>
      <c r="S965" s="236"/>
      <c r="T965" s="236"/>
      <c r="U965" s="236"/>
      <c r="V965" s="236"/>
      <c r="W965" s="236"/>
      <c r="X965" s="236"/>
      <c r="Y965" s="236"/>
      <c r="Z965" s="236"/>
      <c r="AA965" s="236"/>
      <c r="AB965" s="236"/>
      <c r="AC965" s="236"/>
      <c r="AD965" s="236"/>
      <c r="AE965" s="236"/>
      <c r="AF965" s="236"/>
      <c r="AG965" s="236"/>
      <c r="AH965" s="236"/>
      <c r="AI965" s="236"/>
      <c r="AJ965" s="236"/>
      <c r="AK965" s="236"/>
      <c r="AL965" s="236"/>
      <c r="AM965" s="236"/>
      <c r="AN965" s="236"/>
      <c r="AO965" s="236"/>
      <c r="AP965" s="236"/>
      <c r="AQ965" s="236"/>
      <c r="AR965" s="236"/>
      <c r="AS965" s="236"/>
      <c r="AT965" s="236"/>
      <c r="AU965" s="236"/>
      <c r="AV965" s="236"/>
      <c r="AW965" s="236"/>
      <c r="AX965" s="236"/>
      <c r="AY965" s="236"/>
      <c r="AZ965" s="236"/>
      <c r="BA965" s="236"/>
      <c r="BB965" s="236"/>
      <c r="BC965" s="236"/>
      <c r="BD965" s="236"/>
      <c r="BE965" s="236"/>
      <c r="BF965" s="236"/>
      <c r="BG965" s="236"/>
      <c r="BH965" s="236"/>
    </row>
    <row r="966" spans="1:60" ht="13">
      <c r="A966" s="27"/>
      <c r="B966" s="27"/>
      <c r="C966" s="312"/>
      <c r="D966" s="231"/>
      <c r="E966" s="27"/>
      <c r="F966" s="27"/>
      <c r="G966" s="231"/>
      <c r="H966" s="27"/>
      <c r="I966" s="27"/>
      <c r="J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</row>
    <row r="967" spans="1:60" ht="13">
      <c r="A967" s="236"/>
      <c r="B967" s="236"/>
      <c r="C967" s="311"/>
      <c r="D967" s="237"/>
      <c r="E967" s="236"/>
      <c r="F967" s="236"/>
      <c r="G967" s="237"/>
      <c r="H967" s="236"/>
      <c r="I967" s="236"/>
      <c r="J967" s="236"/>
      <c r="N967" s="236"/>
      <c r="O967" s="236"/>
      <c r="P967" s="236"/>
      <c r="Q967" s="236"/>
      <c r="R967" s="236"/>
      <c r="S967" s="236"/>
      <c r="T967" s="236"/>
      <c r="U967" s="236"/>
      <c r="V967" s="236"/>
      <c r="W967" s="236"/>
      <c r="X967" s="236"/>
      <c r="Y967" s="236"/>
      <c r="Z967" s="236"/>
      <c r="AA967" s="236"/>
      <c r="AB967" s="236"/>
      <c r="AC967" s="236"/>
      <c r="AD967" s="236"/>
      <c r="AE967" s="236"/>
      <c r="AF967" s="236"/>
      <c r="AG967" s="236"/>
      <c r="AH967" s="236"/>
      <c r="AI967" s="236"/>
      <c r="AJ967" s="236"/>
      <c r="AK967" s="236"/>
      <c r="AL967" s="236"/>
      <c r="AM967" s="236"/>
      <c r="AN967" s="236"/>
      <c r="AO967" s="236"/>
      <c r="AP967" s="236"/>
      <c r="AQ967" s="236"/>
      <c r="AR967" s="236"/>
      <c r="AS967" s="236"/>
      <c r="AT967" s="236"/>
      <c r="AU967" s="236"/>
      <c r="AV967" s="236"/>
      <c r="AW967" s="236"/>
      <c r="AX967" s="236"/>
      <c r="AY967" s="236"/>
      <c r="AZ967" s="236"/>
      <c r="BA967" s="236"/>
      <c r="BB967" s="236"/>
      <c r="BC967" s="236"/>
      <c r="BD967" s="236"/>
      <c r="BE967" s="236"/>
      <c r="BF967" s="236"/>
      <c r="BG967" s="236"/>
      <c r="BH967" s="236"/>
    </row>
    <row r="968" spans="1:60" ht="13">
      <c r="A968" s="27"/>
      <c r="B968" s="27"/>
      <c r="C968" s="312"/>
      <c r="D968" s="231"/>
      <c r="E968" s="27"/>
      <c r="F968" s="27"/>
      <c r="G968" s="231"/>
      <c r="H968" s="27"/>
      <c r="I968" s="27"/>
      <c r="J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</row>
    <row r="969" spans="1:60" ht="13">
      <c r="A969" s="236"/>
      <c r="B969" s="236"/>
      <c r="C969" s="311"/>
      <c r="D969" s="237"/>
      <c r="E969" s="236"/>
      <c r="F969" s="236"/>
      <c r="G969" s="237"/>
      <c r="H969" s="236"/>
      <c r="I969" s="236"/>
      <c r="J969" s="236"/>
      <c r="N969" s="236"/>
      <c r="O969" s="236"/>
      <c r="P969" s="236"/>
      <c r="Q969" s="236"/>
      <c r="R969" s="236"/>
      <c r="S969" s="236"/>
      <c r="T969" s="236"/>
      <c r="U969" s="236"/>
      <c r="V969" s="236"/>
      <c r="W969" s="236"/>
      <c r="X969" s="236"/>
      <c r="Y969" s="236"/>
      <c r="Z969" s="236"/>
      <c r="AA969" s="236"/>
      <c r="AB969" s="236"/>
      <c r="AC969" s="236"/>
      <c r="AD969" s="236"/>
      <c r="AE969" s="236"/>
      <c r="AF969" s="236"/>
      <c r="AG969" s="236"/>
      <c r="AH969" s="236"/>
      <c r="AI969" s="236"/>
      <c r="AJ969" s="236"/>
      <c r="AK969" s="236"/>
      <c r="AL969" s="236"/>
      <c r="AM969" s="236"/>
      <c r="AN969" s="236"/>
      <c r="AO969" s="236"/>
      <c r="AP969" s="236"/>
      <c r="AQ969" s="236"/>
      <c r="AR969" s="236"/>
      <c r="AS969" s="236"/>
      <c r="AT969" s="236"/>
      <c r="AU969" s="236"/>
      <c r="AV969" s="236"/>
      <c r="AW969" s="236"/>
      <c r="AX969" s="236"/>
      <c r="AY969" s="236"/>
      <c r="AZ969" s="236"/>
      <c r="BA969" s="236"/>
      <c r="BB969" s="236"/>
      <c r="BC969" s="236"/>
      <c r="BD969" s="236"/>
      <c r="BE969" s="236"/>
      <c r="BF969" s="236"/>
      <c r="BG969" s="236"/>
      <c r="BH969" s="236"/>
    </row>
    <row r="970" spans="1:60" ht="13">
      <c r="A970" s="27"/>
      <c r="B970" s="27"/>
      <c r="C970" s="312"/>
      <c r="D970" s="231"/>
      <c r="E970" s="27"/>
      <c r="F970" s="27"/>
      <c r="G970" s="231"/>
      <c r="H970" s="27"/>
      <c r="I970" s="27"/>
      <c r="J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</row>
    <row r="971" spans="1:60" ht="13">
      <c r="A971" s="236"/>
      <c r="B971" s="236"/>
      <c r="C971" s="311"/>
      <c r="D971" s="237"/>
      <c r="E971" s="236"/>
      <c r="F971" s="236"/>
      <c r="G971" s="237"/>
      <c r="H971" s="236"/>
      <c r="I971" s="236"/>
      <c r="J971" s="236"/>
      <c r="N971" s="236"/>
      <c r="O971" s="236"/>
      <c r="P971" s="236"/>
      <c r="Q971" s="236"/>
      <c r="R971" s="236"/>
      <c r="S971" s="236"/>
      <c r="T971" s="236"/>
      <c r="U971" s="236"/>
      <c r="V971" s="236"/>
      <c r="W971" s="236"/>
      <c r="X971" s="236"/>
      <c r="Y971" s="236"/>
      <c r="Z971" s="236"/>
      <c r="AA971" s="236"/>
      <c r="AB971" s="236"/>
      <c r="AC971" s="236"/>
      <c r="AD971" s="236"/>
      <c r="AE971" s="236"/>
      <c r="AF971" s="236"/>
      <c r="AG971" s="236"/>
      <c r="AH971" s="236"/>
      <c r="AI971" s="236"/>
      <c r="AJ971" s="236"/>
      <c r="AK971" s="236"/>
      <c r="AL971" s="236"/>
      <c r="AM971" s="236"/>
      <c r="AN971" s="236"/>
      <c r="AO971" s="236"/>
      <c r="AP971" s="236"/>
      <c r="AQ971" s="236"/>
      <c r="AR971" s="236"/>
      <c r="AS971" s="236"/>
      <c r="AT971" s="236"/>
      <c r="AU971" s="236"/>
      <c r="AV971" s="236"/>
      <c r="AW971" s="236"/>
      <c r="AX971" s="236"/>
      <c r="AY971" s="236"/>
      <c r="AZ971" s="236"/>
      <c r="BA971" s="236"/>
      <c r="BB971" s="236"/>
      <c r="BC971" s="236"/>
      <c r="BD971" s="236"/>
      <c r="BE971" s="236"/>
      <c r="BF971" s="236"/>
      <c r="BG971" s="236"/>
      <c r="BH971" s="236"/>
    </row>
    <row r="972" spans="1:60" ht="13">
      <c r="A972" s="27"/>
      <c r="B972" s="27"/>
      <c r="C972" s="312"/>
      <c r="D972" s="231"/>
      <c r="E972" s="27"/>
      <c r="F972" s="27"/>
      <c r="G972" s="231"/>
      <c r="H972" s="27"/>
      <c r="I972" s="27"/>
      <c r="J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</row>
    <row r="973" spans="1:60" ht="13">
      <c r="A973" s="236"/>
      <c r="B973" s="236"/>
      <c r="C973" s="311"/>
      <c r="D973" s="237"/>
      <c r="E973" s="236"/>
      <c r="F973" s="236"/>
      <c r="G973" s="237"/>
      <c r="H973" s="236"/>
      <c r="I973" s="236"/>
      <c r="J973" s="236"/>
      <c r="N973" s="236"/>
      <c r="O973" s="236"/>
      <c r="P973" s="236"/>
      <c r="Q973" s="236"/>
      <c r="R973" s="236"/>
      <c r="S973" s="236"/>
      <c r="T973" s="236"/>
      <c r="U973" s="236"/>
      <c r="V973" s="236"/>
      <c r="W973" s="236"/>
      <c r="X973" s="236"/>
      <c r="Y973" s="236"/>
      <c r="Z973" s="236"/>
      <c r="AA973" s="236"/>
      <c r="AB973" s="236"/>
      <c r="AC973" s="236"/>
      <c r="AD973" s="236"/>
      <c r="AE973" s="236"/>
      <c r="AF973" s="236"/>
      <c r="AG973" s="236"/>
      <c r="AH973" s="236"/>
      <c r="AI973" s="236"/>
      <c r="AJ973" s="236"/>
      <c r="AK973" s="236"/>
      <c r="AL973" s="236"/>
      <c r="AM973" s="236"/>
      <c r="AN973" s="236"/>
      <c r="AO973" s="236"/>
      <c r="AP973" s="236"/>
      <c r="AQ973" s="236"/>
      <c r="AR973" s="236"/>
      <c r="AS973" s="236"/>
      <c r="AT973" s="236"/>
      <c r="AU973" s="236"/>
      <c r="AV973" s="236"/>
      <c r="AW973" s="236"/>
      <c r="AX973" s="236"/>
      <c r="AY973" s="236"/>
      <c r="AZ973" s="236"/>
      <c r="BA973" s="236"/>
      <c r="BB973" s="236"/>
      <c r="BC973" s="236"/>
      <c r="BD973" s="236"/>
      <c r="BE973" s="236"/>
      <c r="BF973" s="236"/>
      <c r="BG973" s="236"/>
      <c r="BH973" s="236"/>
    </row>
    <row r="974" spans="1:60" ht="13">
      <c r="A974" s="27"/>
      <c r="B974" s="27"/>
      <c r="C974" s="312"/>
      <c r="D974" s="231"/>
      <c r="E974" s="27"/>
      <c r="F974" s="27"/>
      <c r="G974" s="231"/>
      <c r="H974" s="27"/>
      <c r="I974" s="27"/>
      <c r="J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</row>
    <row r="975" spans="1:60" ht="13">
      <c r="A975" s="236"/>
      <c r="B975" s="236"/>
      <c r="C975" s="311"/>
      <c r="D975" s="237"/>
      <c r="E975" s="236"/>
      <c r="F975" s="236"/>
      <c r="G975" s="237"/>
      <c r="H975" s="236"/>
      <c r="I975" s="236"/>
      <c r="J975" s="236"/>
      <c r="N975" s="236"/>
      <c r="O975" s="236"/>
      <c r="P975" s="236"/>
      <c r="Q975" s="236"/>
      <c r="R975" s="236"/>
      <c r="S975" s="236"/>
      <c r="T975" s="236"/>
      <c r="U975" s="236"/>
      <c r="V975" s="236"/>
      <c r="W975" s="236"/>
      <c r="X975" s="236"/>
      <c r="Y975" s="236"/>
      <c r="Z975" s="236"/>
      <c r="AA975" s="236"/>
      <c r="AB975" s="236"/>
      <c r="AC975" s="236"/>
      <c r="AD975" s="236"/>
      <c r="AE975" s="236"/>
      <c r="AF975" s="236"/>
      <c r="AG975" s="236"/>
      <c r="AH975" s="236"/>
      <c r="AI975" s="236"/>
      <c r="AJ975" s="236"/>
      <c r="AK975" s="236"/>
      <c r="AL975" s="236"/>
      <c r="AM975" s="236"/>
      <c r="AN975" s="236"/>
      <c r="AO975" s="236"/>
      <c r="AP975" s="236"/>
      <c r="AQ975" s="236"/>
      <c r="AR975" s="236"/>
      <c r="AS975" s="236"/>
      <c r="AT975" s="236"/>
      <c r="AU975" s="236"/>
      <c r="AV975" s="236"/>
      <c r="AW975" s="236"/>
      <c r="AX975" s="236"/>
      <c r="AY975" s="236"/>
      <c r="AZ975" s="236"/>
      <c r="BA975" s="236"/>
      <c r="BB975" s="236"/>
      <c r="BC975" s="236"/>
      <c r="BD975" s="236"/>
      <c r="BE975" s="236"/>
      <c r="BF975" s="236"/>
      <c r="BG975" s="236"/>
      <c r="BH975" s="236"/>
    </row>
    <row r="976" spans="1:60" ht="13">
      <c r="A976" s="27"/>
      <c r="B976" s="27"/>
      <c r="C976" s="312"/>
      <c r="D976" s="231"/>
      <c r="E976" s="27"/>
      <c r="F976" s="27"/>
      <c r="G976" s="231"/>
      <c r="H976" s="27"/>
      <c r="I976" s="27"/>
      <c r="J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</row>
    <row r="977" spans="1:60" ht="13">
      <c r="A977" s="236"/>
      <c r="B977" s="236"/>
      <c r="C977" s="311"/>
      <c r="D977" s="237"/>
      <c r="E977" s="236"/>
      <c r="F977" s="236"/>
      <c r="G977" s="237"/>
      <c r="H977" s="236"/>
      <c r="I977" s="236"/>
      <c r="J977" s="236"/>
      <c r="N977" s="236"/>
      <c r="O977" s="236"/>
      <c r="P977" s="236"/>
      <c r="Q977" s="236"/>
      <c r="R977" s="236"/>
      <c r="S977" s="236"/>
      <c r="T977" s="236"/>
      <c r="U977" s="236"/>
      <c r="V977" s="236"/>
      <c r="W977" s="236"/>
      <c r="X977" s="236"/>
      <c r="Y977" s="236"/>
      <c r="Z977" s="236"/>
      <c r="AA977" s="236"/>
      <c r="AB977" s="236"/>
      <c r="AC977" s="236"/>
      <c r="AD977" s="236"/>
      <c r="AE977" s="236"/>
      <c r="AF977" s="236"/>
      <c r="AG977" s="236"/>
      <c r="AH977" s="236"/>
      <c r="AI977" s="236"/>
      <c r="AJ977" s="236"/>
      <c r="AK977" s="236"/>
      <c r="AL977" s="236"/>
      <c r="AM977" s="236"/>
      <c r="AN977" s="236"/>
      <c r="AO977" s="236"/>
      <c r="AP977" s="236"/>
      <c r="AQ977" s="236"/>
      <c r="AR977" s="236"/>
      <c r="AS977" s="236"/>
      <c r="AT977" s="236"/>
      <c r="AU977" s="236"/>
      <c r="AV977" s="236"/>
      <c r="AW977" s="236"/>
      <c r="AX977" s="236"/>
      <c r="AY977" s="236"/>
      <c r="AZ977" s="236"/>
      <c r="BA977" s="236"/>
      <c r="BB977" s="236"/>
      <c r="BC977" s="236"/>
      <c r="BD977" s="236"/>
      <c r="BE977" s="236"/>
      <c r="BF977" s="236"/>
      <c r="BG977" s="236"/>
      <c r="BH977" s="236"/>
    </row>
    <row r="978" spans="1:60" ht="13">
      <c r="A978" s="27"/>
      <c r="B978" s="27"/>
      <c r="C978" s="312"/>
      <c r="D978" s="231"/>
      <c r="E978" s="27"/>
      <c r="F978" s="27"/>
      <c r="G978" s="231"/>
      <c r="H978" s="27"/>
      <c r="I978" s="27"/>
      <c r="J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</row>
    <row r="979" spans="1:60" ht="13">
      <c r="A979" s="236"/>
      <c r="B979" s="236"/>
      <c r="C979" s="311"/>
      <c r="D979" s="237"/>
      <c r="E979" s="236"/>
      <c r="F979" s="236"/>
      <c r="G979" s="237"/>
      <c r="H979" s="236"/>
      <c r="I979" s="236"/>
      <c r="J979" s="236"/>
      <c r="N979" s="236"/>
      <c r="O979" s="236"/>
      <c r="P979" s="236"/>
      <c r="Q979" s="236"/>
      <c r="R979" s="236"/>
      <c r="S979" s="236"/>
      <c r="T979" s="236"/>
      <c r="U979" s="236"/>
      <c r="V979" s="236"/>
      <c r="W979" s="236"/>
      <c r="X979" s="236"/>
      <c r="Y979" s="236"/>
      <c r="Z979" s="236"/>
      <c r="AA979" s="236"/>
      <c r="AB979" s="236"/>
      <c r="AC979" s="236"/>
      <c r="AD979" s="236"/>
      <c r="AE979" s="236"/>
      <c r="AF979" s="236"/>
      <c r="AG979" s="236"/>
      <c r="AH979" s="236"/>
      <c r="AI979" s="236"/>
      <c r="AJ979" s="236"/>
      <c r="AK979" s="236"/>
      <c r="AL979" s="236"/>
      <c r="AM979" s="236"/>
      <c r="AN979" s="236"/>
      <c r="AO979" s="236"/>
      <c r="AP979" s="236"/>
      <c r="AQ979" s="236"/>
      <c r="AR979" s="236"/>
      <c r="AS979" s="236"/>
      <c r="AT979" s="236"/>
      <c r="AU979" s="236"/>
      <c r="AV979" s="236"/>
      <c r="AW979" s="236"/>
      <c r="AX979" s="236"/>
      <c r="AY979" s="236"/>
      <c r="AZ979" s="236"/>
      <c r="BA979" s="236"/>
      <c r="BB979" s="236"/>
      <c r="BC979" s="236"/>
      <c r="BD979" s="236"/>
      <c r="BE979" s="236"/>
      <c r="BF979" s="236"/>
      <c r="BG979" s="236"/>
      <c r="BH979" s="236"/>
    </row>
    <row r="980" spans="1:60" ht="13">
      <c r="A980" s="27"/>
      <c r="B980" s="27"/>
      <c r="C980" s="312"/>
      <c r="D980" s="231"/>
      <c r="E980" s="27"/>
      <c r="F980" s="27"/>
      <c r="G980" s="231"/>
      <c r="H980" s="27"/>
      <c r="I980" s="27"/>
      <c r="J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</row>
    <row r="981" spans="1:60" ht="13">
      <c r="C981" s="380"/>
      <c r="D981" s="127"/>
      <c r="G981" s="127"/>
    </row>
    <row r="982" spans="1:60" ht="13">
      <c r="C982" s="380"/>
      <c r="D982" s="127"/>
      <c r="G982" s="127"/>
    </row>
    <row r="983" spans="1:60" ht="13">
      <c r="C983" s="380"/>
      <c r="D983" s="127"/>
      <c r="G983" s="127"/>
    </row>
    <row r="984" spans="1:60" ht="13">
      <c r="C984" s="380"/>
      <c r="D984" s="127"/>
      <c r="G984" s="127"/>
    </row>
    <row r="985" spans="1:60" ht="13">
      <c r="C985" s="380"/>
      <c r="D985" s="127"/>
      <c r="G985" s="127"/>
    </row>
    <row r="986" spans="1:60" ht="13">
      <c r="C986" s="380"/>
      <c r="D986" s="127"/>
      <c r="G986" s="127"/>
    </row>
    <row r="987" spans="1:60" ht="13">
      <c r="C987" s="380"/>
      <c r="D987" s="127"/>
      <c r="G987" s="127"/>
    </row>
    <row r="988" spans="1:60" ht="13">
      <c r="C988" s="380"/>
      <c r="D988" s="127"/>
      <c r="G988" s="127"/>
    </row>
    <row r="989" spans="1:60" ht="13">
      <c r="C989" s="380"/>
      <c r="D989" s="127"/>
      <c r="G989" s="127"/>
    </row>
    <row r="990" spans="1:60" ht="13">
      <c r="C990" s="380"/>
      <c r="D990" s="127"/>
      <c r="G990" s="127"/>
    </row>
    <row r="991" spans="1:60" ht="13">
      <c r="C991" s="380"/>
      <c r="D991" s="127"/>
      <c r="G991" s="127"/>
    </row>
    <row r="992" spans="1:60" ht="13">
      <c r="C992" s="380"/>
      <c r="D992" s="127"/>
      <c r="G992" s="127"/>
    </row>
    <row r="993" spans="3:7" ht="13">
      <c r="C993" s="380"/>
      <c r="D993" s="127"/>
      <c r="G993" s="127"/>
    </row>
    <row r="994" spans="3:7" ht="13">
      <c r="C994" s="380"/>
      <c r="D994" s="127"/>
      <c r="G994" s="127"/>
    </row>
    <row r="995" spans="3:7" ht="13">
      <c r="C995" s="380"/>
      <c r="D995" s="127"/>
      <c r="G995" s="127"/>
    </row>
    <row r="996" spans="3:7" ht="13">
      <c r="C996" s="380"/>
      <c r="D996" s="127"/>
      <c r="G996" s="127"/>
    </row>
    <row r="997" spans="3:7" ht="13">
      <c r="C997" s="380"/>
      <c r="D997" s="127"/>
      <c r="G997" s="127"/>
    </row>
    <row r="998" spans="3:7" ht="13">
      <c r="C998" s="380"/>
      <c r="D998" s="127"/>
      <c r="G998" s="127"/>
    </row>
    <row r="999" spans="3:7" ht="13">
      <c r="C999" s="380"/>
      <c r="D999" s="127"/>
      <c r="G999" s="127"/>
    </row>
  </sheetData>
  <autoFilter ref="Q1:Q999" xr:uid="{00000000-0009-0000-0000-00000C000000}"/>
  <hyperlinks>
    <hyperlink ref="C2" r:id="rId1" xr:uid="{00000000-0004-0000-0C00-000000000000}"/>
    <hyperlink ref="D2" r:id="rId2" xr:uid="{00000000-0004-0000-0C00-000001000000}"/>
    <hyperlink ref="N2" r:id="rId3" xr:uid="{00000000-0004-0000-0C00-000002000000}"/>
    <hyperlink ref="C3" r:id="rId4" xr:uid="{00000000-0004-0000-0C00-000003000000}"/>
    <hyperlink ref="D3" r:id="rId5" xr:uid="{00000000-0004-0000-0C00-000004000000}"/>
    <hyperlink ref="N3" r:id="rId6" xr:uid="{00000000-0004-0000-0C00-000005000000}"/>
    <hyperlink ref="A4" r:id="rId7" xr:uid="{00000000-0004-0000-0C00-000006000000}"/>
    <hyperlink ref="C4" r:id="rId8" xr:uid="{00000000-0004-0000-0C00-000007000000}"/>
    <hyperlink ref="D4" r:id="rId9" xr:uid="{00000000-0004-0000-0C00-000008000000}"/>
    <hyperlink ref="A6" r:id="rId10" xr:uid="{00000000-0004-0000-0C00-000009000000}"/>
    <hyperlink ref="C6" r:id="rId11" xr:uid="{00000000-0004-0000-0C00-00000A000000}"/>
    <hyperlink ref="D6" r:id="rId12" xr:uid="{00000000-0004-0000-0C00-00000B000000}"/>
    <hyperlink ref="A7" r:id="rId13" xr:uid="{00000000-0004-0000-0C00-00000C000000}"/>
    <hyperlink ref="C7" r:id="rId14" xr:uid="{00000000-0004-0000-0C00-00000D000000}"/>
    <hyperlink ref="D7" r:id="rId15" xr:uid="{00000000-0004-0000-0C00-00000E000000}"/>
    <hyperlink ref="A8" r:id="rId16" xr:uid="{00000000-0004-0000-0C00-00000F000000}"/>
    <hyperlink ref="C8" r:id="rId17" xr:uid="{00000000-0004-0000-0C00-000010000000}"/>
    <hyperlink ref="D8" r:id="rId18" xr:uid="{00000000-0004-0000-0C00-000011000000}"/>
    <hyperlink ref="A9" r:id="rId19" xr:uid="{00000000-0004-0000-0C00-000012000000}"/>
    <hyperlink ref="C9" r:id="rId20" xr:uid="{00000000-0004-0000-0C00-000013000000}"/>
    <hyperlink ref="D9" r:id="rId21" xr:uid="{00000000-0004-0000-0C00-000014000000}"/>
    <hyperlink ref="A10" r:id="rId22" xr:uid="{00000000-0004-0000-0C00-000015000000}"/>
    <hyperlink ref="C10" r:id="rId23" xr:uid="{00000000-0004-0000-0C00-000016000000}"/>
    <hyperlink ref="D10" r:id="rId24" xr:uid="{00000000-0004-0000-0C00-000017000000}"/>
    <hyperlink ref="A11" r:id="rId25" xr:uid="{00000000-0004-0000-0C00-000018000000}"/>
    <hyperlink ref="C11" r:id="rId26" xr:uid="{00000000-0004-0000-0C00-000019000000}"/>
    <hyperlink ref="D11" r:id="rId27" xr:uid="{00000000-0004-0000-0C00-00001A000000}"/>
    <hyperlink ref="A12" r:id="rId28" xr:uid="{00000000-0004-0000-0C00-00001B000000}"/>
    <hyperlink ref="C12" r:id="rId29" xr:uid="{00000000-0004-0000-0C00-00001C000000}"/>
    <hyperlink ref="D12" r:id="rId30" xr:uid="{00000000-0004-0000-0C00-00001D000000}"/>
    <hyperlink ref="A13" r:id="rId31" xr:uid="{00000000-0004-0000-0C00-00001E000000}"/>
    <hyperlink ref="C13" r:id="rId32" xr:uid="{00000000-0004-0000-0C00-00001F000000}"/>
    <hyperlink ref="D13" r:id="rId33" xr:uid="{00000000-0004-0000-0C00-000020000000}"/>
    <hyperlink ref="A14" r:id="rId34" xr:uid="{00000000-0004-0000-0C00-000021000000}"/>
    <hyperlink ref="C14" r:id="rId35" xr:uid="{00000000-0004-0000-0C00-000022000000}"/>
    <hyperlink ref="D14" r:id="rId36" xr:uid="{00000000-0004-0000-0C00-000023000000}"/>
    <hyperlink ref="A15" r:id="rId37" xr:uid="{00000000-0004-0000-0C00-000024000000}"/>
    <hyperlink ref="C15" r:id="rId38" xr:uid="{00000000-0004-0000-0C00-000025000000}"/>
    <hyperlink ref="D15" r:id="rId39" xr:uid="{00000000-0004-0000-0C00-000026000000}"/>
    <hyperlink ref="A16" r:id="rId40" xr:uid="{00000000-0004-0000-0C00-000027000000}"/>
    <hyperlink ref="C16" r:id="rId41" xr:uid="{00000000-0004-0000-0C00-000028000000}"/>
    <hyperlink ref="D16" r:id="rId42" xr:uid="{00000000-0004-0000-0C00-000029000000}"/>
    <hyperlink ref="A17" r:id="rId43" xr:uid="{00000000-0004-0000-0C00-00002A000000}"/>
    <hyperlink ref="C17" r:id="rId44" xr:uid="{00000000-0004-0000-0C00-00002B000000}"/>
    <hyperlink ref="D17" r:id="rId45" xr:uid="{00000000-0004-0000-0C00-00002C000000}"/>
    <hyperlink ref="N17" r:id="rId46" xr:uid="{00000000-0004-0000-0C00-00002D000000}"/>
    <hyperlink ref="A18" r:id="rId47" xr:uid="{00000000-0004-0000-0C00-00002E000000}"/>
    <hyperlink ref="C18" r:id="rId48" xr:uid="{00000000-0004-0000-0C00-00002F000000}"/>
    <hyperlink ref="D18" r:id="rId49" xr:uid="{00000000-0004-0000-0C00-000030000000}"/>
    <hyperlink ref="A19" r:id="rId50" xr:uid="{00000000-0004-0000-0C00-000031000000}"/>
    <hyperlink ref="C19" r:id="rId51" xr:uid="{00000000-0004-0000-0C00-000032000000}"/>
    <hyperlink ref="D19" r:id="rId52" xr:uid="{00000000-0004-0000-0C00-000033000000}"/>
    <hyperlink ref="A21" r:id="rId53" xr:uid="{00000000-0004-0000-0C00-000034000000}"/>
    <hyperlink ref="C21" r:id="rId54" xr:uid="{00000000-0004-0000-0C00-000035000000}"/>
    <hyperlink ref="D21" r:id="rId55" xr:uid="{00000000-0004-0000-0C00-000036000000}"/>
    <hyperlink ref="A22" r:id="rId56" xr:uid="{00000000-0004-0000-0C00-000037000000}"/>
    <hyperlink ref="C22" r:id="rId57" xr:uid="{00000000-0004-0000-0C00-000038000000}"/>
    <hyperlink ref="D22" r:id="rId58" xr:uid="{00000000-0004-0000-0C00-000039000000}"/>
    <hyperlink ref="A23" r:id="rId59" xr:uid="{00000000-0004-0000-0C00-00003A000000}"/>
    <hyperlink ref="C23" r:id="rId60" xr:uid="{00000000-0004-0000-0C00-00003B000000}"/>
    <hyperlink ref="D23" r:id="rId61" xr:uid="{00000000-0004-0000-0C00-00003C000000}"/>
    <hyperlink ref="A24" r:id="rId62" xr:uid="{00000000-0004-0000-0C00-00003D000000}"/>
    <hyperlink ref="C24" r:id="rId63" xr:uid="{00000000-0004-0000-0C00-00003E000000}"/>
    <hyperlink ref="D24" r:id="rId64" xr:uid="{00000000-0004-0000-0C00-00003F000000}"/>
    <hyperlink ref="A25" r:id="rId65" xr:uid="{00000000-0004-0000-0C00-000040000000}"/>
    <hyperlink ref="C25" r:id="rId66" xr:uid="{00000000-0004-0000-0C00-000041000000}"/>
    <hyperlink ref="D25" r:id="rId67" xr:uid="{00000000-0004-0000-0C00-000042000000}"/>
    <hyperlink ref="A26" r:id="rId68" xr:uid="{00000000-0004-0000-0C00-000043000000}"/>
    <hyperlink ref="C26" r:id="rId69" xr:uid="{00000000-0004-0000-0C00-000044000000}"/>
    <hyperlink ref="D26" r:id="rId70" xr:uid="{00000000-0004-0000-0C00-000045000000}"/>
    <hyperlink ref="A27" r:id="rId71" xr:uid="{00000000-0004-0000-0C00-000046000000}"/>
    <hyperlink ref="C27" r:id="rId72" xr:uid="{00000000-0004-0000-0C00-000047000000}"/>
    <hyperlink ref="D27" r:id="rId73" xr:uid="{00000000-0004-0000-0C00-000048000000}"/>
    <hyperlink ref="A28" r:id="rId74" xr:uid="{00000000-0004-0000-0C00-000049000000}"/>
    <hyperlink ref="C28" r:id="rId75" xr:uid="{00000000-0004-0000-0C00-00004A000000}"/>
    <hyperlink ref="D28" r:id="rId76" xr:uid="{00000000-0004-0000-0C00-00004B000000}"/>
    <hyperlink ref="A29" r:id="rId77" xr:uid="{00000000-0004-0000-0C00-00004C000000}"/>
    <hyperlink ref="C29" r:id="rId78" xr:uid="{00000000-0004-0000-0C00-00004D000000}"/>
    <hyperlink ref="D29" r:id="rId79" xr:uid="{00000000-0004-0000-0C00-00004E000000}"/>
    <hyperlink ref="A30" r:id="rId80" xr:uid="{00000000-0004-0000-0C00-00004F000000}"/>
    <hyperlink ref="C30" r:id="rId81" xr:uid="{00000000-0004-0000-0C00-000050000000}"/>
    <hyperlink ref="D30" r:id="rId82" xr:uid="{00000000-0004-0000-0C00-000051000000}"/>
    <hyperlink ref="A31" r:id="rId83" location="entry32473" xr:uid="{00000000-0004-0000-0C00-000052000000}"/>
    <hyperlink ref="C31" r:id="rId84" xr:uid="{00000000-0004-0000-0C00-000053000000}"/>
    <hyperlink ref="D31" r:id="rId85" xr:uid="{00000000-0004-0000-0C00-000054000000}"/>
    <hyperlink ref="A32" r:id="rId86" xr:uid="{00000000-0004-0000-0C00-000055000000}"/>
    <hyperlink ref="C32" r:id="rId87" xr:uid="{00000000-0004-0000-0C00-000056000000}"/>
    <hyperlink ref="D32" r:id="rId88" xr:uid="{00000000-0004-0000-0C00-000057000000}"/>
    <hyperlink ref="A33" r:id="rId89" xr:uid="{00000000-0004-0000-0C00-000058000000}"/>
    <hyperlink ref="C33" r:id="rId90" xr:uid="{00000000-0004-0000-0C00-000059000000}"/>
    <hyperlink ref="D33" r:id="rId91" xr:uid="{00000000-0004-0000-0C00-00005A000000}"/>
    <hyperlink ref="C34" r:id="rId92" xr:uid="{00000000-0004-0000-0C00-00005B000000}"/>
    <hyperlink ref="D34" r:id="rId93" xr:uid="{00000000-0004-0000-0C00-00005C000000}"/>
    <hyperlink ref="A35" r:id="rId94" xr:uid="{00000000-0004-0000-0C00-00005D000000}"/>
    <hyperlink ref="C35" r:id="rId95" xr:uid="{00000000-0004-0000-0C00-00005E000000}"/>
    <hyperlink ref="D35" r:id="rId96" xr:uid="{00000000-0004-0000-0C00-00005F000000}"/>
    <hyperlink ref="A36" r:id="rId97" xr:uid="{00000000-0004-0000-0C00-000060000000}"/>
    <hyperlink ref="C36" r:id="rId98" xr:uid="{00000000-0004-0000-0C00-000061000000}"/>
    <hyperlink ref="D36" r:id="rId99" xr:uid="{00000000-0004-0000-0C00-000062000000}"/>
    <hyperlink ref="A37" r:id="rId100" xr:uid="{00000000-0004-0000-0C00-000063000000}"/>
    <hyperlink ref="C37" r:id="rId101" xr:uid="{00000000-0004-0000-0C00-000064000000}"/>
    <hyperlink ref="D37" r:id="rId102" xr:uid="{00000000-0004-0000-0C00-000065000000}"/>
    <hyperlink ref="A38" r:id="rId103" xr:uid="{00000000-0004-0000-0C00-000066000000}"/>
    <hyperlink ref="C38" r:id="rId104" xr:uid="{00000000-0004-0000-0C00-000067000000}"/>
    <hyperlink ref="D38" r:id="rId105" xr:uid="{00000000-0004-0000-0C00-000068000000}"/>
    <hyperlink ref="A39" r:id="rId106" xr:uid="{00000000-0004-0000-0C00-000069000000}"/>
    <hyperlink ref="C39" r:id="rId107" xr:uid="{00000000-0004-0000-0C00-00006A000000}"/>
    <hyperlink ref="D39" r:id="rId108" xr:uid="{00000000-0004-0000-0C00-00006B000000}"/>
    <hyperlink ref="A40" r:id="rId109" xr:uid="{00000000-0004-0000-0C00-00006C000000}"/>
    <hyperlink ref="C40" r:id="rId110" xr:uid="{00000000-0004-0000-0C00-00006D000000}"/>
    <hyperlink ref="D40" r:id="rId111" xr:uid="{00000000-0004-0000-0C00-00006E000000}"/>
    <hyperlink ref="A41" r:id="rId112" xr:uid="{00000000-0004-0000-0C00-00006F000000}"/>
    <hyperlink ref="C41" r:id="rId113" xr:uid="{00000000-0004-0000-0C00-000070000000}"/>
    <hyperlink ref="D41" r:id="rId114" xr:uid="{00000000-0004-0000-0C00-000071000000}"/>
    <hyperlink ref="A43" r:id="rId115" xr:uid="{00000000-0004-0000-0C00-000072000000}"/>
    <hyperlink ref="C43" r:id="rId116" xr:uid="{00000000-0004-0000-0C00-000073000000}"/>
    <hyperlink ref="D43" r:id="rId117" xr:uid="{00000000-0004-0000-0C00-000074000000}"/>
    <hyperlink ref="A44" r:id="rId118" xr:uid="{00000000-0004-0000-0C00-000075000000}"/>
    <hyperlink ref="C44" r:id="rId119" xr:uid="{00000000-0004-0000-0C00-000076000000}"/>
    <hyperlink ref="D44" r:id="rId120" xr:uid="{00000000-0004-0000-0C00-000077000000}"/>
    <hyperlink ref="A45" r:id="rId121" xr:uid="{00000000-0004-0000-0C00-000078000000}"/>
    <hyperlink ref="C45" r:id="rId122" xr:uid="{00000000-0004-0000-0C00-000079000000}"/>
    <hyperlink ref="D45" r:id="rId123" xr:uid="{00000000-0004-0000-0C00-00007A000000}"/>
    <hyperlink ref="A46" r:id="rId124" xr:uid="{00000000-0004-0000-0C00-00007B000000}"/>
    <hyperlink ref="C46" r:id="rId125" xr:uid="{00000000-0004-0000-0C00-00007C000000}"/>
    <hyperlink ref="D46" r:id="rId126" xr:uid="{00000000-0004-0000-0C00-00007D000000}"/>
    <hyperlink ref="A47" r:id="rId127" xr:uid="{00000000-0004-0000-0C00-00007E000000}"/>
    <hyperlink ref="C47" r:id="rId128" xr:uid="{00000000-0004-0000-0C00-00007F000000}"/>
    <hyperlink ref="D47" r:id="rId129" xr:uid="{00000000-0004-0000-0C00-000080000000}"/>
    <hyperlink ref="A48" r:id="rId130" xr:uid="{00000000-0004-0000-0C00-000081000000}"/>
    <hyperlink ref="C48" r:id="rId131" xr:uid="{00000000-0004-0000-0C00-000082000000}"/>
    <hyperlink ref="D48" r:id="rId132" xr:uid="{00000000-0004-0000-0C00-000083000000}"/>
    <hyperlink ref="A49" r:id="rId133" xr:uid="{00000000-0004-0000-0C00-000084000000}"/>
    <hyperlink ref="C49" r:id="rId134" xr:uid="{00000000-0004-0000-0C00-000085000000}"/>
    <hyperlink ref="D49" r:id="rId135" xr:uid="{00000000-0004-0000-0C00-000086000000}"/>
    <hyperlink ref="A52" r:id="rId136" xr:uid="{00000000-0004-0000-0C00-000087000000}"/>
    <hyperlink ref="C52" r:id="rId137" xr:uid="{00000000-0004-0000-0C00-000088000000}"/>
    <hyperlink ref="D52" r:id="rId138" xr:uid="{00000000-0004-0000-0C00-000089000000}"/>
    <hyperlink ref="N52" r:id="rId139" xr:uid="{00000000-0004-0000-0C00-00008A000000}"/>
    <hyperlink ref="A53" r:id="rId140" xr:uid="{00000000-0004-0000-0C00-00008B000000}"/>
    <hyperlink ref="C53" r:id="rId141" xr:uid="{00000000-0004-0000-0C00-00008C000000}"/>
    <hyperlink ref="D53" r:id="rId142" xr:uid="{00000000-0004-0000-0C00-00008D000000}"/>
    <hyperlink ref="A54" r:id="rId143" xr:uid="{00000000-0004-0000-0C00-00008E000000}"/>
    <hyperlink ref="C54" r:id="rId144" xr:uid="{00000000-0004-0000-0C00-00008F000000}"/>
    <hyperlink ref="D54" r:id="rId145" xr:uid="{00000000-0004-0000-0C00-000090000000}"/>
    <hyperlink ref="A55" r:id="rId146" xr:uid="{00000000-0004-0000-0C00-000091000000}"/>
    <hyperlink ref="C55" r:id="rId147" xr:uid="{00000000-0004-0000-0C00-000092000000}"/>
    <hyperlink ref="D55" r:id="rId148" xr:uid="{00000000-0004-0000-0C00-000093000000}"/>
    <hyperlink ref="A56" r:id="rId149" xr:uid="{00000000-0004-0000-0C00-000094000000}"/>
    <hyperlink ref="C56" r:id="rId150" xr:uid="{00000000-0004-0000-0C00-000095000000}"/>
    <hyperlink ref="D56" r:id="rId151" xr:uid="{00000000-0004-0000-0C00-000096000000}"/>
    <hyperlink ref="C57" r:id="rId152" xr:uid="{00000000-0004-0000-0C00-000097000000}"/>
    <hyperlink ref="D57" r:id="rId153" xr:uid="{00000000-0004-0000-0C00-000098000000}"/>
    <hyperlink ref="C58" r:id="rId154" xr:uid="{00000000-0004-0000-0C00-000099000000}"/>
    <hyperlink ref="D58" r:id="rId155" xr:uid="{00000000-0004-0000-0C00-00009A000000}"/>
    <hyperlink ref="A59" r:id="rId156" xr:uid="{00000000-0004-0000-0C00-00009B000000}"/>
    <hyperlink ref="C59" r:id="rId157" xr:uid="{00000000-0004-0000-0C00-00009C000000}"/>
    <hyperlink ref="D59" r:id="rId158" xr:uid="{00000000-0004-0000-0C00-00009D000000}"/>
    <hyperlink ref="A60" r:id="rId159" xr:uid="{00000000-0004-0000-0C00-00009E000000}"/>
    <hyperlink ref="C60" r:id="rId160" xr:uid="{00000000-0004-0000-0C00-00009F000000}"/>
    <hyperlink ref="D60" r:id="rId161" xr:uid="{00000000-0004-0000-0C00-0000A0000000}"/>
    <hyperlink ref="A61" r:id="rId162" xr:uid="{00000000-0004-0000-0C00-0000A1000000}"/>
    <hyperlink ref="C61" r:id="rId163" xr:uid="{00000000-0004-0000-0C00-0000A2000000}"/>
    <hyperlink ref="D61" r:id="rId164" xr:uid="{00000000-0004-0000-0C00-0000A3000000}"/>
    <hyperlink ref="A62" r:id="rId165" xr:uid="{00000000-0004-0000-0C00-0000A4000000}"/>
    <hyperlink ref="C62" r:id="rId166" xr:uid="{00000000-0004-0000-0C00-0000A5000000}"/>
    <hyperlink ref="D62" r:id="rId167" xr:uid="{00000000-0004-0000-0C00-0000A6000000}"/>
    <hyperlink ref="A63" r:id="rId168" xr:uid="{00000000-0004-0000-0C00-0000A7000000}"/>
    <hyperlink ref="C63" r:id="rId169" xr:uid="{00000000-0004-0000-0C00-0000A8000000}"/>
    <hyperlink ref="D63" r:id="rId170" xr:uid="{00000000-0004-0000-0C00-0000A9000000}"/>
    <hyperlink ref="A64" r:id="rId171" xr:uid="{00000000-0004-0000-0C00-0000AA000000}"/>
    <hyperlink ref="C64" r:id="rId172" xr:uid="{00000000-0004-0000-0C00-0000AB000000}"/>
    <hyperlink ref="D64" r:id="rId173" xr:uid="{00000000-0004-0000-0C00-0000AC000000}"/>
    <hyperlink ref="C65" r:id="rId174" xr:uid="{00000000-0004-0000-0C00-0000AD000000}"/>
    <hyperlink ref="D65" r:id="rId175" xr:uid="{00000000-0004-0000-0C00-0000AE000000}"/>
    <hyperlink ref="A66" r:id="rId176" xr:uid="{00000000-0004-0000-0C00-0000AF000000}"/>
    <hyperlink ref="C66" r:id="rId177" xr:uid="{00000000-0004-0000-0C00-0000B0000000}"/>
    <hyperlink ref="D66" r:id="rId178" xr:uid="{00000000-0004-0000-0C00-0000B1000000}"/>
    <hyperlink ref="A67" r:id="rId179" xr:uid="{00000000-0004-0000-0C00-0000B2000000}"/>
    <hyperlink ref="C67" r:id="rId180" xr:uid="{00000000-0004-0000-0C00-0000B3000000}"/>
    <hyperlink ref="D67" r:id="rId181" xr:uid="{00000000-0004-0000-0C00-0000B4000000}"/>
    <hyperlink ref="A68" r:id="rId182" xr:uid="{00000000-0004-0000-0C00-0000B5000000}"/>
    <hyperlink ref="C68" r:id="rId183" xr:uid="{00000000-0004-0000-0C00-0000B6000000}"/>
    <hyperlink ref="D68" r:id="rId184" xr:uid="{00000000-0004-0000-0C00-0000B7000000}"/>
    <hyperlink ref="A69" r:id="rId185" xr:uid="{00000000-0004-0000-0C00-0000B8000000}"/>
    <hyperlink ref="C69" r:id="rId186" xr:uid="{00000000-0004-0000-0C00-0000B9000000}"/>
    <hyperlink ref="D69" r:id="rId187" xr:uid="{00000000-0004-0000-0C00-0000BA000000}"/>
    <hyperlink ref="A70" r:id="rId188" xr:uid="{00000000-0004-0000-0C00-0000BB000000}"/>
    <hyperlink ref="C70" r:id="rId189" xr:uid="{00000000-0004-0000-0C00-0000BC000000}"/>
    <hyperlink ref="D70" r:id="rId190" xr:uid="{00000000-0004-0000-0C00-0000BD000000}"/>
    <hyperlink ref="A71" r:id="rId191" xr:uid="{00000000-0004-0000-0C00-0000BE000000}"/>
    <hyperlink ref="C71" r:id="rId192" xr:uid="{00000000-0004-0000-0C00-0000BF000000}"/>
    <hyperlink ref="C72" r:id="rId193" xr:uid="{00000000-0004-0000-0C00-0000C0000000}"/>
    <hyperlink ref="D72" r:id="rId194" xr:uid="{00000000-0004-0000-0C00-0000C1000000}"/>
    <hyperlink ref="C73" r:id="rId195" xr:uid="{00000000-0004-0000-0C00-0000C2000000}"/>
    <hyperlink ref="D73" r:id="rId196" xr:uid="{00000000-0004-0000-0C00-0000C3000000}"/>
    <hyperlink ref="C74" r:id="rId197" xr:uid="{00000000-0004-0000-0C00-0000C4000000}"/>
    <hyperlink ref="D74" r:id="rId198" xr:uid="{00000000-0004-0000-0C00-0000C5000000}"/>
    <hyperlink ref="C75" r:id="rId199" xr:uid="{00000000-0004-0000-0C00-0000C6000000}"/>
    <hyperlink ref="D75" r:id="rId200" xr:uid="{00000000-0004-0000-0C00-0000C7000000}"/>
    <hyperlink ref="A76" r:id="rId201" xr:uid="{00000000-0004-0000-0C00-0000C8000000}"/>
    <hyperlink ref="C76" r:id="rId202" xr:uid="{00000000-0004-0000-0C00-0000C9000000}"/>
    <hyperlink ref="D76" r:id="rId203" xr:uid="{00000000-0004-0000-0C00-0000CA000000}"/>
    <hyperlink ref="A77" r:id="rId204" xr:uid="{00000000-0004-0000-0C00-0000CB000000}"/>
    <hyperlink ref="C77" r:id="rId205" xr:uid="{00000000-0004-0000-0C00-0000CC000000}"/>
    <hyperlink ref="D77" r:id="rId206" xr:uid="{00000000-0004-0000-0C00-0000CD000000}"/>
    <hyperlink ref="N77" r:id="rId207" xr:uid="{00000000-0004-0000-0C00-0000CE000000}"/>
    <hyperlink ref="A78" r:id="rId208" xr:uid="{00000000-0004-0000-0C00-0000CF000000}"/>
    <hyperlink ref="C78" r:id="rId209" xr:uid="{00000000-0004-0000-0C00-0000D0000000}"/>
    <hyperlink ref="D78" r:id="rId210" xr:uid="{00000000-0004-0000-0C00-0000D1000000}"/>
    <hyperlink ref="N78" r:id="rId211" xr:uid="{00000000-0004-0000-0C00-0000D2000000}"/>
    <hyperlink ref="C79" r:id="rId212" xr:uid="{00000000-0004-0000-0C00-0000D3000000}"/>
    <hyperlink ref="D79" r:id="rId213" xr:uid="{00000000-0004-0000-0C00-0000D4000000}"/>
    <hyperlink ref="C80" r:id="rId214" xr:uid="{00000000-0004-0000-0C00-0000D5000000}"/>
    <hyperlink ref="D80" r:id="rId215" xr:uid="{00000000-0004-0000-0C00-0000D6000000}"/>
    <hyperlink ref="C81" r:id="rId216" xr:uid="{00000000-0004-0000-0C00-0000D7000000}"/>
    <hyperlink ref="D81" r:id="rId217" xr:uid="{00000000-0004-0000-0C00-0000D8000000}"/>
    <hyperlink ref="C82" r:id="rId218" xr:uid="{00000000-0004-0000-0C00-0000D9000000}"/>
    <hyperlink ref="D82" r:id="rId219" xr:uid="{00000000-0004-0000-0C00-0000DA000000}"/>
    <hyperlink ref="A83" r:id="rId220" xr:uid="{00000000-0004-0000-0C00-0000DB000000}"/>
    <hyperlink ref="C83" r:id="rId221" xr:uid="{00000000-0004-0000-0C00-0000DC000000}"/>
    <hyperlink ref="D83" r:id="rId222" xr:uid="{00000000-0004-0000-0C00-0000DD000000}"/>
    <hyperlink ref="C84" r:id="rId223" xr:uid="{00000000-0004-0000-0C00-0000DE000000}"/>
    <hyperlink ref="D84" r:id="rId224" xr:uid="{00000000-0004-0000-0C00-0000DF000000}"/>
    <hyperlink ref="A85" r:id="rId225" xr:uid="{00000000-0004-0000-0C00-0000E0000000}"/>
    <hyperlink ref="C85" r:id="rId226" xr:uid="{00000000-0004-0000-0C00-0000E1000000}"/>
    <hyperlink ref="D85" r:id="rId227" xr:uid="{00000000-0004-0000-0C00-0000E2000000}"/>
    <hyperlink ref="A86" r:id="rId228" xr:uid="{00000000-0004-0000-0C00-0000E3000000}"/>
    <hyperlink ref="C86" r:id="rId229" xr:uid="{00000000-0004-0000-0C00-0000E4000000}"/>
    <hyperlink ref="D86" r:id="rId230" xr:uid="{00000000-0004-0000-0C00-0000E5000000}"/>
    <hyperlink ref="A87" r:id="rId231" xr:uid="{00000000-0004-0000-0C00-0000E6000000}"/>
    <hyperlink ref="C87" r:id="rId232" xr:uid="{00000000-0004-0000-0C00-0000E7000000}"/>
    <hyperlink ref="D87" r:id="rId233" xr:uid="{00000000-0004-0000-0C00-0000E8000000}"/>
    <hyperlink ref="A88" r:id="rId234" xr:uid="{00000000-0004-0000-0C00-0000E9000000}"/>
    <hyperlink ref="C88" r:id="rId235" xr:uid="{00000000-0004-0000-0C00-0000EA000000}"/>
    <hyperlink ref="D88" r:id="rId236" xr:uid="{00000000-0004-0000-0C00-0000EB000000}"/>
    <hyperlink ref="A89" r:id="rId237" xr:uid="{00000000-0004-0000-0C00-0000EC000000}"/>
    <hyperlink ref="C89" r:id="rId238" xr:uid="{00000000-0004-0000-0C00-0000ED000000}"/>
    <hyperlink ref="D89" r:id="rId239" xr:uid="{00000000-0004-0000-0C00-0000EE000000}"/>
    <hyperlink ref="A90" r:id="rId240" xr:uid="{00000000-0004-0000-0C00-0000EF000000}"/>
    <hyperlink ref="C90" r:id="rId241" xr:uid="{00000000-0004-0000-0C00-0000F0000000}"/>
    <hyperlink ref="D90" r:id="rId242" xr:uid="{00000000-0004-0000-0C00-0000F1000000}"/>
    <hyperlink ref="A91" r:id="rId243" xr:uid="{00000000-0004-0000-0C00-0000F2000000}"/>
    <hyperlink ref="C91" r:id="rId244" xr:uid="{00000000-0004-0000-0C00-0000F3000000}"/>
    <hyperlink ref="D91" r:id="rId245" xr:uid="{00000000-0004-0000-0C00-0000F4000000}"/>
    <hyperlink ref="A92" r:id="rId246" xr:uid="{00000000-0004-0000-0C00-0000F5000000}"/>
    <hyperlink ref="C92" r:id="rId247" xr:uid="{00000000-0004-0000-0C00-0000F6000000}"/>
    <hyperlink ref="D92" r:id="rId248" xr:uid="{00000000-0004-0000-0C00-0000F7000000}"/>
    <hyperlink ref="A93" r:id="rId249" xr:uid="{00000000-0004-0000-0C00-0000F8000000}"/>
    <hyperlink ref="C93" r:id="rId250" xr:uid="{00000000-0004-0000-0C00-0000F9000000}"/>
    <hyperlink ref="D93" r:id="rId251" xr:uid="{00000000-0004-0000-0C00-0000FA000000}"/>
    <hyperlink ref="A94" r:id="rId252" xr:uid="{00000000-0004-0000-0C00-0000FB000000}"/>
    <hyperlink ref="C94" r:id="rId253" xr:uid="{00000000-0004-0000-0C00-0000FC000000}"/>
    <hyperlink ref="D94" r:id="rId254" xr:uid="{00000000-0004-0000-0C00-0000FD000000}"/>
    <hyperlink ref="C95" r:id="rId255" xr:uid="{00000000-0004-0000-0C00-0000FE000000}"/>
    <hyperlink ref="D95" r:id="rId256" xr:uid="{00000000-0004-0000-0C00-0000FF000000}"/>
    <hyperlink ref="C96" r:id="rId257" xr:uid="{00000000-0004-0000-0C00-000000010000}"/>
    <hyperlink ref="D96" r:id="rId258" xr:uid="{00000000-0004-0000-0C00-000001010000}"/>
    <hyperlink ref="C97" r:id="rId259" xr:uid="{00000000-0004-0000-0C00-000002010000}"/>
    <hyperlink ref="D97" r:id="rId260" xr:uid="{00000000-0004-0000-0C00-000003010000}"/>
    <hyperlink ref="C98" r:id="rId261" xr:uid="{00000000-0004-0000-0C00-000004010000}"/>
    <hyperlink ref="D98" r:id="rId262" xr:uid="{00000000-0004-0000-0C00-000005010000}"/>
    <hyperlink ref="C99" r:id="rId263" xr:uid="{00000000-0004-0000-0C00-000006010000}"/>
    <hyperlink ref="D99" r:id="rId264" xr:uid="{00000000-0004-0000-0C00-000007010000}"/>
    <hyperlink ref="C100" r:id="rId265" xr:uid="{00000000-0004-0000-0C00-000008010000}"/>
    <hyperlink ref="D100" r:id="rId266" xr:uid="{00000000-0004-0000-0C00-000009010000}"/>
    <hyperlink ref="C101" r:id="rId267" xr:uid="{00000000-0004-0000-0C00-00000A010000}"/>
    <hyperlink ref="D101" r:id="rId268" xr:uid="{00000000-0004-0000-0C00-00000B010000}"/>
    <hyperlink ref="N101" r:id="rId269" xr:uid="{00000000-0004-0000-0C00-00000C010000}"/>
    <hyperlink ref="C102" r:id="rId270" xr:uid="{00000000-0004-0000-0C00-00000D010000}"/>
    <hyperlink ref="D102" r:id="rId271" xr:uid="{00000000-0004-0000-0C00-00000E010000}"/>
    <hyperlink ref="N102" r:id="rId272" xr:uid="{00000000-0004-0000-0C00-00000F010000}"/>
    <hyperlink ref="C103" r:id="rId273" xr:uid="{00000000-0004-0000-0C00-000010010000}"/>
    <hyperlink ref="D103" r:id="rId274" xr:uid="{00000000-0004-0000-0C00-000011010000}"/>
    <hyperlink ref="C104" r:id="rId275" xr:uid="{00000000-0004-0000-0C00-000012010000}"/>
    <hyperlink ref="D104" r:id="rId276" xr:uid="{00000000-0004-0000-0C00-000013010000}"/>
    <hyperlink ref="C105" r:id="rId277" xr:uid="{00000000-0004-0000-0C00-000014010000}"/>
    <hyperlink ref="D105" r:id="rId278" xr:uid="{00000000-0004-0000-0C00-000015010000}"/>
    <hyperlink ref="C106" r:id="rId279" xr:uid="{00000000-0004-0000-0C00-000016010000}"/>
    <hyperlink ref="D106" r:id="rId280" xr:uid="{00000000-0004-0000-0C00-000017010000}"/>
    <hyperlink ref="C107" r:id="rId281" xr:uid="{00000000-0004-0000-0C00-000018010000}"/>
    <hyperlink ref="D107" r:id="rId282" xr:uid="{00000000-0004-0000-0C00-000019010000}"/>
    <hyperlink ref="C108" r:id="rId283" xr:uid="{00000000-0004-0000-0C00-00001A010000}"/>
    <hyperlink ref="D108" r:id="rId284" xr:uid="{00000000-0004-0000-0C00-00001B010000}"/>
    <hyperlink ref="C109" r:id="rId285" xr:uid="{00000000-0004-0000-0C00-00001C010000}"/>
    <hyperlink ref="D109" r:id="rId286" xr:uid="{00000000-0004-0000-0C00-00001D010000}"/>
    <hyperlink ref="C110" r:id="rId287" xr:uid="{00000000-0004-0000-0C00-00001E010000}"/>
    <hyperlink ref="D110" r:id="rId288" xr:uid="{00000000-0004-0000-0C00-00001F010000}"/>
    <hyperlink ref="C111" r:id="rId289" xr:uid="{00000000-0004-0000-0C00-000020010000}"/>
    <hyperlink ref="D111" r:id="rId290" xr:uid="{00000000-0004-0000-0C00-000021010000}"/>
    <hyperlink ref="C112" r:id="rId291" xr:uid="{00000000-0004-0000-0C00-000022010000}"/>
    <hyperlink ref="D112" r:id="rId292" xr:uid="{00000000-0004-0000-0C00-000023010000}"/>
    <hyperlink ref="C113" r:id="rId293" xr:uid="{00000000-0004-0000-0C00-000024010000}"/>
    <hyperlink ref="D113" r:id="rId294" xr:uid="{00000000-0004-0000-0C00-000025010000}"/>
    <hyperlink ref="C114" r:id="rId295" xr:uid="{00000000-0004-0000-0C00-000026010000}"/>
    <hyperlink ref="D114" r:id="rId296" xr:uid="{00000000-0004-0000-0C00-000027010000}"/>
    <hyperlink ref="C115" r:id="rId297" xr:uid="{00000000-0004-0000-0C00-000028010000}"/>
    <hyperlink ref="D115" r:id="rId298" xr:uid="{00000000-0004-0000-0C00-000029010000}"/>
    <hyperlink ref="C116" r:id="rId299" xr:uid="{00000000-0004-0000-0C00-00002A010000}"/>
    <hyperlink ref="D116" r:id="rId300" xr:uid="{00000000-0004-0000-0C00-00002B010000}"/>
    <hyperlink ref="C117" r:id="rId301" xr:uid="{00000000-0004-0000-0C00-00002C010000}"/>
    <hyperlink ref="D117" r:id="rId302" xr:uid="{00000000-0004-0000-0C00-00002D010000}"/>
  </hyperlinks>
  <pageMargins left="0.7" right="0.7" top="0.75" bottom="0.75" header="0.3" footer="0.3"/>
  <legacyDrawing r:id="rId30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H130"/>
  <sheetViews>
    <sheetView workbookViewId="0"/>
  </sheetViews>
  <sheetFormatPr baseColWidth="10" defaultColWidth="14.5" defaultRowHeight="15.75" customHeight="1"/>
  <cols>
    <col min="1" max="1" width="5.6640625" customWidth="1"/>
    <col min="3" max="3" width="10" customWidth="1"/>
    <col min="4" max="4" width="21.6640625" customWidth="1"/>
    <col min="5" max="5" width="7.6640625" customWidth="1"/>
    <col min="6" max="6" width="4.6640625" customWidth="1"/>
    <col min="7" max="10" width="14.5" hidden="1"/>
    <col min="11" max="11" width="14" customWidth="1"/>
    <col min="12" max="12" width="13.5" customWidth="1"/>
    <col min="13" max="13" width="15.33203125" customWidth="1"/>
  </cols>
  <sheetData>
    <row r="1" spans="1:30" ht="13">
      <c r="A1" s="11" t="s">
        <v>6</v>
      </c>
      <c r="B1" s="11" t="s">
        <v>7</v>
      </c>
      <c r="C1" s="11" t="s">
        <v>14</v>
      </c>
      <c r="D1" s="11" t="s">
        <v>15</v>
      </c>
      <c r="E1" s="11" t="s">
        <v>16</v>
      </c>
      <c r="F1" s="11" t="s">
        <v>18</v>
      </c>
      <c r="G1" s="11" t="s">
        <v>126</v>
      </c>
      <c r="H1" s="11" t="s">
        <v>32</v>
      </c>
      <c r="I1" s="11" t="s">
        <v>33</v>
      </c>
      <c r="J1" s="11" t="s">
        <v>23</v>
      </c>
      <c r="K1" s="11" t="s">
        <v>24</v>
      </c>
      <c r="L1" s="11" t="s">
        <v>25</v>
      </c>
      <c r="M1" s="11" t="s">
        <v>26</v>
      </c>
      <c r="N1" s="11" t="s">
        <v>30</v>
      </c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spans="1:30" ht="13">
      <c r="A2" s="12"/>
      <c r="B2" s="11" t="s">
        <v>1220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</row>
    <row r="3" spans="1:30" ht="13">
      <c r="A3" s="11" t="s">
        <v>47</v>
      </c>
      <c r="B3" s="143" t="s">
        <v>465</v>
      </c>
      <c r="C3" s="143" t="s">
        <v>1223</v>
      </c>
      <c r="D3" s="12" t="str">
        <f t="shared" ref="D3:D12" si="0">TRIM(LEFT(C3,LEN(C3)-4))</f>
        <v>Constantine Armstrong II</v>
      </c>
      <c r="E3" s="12" t="str">
        <f t="shared" ref="E3:E12" si="1">TRIM(RIGHT(C3,2))</f>
        <v>CF</v>
      </c>
      <c r="F3" s="11">
        <v>254</v>
      </c>
      <c r="G3" s="12"/>
      <c r="H3" s="12"/>
      <c r="I3" s="12"/>
      <c r="J3" s="12"/>
      <c r="K3" s="11" t="s">
        <v>70</v>
      </c>
      <c r="L3" s="11" t="s">
        <v>141</v>
      </c>
      <c r="M3" s="11" t="s">
        <v>70</v>
      </c>
      <c r="N3" s="11" t="s">
        <v>1227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</row>
    <row r="4" spans="1:30" ht="13">
      <c r="A4" s="11" t="s">
        <v>47</v>
      </c>
      <c r="B4" s="143" t="s">
        <v>1164</v>
      </c>
      <c r="C4" s="143" t="s">
        <v>1229</v>
      </c>
      <c r="D4" s="12" t="str">
        <f t="shared" si="0"/>
        <v>Cuauhtémoc Rodriguez</v>
      </c>
      <c r="E4" s="12" t="str">
        <f t="shared" si="1"/>
        <v>LF</v>
      </c>
      <c r="F4" s="11">
        <v>100</v>
      </c>
      <c r="G4" s="12"/>
      <c r="H4" s="12"/>
      <c r="I4" s="12"/>
      <c r="J4" s="12"/>
      <c r="K4" s="11" t="s">
        <v>70</v>
      </c>
      <c r="L4" s="11" t="s">
        <v>1232</v>
      </c>
      <c r="M4" s="11" t="s">
        <v>70</v>
      </c>
      <c r="N4" s="11" t="s">
        <v>1227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30" ht="13">
      <c r="A5" s="11" t="s">
        <v>47</v>
      </c>
      <c r="B5" s="143" t="s">
        <v>644</v>
      </c>
      <c r="C5" s="143" t="s">
        <v>1234</v>
      </c>
      <c r="D5" s="12" t="str">
        <f t="shared" si="0"/>
        <v>Sigurđ Bjarnason</v>
      </c>
      <c r="E5" s="12" t="str">
        <f t="shared" si="1"/>
        <v>2B</v>
      </c>
      <c r="F5" s="11">
        <v>206</v>
      </c>
      <c r="G5" s="12"/>
      <c r="H5" s="12"/>
      <c r="I5" s="12"/>
      <c r="J5" s="12"/>
      <c r="K5" s="11" t="s">
        <v>70</v>
      </c>
      <c r="L5" s="11">
        <v>9</v>
      </c>
      <c r="M5" s="11" t="s">
        <v>70</v>
      </c>
      <c r="N5" s="11" t="s">
        <v>1227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30" ht="13">
      <c r="A6" s="11" t="s">
        <v>47</v>
      </c>
      <c r="B6" s="143" t="s">
        <v>1236</v>
      </c>
      <c r="C6" s="143" t="s">
        <v>1237</v>
      </c>
      <c r="D6" s="12" t="str">
        <f t="shared" si="0"/>
        <v>Nolan Anderson</v>
      </c>
      <c r="E6" s="12" t="str">
        <f t="shared" si="1"/>
        <v>3B</v>
      </c>
      <c r="F6" s="11">
        <v>129</v>
      </c>
      <c r="G6" s="12"/>
      <c r="H6" s="12"/>
      <c r="I6" s="12"/>
      <c r="J6" s="12"/>
      <c r="K6" s="11" t="s">
        <v>70</v>
      </c>
      <c r="L6" s="11">
        <v>42</v>
      </c>
      <c r="M6" s="11" t="s">
        <v>70</v>
      </c>
      <c r="N6" s="11" t="s">
        <v>1227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1:30" ht="13">
      <c r="A7" s="11" t="s">
        <v>47</v>
      </c>
      <c r="B7" s="143" t="s">
        <v>783</v>
      </c>
      <c r="C7" s="143" t="s">
        <v>1241</v>
      </c>
      <c r="D7" s="12" t="str">
        <f t="shared" si="0"/>
        <v>Kristy O'Sullivan</v>
      </c>
      <c r="E7" s="12" t="str">
        <f t="shared" si="1"/>
        <v>SP</v>
      </c>
      <c r="F7" s="11">
        <v>253</v>
      </c>
      <c r="G7" s="12"/>
      <c r="H7" s="12"/>
      <c r="I7" s="12"/>
      <c r="J7" s="12"/>
      <c r="K7" s="11" t="s">
        <v>70</v>
      </c>
      <c r="L7" s="11">
        <v>38</v>
      </c>
      <c r="M7" s="11" t="s">
        <v>70</v>
      </c>
      <c r="N7" s="11" t="s">
        <v>1227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</row>
    <row r="8" spans="1:30" ht="13">
      <c r="A8" s="11" t="s">
        <v>47</v>
      </c>
      <c r="B8" s="143" t="s">
        <v>277</v>
      </c>
      <c r="C8" s="143" t="s">
        <v>1244</v>
      </c>
      <c r="D8" s="12" t="str">
        <f t="shared" si="0"/>
        <v>Joseph Askins</v>
      </c>
      <c r="E8" s="12" t="str">
        <f t="shared" si="1"/>
        <v>3B</v>
      </c>
      <c r="F8" s="11">
        <v>165</v>
      </c>
      <c r="G8" s="12"/>
      <c r="H8" s="12"/>
      <c r="I8" s="12"/>
      <c r="J8" s="12"/>
      <c r="K8" s="11" t="s">
        <v>78</v>
      </c>
      <c r="L8" s="11" t="s">
        <v>1232</v>
      </c>
      <c r="M8" s="11" t="s">
        <v>70</v>
      </c>
      <c r="N8" s="11" t="s">
        <v>1227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</row>
    <row r="9" spans="1:30" ht="13">
      <c r="A9" s="11" t="s">
        <v>47</v>
      </c>
      <c r="B9" s="143" t="s">
        <v>628</v>
      </c>
      <c r="C9" s="143" t="s">
        <v>1246</v>
      </c>
      <c r="D9" s="12" t="str">
        <f t="shared" si="0"/>
        <v>Vincent Gramatica</v>
      </c>
      <c r="E9" s="12" t="str">
        <f t="shared" si="1"/>
        <v>3B</v>
      </c>
      <c r="F9" s="11">
        <v>138</v>
      </c>
      <c r="G9" s="12"/>
      <c r="H9" s="12"/>
      <c r="I9" s="12"/>
      <c r="J9" s="12"/>
      <c r="K9" s="11" t="s">
        <v>78</v>
      </c>
      <c r="L9" s="11" t="s">
        <v>1232</v>
      </c>
      <c r="M9" s="11" t="s">
        <v>70</v>
      </c>
      <c r="N9" s="11" t="s">
        <v>1227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</row>
    <row r="10" spans="1:30" ht="13">
      <c r="A10" s="11" t="s">
        <v>47</v>
      </c>
      <c r="B10" s="143" t="s">
        <v>1247</v>
      </c>
      <c r="C10" s="143" t="s">
        <v>1248</v>
      </c>
      <c r="D10" s="12" t="str">
        <f t="shared" si="0"/>
        <v>Benton MacKaye</v>
      </c>
      <c r="E10" s="12" t="str">
        <f t="shared" si="1"/>
        <v>SP</v>
      </c>
      <c r="F10" s="11">
        <v>241</v>
      </c>
      <c r="G10" s="12"/>
      <c r="H10" s="12"/>
      <c r="I10" s="12"/>
      <c r="J10" s="12"/>
      <c r="K10" s="11" t="s">
        <v>78</v>
      </c>
      <c r="L10" s="11">
        <v>3</v>
      </c>
      <c r="M10" s="11" t="s">
        <v>78</v>
      </c>
      <c r="N10" s="11" t="s">
        <v>1227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</row>
    <row r="11" spans="1:30" ht="13">
      <c r="A11" s="11" t="s">
        <v>47</v>
      </c>
      <c r="B11" s="143" t="s">
        <v>866</v>
      </c>
      <c r="C11" s="143" t="s">
        <v>1250</v>
      </c>
      <c r="D11" s="12" t="str">
        <f t="shared" si="0"/>
        <v>Miwa Langley</v>
      </c>
      <c r="E11" s="12" t="str">
        <f t="shared" si="1"/>
        <v>LF</v>
      </c>
      <c r="F11" s="11">
        <v>137</v>
      </c>
      <c r="G11" s="12"/>
      <c r="H11" s="12"/>
      <c r="I11" s="12"/>
      <c r="J11" s="12"/>
      <c r="K11" s="11" t="s">
        <v>78</v>
      </c>
      <c r="L11" s="11">
        <v>12</v>
      </c>
      <c r="M11" s="11" t="s">
        <v>78</v>
      </c>
      <c r="N11" s="11" t="s">
        <v>1227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</row>
    <row r="12" spans="1:30" ht="13">
      <c r="A12" s="11" t="s">
        <v>47</v>
      </c>
      <c r="B12" s="143" t="s">
        <v>1251</v>
      </c>
      <c r="C12" s="143" t="s">
        <v>1253</v>
      </c>
      <c r="D12" s="12" t="str">
        <f t="shared" si="0"/>
        <v>Jet Lange</v>
      </c>
      <c r="E12" s="12" t="str">
        <f t="shared" si="1"/>
        <v>LF</v>
      </c>
      <c r="F12" s="11">
        <v>119</v>
      </c>
      <c r="G12" s="12"/>
      <c r="H12" s="12"/>
      <c r="I12" s="12"/>
      <c r="J12" s="12"/>
      <c r="K12" s="11" t="s">
        <v>78</v>
      </c>
      <c r="L12" s="11" t="s">
        <v>1232</v>
      </c>
      <c r="M12" s="11" t="s">
        <v>78</v>
      </c>
      <c r="N12" s="11" t="s">
        <v>1227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</row>
    <row r="13" spans="1:30" ht="13">
      <c r="A13" s="12" t="s">
        <v>5</v>
      </c>
      <c r="B13" s="12" t="s">
        <v>409</v>
      </c>
      <c r="C13" s="12" t="s">
        <v>1255</v>
      </c>
      <c r="D13" s="12" t="s">
        <v>1256</v>
      </c>
      <c r="E13" s="12" t="s">
        <v>90</v>
      </c>
      <c r="F13" s="12">
        <v>202</v>
      </c>
      <c r="G13" s="12">
        <v>3</v>
      </c>
      <c r="H13" s="12"/>
      <c r="I13" s="12"/>
      <c r="J13" s="12"/>
      <c r="K13" s="12"/>
      <c r="L13" s="12"/>
      <c r="M13" s="12" t="s">
        <v>70</v>
      </c>
      <c r="N13" s="12"/>
      <c r="O13" s="12" t="s">
        <v>70</v>
      </c>
      <c r="P13" s="12"/>
      <c r="Q13" s="12">
        <v>0</v>
      </c>
      <c r="R13" s="12">
        <v>202</v>
      </c>
      <c r="S13" s="12">
        <v>0</v>
      </c>
      <c r="T13" s="12">
        <v>202</v>
      </c>
      <c r="U13" s="12">
        <v>0</v>
      </c>
      <c r="V13" s="12">
        <v>202</v>
      </c>
      <c r="W13" s="12"/>
      <c r="X13" s="12"/>
      <c r="Y13" s="12"/>
      <c r="Z13" s="12"/>
      <c r="AA13" s="12"/>
      <c r="AB13" s="12"/>
      <c r="AC13" s="12"/>
      <c r="AD13" s="12"/>
    </row>
    <row r="14" spans="1:30" ht="13">
      <c r="A14" s="11" t="s">
        <v>10</v>
      </c>
      <c r="B14" s="143" t="s">
        <v>1258</v>
      </c>
      <c r="C14" s="143" t="s">
        <v>1260</v>
      </c>
      <c r="D14" s="11" t="str">
        <f t="shared" ref="D14:D15" si="2">TRIM(LEFT(C14,LEN(C14)-4))</f>
        <v>Will Morris</v>
      </c>
      <c r="E14" s="11" t="str">
        <f>TRIM(RIGHT(C14,2))</f>
        <v>SP</v>
      </c>
      <c r="F14" s="11">
        <v>192</v>
      </c>
      <c r="G14" s="12">
        <v>2</v>
      </c>
      <c r="H14" s="12"/>
      <c r="I14" s="12"/>
      <c r="J14" s="12"/>
      <c r="K14" s="12"/>
      <c r="L14" s="11" t="s">
        <v>1262</v>
      </c>
      <c r="M14" s="11" t="s">
        <v>78</v>
      </c>
      <c r="N14" s="11">
        <v>28</v>
      </c>
      <c r="O14" s="11" t="s">
        <v>78</v>
      </c>
      <c r="P14" s="12"/>
      <c r="Q14" s="11">
        <f>$F14-R14</f>
        <v>0</v>
      </c>
      <c r="R14" s="11">
        <v>192</v>
      </c>
      <c r="S14" s="11">
        <f t="shared" ref="S14:S15" si="3">R14-T14</f>
        <v>0</v>
      </c>
      <c r="T14" s="11">
        <v>192</v>
      </c>
      <c r="U14" s="11">
        <f t="shared" ref="U14:U18" si="4">T14-V14</f>
        <v>23</v>
      </c>
      <c r="V14" s="12">
        <v>169</v>
      </c>
      <c r="W14" s="12"/>
      <c r="X14" s="12"/>
      <c r="Y14" s="12"/>
      <c r="Z14" s="12"/>
      <c r="AA14" s="12"/>
      <c r="AB14" s="12"/>
      <c r="AC14" s="12"/>
      <c r="AD14" s="12"/>
    </row>
    <row r="15" spans="1:30" ht="13">
      <c r="A15" s="11" t="s">
        <v>11</v>
      </c>
      <c r="B15" s="143" t="s">
        <v>1201</v>
      </c>
      <c r="C15" s="143" t="s">
        <v>1264</v>
      </c>
      <c r="D15" s="11" t="str">
        <f t="shared" si="2"/>
        <v>Felipe Rios</v>
      </c>
      <c r="E15" s="11" t="s">
        <v>131</v>
      </c>
      <c r="F15" s="11"/>
      <c r="G15" s="11">
        <v>251</v>
      </c>
      <c r="H15" s="12"/>
      <c r="I15" s="12"/>
      <c r="J15" s="12"/>
      <c r="K15" s="12"/>
      <c r="L15" s="12"/>
      <c r="M15" s="11" t="s">
        <v>70</v>
      </c>
      <c r="N15" s="11">
        <v>34</v>
      </c>
      <c r="O15" s="11" t="s">
        <v>70</v>
      </c>
      <c r="P15" s="12"/>
      <c r="Q15" s="11">
        <f>$G15-R15</f>
        <v>0</v>
      </c>
      <c r="R15" s="11">
        <v>251</v>
      </c>
      <c r="S15" s="11">
        <f t="shared" si="3"/>
        <v>0</v>
      </c>
      <c r="T15" s="11">
        <v>251</v>
      </c>
      <c r="U15" s="11">
        <f t="shared" si="4"/>
        <v>0</v>
      </c>
      <c r="V15" s="11">
        <v>251</v>
      </c>
      <c r="W15" s="11">
        <v>3</v>
      </c>
      <c r="X15" s="12"/>
      <c r="Y15" s="12"/>
      <c r="Z15" s="12"/>
      <c r="AA15" s="12"/>
      <c r="AB15" s="12"/>
      <c r="AC15" s="12"/>
      <c r="AD15" s="12"/>
    </row>
    <row r="16" spans="1:30" ht="13">
      <c r="A16" s="11" t="s">
        <v>3</v>
      </c>
      <c r="B16" s="143" t="s">
        <v>506</v>
      </c>
      <c r="C16" s="143" t="s">
        <v>1268</v>
      </c>
      <c r="D16" s="12" t="str">
        <f t="shared" ref="D16:D18" si="5">TRIM(LEFT(C16,LEN(C16)-5))</f>
        <v>Mew Ford</v>
      </c>
      <c r="E16" s="11" t="str">
        <f t="shared" ref="E16:E22" si="6">TRIM(RIGHT(C16,2))</f>
        <v>1B</v>
      </c>
      <c r="F16" s="11"/>
      <c r="G16" s="11">
        <v>180</v>
      </c>
      <c r="H16" s="11">
        <v>1</v>
      </c>
      <c r="I16" s="12"/>
      <c r="J16" s="12"/>
      <c r="K16" s="12"/>
      <c r="L16" s="11" t="s">
        <v>1262</v>
      </c>
      <c r="M16" s="11" t="s">
        <v>78</v>
      </c>
      <c r="N16" s="11">
        <v>25</v>
      </c>
      <c r="O16" s="11" t="s">
        <v>70</v>
      </c>
      <c r="P16" s="12"/>
      <c r="Q16" s="11"/>
      <c r="R16" s="11"/>
      <c r="S16" s="11">
        <f t="shared" ref="S16:S18" si="7">$G16-T16</f>
        <v>0</v>
      </c>
      <c r="T16" s="11">
        <v>180</v>
      </c>
      <c r="U16" s="11">
        <f t="shared" si="4"/>
        <v>0</v>
      </c>
      <c r="V16" s="11">
        <v>180</v>
      </c>
      <c r="W16" s="11">
        <f t="shared" ref="W16:W18" si="8">V16-X16</f>
        <v>0</v>
      </c>
      <c r="X16" s="11">
        <v>180</v>
      </c>
      <c r="Y16" s="11">
        <v>1</v>
      </c>
      <c r="Z16" s="12"/>
      <c r="AA16" s="12"/>
      <c r="AB16" s="12"/>
      <c r="AC16" s="12"/>
      <c r="AD16" s="12"/>
    </row>
    <row r="17" spans="1:60" ht="13">
      <c r="A17" s="11" t="s">
        <v>3</v>
      </c>
      <c r="B17" s="143" t="s">
        <v>318</v>
      </c>
      <c r="C17" s="143" t="s">
        <v>1271</v>
      </c>
      <c r="D17" s="12" t="str">
        <f t="shared" si="5"/>
        <v>Keygan Hankin</v>
      </c>
      <c r="E17" s="11" t="str">
        <f t="shared" si="6"/>
        <v>C</v>
      </c>
      <c r="F17" s="11"/>
      <c r="G17" s="11">
        <v>224</v>
      </c>
      <c r="H17" s="12"/>
      <c r="I17" s="12"/>
      <c r="J17" s="12"/>
      <c r="K17" s="12"/>
      <c r="L17" s="12"/>
      <c r="M17" s="11" t="s">
        <v>70</v>
      </c>
      <c r="N17" s="11">
        <v>32</v>
      </c>
      <c r="O17" s="11" t="s">
        <v>70</v>
      </c>
      <c r="P17" s="12"/>
      <c r="Q17" s="11"/>
      <c r="R17" s="11"/>
      <c r="S17" s="11">
        <f t="shared" si="7"/>
        <v>23</v>
      </c>
      <c r="T17" s="11">
        <v>201</v>
      </c>
      <c r="U17" s="11">
        <f t="shared" si="4"/>
        <v>0</v>
      </c>
      <c r="V17" s="11">
        <v>201</v>
      </c>
      <c r="W17" s="11">
        <f t="shared" si="8"/>
        <v>0</v>
      </c>
      <c r="X17" s="11">
        <v>201</v>
      </c>
      <c r="Y17" s="11">
        <v>2</v>
      </c>
      <c r="Z17" s="12"/>
      <c r="AA17" s="12"/>
      <c r="AB17" s="12"/>
      <c r="AC17" s="12"/>
      <c r="AD17" s="12"/>
    </row>
    <row r="18" spans="1:60" ht="13">
      <c r="A18" s="11" t="s">
        <v>3</v>
      </c>
      <c r="B18" s="143" t="s">
        <v>1272</v>
      </c>
      <c r="C18" s="143" t="s">
        <v>1274</v>
      </c>
      <c r="D18" s="12" t="str">
        <f t="shared" si="5"/>
        <v>Pretzels McCringleberry III</v>
      </c>
      <c r="E18" s="11" t="str">
        <f t="shared" si="6"/>
        <v>3B</v>
      </c>
      <c r="F18" s="11"/>
      <c r="G18" s="11">
        <v>217</v>
      </c>
      <c r="H18" s="11">
        <v>3</v>
      </c>
      <c r="I18" s="12"/>
      <c r="J18" s="12"/>
      <c r="K18" s="12"/>
      <c r="L18" s="11" t="s">
        <v>1262</v>
      </c>
      <c r="M18" s="11" t="s">
        <v>78</v>
      </c>
      <c r="N18" s="11">
        <v>20</v>
      </c>
      <c r="O18" s="11" t="s">
        <v>78</v>
      </c>
      <c r="P18" s="12"/>
      <c r="Q18" s="11"/>
      <c r="R18" s="11"/>
      <c r="S18" s="11">
        <f t="shared" si="7"/>
        <v>0</v>
      </c>
      <c r="T18" s="11">
        <v>217</v>
      </c>
      <c r="U18" s="11">
        <f t="shared" si="4"/>
        <v>3</v>
      </c>
      <c r="V18" s="11">
        <v>214</v>
      </c>
      <c r="W18" s="11">
        <f t="shared" si="8"/>
        <v>23</v>
      </c>
      <c r="X18" s="11">
        <v>191</v>
      </c>
      <c r="Y18" s="11">
        <v>4</v>
      </c>
      <c r="Z18" s="12"/>
      <c r="AA18" s="12"/>
      <c r="AB18" s="12"/>
      <c r="AC18" s="12"/>
      <c r="AD18" s="12"/>
    </row>
    <row r="19" spans="1:60" ht="13">
      <c r="A19" s="11" t="s">
        <v>5</v>
      </c>
      <c r="B19" s="143" t="s">
        <v>1201</v>
      </c>
      <c r="C19" s="143" t="s">
        <v>1277</v>
      </c>
      <c r="D19" s="11" t="str">
        <f t="shared" ref="D19:D20" si="9">TRIM(LEFT(C19,LEN(C19)-4))</f>
        <v>Virgil Fox</v>
      </c>
      <c r="E19" s="11" t="str">
        <f t="shared" si="6"/>
        <v>1B</v>
      </c>
      <c r="F19" s="11" t="s">
        <v>76</v>
      </c>
      <c r="G19" s="11">
        <v>133</v>
      </c>
      <c r="H19" s="11">
        <v>2</v>
      </c>
      <c r="I19" s="11"/>
      <c r="J19" s="11"/>
      <c r="K19" s="11"/>
      <c r="L19" s="11"/>
      <c r="M19" s="11"/>
      <c r="N19" s="11"/>
      <c r="O19" s="11" t="s">
        <v>1280</v>
      </c>
      <c r="P19" s="11" t="s">
        <v>126</v>
      </c>
      <c r="Q19" s="11">
        <v>7</v>
      </c>
      <c r="R19" s="11" t="s">
        <v>126</v>
      </c>
      <c r="S19" s="12"/>
      <c r="T19" s="11">
        <f t="shared" ref="T19:T23" si="10">$G19-U19</f>
        <v>0</v>
      </c>
      <c r="U19" s="11">
        <v>133</v>
      </c>
      <c r="V19" s="11">
        <f t="shared" ref="V19:V23" si="11">U19-W19</f>
        <v>0</v>
      </c>
      <c r="W19" s="11">
        <v>133</v>
      </c>
      <c r="X19" s="11">
        <f t="shared" ref="X19:X25" si="12">W19-Y19</f>
        <v>0</v>
      </c>
      <c r="Y19" s="11">
        <v>133</v>
      </c>
      <c r="Z19" s="11">
        <f t="shared" ref="Z19:Z23" si="13">Y19-AA19</f>
        <v>16</v>
      </c>
      <c r="AA19" s="11">
        <v>117</v>
      </c>
      <c r="AB19" s="11">
        <v>2</v>
      </c>
      <c r="AC19" s="11">
        <v>2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</row>
    <row r="20" spans="1:60" ht="13">
      <c r="A20" s="11" t="s">
        <v>5</v>
      </c>
      <c r="B20" s="143" t="s">
        <v>230</v>
      </c>
      <c r="C20" s="143" t="s">
        <v>1283</v>
      </c>
      <c r="D20" s="11" t="str">
        <f t="shared" si="9"/>
        <v>Benson Bayley</v>
      </c>
      <c r="E20" s="11" t="str">
        <f t="shared" si="6"/>
        <v>SS</v>
      </c>
      <c r="F20" s="11" t="s">
        <v>104</v>
      </c>
      <c r="G20" s="11">
        <v>328</v>
      </c>
      <c r="H20" s="12"/>
      <c r="I20" s="12"/>
      <c r="J20" s="12"/>
      <c r="K20" s="12"/>
      <c r="L20" s="12"/>
      <c r="M20" s="12"/>
      <c r="N20" s="12"/>
      <c r="O20" s="12"/>
      <c r="P20" s="11" t="s">
        <v>70</v>
      </c>
      <c r="Q20" s="11" t="s">
        <v>141</v>
      </c>
      <c r="R20" s="11" t="s">
        <v>70</v>
      </c>
      <c r="S20" s="12"/>
      <c r="T20" s="11">
        <f t="shared" si="10"/>
        <v>11</v>
      </c>
      <c r="U20" s="11">
        <v>317</v>
      </c>
      <c r="V20" s="11">
        <f t="shared" si="11"/>
        <v>0</v>
      </c>
      <c r="W20" s="11">
        <v>317</v>
      </c>
      <c r="X20" s="11">
        <f t="shared" si="12"/>
        <v>8</v>
      </c>
      <c r="Y20" s="11">
        <v>309</v>
      </c>
      <c r="Z20" s="11">
        <f t="shared" si="13"/>
        <v>28</v>
      </c>
      <c r="AA20" s="11">
        <v>281</v>
      </c>
      <c r="AB20" s="11">
        <v>2</v>
      </c>
      <c r="AC20" s="11">
        <v>3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</row>
    <row r="21" spans="1:60" ht="13">
      <c r="A21" s="11" t="s">
        <v>3</v>
      </c>
      <c r="B21" s="143" t="s">
        <v>1285</v>
      </c>
      <c r="C21" s="143" t="s">
        <v>1287</v>
      </c>
      <c r="D21" s="12" t="str">
        <f t="shared" ref="D21:D22" si="14">TRIM(LEFT(C21,LEN(C21)-5))</f>
        <v>Chris Orosz</v>
      </c>
      <c r="E21" s="11" t="str">
        <f t="shared" si="6"/>
        <v>CL</v>
      </c>
      <c r="F21" s="11" t="s">
        <v>114</v>
      </c>
      <c r="G21" s="11">
        <v>283</v>
      </c>
      <c r="H21" s="12"/>
      <c r="I21" s="12"/>
      <c r="J21" s="12"/>
      <c r="K21" s="12"/>
      <c r="L21" s="12"/>
      <c r="M21" s="12"/>
      <c r="N21" s="12"/>
      <c r="O21" s="12"/>
      <c r="P21" s="11" t="s">
        <v>70</v>
      </c>
      <c r="Q21" s="11">
        <v>44</v>
      </c>
      <c r="R21" s="11" t="s">
        <v>70</v>
      </c>
      <c r="S21" s="12"/>
      <c r="T21" s="11">
        <f t="shared" si="10"/>
        <v>29</v>
      </c>
      <c r="U21" s="11">
        <v>254</v>
      </c>
      <c r="V21" s="11">
        <f t="shared" si="11"/>
        <v>0</v>
      </c>
      <c r="W21" s="11">
        <v>254</v>
      </c>
      <c r="X21" s="11">
        <f t="shared" si="12"/>
        <v>11</v>
      </c>
      <c r="Y21" s="11">
        <v>243</v>
      </c>
      <c r="Z21" s="11">
        <f t="shared" si="13"/>
        <v>8</v>
      </c>
      <c r="AA21" s="11">
        <v>235</v>
      </c>
      <c r="AB21" s="11">
        <v>1</v>
      </c>
      <c r="AC21" s="11">
        <v>2</v>
      </c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</row>
    <row r="22" spans="1:60" ht="13">
      <c r="A22" s="11" t="s">
        <v>3</v>
      </c>
      <c r="B22" s="143" t="s">
        <v>437</v>
      </c>
      <c r="C22" s="143" t="s">
        <v>1291</v>
      </c>
      <c r="D22" s="12" t="str">
        <f t="shared" si="14"/>
        <v>Ricky Vaughn</v>
      </c>
      <c r="E22" s="11" t="str">
        <f t="shared" si="6"/>
        <v>SP</v>
      </c>
      <c r="F22" s="11" t="s">
        <v>55</v>
      </c>
      <c r="G22" s="11">
        <v>242</v>
      </c>
      <c r="H22" s="12"/>
      <c r="I22" s="12"/>
      <c r="J22" s="12"/>
      <c r="K22" s="12"/>
      <c r="L22" s="12"/>
      <c r="M22" s="12"/>
      <c r="N22" s="12"/>
      <c r="O22" s="12"/>
      <c r="P22" s="11" t="s">
        <v>70</v>
      </c>
      <c r="Q22" s="11">
        <v>23</v>
      </c>
      <c r="R22" s="11" t="s">
        <v>70</v>
      </c>
      <c r="S22" s="12"/>
      <c r="T22" s="11">
        <f t="shared" si="10"/>
        <v>0</v>
      </c>
      <c r="U22" s="11">
        <v>242</v>
      </c>
      <c r="V22" s="11">
        <f t="shared" si="11"/>
        <v>0</v>
      </c>
      <c r="W22" s="11">
        <v>242</v>
      </c>
      <c r="X22" s="11">
        <f t="shared" si="12"/>
        <v>0</v>
      </c>
      <c r="Y22" s="11">
        <v>242</v>
      </c>
      <c r="Z22" s="11">
        <f t="shared" si="13"/>
        <v>0</v>
      </c>
      <c r="AA22" s="11">
        <v>242</v>
      </c>
      <c r="AB22" s="11">
        <v>3</v>
      </c>
      <c r="AC22" s="11">
        <v>2</v>
      </c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</row>
    <row r="23" spans="1:60" ht="13">
      <c r="A23" s="11" t="s">
        <v>8</v>
      </c>
      <c r="B23" s="143" t="s">
        <v>465</v>
      </c>
      <c r="C23" s="143" t="s">
        <v>1295</v>
      </c>
      <c r="D23" s="12" t="str">
        <f t="shared" ref="D23:D25" si="15">TRIM(LEFT(C23,LEN(C23)-4))</f>
        <v>Pene Pequeño</v>
      </c>
      <c r="E23" s="11" t="s">
        <v>90</v>
      </c>
      <c r="F23" s="11" t="s">
        <v>114</v>
      </c>
      <c r="G23" s="11">
        <v>217</v>
      </c>
      <c r="H23" s="12"/>
      <c r="I23" s="12"/>
      <c r="J23" s="12"/>
      <c r="K23" s="12"/>
      <c r="L23" s="12"/>
      <c r="M23" s="12"/>
      <c r="N23" s="12"/>
      <c r="O23" s="11" t="s">
        <v>1298</v>
      </c>
      <c r="P23" s="11" t="s">
        <v>78</v>
      </c>
      <c r="Q23" s="11">
        <v>6</v>
      </c>
      <c r="R23" s="11" t="s">
        <v>78</v>
      </c>
      <c r="S23" s="12"/>
      <c r="T23" s="11">
        <f t="shared" si="10"/>
        <v>0</v>
      </c>
      <c r="U23" s="11">
        <v>217</v>
      </c>
      <c r="V23" s="11">
        <f t="shared" si="11"/>
        <v>13</v>
      </c>
      <c r="W23" s="11">
        <v>204</v>
      </c>
      <c r="X23" s="11">
        <f t="shared" si="12"/>
        <v>0</v>
      </c>
      <c r="Y23" s="11">
        <v>204</v>
      </c>
      <c r="Z23" s="11">
        <f t="shared" si="13"/>
        <v>0</v>
      </c>
      <c r="AA23" s="11">
        <v>204</v>
      </c>
      <c r="AB23" s="11">
        <v>3</v>
      </c>
      <c r="AC23" s="11">
        <v>3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</row>
    <row r="24" spans="1:60" ht="13">
      <c r="A24" s="11" t="s">
        <v>304</v>
      </c>
      <c r="B24" s="260" t="s">
        <v>447</v>
      </c>
      <c r="C24" s="260" t="s">
        <v>1302</v>
      </c>
      <c r="D24" s="12" t="str">
        <f t="shared" si="15"/>
        <v>Daniel Brown</v>
      </c>
      <c r="E24" s="12" t="s">
        <v>90</v>
      </c>
      <c r="F24" s="12"/>
      <c r="G24" s="12">
        <v>195</v>
      </c>
      <c r="H24" s="12"/>
      <c r="I24" s="12"/>
      <c r="J24" s="12"/>
      <c r="K24" s="12"/>
      <c r="L24" s="12"/>
      <c r="M24" s="12"/>
      <c r="N24" s="12"/>
      <c r="O24" s="12"/>
      <c r="P24" s="12" t="s">
        <v>70</v>
      </c>
      <c r="Q24" s="12">
        <v>46</v>
      </c>
      <c r="R24" s="12" t="s">
        <v>70</v>
      </c>
      <c r="S24" s="12"/>
      <c r="T24" s="12"/>
      <c r="U24" s="12"/>
      <c r="V24" s="12">
        <f>$G24-W24</f>
        <v>0</v>
      </c>
      <c r="W24" s="12">
        <v>195</v>
      </c>
      <c r="X24" s="12">
        <f t="shared" si="12"/>
        <v>0</v>
      </c>
      <c r="Y24" s="12">
        <v>195</v>
      </c>
      <c r="Z24" s="12"/>
      <c r="AA24" s="12"/>
      <c r="AB24" s="12">
        <v>2</v>
      </c>
      <c r="AC24" s="12"/>
      <c r="AD24" s="12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</row>
    <row r="25" spans="1:60" ht="13">
      <c r="A25" s="11" t="s">
        <v>304</v>
      </c>
      <c r="B25" s="260" t="s">
        <v>910</v>
      </c>
      <c r="C25" s="260" t="s">
        <v>1305</v>
      </c>
      <c r="D25" s="12" t="str">
        <f t="shared" si="15"/>
        <v>Jesper Manning</v>
      </c>
      <c r="E25" s="12" t="s">
        <v>187</v>
      </c>
      <c r="F25" s="12" t="s">
        <v>192</v>
      </c>
      <c r="G25" s="12">
        <v>271</v>
      </c>
      <c r="H25" s="12"/>
      <c r="I25" s="12"/>
      <c r="J25" s="12"/>
      <c r="K25" s="12"/>
      <c r="L25" s="12"/>
      <c r="M25" s="12"/>
      <c r="N25" s="12"/>
      <c r="O25" s="12"/>
      <c r="P25" s="12" t="s">
        <v>70</v>
      </c>
      <c r="Q25" s="12">
        <v>6</v>
      </c>
      <c r="R25" s="12" t="s">
        <v>70</v>
      </c>
      <c r="S25" s="12"/>
      <c r="T25" s="12">
        <f>$G25-U25</f>
        <v>0</v>
      </c>
      <c r="U25" s="12">
        <v>271</v>
      </c>
      <c r="V25" s="12">
        <f>U25-W25</f>
        <v>0</v>
      </c>
      <c r="W25" s="12">
        <v>271</v>
      </c>
      <c r="X25" s="12">
        <f t="shared" si="12"/>
        <v>0</v>
      </c>
      <c r="Y25" s="12">
        <v>271</v>
      </c>
      <c r="Z25" s="12">
        <f>Y25-AA25</f>
        <v>53</v>
      </c>
      <c r="AA25" s="12">
        <v>218</v>
      </c>
      <c r="AB25" s="12">
        <v>4</v>
      </c>
      <c r="AC25" s="12"/>
      <c r="AD25" s="12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</row>
    <row r="26" spans="1:60" ht="13">
      <c r="A26" s="11"/>
      <c r="B26" s="11" t="s">
        <v>304</v>
      </c>
      <c r="C26" s="143" t="s">
        <v>289</v>
      </c>
      <c r="D26" s="143" t="s">
        <v>1309</v>
      </c>
      <c r="E26" s="11" t="str">
        <f t="shared" ref="E26:E29" si="16">TRIM(LEFT(D26,LEN(D26)-4))</f>
        <v>King Cuddles II</v>
      </c>
      <c r="F26" s="11" t="str">
        <f>TRIM(RIGHT(D26,2))</f>
        <v>2B</v>
      </c>
      <c r="G26" s="11"/>
      <c r="H26" s="11">
        <v>134</v>
      </c>
      <c r="I26" s="12"/>
      <c r="J26" s="12"/>
      <c r="K26" s="12"/>
      <c r="L26" s="12"/>
      <c r="M26" s="12"/>
      <c r="N26" s="12"/>
      <c r="O26" s="12"/>
      <c r="P26" s="12"/>
      <c r="Q26" s="11" t="s">
        <v>70</v>
      </c>
      <c r="R26" s="11">
        <v>43</v>
      </c>
      <c r="S26" s="11" t="s">
        <v>70</v>
      </c>
      <c r="T26" s="11" t="s">
        <v>1036</v>
      </c>
      <c r="U26" s="11"/>
      <c r="V26" s="11"/>
      <c r="W26" s="11"/>
      <c r="X26" s="11"/>
      <c r="Y26" s="11">
        <f>$H26-Z26</f>
        <v>0</v>
      </c>
      <c r="Z26" s="11">
        <v>134</v>
      </c>
      <c r="AA26" s="11">
        <f>$H26-AB26</f>
        <v>0</v>
      </c>
      <c r="AB26" s="11">
        <v>134</v>
      </c>
      <c r="AC26" s="12"/>
      <c r="AD26" s="12"/>
    </row>
    <row r="27" spans="1:60" ht="13">
      <c r="A27" s="143" t="s">
        <v>1315</v>
      </c>
      <c r="B27" s="11" t="s">
        <v>304</v>
      </c>
      <c r="C27" s="143" t="s">
        <v>447</v>
      </c>
      <c r="D27" s="143" t="s">
        <v>1317</v>
      </c>
      <c r="E27" s="12" t="str">
        <f t="shared" si="16"/>
        <v>Billy Baxter</v>
      </c>
      <c r="F27" s="11" t="s">
        <v>187</v>
      </c>
      <c r="G27" s="11" t="s">
        <v>104</v>
      </c>
      <c r="H27" s="11">
        <f t="shared" ref="H27:H29" ca="1" si="17">IFERROR(__xludf.DUMMYFUNCTION("IF(len(Trim(Right(trim(JOIN(CHAR(10),IMPORTXML(A27,""//div[@class='maintitle']/text()""))),3)))=0,100,VALUE(Right(trim(JOIN(CHAR(10),IMPORTXML(A27,""//div[@class='maintitle']/text()""))),4)))"),100)</f>
        <v>100</v>
      </c>
      <c r="I27" s="12"/>
      <c r="J27" s="12"/>
      <c r="K27" s="12"/>
      <c r="L27" s="12"/>
      <c r="M27" s="12"/>
      <c r="N27" s="12"/>
      <c r="O27" s="12"/>
      <c r="P27" s="12"/>
      <c r="Q27" s="11" t="s">
        <v>33</v>
      </c>
      <c r="R27" s="11">
        <v>39</v>
      </c>
      <c r="S27" s="11" t="s">
        <v>32</v>
      </c>
      <c r="T27" s="11"/>
      <c r="U27" s="11">
        <f ca="1">$H27-V27</f>
        <v>0</v>
      </c>
      <c r="V27" s="11">
        <v>100</v>
      </c>
      <c r="W27" s="11">
        <f>V27-X27</f>
        <v>0</v>
      </c>
      <c r="X27" s="11">
        <v>100</v>
      </c>
      <c r="Y27" s="12"/>
      <c r="Z27" s="12"/>
      <c r="AA27" s="12"/>
      <c r="AB27" s="12"/>
      <c r="AC27" s="12"/>
      <c r="AD27" s="11">
        <v>1</v>
      </c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</row>
    <row r="28" spans="1:60" ht="13">
      <c r="A28" s="143" t="s">
        <v>1321</v>
      </c>
      <c r="B28" s="12" t="s">
        <v>8</v>
      </c>
      <c r="C28" s="143" t="s">
        <v>853</v>
      </c>
      <c r="D28" s="143" t="s">
        <v>1324</v>
      </c>
      <c r="E28" s="11" t="str">
        <f t="shared" si="16"/>
        <v>Boopity Booper</v>
      </c>
      <c r="F28" s="11" t="str">
        <f>TRIM(RIGHT(D28,2))</f>
        <v>SP</v>
      </c>
      <c r="G28" s="11" t="s">
        <v>109</v>
      </c>
      <c r="H28" s="11">
        <f t="shared" ca="1" si="17"/>
        <v>100</v>
      </c>
      <c r="I28" s="12"/>
      <c r="J28" s="12"/>
      <c r="K28" s="12"/>
      <c r="L28" s="12"/>
      <c r="M28" s="12"/>
      <c r="N28" s="12"/>
      <c r="O28" s="12"/>
      <c r="P28" s="11" t="s">
        <v>70</v>
      </c>
      <c r="Q28" s="11" t="s">
        <v>141</v>
      </c>
      <c r="R28" s="11" t="s">
        <v>70</v>
      </c>
      <c r="S28" s="12"/>
      <c r="T28" s="11">
        <f t="shared" ref="T28:T29" ca="1" si="18">$H28-U28</f>
        <v>-50</v>
      </c>
      <c r="U28" s="11">
        <v>150</v>
      </c>
      <c r="V28" s="11">
        <f t="shared" ref="V28:V29" si="19">U28-W28</f>
        <v>0</v>
      </c>
      <c r="W28" s="11">
        <v>150</v>
      </c>
      <c r="X28" s="11">
        <f t="shared" ref="X28:X29" si="20">W28-Y28</f>
        <v>0</v>
      </c>
      <c r="Y28" s="11">
        <v>150</v>
      </c>
      <c r="Z28" s="11">
        <f t="shared" ref="Z28:Z29" si="21">Y28-AA28</f>
        <v>0</v>
      </c>
      <c r="AA28" s="11">
        <v>150</v>
      </c>
      <c r="AB28" s="11">
        <v>2</v>
      </c>
      <c r="AC28" s="11">
        <v>0.5</v>
      </c>
      <c r="AD28" s="11">
        <v>0.5</v>
      </c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</row>
    <row r="29" spans="1:60" ht="13">
      <c r="A29" s="143" t="s">
        <v>1327</v>
      </c>
      <c r="B29" s="11" t="s">
        <v>10</v>
      </c>
      <c r="C29" s="143" t="s">
        <v>1328</v>
      </c>
      <c r="D29" s="143" t="s">
        <v>1331</v>
      </c>
      <c r="E29" s="11" t="str">
        <f t="shared" si="16"/>
        <v>Colton Hunter</v>
      </c>
      <c r="F29" s="11" t="s">
        <v>75</v>
      </c>
      <c r="G29" s="11" t="s">
        <v>151</v>
      </c>
      <c r="H29" s="11">
        <f t="shared" ca="1" si="17"/>
        <v>100</v>
      </c>
      <c r="I29" s="12"/>
      <c r="J29" s="12"/>
      <c r="K29" s="12"/>
      <c r="L29" s="12"/>
      <c r="M29" s="12"/>
      <c r="N29" s="12"/>
      <c r="O29" s="11"/>
      <c r="P29" s="11" t="s">
        <v>70</v>
      </c>
      <c r="Q29" s="11">
        <v>56</v>
      </c>
      <c r="R29" s="11" t="s">
        <v>70</v>
      </c>
      <c r="S29" s="12"/>
      <c r="T29" s="11">
        <f t="shared" ca="1" si="18"/>
        <v>-230</v>
      </c>
      <c r="U29" s="11">
        <v>330</v>
      </c>
      <c r="V29" s="11">
        <f t="shared" si="19"/>
        <v>8</v>
      </c>
      <c r="W29" s="11">
        <v>322</v>
      </c>
      <c r="X29" s="11">
        <f t="shared" si="20"/>
        <v>8</v>
      </c>
      <c r="Y29" s="11">
        <v>314</v>
      </c>
      <c r="Z29" s="11">
        <f t="shared" si="21"/>
        <v>31</v>
      </c>
      <c r="AA29" s="12">
        <v>283</v>
      </c>
      <c r="AB29" s="11">
        <v>1</v>
      </c>
      <c r="AC29" s="11">
        <v>4</v>
      </c>
      <c r="AD29" s="11">
        <v>3</v>
      </c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</row>
    <row r="30" spans="1:60" ht="13">
      <c r="A30" s="11" t="s">
        <v>1334</v>
      </c>
      <c r="B30" s="143" t="s">
        <v>1335</v>
      </c>
      <c r="C30" s="11" t="s">
        <v>44</v>
      </c>
      <c r="D30" s="143" t="s">
        <v>447</v>
      </c>
      <c r="E30" s="143" t="s">
        <v>1337</v>
      </c>
      <c r="F30" s="12" t="str">
        <f>TRIM(LEFT(E30,LEN(E30)-4))</f>
        <v>Duke Williams</v>
      </c>
      <c r="G30" s="11" t="str">
        <f>TRIM(RIGHT(E30,2))</f>
        <v>RF</v>
      </c>
      <c r="H30" s="11" t="s">
        <v>132</v>
      </c>
      <c r="I30" s="12">
        <f ca="1">IFERROR(__xludf.DUMMYFUNCTION("IF(LEN(TRIM(RIGHT(TRIM(JOIN(CHAR(10),IMPORTXML(B30,""//div[@class='maintitle']/text()""))),3)))=0,100,VALUE(RIGHT(TRIM(JOIN(CHAR(10),IMPORTXML(B30,""//div[@class='maintitle']/text()""))),4)))"),100)</f>
        <v>100</v>
      </c>
      <c r="J30" s="12"/>
      <c r="K30" s="12"/>
      <c r="L30" s="12"/>
      <c r="M30" s="12"/>
      <c r="N30" s="12"/>
      <c r="O30" s="12"/>
      <c r="P30" s="12"/>
      <c r="Q30" s="11">
        <v>6</v>
      </c>
      <c r="R30" s="11" t="s">
        <v>1142</v>
      </c>
      <c r="S30" s="11">
        <v>5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</row>
    <row r="31" spans="1:60" ht="13">
      <c r="A31" s="53" t="s">
        <v>1341</v>
      </c>
      <c r="B31" s="8" t="s">
        <v>12</v>
      </c>
      <c r="C31" s="94" t="s">
        <v>1342</v>
      </c>
      <c r="D31" s="94" t="s">
        <v>1347</v>
      </c>
      <c r="E31" t="str">
        <f t="shared" ref="E31:E36" si="22">TRIM(LEFT(D31,LEN(D31)-4))</f>
        <v>Boomerang Goblin</v>
      </c>
      <c r="F31" s="8" t="str">
        <f>TRIM(RIGHT(D31,2))</f>
        <v>SS</v>
      </c>
      <c r="G31" s="8" t="s">
        <v>104</v>
      </c>
      <c r="H31" s="8">
        <f t="shared" ref="H31:H38" ca="1" si="23">IFERROR(__xludf.DUMMYFUNCTION("IF(len(Trim(Right(trim(JOIN(CHAR(10),IMPORTXML(A31,""//div[@class='maintitle']/text()""))),3)))=0,100,VALUE(Right(SUBSTITUTE(trim(JOIN(CHAR(10),IMPORTXML(A31,""//div[@class='maintitle']/text()""))),"","",""""),4)))"),100)</f>
        <v>100</v>
      </c>
      <c r="I31" s="8"/>
      <c r="J31" s="8"/>
      <c r="K31" s="8"/>
      <c r="L31" s="8"/>
      <c r="M31" s="8"/>
      <c r="N31" s="8"/>
      <c r="O31" s="8"/>
      <c r="P31" s="8" t="s">
        <v>126</v>
      </c>
      <c r="Q31" s="8">
        <v>14</v>
      </c>
      <c r="R31" s="8" t="s">
        <v>126</v>
      </c>
      <c r="S31" s="8"/>
      <c r="T31" s="8"/>
      <c r="U31" s="8"/>
      <c r="W31" s="8">
        <v>3</v>
      </c>
      <c r="X31" s="8">
        <v>1</v>
      </c>
      <c r="Y31" s="8">
        <v>1</v>
      </c>
      <c r="Z31" s="8">
        <v>2</v>
      </c>
      <c r="AA31" s="8">
        <v>163</v>
      </c>
      <c r="AB31" s="8">
        <v>142</v>
      </c>
      <c r="AC31" s="8">
        <v>136</v>
      </c>
      <c r="AD31" s="8">
        <v>123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</row>
    <row r="32" spans="1:60" ht="13">
      <c r="A32" s="53" t="s">
        <v>1350</v>
      </c>
      <c r="B32" s="8" t="s">
        <v>12</v>
      </c>
      <c r="C32" s="94" t="s">
        <v>461</v>
      </c>
      <c r="D32" s="94" t="s">
        <v>1355</v>
      </c>
      <c r="E32" t="str">
        <f t="shared" si="22"/>
        <v>Arbin Asipi</v>
      </c>
      <c r="F32" s="8" t="s">
        <v>131</v>
      </c>
      <c r="G32" s="8" t="s">
        <v>132</v>
      </c>
      <c r="H32" s="8">
        <f t="shared" ca="1" si="23"/>
        <v>100</v>
      </c>
      <c r="I32" s="8"/>
      <c r="J32" s="8"/>
      <c r="K32" s="8"/>
      <c r="L32" s="8"/>
      <c r="M32" s="8"/>
      <c r="N32" s="8"/>
      <c r="O32" s="8" t="s">
        <v>1284</v>
      </c>
      <c r="P32" s="8" t="s">
        <v>70</v>
      </c>
      <c r="Q32" s="8">
        <v>75</v>
      </c>
      <c r="R32" s="8" t="s">
        <v>70</v>
      </c>
      <c r="S32" s="8"/>
      <c r="T32" s="8"/>
      <c r="U32" s="8"/>
      <c r="W32" s="8">
        <v>6</v>
      </c>
      <c r="X32" s="8">
        <v>3</v>
      </c>
      <c r="Y32" s="8">
        <v>3</v>
      </c>
      <c r="Z32" s="8">
        <v>2</v>
      </c>
      <c r="AA32" s="8">
        <v>280</v>
      </c>
      <c r="AB32" s="8">
        <v>280</v>
      </c>
      <c r="AC32" s="8">
        <v>280</v>
      </c>
      <c r="AD32" s="8">
        <v>280</v>
      </c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</row>
    <row r="33" spans="1:60" ht="13">
      <c r="A33" s="83" t="s">
        <v>1359</v>
      </c>
      <c r="B33" s="8" t="s">
        <v>10</v>
      </c>
      <c r="C33" s="26" t="s">
        <v>1361</v>
      </c>
      <c r="D33" s="26" t="s">
        <v>1364</v>
      </c>
      <c r="E33" t="str">
        <f t="shared" si="22"/>
        <v>Tim "Knuckler" Jackson</v>
      </c>
      <c r="F33" t="str">
        <f t="shared" ref="F33:F35" si="24">TRIM(RIGHT(D33,2))</f>
        <v>CL</v>
      </c>
      <c r="G33" t="s">
        <v>114</v>
      </c>
      <c r="H33" s="8">
        <f t="shared" ca="1" si="23"/>
        <v>100</v>
      </c>
      <c r="P33" t="s">
        <v>70</v>
      </c>
      <c r="Q33">
        <v>45</v>
      </c>
      <c r="R33" t="s">
        <v>70</v>
      </c>
      <c r="W33">
        <v>9</v>
      </c>
      <c r="X33">
        <v>6</v>
      </c>
      <c r="Y33" s="8">
        <v>8</v>
      </c>
      <c r="Z33" s="8">
        <v>7</v>
      </c>
      <c r="AA33">
        <v>372</v>
      </c>
      <c r="AB33">
        <v>372</v>
      </c>
      <c r="AC33">
        <v>372</v>
      </c>
      <c r="AD33">
        <v>364</v>
      </c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</row>
    <row r="34" spans="1:60" ht="13">
      <c r="A34" s="83" t="s">
        <v>1369</v>
      </c>
      <c r="B34" s="8" t="s">
        <v>10</v>
      </c>
      <c r="C34" s="94" t="s">
        <v>263</v>
      </c>
      <c r="D34" s="94" t="s">
        <v>1371</v>
      </c>
      <c r="E34" s="8" t="str">
        <f t="shared" si="22"/>
        <v>Knuckles Deep</v>
      </c>
      <c r="F34" s="8" t="str">
        <f t="shared" si="24"/>
        <v>SP</v>
      </c>
      <c r="G34" s="8" t="s">
        <v>109</v>
      </c>
      <c r="H34" s="8">
        <f t="shared" ca="1" si="23"/>
        <v>100</v>
      </c>
      <c r="O34" s="8" t="s">
        <v>1374</v>
      </c>
      <c r="P34" s="8" t="s">
        <v>70</v>
      </c>
      <c r="Q34" s="8">
        <v>28</v>
      </c>
      <c r="R34" s="8" t="s">
        <v>70</v>
      </c>
      <c r="W34" s="8">
        <v>3.5</v>
      </c>
      <c r="X34" s="8">
        <v>3</v>
      </c>
      <c r="Y34" s="8">
        <v>4</v>
      </c>
      <c r="Z34" s="8">
        <v>4</v>
      </c>
      <c r="AA34" s="8">
        <v>346</v>
      </c>
      <c r="AB34" s="8">
        <v>338</v>
      </c>
      <c r="AC34" s="8">
        <v>330</v>
      </c>
      <c r="AD34">
        <v>309</v>
      </c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</row>
    <row r="35" spans="1:60" ht="13">
      <c r="A35" s="94" t="s">
        <v>1375</v>
      </c>
      <c r="B35" s="11" t="s">
        <v>11</v>
      </c>
      <c r="C35" s="143" t="s">
        <v>910</v>
      </c>
      <c r="D35" s="143" t="s">
        <v>1378</v>
      </c>
      <c r="E35" s="11" t="str">
        <f t="shared" si="22"/>
        <v>Randy Magnum</v>
      </c>
      <c r="F35" s="11" t="str">
        <f t="shared" si="24"/>
        <v>SP</v>
      </c>
      <c r="G35" s="11" t="s">
        <v>55</v>
      </c>
      <c r="H35" s="8">
        <f t="shared" ca="1" si="23"/>
        <v>100</v>
      </c>
      <c r="I35" s="11"/>
      <c r="J35" s="12"/>
      <c r="K35" s="12"/>
      <c r="L35" s="12"/>
      <c r="M35" s="12"/>
      <c r="N35" s="12"/>
      <c r="O35" s="11" t="s">
        <v>1284</v>
      </c>
      <c r="P35" s="11" t="s">
        <v>33</v>
      </c>
      <c r="Q35" s="11">
        <v>25</v>
      </c>
      <c r="R35" s="11" t="s">
        <v>32</v>
      </c>
      <c r="S35" s="11"/>
      <c r="T35" s="11"/>
      <c r="U35" s="11"/>
      <c r="V35" s="11"/>
      <c r="W35" s="12"/>
      <c r="X35" s="12"/>
      <c r="Y35" s="11">
        <v>2</v>
      </c>
      <c r="Z35" s="11">
        <v>1</v>
      </c>
      <c r="AA35" s="11">
        <v>1</v>
      </c>
      <c r="AB35" s="11">
        <v>100</v>
      </c>
      <c r="AC35" s="11" t="e">
        <f ca="1">$H35-#REF!</f>
        <v>#REF!</v>
      </c>
      <c r="AD35" s="12"/>
      <c r="AE35" s="12"/>
    </row>
    <row r="36" spans="1:60" ht="13">
      <c r="A36" s="94" t="s">
        <v>1380</v>
      </c>
      <c r="B36" s="11" t="s">
        <v>11</v>
      </c>
      <c r="C36" s="143" t="s">
        <v>1383</v>
      </c>
      <c r="D36" s="143" t="s">
        <v>1384</v>
      </c>
      <c r="E36" s="11" t="str">
        <f t="shared" si="22"/>
        <v>Alexander Ovechkin</v>
      </c>
      <c r="F36" s="11" t="s">
        <v>336</v>
      </c>
      <c r="G36" s="11" t="s">
        <v>55</v>
      </c>
      <c r="H36" s="8">
        <f t="shared" ca="1" si="23"/>
        <v>100</v>
      </c>
      <c r="I36" s="82"/>
      <c r="J36" s="12"/>
      <c r="K36" s="12"/>
      <c r="L36" s="12"/>
      <c r="M36" s="12"/>
      <c r="N36" s="12"/>
      <c r="O36" s="11"/>
      <c r="P36" s="11" t="s">
        <v>70</v>
      </c>
      <c r="Q36" s="11">
        <v>51</v>
      </c>
      <c r="R36" s="11" t="s">
        <v>70</v>
      </c>
      <c r="S36" s="11"/>
      <c r="T36" s="11"/>
      <c r="U36" s="11"/>
      <c r="V36" s="11"/>
      <c r="W36" s="12"/>
      <c r="X36" s="11">
        <v>2</v>
      </c>
      <c r="Y36" s="11">
        <v>4.5</v>
      </c>
      <c r="Z36" s="11">
        <v>4.5</v>
      </c>
      <c r="AA36" s="11">
        <v>3</v>
      </c>
      <c r="AB36" s="11">
        <v>291</v>
      </c>
      <c r="AC36" s="11">
        <v>291</v>
      </c>
      <c r="AD36" s="11">
        <v>291</v>
      </c>
      <c r="AE36" s="11">
        <v>291</v>
      </c>
    </row>
    <row r="37" spans="1:60" ht="15" customHeight="1">
      <c r="A37" s="53" t="s">
        <v>1387</v>
      </c>
      <c r="B37" s="11" t="s">
        <v>304</v>
      </c>
      <c r="C37" s="94" t="s">
        <v>1388</v>
      </c>
      <c r="D37" s="94" t="s">
        <v>1390</v>
      </c>
      <c r="E37" t="str">
        <f>TRIM(LEFT(D37,LEN(D37)-5))</f>
        <v>Akamai Kalawaiʻa</v>
      </c>
      <c r="F37" s="8" t="str">
        <f t="shared" ref="F37:F39" si="25">TRIM(RIGHT(D37,2))</f>
        <v>SP</v>
      </c>
      <c r="G37" s="8" t="s">
        <v>55</v>
      </c>
      <c r="H37" s="8">
        <f t="shared" ca="1" si="23"/>
        <v>100</v>
      </c>
      <c r="I37" s="8"/>
      <c r="J37" s="8"/>
      <c r="K37" s="8"/>
      <c r="L37" s="8"/>
      <c r="M37" s="8"/>
      <c r="N37" s="8"/>
      <c r="O37" s="8"/>
      <c r="P37" s="8" t="s">
        <v>126</v>
      </c>
      <c r="Q37" s="8">
        <v>2</v>
      </c>
      <c r="R37" s="8" t="s">
        <v>78</v>
      </c>
      <c r="S37" s="8"/>
      <c r="T37" s="8"/>
      <c r="U37" s="8"/>
      <c r="X37" s="8">
        <v>3</v>
      </c>
      <c r="Y37" s="8">
        <v>3</v>
      </c>
      <c r="Z37" s="8">
        <v>3</v>
      </c>
      <c r="AA37" s="4">
        <v>2</v>
      </c>
      <c r="AB37" s="8">
        <v>292</v>
      </c>
      <c r="AC37" s="8">
        <v>273</v>
      </c>
      <c r="AD37" s="8">
        <v>262</v>
      </c>
      <c r="AE37" s="8">
        <v>214</v>
      </c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</row>
    <row r="38" spans="1:60" ht="13">
      <c r="A38" s="53" t="s">
        <v>1395</v>
      </c>
      <c r="B38" s="8" t="s">
        <v>5</v>
      </c>
      <c r="C38" s="94" t="s">
        <v>431</v>
      </c>
      <c r="D38" s="94" t="s">
        <v>1399</v>
      </c>
      <c r="E38" s="8" t="str">
        <f t="shared" ref="E38:E50" si="26">TRIM(LEFT(D38,LEN(D38)-4))</f>
        <v>J.R. Wilson</v>
      </c>
      <c r="F38" s="8" t="str">
        <f t="shared" si="25"/>
        <v>SP</v>
      </c>
      <c r="G38" s="8" t="s">
        <v>55</v>
      </c>
      <c r="H38" s="8">
        <f t="shared" ca="1" si="23"/>
        <v>100</v>
      </c>
      <c r="P38" s="8" t="s">
        <v>78</v>
      </c>
      <c r="Q38" s="8">
        <v>13</v>
      </c>
      <c r="R38" s="8" t="s">
        <v>70</v>
      </c>
      <c r="S38" s="8"/>
      <c r="T38" s="8"/>
      <c r="U38" s="8"/>
      <c r="X38" s="8">
        <v>3</v>
      </c>
      <c r="Y38" s="8">
        <v>3</v>
      </c>
      <c r="Z38" s="8">
        <v>5</v>
      </c>
      <c r="AA38" s="8">
        <v>5</v>
      </c>
      <c r="AB38" s="8">
        <v>293</v>
      </c>
      <c r="AC38" s="8">
        <v>285</v>
      </c>
      <c r="AD38" s="8">
        <v>277</v>
      </c>
      <c r="AE38" s="8">
        <v>259</v>
      </c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</row>
    <row r="39" spans="1:60" ht="13">
      <c r="A39" s="262" t="s">
        <v>1404</v>
      </c>
      <c r="B39" s="8" t="s">
        <v>12</v>
      </c>
      <c r="C39" s="143" t="s">
        <v>551</v>
      </c>
      <c r="D39" s="143" t="s">
        <v>1408</v>
      </c>
      <c r="E39" s="12" t="str">
        <f t="shared" si="26"/>
        <v>Sturgill Rove</v>
      </c>
      <c r="F39" s="11" t="str">
        <f t="shared" si="25"/>
        <v>SP</v>
      </c>
      <c r="G39" s="11" t="s">
        <v>109</v>
      </c>
      <c r="H39" s="4">
        <v>620</v>
      </c>
      <c r="I39" s="11"/>
      <c r="J39" s="11"/>
      <c r="K39" s="11"/>
      <c r="L39" s="11"/>
      <c r="M39" s="11"/>
      <c r="N39" s="11"/>
      <c r="O39" s="11" t="s">
        <v>70</v>
      </c>
      <c r="P39" s="11" t="s">
        <v>141</v>
      </c>
      <c r="Q39" s="11" t="s">
        <v>70</v>
      </c>
      <c r="R39" s="12"/>
      <c r="S39" s="12"/>
      <c r="T39" s="12"/>
      <c r="U39" s="12"/>
      <c r="V39" s="12"/>
      <c r="W39" s="11">
        <v>2</v>
      </c>
      <c r="X39" s="11">
        <v>5</v>
      </c>
      <c r="Y39" s="11">
        <v>6.5</v>
      </c>
      <c r="Z39" s="11">
        <v>8.5</v>
      </c>
      <c r="AA39" s="11">
        <v>7.25</v>
      </c>
      <c r="AB39" s="11">
        <v>568</v>
      </c>
      <c r="AC39" s="11">
        <v>568</v>
      </c>
      <c r="AD39" s="11">
        <v>568</v>
      </c>
      <c r="AE39" s="11">
        <v>459</v>
      </c>
      <c r="AY39" s="12"/>
      <c r="AZ39" s="12"/>
      <c r="BA39" s="12"/>
      <c r="BB39" s="12"/>
      <c r="BC39" s="12"/>
      <c r="BD39" s="12"/>
      <c r="BE39" s="12"/>
      <c r="BF39" s="12"/>
      <c r="BG39" s="12"/>
      <c r="BH39" s="12"/>
    </row>
    <row r="40" spans="1:60" ht="13">
      <c r="A40" s="94" t="s">
        <v>1410</v>
      </c>
      <c r="B40" s="8" t="s">
        <v>5</v>
      </c>
      <c r="C40" s="26" t="s">
        <v>1412</v>
      </c>
      <c r="D40" s="26" t="s">
        <v>1414</v>
      </c>
      <c r="E40" t="str">
        <f t="shared" si="26"/>
        <v>Keith Shields</v>
      </c>
      <c r="F40" t="s">
        <v>336</v>
      </c>
      <c r="G40" t="s">
        <v>114</v>
      </c>
      <c r="H40" s="8">
        <v>331</v>
      </c>
      <c r="M40" s="11"/>
      <c r="N40" s="11"/>
      <c r="O40" s="8"/>
      <c r="P40" t="s">
        <v>70</v>
      </c>
      <c r="Q40">
        <v>30</v>
      </c>
      <c r="R40" t="s">
        <v>70</v>
      </c>
      <c r="W40">
        <v>6</v>
      </c>
      <c r="X40">
        <v>5</v>
      </c>
      <c r="Y40" s="8">
        <v>6</v>
      </c>
      <c r="Z40">
        <v>238</v>
      </c>
      <c r="AA40" s="8">
        <v>3</v>
      </c>
      <c r="AB40" s="8">
        <v>3</v>
      </c>
      <c r="AD40">
        <v>238</v>
      </c>
      <c r="AE40">
        <v>238</v>
      </c>
      <c r="AF40">
        <v>238</v>
      </c>
      <c r="AH40" s="264"/>
      <c r="AI40" s="264"/>
      <c r="AJ40" s="264"/>
      <c r="AK40" s="264"/>
      <c r="AL40" s="264"/>
      <c r="AM40" s="264"/>
      <c r="AN40" s="264"/>
      <c r="AO40" s="264"/>
      <c r="AP40" s="264"/>
      <c r="AQ40" s="264"/>
      <c r="AR40" s="264"/>
      <c r="AS40" s="264"/>
      <c r="AT40" s="264"/>
      <c r="AU40" s="264"/>
      <c r="AV40" s="264"/>
      <c r="AW40" s="264"/>
      <c r="AX40" s="264"/>
      <c r="AY40" s="264"/>
      <c r="AZ40" s="264"/>
      <c r="BA40" s="12"/>
      <c r="BD40" s="21"/>
      <c r="BE40" s="21"/>
      <c r="BF40" s="21"/>
      <c r="BG40" s="21"/>
      <c r="BH40" s="21"/>
    </row>
    <row r="41" spans="1:60" ht="13">
      <c r="A41" s="143" t="s">
        <v>1416</v>
      </c>
      <c r="B41" s="11" t="s">
        <v>11</v>
      </c>
      <c r="C41" s="143" t="s">
        <v>488</v>
      </c>
      <c r="D41" s="143" t="s">
        <v>1420</v>
      </c>
      <c r="E41" s="11" t="str">
        <f t="shared" si="26"/>
        <v>Goosebumps Walkaway</v>
      </c>
      <c r="F41" s="11" t="s">
        <v>90</v>
      </c>
      <c r="G41" s="11" t="s">
        <v>114</v>
      </c>
      <c r="H41" s="11">
        <v>334</v>
      </c>
      <c r="I41" s="12"/>
      <c r="J41" s="12"/>
      <c r="K41" s="12"/>
      <c r="L41" s="12"/>
      <c r="M41" s="12"/>
      <c r="N41" s="12"/>
      <c r="O41" s="11"/>
      <c r="P41" s="11" t="s">
        <v>32</v>
      </c>
      <c r="Q41" s="11">
        <v>12</v>
      </c>
      <c r="R41" s="11" t="s">
        <v>32</v>
      </c>
      <c r="S41" s="11"/>
      <c r="T41" s="11"/>
      <c r="U41" s="11"/>
      <c r="V41" s="11"/>
      <c r="W41" s="12"/>
      <c r="X41" s="11"/>
      <c r="Y41" s="11">
        <v>3</v>
      </c>
      <c r="Z41" s="11">
        <v>3</v>
      </c>
      <c r="AA41" s="11">
        <v>3</v>
      </c>
      <c r="AB41" s="11">
        <v>3</v>
      </c>
      <c r="AC41" s="11">
        <v>3</v>
      </c>
      <c r="AD41" s="11">
        <v>100</v>
      </c>
      <c r="AE41" s="11"/>
      <c r="AF41" s="11"/>
      <c r="AG41" s="11"/>
    </row>
    <row r="42" spans="1:60" ht="13">
      <c r="A42" s="94" t="s">
        <v>1422</v>
      </c>
      <c r="B42" s="82" t="s">
        <v>304</v>
      </c>
      <c r="C42" s="94" t="s">
        <v>1123</v>
      </c>
      <c r="D42" s="94" t="s">
        <v>1425</v>
      </c>
      <c r="E42" s="8" t="str">
        <f t="shared" si="26"/>
        <v>Willie Mays Hayes</v>
      </c>
      <c r="F42" s="8" t="str">
        <f t="shared" ref="F42:F47" si="27">TRIM(RIGHT(D42,2))</f>
        <v>CF</v>
      </c>
      <c r="G42" s="8"/>
      <c r="H42" s="4">
        <v>285</v>
      </c>
      <c r="O42" s="8"/>
      <c r="P42" s="8" t="s">
        <v>70</v>
      </c>
      <c r="Q42" s="8" t="s">
        <v>141</v>
      </c>
      <c r="R42" s="8" t="s">
        <v>70</v>
      </c>
      <c r="S42" s="8"/>
      <c r="T42" s="8"/>
      <c r="U42" s="8"/>
      <c r="AD42" s="8"/>
      <c r="AE42" s="8">
        <v>186</v>
      </c>
      <c r="AF42" s="8">
        <v>186</v>
      </c>
      <c r="AH42" t="str">
        <f t="shared" ref="AH42:AH43" si="28">F42&amp;" - "&amp;E42</f>
        <v>CF - Willie Mays Hayes</v>
      </c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</row>
    <row r="43" spans="1:60" ht="13">
      <c r="A43" s="143" t="s">
        <v>1428</v>
      </c>
      <c r="B43" s="82" t="s">
        <v>304</v>
      </c>
      <c r="C43" s="260" t="s">
        <v>1429</v>
      </c>
      <c r="D43" s="260" t="s">
        <v>1431</v>
      </c>
      <c r="E43" s="12" t="str">
        <f t="shared" si="26"/>
        <v>Trippie Redd</v>
      </c>
      <c r="F43" s="12" t="str">
        <f t="shared" si="27"/>
        <v>LF</v>
      </c>
      <c r="G43" s="12" t="s">
        <v>132</v>
      </c>
      <c r="H43" s="4">
        <v>235</v>
      </c>
      <c r="I43" s="12"/>
      <c r="J43" s="12"/>
      <c r="K43" s="12"/>
      <c r="L43" s="12"/>
      <c r="O43" s="12"/>
      <c r="P43" s="12" t="s">
        <v>78</v>
      </c>
      <c r="Q43" s="12">
        <v>42</v>
      </c>
      <c r="R43" s="12" t="s">
        <v>70</v>
      </c>
      <c r="S43" s="12"/>
      <c r="T43" s="12"/>
      <c r="U43" s="12"/>
      <c r="V43" s="12"/>
      <c r="W43" s="12"/>
      <c r="X43" s="12">
        <v>3</v>
      </c>
      <c r="Y43" s="12">
        <v>3</v>
      </c>
      <c r="Z43" s="12"/>
      <c r="AA43" s="12"/>
      <c r="AB43" s="12"/>
      <c r="AC43" s="12"/>
      <c r="AD43" s="12">
        <v>235</v>
      </c>
      <c r="AE43" s="12">
        <v>235</v>
      </c>
      <c r="AF43" s="12">
        <v>229</v>
      </c>
      <c r="AG43" s="12">
        <v>213</v>
      </c>
      <c r="AH43" s="12" t="str">
        <f t="shared" si="28"/>
        <v>LF - Trippie Redd</v>
      </c>
      <c r="AI43" s="267"/>
      <c r="AJ43" s="267"/>
      <c r="AK43" s="267"/>
      <c r="AL43" s="267"/>
      <c r="AM43" s="267"/>
      <c r="AN43" s="267"/>
      <c r="AO43" s="267"/>
      <c r="AP43" s="267"/>
      <c r="AQ43" s="267"/>
      <c r="AR43" s="267"/>
      <c r="AS43" s="267"/>
      <c r="AT43" s="267"/>
      <c r="AU43" s="267"/>
      <c r="AV43" s="267"/>
      <c r="AW43" s="267"/>
      <c r="AX43" s="267"/>
      <c r="AY43" s="267"/>
      <c r="AZ43" s="267"/>
      <c r="BA43" s="267"/>
      <c r="BB43" s="267"/>
      <c r="BC43" s="267"/>
      <c r="BD43" s="267"/>
      <c r="BE43" s="267"/>
      <c r="BF43" s="267"/>
      <c r="BG43" s="267"/>
      <c r="BH43" s="267"/>
    </row>
    <row r="44" spans="1:60" ht="13">
      <c r="A44" s="53" t="s">
        <v>1434</v>
      </c>
      <c r="B44" s="82" t="s">
        <v>304</v>
      </c>
      <c r="C44" s="94" t="s">
        <v>892</v>
      </c>
      <c r="D44" s="94" t="s">
        <v>1437</v>
      </c>
      <c r="E44" s="8" t="str">
        <f t="shared" si="26"/>
        <v>Kenny Kawaguchi</v>
      </c>
      <c r="F44" s="8" t="str">
        <f t="shared" si="27"/>
        <v>SP</v>
      </c>
      <c r="G44" s="8" t="s">
        <v>109</v>
      </c>
      <c r="H44" s="4">
        <v>160</v>
      </c>
      <c r="O44" s="8" t="s">
        <v>1439</v>
      </c>
      <c r="P44" s="8" t="s">
        <v>78</v>
      </c>
      <c r="Q44" s="8">
        <v>7</v>
      </c>
      <c r="R44" s="8" t="s">
        <v>78</v>
      </c>
      <c r="S44" s="8"/>
      <c r="T44" s="8"/>
      <c r="U44" s="8"/>
      <c r="X44" s="8">
        <v>3</v>
      </c>
      <c r="Y44" s="8">
        <v>3</v>
      </c>
      <c r="Z44" s="8">
        <v>0.5</v>
      </c>
      <c r="AA44" s="8">
        <v>0.5</v>
      </c>
      <c r="AD44" s="8">
        <v>157</v>
      </c>
      <c r="AE44" s="8">
        <v>157</v>
      </c>
      <c r="AF44" s="8">
        <v>157</v>
      </c>
      <c r="AG44" s="8">
        <v>157</v>
      </c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</row>
    <row r="45" spans="1:60" ht="13">
      <c r="A45" s="143" t="s">
        <v>1440</v>
      </c>
      <c r="B45" s="82" t="s">
        <v>304</v>
      </c>
      <c r="C45" s="143" t="s">
        <v>1442</v>
      </c>
      <c r="D45" s="143" t="s">
        <v>1444</v>
      </c>
      <c r="E45" s="11" t="str">
        <f t="shared" si="26"/>
        <v>Ez Eldin Deng</v>
      </c>
      <c r="F45" s="11" t="str">
        <f t="shared" si="27"/>
        <v>CL</v>
      </c>
      <c r="G45" s="11"/>
      <c r="H45" s="4">
        <v>100</v>
      </c>
      <c r="I45" s="12"/>
      <c r="J45" s="12"/>
      <c r="K45" s="12"/>
      <c r="L45" s="12"/>
      <c r="O45" s="11"/>
      <c r="P45" s="11" t="s">
        <v>78</v>
      </c>
      <c r="Q45" s="11">
        <v>27</v>
      </c>
      <c r="R45" s="11" t="s">
        <v>70</v>
      </c>
      <c r="S45" s="11"/>
      <c r="T45" s="11"/>
      <c r="U45" s="11"/>
      <c r="V45" s="12"/>
      <c r="W45" s="12"/>
      <c r="X45" s="12">
        <v>4</v>
      </c>
      <c r="Y45" s="11"/>
      <c r="Z45" s="12"/>
      <c r="AA45" s="12"/>
      <c r="AB45" s="12"/>
      <c r="AC45" s="12"/>
      <c r="AD45" s="11"/>
      <c r="AE45" s="11">
        <v>121</v>
      </c>
      <c r="AF45" s="11">
        <v>121</v>
      </c>
      <c r="AG45" s="12"/>
      <c r="AH45" s="12" t="str">
        <f t="shared" ref="AH45:AH46" si="29">F45&amp;" - "&amp;E45</f>
        <v>CL - Ez Eldin Deng</v>
      </c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</row>
    <row r="46" spans="1:60" ht="13">
      <c r="A46" s="143" t="s">
        <v>1446</v>
      </c>
      <c r="B46" s="82" t="s">
        <v>304</v>
      </c>
      <c r="C46" s="143" t="s">
        <v>1449</v>
      </c>
      <c r="D46" s="143" t="s">
        <v>1451</v>
      </c>
      <c r="E46" s="11" t="str">
        <f t="shared" si="26"/>
        <v>Clint Eastwood</v>
      </c>
      <c r="F46" s="11" t="str">
        <f t="shared" si="27"/>
        <v>2B</v>
      </c>
      <c r="G46" s="11"/>
      <c r="H46" s="4">
        <v>100</v>
      </c>
      <c r="I46" s="12"/>
      <c r="J46" s="12"/>
      <c r="K46" s="12"/>
      <c r="L46" s="12"/>
      <c r="O46" s="12"/>
      <c r="P46" s="11" t="s">
        <v>70</v>
      </c>
      <c r="Q46" s="11">
        <v>60</v>
      </c>
      <c r="R46" s="11" t="s">
        <v>70</v>
      </c>
      <c r="S46" s="11"/>
      <c r="T46" s="11"/>
      <c r="U46" s="11"/>
      <c r="V46" s="11"/>
      <c r="W46" s="11" t="s">
        <v>1036</v>
      </c>
      <c r="X46" s="12"/>
      <c r="Y46" s="12"/>
      <c r="Z46" s="12"/>
      <c r="AA46" s="12"/>
      <c r="AB46" s="12"/>
      <c r="AC46" s="12"/>
      <c r="AD46" s="11"/>
      <c r="AE46" s="11"/>
      <c r="AF46" s="11">
        <v>121</v>
      </c>
      <c r="AG46" s="11">
        <v>121</v>
      </c>
      <c r="AH46" s="12" t="str">
        <f t="shared" si="29"/>
        <v>2B - Clint Eastwood</v>
      </c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</row>
    <row r="47" spans="1:60" ht="13">
      <c r="A47" s="143" t="s">
        <v>1452</v>
      </c>
      <c r="B47" s="82" t="s">
        <v>304</v>
      </c>
      <c r="C47" s="143" t="s">
        <v>1454</v>
      </c>
      <c r="D47" s="143" t="s">
        <v>1457</v>
      </c>
      <c r="E47" s="11" t="str">
        <f t="shared" si="26"/>
        <v>J.W. Doyle</v>
      </c>
      <c r="F47" s="11" t="str">
        <f t="shared" si="27"/>
        <v>SP</v>
      </c>
      <c r="G47" s="11" t="s">
        <v>55</v>
      </c>
      <c r="H47" s="4">
        <v>100</v>
      </c>
      <c r="I47" s="11"/>
      <c r="J47" s="11"/>
      <c r="K47" s="11"/>
      <c r="L47" s="11"/>
      <c r="O47" s="11"/>
      <c r="P47" s="11" t="s">
        <v>32</v>
      </c>
      <c r="Q47" s="11">
        <v>6</v>
      </c>
      <c r="R47" s="11" t="s">
        <v>32</v>
      </c>
      <c r="S47" s="11"/>
      <c r="T47" s="11"/>
      <c r="U47" s="11"/>
      <c r="V47" s="12"/>
      <c r="W47" s="12"/>
      <c r="X47" s="11"/>
      <c r="Y47" s="11">
        <v>7</v>
      </c>
      <c r="Z47" s="11">
        <v>4</v>
      </c>
      <c r="AA47" s="11"/>
      <c r="AB47" s="11"/>
      <c r="AC47" s="11"/>
      <c r="AD47" s="11">
        <v>100</v>
      </c>
      <c r="AE47" s="11">
        <v>100</v>
      </c>
      <c r="AF47" s="11"/>
      <c r="AG47" s="11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</row>
    <row r="48" spans="1:60" ht="12.75" customHeight="1">
      <c r="A48" s="94" t="s">
        <v>1458</v>
      </c>
      <c r="B48" s="8" t="s">
        <v>5</v>
      </c>
      <c r="C48" s="94" t="s">
        <v>1459</v>
      </c>
      <c r="D48" s="94" t="s">
        <v>1460</v>
      </c>
      <c r="E48" t="str">
        <f t="shared" si="26"/>
        <v>Adrian Columbus</v>
      </c>
      <c r="F48" s="8" t="s">
        <v>131</v>
      </c>
      <c r="G48" s="8" t="s">
        <v>132</v>
      </c>
      <c r="H48" s="4">
        <v>1022</v>
      </c>
      <c r="P48" s="8" t="s">
        <v>70</v>
      </c>
      <c r="Q48" s="8">
        <v>25</v>
      </c>
      <c r="R48" s="8" t="s">
        <v>70</v>
      </c>
      <c r="S48" s="8"/>
      <c r="T48" s="8"/>
      <c r="U48" s="8"/>
      <c r="W48" s="8">
        <v>2.5</v>
      </c>
      <c r="X48" s="8">
        <v>13</v>
      </c>
      <c r="Y48" s="8">
        <v>9</v>
      </c>
      <c r="Z48" s="8">
        <v>9</v>
      </c>
      <c r="AA48" s="8">
        <v>8</v>
      </c>
      <c r="AB48" s="8">
        <v>560</v>
      </c>
      <c r="AC48" s="4">
        <v>4.5</v>
      </c>
      <c r="AD48" s="8">
        <v>552</v>
      </c>
      <c r="AE48" s="8">
        <v>538</v>
      </c>
      <c r="AF48" s="8">
        <v>520</v>
      </c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</row>
    <row r="49" spans="1:60" ht="13">
      <c r="A49" s="94" t="s">
        <v>1463</v>
      </c>
      <c r="B49" s="8" t="s">
        <v>8</v>
      </c>
      <c r="C49" s="26" t="s">
        <v>1465</v>
      </c>
      <c r="D49" s="26" t="s">
        <v>1466</v>
      </c>
      <c r="E49" t="str">
        <f t="shared" si="26"/>
        <v>Ernesto Castillo</v>
      </c>
      <c r="F49" t="str">
        <f t="shared" ref="F49:F59" si="30">TRIM(RIGHT(D49,2))</f>
        <v>SP</v>
      </c>
      <c r="G49" t="s">
        <v>55</v>
      </c>
      <c r="H49" s="4">
        <v>1500</v>
      </c>
      <c r="M49" s="11"/>
      <c r="N49" s="11"/>
      <c r="P49" t="s">
        <v>70</v>
      </c>
      <c r="Q49">
        <v>18</v>
      </c>
      <c r="R49" t="s">
        <v>70</v>
      </c>
      <c r="W49">
        <v>2.5</v>
      </c>
      <c r="X49">
        <v>6.5</v>
      </c>
      <c r="Y49">
        <v>8</v>
      </c>
      <c r="Z49" s="8">
        <v>8.5</v>
      </c>
      <c r="AA49">
        <v>9.25</v>
      </c>
      <c r="AB49">
        <v>615</v>
      </c>
      <c r="AC49" s="8">
        <v>25</v>
      </c>
      <c r="AD49">
        <v>597</v>
      </c>
      <c r="AE49">
        <v>583</v>
      </c>
      <c r="AF49">
        <v>559</v>
      </c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</row>
    <row r="50" spans="1:60" ht="13">
      <c r="A50" s="83" t="s">
        <v>1470</v>
      </c>
      <c r="B50" s="11" t="s">
        <v>10</v>
      </c>
      <c r="C50" s="143" t="s">
        <v>628</v>
      </c>
      <c r="D50" s="143" t="s">
        <v>1472</v>
      </c>
      <c r="E50" s="11" t="str">
        <f t="shared" si="26"/>
        <v>Anna Joosten</v>
      </c>
      <c r="F50" s="11" t="str">
        <f t="shared" si="30"/>
        <v>SP</v>
      </c>
      <c r="G50" s="11" t="s">
        <v>114</v>
      </c>
      <c r="H50" s="82">
        <v>595</v>
      </c>
      <c r="I50" s="12"/>
      <c r="J50" s="12"/>
      <c r="K50" s="12"/>
      <c r="L50" s="12"/>
      <c r="M50" s="12"/>
      <c r="N50" s="12"/>
      <c r="O50" s="11"/>
      <c r="P50" s="11" t="s">
        <v>126</v>
      </c>
      <c r="Q50" s="11">
        <v>9</v>
      </c>
      <c r="R50" s="11" t="s">
        <v>78</v>
      </c>
      <c r="S50" s="12"/>
      <c r="T50" s="12"/>
      <c r="U50" s="12"/>
      <c r="V50" s="12"/>
      <c r="W50" s="12">
        <v>7</v>
      </c>
      <c r="X50" s="12">
        <v>7</v>
      </c>
      <c r="Y50" s="12">
        <v>7</v>
      </c>
      <c r="Z50" s="11">
        <v>6</v>
      </c>
      <c r="AA50" s="11">
        <v>6</v>
      </c>
      <c r="AB50" s="11">
        <v>6</v>
      </c>
      <c r="AC50" s="11">
        <v>245</v>
      </c>
      <c r="AD50" s="11">
        <v>238</v>
      </c>
      <c r="AE50" s="11">
        <v>232</v>
      </c>
      <c r="AF50" s="12">
        <v>219</v>
      </c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</row>
    <row r="51" spans="1:60" ht="13">
      <c r="A51" s="94" t="s">
        <v>1474</v>
      </c>
      <c r="B51" s="8" t="s">
        <v>304</v>
      </c>
      <c r="C51" s="271" t="s">
        <v>668</v>
      </c>
      <c r="D51" s="94" t="s">
        <v>1479</v>
      </c>
      <c r="E51" t="str">
        <f>TRIM(LEFT(D51,LEN(D51)-5))</f>
        <v>Bryce Harden</v>
      </c>
      <c r="F51" s="8" t="str">
        <f t="shared" si="30"/>
        <v>RF</v>
      </c>
      <c r="G51" s="8" t="s">
        <v>192</v>
      </c>
      <c r="H51" s="8">
        <v>216</v>
      </c>
      <c r="O51" s="8"/>
      <c r="P51" s="8" t="s">
        <v>78</v>
      </c>
      <c r="Q51" s="8">
        <v>19</v>
      </c>
      <c r="R51" s="8" t="s">
        <v>70</v>
      </c>
      <c r="S51" s="8"/>
      <c r="T51" s="8"/>
      <c r="U51" s="8"/>
      <c r="X51" s="8">
        <v>1.75</v>
      </c>
      <c r="Y51" s="8">
        <v>1.75</v>
      </c>
      <c r="AD51" s="8">
        <v>216</v>
      </c>
      <c r="AE51" s="8">
        <v>216</v>
      </c>
      <c r="AF51" s="8">
        <v>216</v>
      </c>
      <c r="AG51" s="8">
        <v>216</v>
      </c>
      <c r="AH51" t="str">
        <f t="shared" ref="AH51:AH52" si="31">F51&amp;" - "&amp;E51</f>
        <v>RF - Bryce Harden</v>
      </c>
    </row>
    <row r="52" spans="1:60" ht="13">
      <c r="A52" s="94" t="s">
        <v>1480</v>
      </c>
      <c r="B52" s="8" t="s">
        <v>304</v>
      </c>
      <c r="C52" s="271" t="s">
        <v>1483</v>
      </c>
      <c r="D52" s="94" t="s">
        <v>1486</v>
      </c>
      <c r="E52" s="8" t="str">
        <f t="shared" ref="E52:E61" si="32">TRIM(LEFT(D52,LEN(D52)-4))</f>
        <v>Joey McCarty</v>
      </c>
      <c r="F52" s="8" t="str">
        <f t="shared" si="30"/>
        <v>CL</v>
      </c>
      <c r="G52" s="8" t="s">
        <v>114</v>
      </c>
      <c r="H52" s="8">
        <v>105</v>
      </c>
      <c r="P52" t="s">
        <v>70</v>
      </c>
      <c r="Q52" s="8">
        <v>82</v>
      </c>
      <c r="R52" t="s">
        <v>70</v>
      </c>
      <c r="V52" s="8"/>
      <c r="W52" s="8" t="s">
        <v>1036</v>
      </c>
      <c r="AD52" s="8"/>
      <c r="AE52" s="8"/>
      <c r="AF52" s="8">
        <v>105</v>
      </c>
      <c r="AG52" s="8">
        <v>105</v>
      </c>
      <c r="AH52" t="str">
        <f t="shared" si="31"/>
        <v>CL - Joey McCarty</v>
      </c>
    </row>
    <row r="53" spans="1:60" ht="13">
      <c r="A53" s="94" t="s">
        <v>1488</v>
      </c>
      <c r="B53" s="8" t="s">
        <v>304</v>
      </c>
      <c r="C53" s="271" t="s">
        <v>1490</v>
      </c>
      <c r="D53" s="94" t="s">
        <v>1493</v>
      </c>
      <c r="E53" s="8" t="str">
        <f t="shared" si="32"/>
        <v>Gabriel Verhaegen</v>
      </c>
      <c r="F53" s="8" t="str">
        <f t="shared" si="30"/>
        <v>CL</v>
      </c>
      <c r="G53" s="8" t="s">
        <v>55</v>
      </c>
      <c r="H53" s="8">
        <v>100</v>
      </c>
      <c r="P53" s="8" t="s">
        <v>78</v>
      </c>
      <c r="Q53" s="8">
        <v>47</v>
      </c>
      <c r="R53" s="8" t="s">
        <v>70</v>
      </c>
      <c r="S53" s="8"/>
      <c r="T53" s="8"/>
      <c r="U53" s="8"/>
      <c r="X53" s="8">
        <v>0.5</v>
      </c>
      <c r="Y53" s="8">
        <v>0.5</v>
      </c>
      <c r="Z53" s="8">
        <v>0.5</v>
      </c>
      <c r="AD53" s="8">
        <v>100</v>
      </c>
      <c r="AE53" s="8">
        <v>100</v>
      </c>
      <c r="AF53" s="8">
        <v>100</v>
      </c>
      <c r="AG53" s="8">
        <v>100</v>
      </c>
    </row>
    <row r="54" spans="1:60" ht="13">
      <c r="A54" s="82"/>
      <c r="B54" s="82" t="s">
        <v>44</v>
      </c>
      <c r="C54" s="273" t="s">
        <v>806</v>
      </c>
      <c r="D54" s="256" t="s">
        <v>1496</v>
      </c>
      <c r="E54" s="11" t="str">
        <f t="shared" si="32"/>
        <v>Tyreek Williams VII</v>
      </c>
      <c r="F54" s="11" t="str">
        <f t="shared" si="30"/>
        <v>SP</v>
      </c>
      <c r="G54" s="15" t="s">
        <v>55</v>
      </c>
      <c r="H54" s="82">
        <v>122</v>
      </c>
      <c r="I54" s="12"/>
      <c r="J54" s="12"/>
      <c r="K54" s="12"/>
      <c r="L54" s="12"/>
      <c r="M54" s="103"/>
      <c r="N54" s="103"/>
      <c r="O54" s="12"/>
      <c r="P54" s="4" t="s">
        <v>38</v>
      </c>
      <c r="R54" s="8" t="s">
        <v>37</v>
      </c>
    </row>
    <row r="55" spans="1:60" ht="13">
      <c r="A55" s="53" t="s">
        <v>1499</v>
      </c>
      <c r="B55" s="11" t="s">
        <v>10</v>
      </c>
      <c r="C55" s="84" t="s">
        <v>706</v>
      </c>
      <c r="D55" s="84" t="s">
        <v>1502</v>
      </c>
      <c r="E55" s="12" t="str">
        <f t="shared" si="32"/>
        <v>John Smoltz Jr.</v>
      </c>
      <c r="F55" s="11" t="str">
        <f t="shared" si="30"/>
        <v>CL</v>
      </c>
      <c r="G55" s="11" t="s">
        <v>55</v>
      </c>
      <c r="H55" s="82">
        <v>859</v>
      </c>
      <c r="I55" s="85">
        <v>7.25</v>
      </c>
      <c r="J55" s="86"/>
      <c r="K55" s="86"/>
      <c r="L55" s="86"/>
      <c r="M55" s="86"/>
      <c r="N55" s="86"/>
      <c r="O55" s="11"/>
      <c r="P55" s="11" t="s">
        <v>70</v>
      </c>
      <c r="Q55" s="11">
        <v>21</v>
      </c>
      <c r="R55" s="11" t="s">
        <v>70</v>
      </c>
      <c r="S55" s="11"/>
      <c r="T55" s="11"/>
      <c r="U55" s="11"/>
      <c r="V55" s="12"/>
      <c r="W55" s="12"/>
      <c r="X55" s="11">
        <v>12</v>
      </c>
      <c r="Y55" s="11">
        <v>3</v>
      </c>
      <c r="Z55" s="11">
        <v>3</v>
      </c>
      <c r="AA55" s="11">
        <v>14</v>
      </c>
      <c r="AB55" s="11">
        <v>0.5</v>
      </c>
      <c r="AC55" s="11">
        <v>3</v>
      </c>
      <c r="AD55" s="11">
        <v>436</v>
      </c>
      <c r="AE55" s="11">
        <v>424</v>
      </c>
      <c r="AF55" s="11">
        <v>424</v>
      </c>
      <c r="AG55" s="11">
        <v>386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</row>
    <row r="56" spans="1:60" ht="13">
      <c r="A56" s="94" t="s">
        <v>1504</v>
      </c>
      <c r="B56" s="8" t="s">
        <v>11</v>
      </c>
      <c r="C56" s="96" t="s">
        <v>1506</v>
      </c>
      <c r="D56" s="96" t="s">
        <v>1508</v>
      </c>
      <c r="E56" s="8" t="str">
        <f t="shared" si="32"/>
        <v>Mikael Martinez</v>
      </c>
      <c r="F56" s="8" t="str">
        <f t="shared" si="30"/>
        <v>CL</v>
      </c>
      <c r="G56" s="8" t="s">
        <v>109</v>
      </c>
      <c r="H56" s="8">
        <v>140</v>
      </c>
      <c r="I56" s="99"/>
      <c r="J56" s="99"/>
      <c r="K56" s="99"/>
      <c r="L56" s="99"/>
      <c r="M56" s="99"/>
      <c r="O56" s="8" t="s">
        <v>70</v>
      </c>
      <c r="P56" s="8">
        <v>59</v>
      </c>
      <c r="Q56" s="8" t="s">
        <v>70</v>
      </c>
      <c r="R56" s="8"/>
      <c r="S56" s="8"/>
      <c r="T56" s="8"/>
      <c r="W56" s="8">
        <v>3</v>
      </c>
      <c r="X56" s="8">
        <v>0.5</v>
      </c>
      <c r="Y56" s="8">
        <v>0.5</v>
      </c>
      <c r="Z56" s="8">
        <v>0.5</v>
      </c>
      <c r="AB56" s="8">
        <v>0.5</v>
      </c>
      <c r="AC56" s="99">
        <v>0.5</v>
      </c>
      <c r="AD56" s="8">
        <v>140</v>
      </c>
      <c r="AE56" s="8">
        <v>140</v>
      </c>
      <c r="AF56" s="8">
        <v>140</v>
      </c>
      <c r="AG56" s="8">
        <v>140</v>
      </c>
    </row>
    <row r="57" spans="1:60" ht="13">
      <c r="A57" s="94" t="s">
        <v>1511</v>
      </c>
      <c r="B57" s="8" t="s">
        <v>3</v>
      </c>
      <c r="C57" s="96" t="s">
        <v>281</v>
      </c>
      <c r="D57" s="96" t="s">
        <v>1518</v>
      </c>
      <c r="E57" t="str">
        <f t="shared" si="32"/>
        <v>Thunder Strokeharder</v>
      </c>
      <c r="F57" t="str">
        <f t="shared" si="30"/>
        <v>C</v>
      </c>
      <c r="G57" s="8" t="s">
        <v>265</v>
      </c>
      <c r="H57" s="8">
        <v>211</v>
      </c>
      <c r="I57" s="99"/>
      <c r="J57" s="99"/>
      <c r="K57" s="99"/>
      <c r="L57" s="99"/>
      <c r="M57" s="99"/>
      <c r="N57" s="8"/>
      <c r="O57" s="8" t="s">
        <v>33</v>
      </c>
      <c r="P57" s="8">
        <v>10</v>
      </c>
      <c r="Q57" s="8" t="s">
        <v>32</v>
      </c>
      <c r="R57" s="8"/>
      <c r="S57" s="8"/>
      <c r="T57" s="8"/>
      <c r="W57" s="8">
        <v>1</v>
      </c>
      <c r="X57" s="8">
        <v>2</v>
      </c>
      <c r="Y57" s="8">
        <v>2</v>
      </c>
      <c r="Z57" s="8">
        <v>0.5</v>
      </c>
      <c r="AA57" s="8">
        <v>2</v>
      </c>
      <c r="AB57" s="99">
        <v>3</v>
      </c>
    </row>
    <row r="58" spans="1:60" ht="12.75" customHeight="1">
      <c r="A58" s="26" t="s">
        <v>1520</v>
      </c>
      <c r="B58" s="8" t="s">
        <v>13</v>
      </c>
      <c r="C58" s="140" t="s">
        <v>609</v>
      </c>
      <c r="D58" s="140" t="s">
        <v>1522</v>
      </c>
      <c r="E58" t="str">
        <f t="shared" si="32"/>
        <v>Steven Moore</v>
      </c>
      <c r="F58" t="str">
        <f t="shared" si="30"/>
        <v>3B</v>
      </c>
      <c r="G58" t="s">
        <v>740</v>
      </c>
      <c r="H58">
        <v>999</v>
      </c>
      <c r="I58" s="99"/>
      <c r="J58" s="99"/>
      <c r="K58" s="99"/>
      <c r="L58" s="99"/>
      <c r="M58" s="99"/>
      <c r="O58" t="s">
        <v>78</v>
      </c>
      <c r="P58">
        <v>14</v>
      </c>
      <c r="Q58" t="s">
        <v>78</v>
      </c>
      <c r="V58">
        <v>2</v>
      </c>
      <c r="W58">
        <v>2</v>
      </c>
      <c r="X58">
        <v>5</v>
      </c>
      <c r="Y58">
        <v>5.75</v>
      </c>
      <c r="Z58">
        <v>6.5</v>
      </c>
      <c r="AA58">
        <v>7.25</v>
      </c>
      <c r="AB58" s="99">
        <v>8</v>
      </c>
      <c r="AC58">
        <v>365</v>
      </c>
      <c r="AD58">
        <v>337</v>
      </c>
      <c r="AE58">
        <v>308</v>
      </c>
      <c r="AF58">
        <v>281</v>
      </c>
    </row>
    <row r="59" spans="1:60" ht="13">
      <c r="A59" s="153" t="s">
        <v>1523</v>
      </c>
      <c r="B59" s="40" t="s">
        <v>13</v>
      </c>
      <c r="C59" s="106" t="s">
        <v>1525</v>
      </c>
      <c r="D59" s="106" t="s">
        <v>1527</v>
      </c>
      <c r="E59" s="40" t="str">
        <f t="shared" si="32"/>
        <v>Dustin Evans</v>
      </c>
      <c r="F59" s="40" t="str">
        <f t="shared" si="30"/>
        <v>C</v>
      </c>
      <c r="G59" s="40" t="s">
        <v>132</v>
      </c>
      <c r="H59" s="42">
        <v>131</v>
      </c>
      <c r="I59" s="43"/>
      <c r="J59" s="43"/>
      <c r="K59" s="43"/>
      <c r="L59" s="43"/>
      <c r="M59" s="43"/>
      <c r="N59" s="40"/>
      <c r="O59" s="40" t="s">
        <v>70</v>
      </c>
      <c r="P59" s="42">
        <v>57</v>
      </c>
      <c r="Q59" s="40" t="s">
        <v>70</v>
      </c>
      <c r="R59" s="40"/>
      <c r="S59" s="40"/>
      <c r="T59" s="40"/>
      <c r="U59" s="40"/>
      <c r="V59" s="40"/>
      <c r="W59" s="42">
        <v>1</v>
      </c>
      <c r="X59" s="42">
        <v>0.5</v>
      </c>
      <c r="Y59" s="42">
        <v>0.5</v>
      </c>
      <c r="Z59" s="40"/>
      <c r="AA59" s="40"/>
      <c r="AB59" s="44">
        <v>0.5</v>
      </c>
      <c r="AC59" s="40"/>
      <c r="AD59" s="42">
        <v>131</v>
      </c>
      <c r="AE59" s="42">
        <v>131</v>
      </c>
      <c r="AF59" s="42">
        <v>131</v>
      </c>
      <c r="AG59" s="275">
        <v>131</v>
      </c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</row>
    <row r="60" spans="1:60" ht="13">
      <c r="A60" s="153" t="s">
        <v>1530</v>
      </c>
      <c r="B60" s="40" t="s">
        <v>13</v>
      </c>
      <c r="C60" s="106" t="s">
        <v>1531</v>
      </c>
      <c r="D60" s="106" t="s">
        <v>1532</v>
      </c>
      <c r="E60" s="40" t="str">
        <f t="shared" si="32"/>
        <v>Don Kelly</v>
      </c>
      <c r="F60" s="40" t="s">
        <v>90</v>
      </c>
      <c r="G60" s="40" t="s">
        <v>55</v>
      </c>
      <c r="H60" s="42">
        <v>156</v>
      </c>
      <c r="I60" s="43"/>
      <c r="J60" s="43"/>
      <c r="K60" s="43"/>
      <c r="L60" s="43"/>
      <c r="M60" s="43"/>
      <c r="N60" s="40"/>
      <c r="O60" s="40" t="s">
        <v>70</v>
      </c>
      <c r="P60" s="42">
        <v>14</v>
      </c>
      <c r="Q60" s="40" t="s">
        <v>70</v>
      </c>
      <c r="R60" s="40"/>
      <c r="S60" s="40"/>
      <c r="T60" s="40"/>
      <c r="U60" s="40"/>
      <c r="V60" s="40"/>
      <c r="W60" s="42">
        <v>0.5</v>
      </c>
      <c r="X60" s="42">
        <v>0.5</v>
      </c>
      <c r="Y60" s="42">
        <v>0.5</v>
      </c>
      <c r="Z60" s="42">
        <v>0.5</v>
      </c>
      <c r="AA60" s="42">
        <v>0.5</v>
      </c>
      <c r="AB60" s="44">
        <v>0.5</v>
      </c>
      <c r="AC60" s="40"/>
      <c r="AD60" s="42">
        <v>156</v>
      </c>
      <c r="AE60" s="42">
        <v>156</v>
      </c>
      <c r="AF60" s="42">
        <v>156</v>
      </c>
      <c r="AG60" s="275">
        <v>156</v>
      </c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</row>
    <row r="61" spans="1:60" ht="13">
      <c r="A61" s="143" t="s">
        <v>1533</v>
      </c>
      <c r="B61" s="11" t="s">
        <v>5</v>
      </c>
      <c r="C61" s="276" t="s">
        <v>1536</v>
      </c>
      <c r="D61" s="276" t="s">
        <v>1537</v>
      </c>
      <c r="E61" s="11" t="str">
        <f t="shared" si="32"/>
        <v>Hannu Karpotsev</v>
      </c>
      <c r="F61" s="11" t="str">
        <f t="shared" ref="F61:F62" si="33">TRIM(RIGHT(D61,2))</f>
        <v>CL</v>
      </c>
      <c r="G61" s="11" t="s">
        <v>55</v>
      </c>
      <c r="H61" s="82">
        <v>826</v>
      </c>
      <c r="I61" s="86"/>
      <c r="J61" s="86"/>
      <c r="K61" s="86"/>
      <c r="L61" s="86"/>
      <c r="M61" s="86"/>
      <c r="N61" s="12"/>
      <c r="O61" s="11" t="s">
        <v>70</v>
      </c>
      <c r="P61" s="11">
        <v>50</v>
      </c>
      <c r="Q61" s="11" t="s">
        <v>70</v>
      </c>
      <c r="R61" s="11"/>
      <c r="S61" s="11"/>
      <c r="T61" s="11"/>
      <c r="U61" s="12"/>
      <c r="V61" s="12"/>
      <c r="W61" s="11">
        <v>3</v>
      </c>
      <c r="X61" s="11">
        <v>3</v>
      </c>
      <c r="Y61" s="11">
        <v>4.5</v>
      </c>
      <c r="Z61" s="11">
        <v>4.5</v>
      </c>
      <c r="AA61" s="11">
        <v>5.75</v>
      </c>
      <c r="AB61" s="11">
        <v>5.75</v>
      </c>
      <c r="AC61" s="86">
        <v>6.5</v>
      </c>
      <c r="AD61" s="11">
        <v>346</v>
      </c>
      <c r="AE61" s="11">
        <v>346</v>
      </c>
      <c r="AF61" s="11">
        <v>338</v>
      </c>
      <c r="AG61" s="11">
        <v>320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</row>
    <row r="62" spans="1:60" ht="13">
      <c r="A62" s="94" t="s">
        <v>1541</v>
      </c>
      <c r="B62" s="8" t="s">
        <v>8</v>
      </c>
      <c r="C62" s="96" t="s">
        <v>1543</v>
      </c>
      <c r="D62" s="96" t="s">
        <v>1545</v>
      </c>
      <c r="E62" t="str">
        <f>TRIM(LEFT(D62,LEN(D62)-5))</f>
        <v>Marcus Strikeout</v>
      </c>
      <c r="F62" s="8" t="str">
        <f t="shared" si="33"/>
        <v>SP</v>
      </c>
      <c r="G62" s="8" t="s">
        <v>109</v>
      </c>
      <c r="H62" s="8">
        <v>166</v>
      </c>
      <c r="I62" s="99"/>
      <c r="J62" s="99"/>
      <c r="K62" s="99"/>
      <c r="L62" s="99"/>
      <c r="M62" s="99"/>
      <c r="N62" s="8"/>
      <c r="O62" s="8" t="s">
        <v>78</v>
      </c>
      <c r="P62" s="8">
        <v>34</v>
      </c>
      <c r="Q62" s="8" t="s">
        <v>70</v>
      </c>
      <c r="V62">
        <v>1</v>
      </c>
      <c r="W62" s="8">
        <v>1</v>
      </c>
      <c r="X62" s="8">
        <v>0.5</v>
      </c>
      <c r="Y62" s="8">
        <v>0.5</v>
      </c>
      <c r="Z62" s="8">
        <v>0.5</v>
      </c>
      <c r="AA62">
        <v>0.5</v>
      </c>
      <c r="AB62">
        <v>141</v>
      </c>
      <c r="AC62" s="99">
        <v>2.5</v>
      </c>
      <c r="AD62" s="8">
        <v>141</v>
      </c>
      <c r="AE62" s="8">
        <v>141</v>
      </c>
      <c r="AF62" s="8">
        <v>141</v>
      </c>
      <c r="AG62" s="8"/>
    </row>
    <row r="63" spans="1:60" ht="18" customHeight="1">
      <c r="A63" s="94" t="s">
        <v>1548</v>
      </c>
      <c r="B63" s="8" t="s">
        <v>304</v>
      </c>
      <c r="C63" s="271" t="s">
        <v>1354</v>
      </c>
      <c r="D63" s="94" t="s">
        <v>1553</v>
      </c>
      <c r="E63" s="8" t="str">
        <f t="shared" ref="E63:E67" si="34">TRIM(LEFT(D63,LEN(D63)-4))</f>
        <v>Frederick Holland</v>
      </c>
      <c r="F63" s="8" t="s">
        <v>67</v>
      </c>
      <c r="G63" s="8" t="s">
        <v>192</v>
      </c>
      <c r="H63" s="8">
        <v>161</v>
      </c>
      <c r="O63" s="8" t="s">
        <v>70</v>
      </c>
      <c r="P63" s="8">
        <v>37</v>
      </c>
      <c r="Q63" s="8" t="s">
        <v>70</v>
      </c>
      <c r="R63" s="8"/>
      <c r="S63" s="8"/>
      <c r="T63" s="8"/>
      <c r="W63" s="8">
        <v>0.5</v>
      </c>
      <c r="X63" s="8">
        <v>0.5</v>
      </c>
      <c r="AD63" s="8">
        <v>148</v>
      </c>
      <c r="AE63" s="8">
        <v>148</v>
      </c>
      <c r="AF63" s="8">
        <v>148</v>
      </c>
      <c r="AG63" s="8">
        <v>148</v>
      </c>
      <c r="AH63" t="str">
        <f t="shared" ref="AH63:AH64" si="35">F63&amp;" - "&amp;E63</f>
        <v>CF - Frederick Holland</v>
      </c>
    </row>
    <row r="64" spans="1:60" ht="13">
      <c r="A64" s="94" t="s">
        <v>1557</v>
      </c>
      <c r="B64" s="8" t="s">
        <v>304</v>
      </c>
      <c r="C64" s="271" t="s">
        <v>1561</v>
      </c>
      <c r="D64" s="94" t="s">
        <v>1563</v>
      </c>
      <c r="E64" t="str">
        <f t="shared" si="34"/>
        <v>Al "Scarface" Capone</v>
      </c>
      <c r="F64" t="str">
        <f t="shared" ref="F64:F70" si="36">TRIM(RIGHT(D64,2))</f>
        <v>3B</v>
      </c>
      <c r="G64" t="s">
        <v>132</v>
      </c>
      <c r="H64" s="8">
        <v>160</v>
      </c>
      <c r="O64" t="s">
        <v>70</v>
      </c>
      <c r="P64">
        <v>36</v>
      </c>
      <c r="Q64" t="s">
        <v>70</v>
      </c>
      <c r="V64" t="s">
        <v>1036</v>
      </c>
      <c r="X64">
        <v>0.5</v>
      </c>
      <c r="AF64">
        <v>160</v>
      </c>
      <c r="AG64">
        <v>160</v>
      </c>
      <c r="AH64" t="str">
        <f t="shared" si="35"/>
        <v>3B - Al "Scarface" Capone</v>
      </c>
    </row>
    <row r="65" spans="1:34" ht="13">
      <c r="A65" s="94" t="s">
        <v>1566</v>
      </c>
      <c r="B65" s="8" t="s">
        <v>304</v>
      </c>
      <c r="C65" s="271" t="s">
        <v>1567</v>
      </c>
      <c r="D65" s="94" t="s">
        <v>1569</v>
      </c>
      <c r="E65" s="8" t="str">
        <f t="shared" si="34"/>
        <v>Brock Harris</v>
      </c>
      <c r="F65" s="8" t="str">
        <f t="shared" si="36"/>
        <v>LF</v>
      </c>
      <c r="G65" s="8" t="s">
        <v>76</v>
      </c>
      <c r="H65" s="8">
        <v>158</v>
      </c>
      <c r="N65" s="8" t="s">
        <v>1174</v>
      </c>
      <c r="O65" s="8" t="s">
        <v>70</v>
      </c>
      <c r="P65" s="8">
        <v>47</v>
      </c>
      <c r="Q65" s="8" t="s">
        <v>70</v>
      </c>
      <c r="R65" s="8"/>
      <c r="S65" s="8"/>
      <c r="T65" s="8"/>
      <c r="W65" s="8">
        <v>3</v>
      </c>
      <c r="X65" s="8">
        <v>0.5</v>
      </c>
      <c r="Y65" s="8">
        <v>0.5</v>
      </c>
      <c r="Z65" s="8">
        <v>0.25</v>
      </c>
      <c r="AD65" s="8">
        <v>158</v>
      </c>
      <c r="AE65" s="8">
        <v>158</v>
      </c>
      <c r="AF65" s="8">
        <v>158</v>
      </c>
      <c r="AG65" s="8">
        <v>158</v>
      </c>
    </row>
    <row r="66" spans="1:34" ht="13">
      <c r="A66" s="94" t="s">
        <v>1571</v>
      </c>
      <c r="B66" s="8" t="s">
        <v>304</v>
      </c>
      <c r="C66" s="271" t="s">
        <v>1573</v>
      </c>
      <c r="D66" s="94" t="s">
        <v>1576</v>
      </c>
      <c r="E66" s="8" t="str">
        <f t="shared" si="34"/>
        <v>Shahid Afridi</v>
      </c>
      <c r="F66" s="8" t="str">
        <f t="shared" si="36"/>
        <v>1B</v>
      </c>
      <c r="G66" s="8" t="s">
        <v>132</v>
      </c>
      <c r="H66" s="8">
        <v>153</v>
      </c>
      <c r="N66" s="8" t="s">
        <v>1174</v>
      </c>
      <c r="O66" s="8" t="s">
        <v>70</v>
      </c>
      <c r="P66" s="8">
        <v>74</v>
      </c>
      <c r="Q66" s="8" t="s">
        <v>70</v>
      </c>
      <c r="R66" s="8"/>
      <c r="S66" s="8"/>
      <c r="T66" s="8"/>
      <c r="W66" s="8">
        <v>2</v>
      </c>
      <c r="X66" s="8">
        <v>0.5</v>
      </c>
      <c r="Y66" s="8">
        <v>0.5</v>
      </c>
      <c r="Z66" s="8">
        <v>0.25</v>
      </c>
      <c r="AD66" s="8">
        <v>153</v>
      </c>
      <c r="AE66" s="8">
        <v>153</v>
      </c>
      <c r="AF66" s="8">
        <v>153</v>
      </c>
      <c r="AG66" s="8">
        <v>153</v>
      </c>
    </row>
    <row r="67" spans="1:34" ht="13">
      <c r="A67" s="94" t="s">
        <v>1578</v>
      </c>
      <c r="B67" s="8" t="s">
        <v>304</v>
      </c>
      <c r="C67" s="271" t="s">
        <v>1579</v>
      </c>
      <c r="D67" s="94" t="s">
        <v>1580</v>
      </c>
      <c r="E67" s="8" t="str">
        <f t="shared" si="34"/>
        <v>Trent Vain</v>
      </c>
      <c r="F67" s="8" t="str">
        <f t="shared" si="36"/>
        <v>RF</v>
      </c>
      <c r="G67" s="8" t="s">
        <v>159</v>
      </c>
      <c r="H67" s="8">
        <v>147</v>
      </c>
      <c r="N67" s="8" t="s">
        <v>1174</v>
      </c>
      <c r="O67" s="8" t="s">
        <v>70</v>
      </c>
      <c r="P67" s="8">
        <v>62</v>
      </c>
      <c r="Q67" s="8" t="s">
        <v>70</v>
      </c>
      <c r="R67" s="8"/>
      <c r="S67" s="8"/>
      <c r="T67" s="8"/>
      <c r="W67" s="8">
        <v>3</v>
      </c>
      <c r="X67" s="8">
        <v>0.5</v>
      </c>
      <c r="Y67" s="8">
        <v>0.5</v>
      </c>
      <c r="Z67" s="8">
        <v>0.25</v>
      </c>
      <c r="AD67" s="8">
        <v>147</v>
      </c>
      <c r="AE67" s="8">
        <v>147</v>
      </c>
      <c r="AF67" s="8">
        <v>147</v>
      </c>
      <c r="AG67" s="8">
        <v>147</v>
      </c>
    </row>
    <row r="68" spans="1:34" ht="13">
      <c r="A68" s="94" t="s">
        <v>1582</v>
      </c>
      <c r="B68" s="8" t="s">
        <v>304</v>
      </c>
      <c r="C68" s="271" t="s">
        <v>1584</v>
      </c>
      <c r="D68" s="94" t="s">
        <v>1586</v>
      </c>
      <c r="E68" t="str">
        <f>TRIM(LEFT(D68,LEN(D68)-5))</f>
        <v>Nathaniel Zhou</v>
      </c>
      <c r="F68" s="8" t="str">
        <f t="shared" si="36"/>
        <v>LF</v>
      </c>
      <c r="G68" s="8" t="s">
        <v>192</v>
      </c>
      <c r="H68" s="8">
        <v>146</v>
      </c>
      <c r="O68" s="8" t="s">
        <v>70</v>
      </c>
      <c r="P68" s="8">
        <v>29</v>
      </c>
      <c r="Q68" s="8" t="s">
        <v>70</v>
      </c>
      <c r="R68" s="8"/>
      <c r="S68" s="8"/>
      <c r="T68" s="8"/>
      <c r="W68" s="8">
        <v>1</v>
      </c>
      <c r="AD68" s="8"/>
      <c r="AE68" s="8">
        <v>151</v>
      </c>
      <c r="AF68" s="8">
        <v>151</v>
      </c>
      <c r="AH68" t="str">
        <f>F68&amp;" - "&amp;E68</f>
        <v>LF - Nathaniel Zhou</v>
      </c>
    </row>
    <row r="69" spans="1:34" ht="13">
      <c r="A69" s="94" t="s">
        <v>1587</v>
      </c>
      <c r="B69" s="8" t="s">
        <v>304</v>
      </c>
      <c r="C69" s="271" t="s">
        <v>1588</v>
      </c>
      <c r="D69" s="94" t="s">
        <v>1591</v>
      </c>
      <c r="E69" s="8" t="str">
        <f>TRIM(LEFT(D69,LEN(D69)-4))</f>
        <v>Carlos Delgado Jr.</v>
      </c>
      <c r="F69" s="8" t="str">
        <f t="shared" si="36"/>
        <v>1B</v>
      </c>
      <c r="G69" s="8" t="s">
        <v>192</v>
      </c>
      <c r="H69" s="8">
        <v>135</v>
      </c>
      <c r="O69" t="s">
        <v>70</v>
      </c>
      <c r="P69" s="8">
        <v>61</v>
      </c>
      <c r="Q69" t="s">
        <v>70</v>
      </c>
      <c r="U69" s="8"/>
      <c r="V69" s="8" t="s">
        <v>1036</v>
      </c>
      <c r="Y69" s="8">
        <v>0.5</v>
      </c>
      <c r="AD69" s="8"/>
      <c r="AE69" s="8"/>
      <c r="AF69" s="8">
        <v>135</v>
      </c>
      <c r="AG69" s="8">
        <v>135</v>
      </c>
    </row>
    <row r="70" spans="1:34" ht="13">
      <c r="A70" s="94" t="s">
        <v>1593</v>
      </c>
      <c r="B70" s="8" t="s">
        <v>304</v>
      </c>
      <c r="C70" s="285" t="s">
        <v>1594</v>
      </c>
      <c r="D70" s="26" t="s">
        <v>1595</v>
      </c>
      <c r="E70" t="str">
        <f>TRIM(LEFT(D70,LEN(D70)-5))</f>
        <v>Billy Bates</v>
      </c>
      <c r="F70" t="str">
        <f t="shared" si="36"/>
        <v>2B</v>
      </c>
      <c r="G70" t="s">
        <v>740</v>
      </c>
      <c r="H70" s="8">
        <v>129</v>
      </c>
      <c r="O70" t="s">
        <v>78</v>
      </c>
      <c r="P70">
        <v>43</v>
      </c>
      <c r="Q70" t="s">
        <v>70</v>
      </c>
      <c r="W70">
        <v>0.5</v>
      </c>
      <c r="X70">
        <v>0.5</v>
      </c>
      <c r="AD70">
        <v>100</v>
      </c>
      <c r="AE70">
        <v>100</v>
      </c>
      <c r="AF70">
        <v>129</v>
      </c>
      <c r="AG70">
        <v>129</v>
      </c>
      <c r="AH70" t="str">
        <f t="shared" ref="AH70:AH71" si="37">F70&amp;" - "&amp;E70</f>
        <v>2B - Billy Bates</v>
      </c>
    </row>
    <row r="71" spans="1:34" ht="13">
      <c r="A71" s="94" t="s">
        <v>1598</v>
      </c>
      <c r="B71" s="8" t="s">
        <v>304</v>
      </c>
      <c r="C71" s="285" t="s">
        <v>1600</v>
      </c>
      <c r="D71" s="26" t="s">
        <v>1601</v>
      </c>
      <c r="E71" t="str">
        <f t="shared" ref="E71:E73" si="38">TRIM(LEFT(D71,LEN(D71)-4))</f>
        <v>Seth Graves</v>
      </c>
      <c r="F71" t="s">
        <v>75</v>
      </c>
      <c r="G71" s="8" t="s">
        <v>294</v>
      </c>
      <c r="H71" s="8">
        <v>128</v>
      </c>
      <c r="O71" t="s">
        <v>70</v>
      </c>
      <c r="P71">
        <v>54</v>
      </c>
      <c r="Q71" t="s">
        <v>70</v>
      </c>
      <c r="W71">
        <v>0.5</v>
      </c>
      <c r="AE71">
        <v>128</v>
      </c>
      <c r="AF71">
        <v>128</v>
      </c>
      <c r="AH71" t="str">
        <f t="shared" si="37"/>
        <v>SS - Seth Graves</v>
      </c>
    </row>
    <row r="72" spans="1:34" ht="13">
      <c r="A72" s="94" t="s">
        <v>1602</v>
      </c>
      <c r="B72" s="8" t="s">
        <v>304</v>
      </c>
      <c r="C72" s="271" t="s">
        <v>1605</v>
      </c>
      <c r="D72" s="94" t="s">
        <v>1607</v>
      </c>
      <c r="E72" s="8" t="str">
        <f t="shared" si="38"/>
        <v>Michael Walker</v>
      </c>
      <c r="F72" s="8" t="str">
        <f t="shared" ref="F72:F77" si="39">TRIM(RIGHT(D72,2))</f>
        <v>1B</v>
      </c>
      <c r="G72" s="8" t="s">
        <v>104</v>
      </c>
      <c r="H72" s="8">
        <v>126</v>
      </c>
      <c r="O72" t="s">
        <v>70</v>
      </c>
      <c r="P72" s="8">
        <v>67</v>
      </c>
      <c r="Q72" t="s">
        <v>70</v>
      </c>
      <c r="U72" s="8"/>
      <c r="V72" s="8" t="s">
        <v>1036</v>
      </c>
      <c r="Y72" s="8">
        <v>0.5</v>
      </c>
      <c r="AD72" s="8"/>
      <c r="AE72" s="8"/>
      <c r="AF72" s="8">
        <v>126</v>
      </c>
      <c r="AG72" s="8">
        <v>126</v>
      </c>
    </row>
    <row r="73" spans="1:34" ht="13">
      <c r="A73" s="94" t="s">
        <v>1608</v>
      </c>
      <c r="B73" s="8" t="s">
        <v>304</v>
      </c>
      <c r="C73" s="271" t="s">
        <v>1609</v>
      </c>
      <c r="D73" s="94" t="s">
        <v>1611</v>
      </c>
      <c r="E73" s="8" t="str">
        <f t="shared" si="38"/>
        <v>Adam Wiggins</v>
      </c>
      <c r="F73" s="8" t="str">
        <f t="shared" si="39"/>
        <v>3B</v>
      </c>
      <c r="G73" s="8" t="s">
        <v>225</v>
      </c>
      <c r="H73" s="8">
        <v>121</v>
      </c>
      <c r="O73" s="8" t="s">
        <v>78</v>
      </c>
      <c r="P73" s="8" t="s">
        <v>1232</v>
      </c>
      <c r="Q73" s="8" t="s">
        <v>70</v>
      </c>
      <c r="R73" s="8"/>
      <c r="S73" s="8"/>
      <c r="T73" s="8"/>
      <c r="U73" s="8"/>
      <c r="V73" s="8" t="s">
        <v>1036</v>
      </c>
      <c r="AD73" s="8"/>
      <c r="AE73" s="8"/>
      <c r="AF73" s="8">
        <v>121</v>
      </c>
      <c r="AG73" s="8">
        <v>121</v>
      </c>
      <c r="AH73" t="str">
        <f t="shared" ref="AH73:AH93" si="40">F73&amp;" - "&amp;E73</f>
        <v>3B - Adam Wiggins</v>
      </c>
    </row>
    <row r="74" spans="1:34" ht="13">
      <c r="A74" s="94" t="s">
        <v>1614</v>
      </c>
      <c r="B74" s="8" t="s">
        <v>304</v>
      </c>
      <c r="C74" s="271" t="s">
        <v>1615</v>
      </c>
      <c r="D74" s="94" t="s">
        <v>1617</v>
      </c>
      <c r="E74" t="str">
        <f>TRIM(LEFT(D74,LEN(D74)-5))</f>
        <v>Pedro Cerrano</v>
      </c>
      <c r="F74" s="8" t="str">
        <f t="shared" si="39"/>
        <v>RF</v>
      </c>
      <c r="G74" s="8" t="s">
        <v>132</v>
      </c>
      <c r="H74" s="8">
        <v>116</v>
      </c>
      <c r="O74" s="8" t="s">
        <v>70</v>
      </c>
      <c r="P74" s="8">
        <v>68</v>
      </c>
      <c r="Q74" s="8" t="s">
        <v>70</v>
      </c>
      <c r="R74" s="8"/>
      <c r="S74" s="8"/>
      <c r="T74" s="8"/>
      <c r="W74" s="8">
        <v>0.5</v>
      </c>
      <c r="AD74" s="8"/>
      <c r="AE74" s="8">
        <v>116</v>
      </c>
      <c r="AF74" s="8">
        <v>116</v>
      </c>
      <c r="AH74" t="str">
        <f t="shared" si="40"/>
        <v>RF - Pedro Cerrano</v>
      </c>
    </row>
    <row r="75" spans="1:34" ht="13">
      <c r="A75" s="94" t="s">
        <v>1619</v>
      </c>
      <c r="B75" s="8" t="s">
        <v>304</v>
      </c>
      <c r="C75" s="271" t="s">
        <v>1621</v>
      </c>
      <c r="D75" s="94" t="s">
        <v>1623</v>
      </c>
      <c r="E75" s="8" t="str">
        <f t="shared" ref="E75:E80" si="41">TRIM(LEFT(D75,LEN(D75)-4))</f>
        <v>Hunter Tuzero</v>
      </c>
      <c r="F75" s="8" t="str">
        <f t="shared" si="39"/>
        <v>RF</v>
      </c>
      <c r="G75" s="8" t="s">
        <v>166</v>
      </c>
      <c r="H75" s="8">
        <v>115</v>
      </c>
      <c r="O75" s="8" t="s">
        <v>70</v>
      </c>
      <c r="P75" s="8">
        <v>78</v>
      </c>
      <c r="Q75" s="8" t="s">
        <v>70</v>
      </c>
      <c r="R75" s="8"/>
      <c r="S75" s="8"/>
      <c r="T75" s="8"/>
      <c r="U75" s="8"/>
      <c r="V75" s="8" t="s">
        <v>1036</v>
      </c>
      <c r="AD75" s="8"/>
      <c r="AE75" s="8"/>
      <c r="AF75" s="8">
        <v>115</v>
      </c>
      <c r="AG75" s="8">
        <v>115</v>
      </c>
      <c r="AH75" t="str">
        <f t="shared" si="40"/>
        <v>RF - Hunter Tuzero</v>
      </c>
    </row>
    <row r="76" spans="1:34" ht="13">
      <c r="A76" s="94" t="s">
        <v>1625</v>
      </c>
      <c r="B76" s="8" t="s">
        <v>304</v>
      </c>
      <c r="C76" s="271" t="s">
        <v>1626</v>
      </c>
      <c r="D76" s="94" t="s">
        <v>1627</v>
      </c>
      <c r="E76" s="8" t="str">
        <f t="shared" si="41"/>
        <v>Kyle Bryant</v>
      </c>
      <c r="F76" s="8" t="str">
        <f t="shared" si="39"/>
        <v>2B</v>
      </c>
      <c r="G76" t="s">
        <v>151</v>
      </c>
      <c r="H76" s="8">
        <v>113</v>
      </c>
      <c r="O76" t="s">
        <v>70</v>
      </c>
      <c r="P76" s="8">
        <v>81</v>
      </c>
      <c r="Q76" t="s">
        <v>70</v>
      </c>
      <c r="U76" s="8"/>
      <c r="V76" s="8" t="s">
        <v>1036</v>
      </c>
      <c r="AD76" s="8"/>
      <c r="AE76" s="8"/>
      <c r="AF76" s="8">
        <v>113</v>
      </c>
      <c r="AG76" s="8">
        <v>113</v>
      </c>
      <c r="AH76" t="str">
        <f t="shared" si="40"/>
        <v>2B - Kyle Bryant</v>
      </c>
    </row>
    <row r="77" spans="1:34" ht="13">
      <c r="A77" s="94" t="s">
        <v>1629</v>
      </c>
      <c r="B77" s="8" t="s">
        <v>304</v>
      </c>
      <c r="C77" s="271" t="s">
        <v>1630</v>
      </c>
      <c r="D77" s="94" t="s">
        <v>1632</v>
      </c>
      <c r="E77" s="8" t="str">
        <f t="shared" si="41"/>
        <v>Sami Steen</v>
      </c>
      <c r="F77" s="8" t="str">
        <f t="shared" si="39"/>
        <v>CF</v>
      </c>
      <c r="G77" t="s">
        <v>151</v>
      </c>
      <c r="H77" s="8">
        <v>113</v>
      </c>
      <c r="O77" t="s">
        <v>70</v>
      </c>
      <c r="P77" s="8">
        <v>79</v>
      </c>
      <c r="Q77" t="s">
        <v>70</v>
      </c>
      <c r="U77" s="8"/>
      <c r="V77" s="8" t="s">
        <v>1036</v>
      </c>
      <c r="AD77" s="8"/>
      <c r="AE77" s="8"/>
      <c r="AF77" s="8">
        <v>113</v>
      </c>
      <c r="AG77" s="8">
        <v>113</v>
      </c>
      <c r="AH77" t="str">
        <f t="shared" si="40"/>
        <v>CF - Sami Steen</v>
      </c>
    </row>
    <row r="78" spans="1:34" ht="13">
      <c r="A78" s="94" t="s">
        <v>1634</v>
      </c>
      <c r="B78" s="8" t="s">
        <v>304</v>
      </c>
      <c r="C78" s="285" t="s">
        <v>1635</v>
      </c>
      <c r="D78" s="26" t="s">
        <v>1636</v>
      </c>
      <c r="E78" t="str">
        <f t="shared" si="41"/>
        <v>Shea Stockton</v>
      </c>
      <c r="F78" t="s">
        <v>90</v>
      </c>
      <c r="G78" s="8" t="s">
        <v>114</v>
      </c>
      <c r="H78" s="8">
        <v>112</v>
      </c>
      <c r="O78" t="s">
        <v>70</v>
      </c>
      <c r="P78">
        <v>22</v>
      </c>
      <c r="Q78" t="s">
        <v>70</v>
      </c>
      <c r="W78">
        <v>0.5</v>
      </c>
      <c r="AE78">
        <v>112</v>
      </c>
      <c r="AF78">
        <v>112</v>
      </c>
      <c r="AH78" t="str">
        <f t="shared" si="40"/>
        <v>SP - Shea Stockton</v>
      </c>
    </row>
    <row r="79" spans="1:34" ht="13">
      <c r="A79" s="94" t="s">
        <v>1637</v>
      </c>
      <c r="B79" s="8" t="s">
        <v>304</v>
      </c>
      <c r="C79" s="271" t="s">
        <v>1638</v>
      </c>
      <c r="D79" s="94" t="s">
        <v>1640</v>
      </c>
      <c r="E79" s="8" t="str">
        <f t="shared" si="41"/>
        <v>Harley Weewax</v>
      </c>
      <c r="F79" s="8" t="str">
        <f t="shared" ref="F79:F92" si="42">TRIM(RIGHT(D79,2))</f>
        <v>3B</v>
      </c>
      <c r="G79" s="8" t="s">
        <v>132</v>
      </c>
      <c r="H79" s="8">
        <v>109</v>
      </c>
      <c r="O79" s="8" t="s">
        <v>70</v>
      </c>
      <c r="P79" s="8">
        <v>86</v>
      </c>
      <c r="Q79" s="8" t="s">
        <v>70</v>
      </c>
      <c r="R79" s="8"/>
      <c r="S79" s="8"/>
      <c r="T79" s="8"/>
      <c r="U79" s="8"/>
      <c r="V79" s="8" t="s">
        <v>1036</v>
      </c>
      <c r="AD79" s="8"/>
      <c r="AE79" s="8"/>
      <c r="AF79" s="8">
        <v>109</v>
      </c>
      <c r="AG79" s="8">
        <v>109</v>
      </c>
      <c r="AH79" t="str">
        <f t="shared" si="40"/>
        <v>3B - Harley Weewax</v>
      </c>
    </row>
    <row r="80" spans="1:34" ht="13">
      <c r="A80" s="94" t="s">
        <v>1642</v>
      </c>
      <c r="B80" s="8" t="s">
        <v>304</v>
      </c>
      <c r="C80" s="271" t="s">
        <v>1644</v>
      </c>
      <c r="D80" s="94" t="s">
        <v>1646</v>
      </c>
      <c r="E80" s="8" t="str">
        <f t="shared" si="41"/>
        <v>Big Dongs</v>
      </c>
      <c r="F80" s="8" t="str">
        <f t="shared" si="42"/>
        <v>1B</v>
      </c>
      <c r="G80" s="8" t="s">
        <v>104</v>
      </c>
      <c r="H80" s="8">
        <v>107</v>
      </c>
      <c r="O80" s="8" t="s">
        <v>70</v>
      </c>
      <c r="P80" s="8" t="s">
        <v>1232</v>
      </c>
      <c r="Q80" s="8" t="s">
        <v>70</v>
      </c>
      <c r="R80" s="8"/>
      <c r="S80" s="8"/>
      <c r="T80" s="8"/>
      <c r="U80" s="8"/>
      <c r="V80" s="8" t="s">
        <v>1036</v>
      </c>
      <c r="AD80" s="8"/>
      <c r="AE80" s="8"/>
      <c r="AF80" s="8">
        <v>107</v>
      </c>
      <c r="AG80" s="8">
        <v>107</v>
      </c>
      <c r="AH80" t="str">
        <f t="shared" si="40"/>
        <v>1B - Big Dongs</v>
      </c>
    </row>
    <row r="81" spans="1:60" ht="13">
      <c r="A81" s="94" t="s">
        <v>1648</v>
      </c>
      <c r="B81" s="8" t="s">
        <v>304</v>
      </c>
      <c r="C81" s="271" t="s">
        <v>1650</v>
      </c>
      <c r="D81" s="94" t="s">
        <v>1651</v>
      </c>
      <c r="E81" t="str">
        <f>TRIM(LEFT(D81,LEN(D81)-5))</f>
        <v>Guacamole Quesorito</v>
      </c>
      <c r="F81" s="8" t="str">
        <f t="shared" si="42"/>
        <v>CL</v>
      </c>
      <c r="G81" s="8" t="s">
        <v>1186</v>
      </c>
      <c r="H81" s="8">
        <v>100</v>
      </c>
      <c r="O81" s="8" t="s">
        <v>70</v>
      </c>
      <c r="P81" s="8">
        <v>41</v>
      </c>
      <c r="Q81" s="8" t="s">
        <v>70</v>
      </c>
      <c r="R81" s="8"/>
      <c r="S81" s="8"/>
      <c r="T81" s="8"/>
      <c r="W81" s="8">
        <v>1</v>
      </c>
      <c r="AD81" s="8"/>
      <c r="AE81" s="8">
        <v>100</v>
      </c>
      <c r="AF81" s="8">
        <v>100</v>
      </c>
      <c r="AH81" t="str">
        <f t="shared" si="40"/>
        <v>CL - Guacamole Quesorito</v>
      </c>
    </row>
    <row r="82" spans="1:60" ht="13">
      <c r="A82" s="94" t="s">
        <v>1654</v>
      </c>
      <c r="B82" s="8" t="s">
        <v>304</v>
      </c>
      <c r="C82" s="271" t="s">
        <v>1656</v>
      </c>
      <c r="D82" s="94" t="s">
        <v>1657</v>
      </c>
      <c r="E82" s="8" t="str">
        <f t="shared" ref="E82:E84" si="43">TRIM(LEFT(D82,LEN(D82)-4))</f>
        <v>Zach Peterson</v>
      </c>
      <c r="F82" s="8" t="str">
        <f t="shared" si="42"/>
        <v>SP</v>
      </c>
      <c r="G82" s="8" t="s">
        <v>820</v>
      </c>
      <c r="H82" s="8">
        <v>100</v>
      </c>
      <c r="O82" t="s">
        <v>70</v>
      </c>
      <c r="P82" s="8">
        <v>66</v>
      </c>
      <c r="Q82" t="s">
        <v>70</v>
      </c>
      <c r="U82" s="8"/>
      <c r="V82" s="8" t="s">
        <v>1036</v>
      </c>
      <c r="AD82" s="8"/>
      <c r="AE82" s="8"/>
      <c r="AF82" s="8">
        <v>100</v>
      </c>
      <c r="AG82" s="8">
        <v>100</v>
      </c>
      <c r="AH82" t="str">
        <f t="shared" si="40"/>
        <v>SP - Zach Peterson</v>
      </c>
    </row>
    <row r="83" spans="1:60" ht="13">
      <c r="A83" s="94" t="s">
        <v>1658</v>
      </c>
      <c r="B83" s="8" t="s">
        <v>304</v>
      </c>
      <c r="C83" s="271" t="s">
        <v>1660</v>
      </c>
      <c r="D83" s="94" t="s">
        <v>1661</v>
      </c>
      <c r="E83" s="8" t="str">
        <f t="shared" si="43"/>
        <v>Lazaro McInnis</v>
      </c>
      <c r="F83" s="8" t="str">
        <f t="shared" si="42"/>
        <v>SP</v>
      </c>
      <c r="G83" s="8" t="s">
        <v>55</v>
      </c>
      <c r="H83" s="8">
        <v>100</v>
      </c>
      <c r="O83" s="8" t="s">
        <v>70</v>
      </c>
      <c r="P83" s="8" t="s">
        <v>1232</v>
      </c>
      <c r="Q83" s="8" t="s">
        <v>70</v>
      </c>
      <c r="R83" s="8"/>
      <c r="S83" s="8"/>
      <c r="T83" s="8"/>
      <c r="U83" s="8"/>
      <c r="V83" s="8" t="s">
        <v>1036</v>
      </c>
      <c r="AD83" s="8"/>
      <c r="AE83" s="8"/>
      <c r="AF83" s="8">
        <v>100</v>
      </c>
      <c r="AG83" s="8">
        <v>100</v>
      </c>
      <c r="AH83" t="str">
        <f t="shared" si="40"/>
        <v>SP - Lazaro McInnis</v>
      </c>
    </row>
    <row r="84" spans="1:60" ht="13">
      <c r="A84" s="94" t="s">
        <v>1662</v>
      </c>
      <c r="B84" s="8" t="s">
        <v>304</v>
      </c>
      <c r="C84" s="271" t="s">
        <v>1664</v>
      </c>
      <c r="D84" s="94" t="s">
        <v>1666</v>
      </c>
      <c r="E84" s="8" t="str">
        <f t="shared" si="43"/>
        <v>Kazuto Nagai</v>
      </c>
      <c r="F84" s="8" t="str">
        <f t="shared" si="42"/>
        <v>SP</v>
      </c>
      <c r="G84" s="8" t="s">
        <v>114</v>
      </c>
      <c r="H84" s="8">
        <v>100</v>
      </c>
      <c r="N84" s="8"/>
      <c r="O84" s="8" t="s">
        <v>70</v>
      </c>
      <c r="P84" s="8">
        <v>64</v>
      </c>
      <c r="Q84" s="8" t="s">
        <v>70</v>
      </c>
      <c r="R84" s="8"/>
      <c r="S84" s="8"/>
      <c r="T84" s="8"/>
      <c r="AD84" s="8"/>
      <c r="AE84" s="8">
        <v>100</v>
      </c>
      <c r="AF84" s="8">
        <v>100</v>
      </c>
      <c r="AH84" t="str">
        <f t="shared" si="40"/>
        <v>SP - Kazuto Nagai</v>
      </c>
    </row>
    <row r="85" spans="1:60" ht="13">
      <c r="A85" s="94" t="s">
        <v>1668</v>
      </c>
      <c r="B85" s="8" t="s">
        <v>304</v>
      </c>
      <c r="C85" s="271" t="s">
        <v>1669</v>
      </c>
      <c r="D85" s="94" t="s">
        <v>1671</v>
      </c>
      <c r="E85" t="str">
        <f>TRIM(LEFT(D85,LEN(D85)-5))</f>
        <v>Clark Canuck</v>
      </c>
      <c r="F85" s="8" t="str">
        <f t="shared" si="42"/>
        <v>SS</v>
      </c>
      <c r="G85" s="8" t="s">
        <v>104</v>
      </c>
      <c r="H85" s="8">
        <v>100</v>
      </c>
      <c r="O85" s="8" t="s">
        <v>70</v>
      </c>
      <c r="P85" s="8">
        <v>77</v>
      </c>
      <c r="Q85" s="8" t="s">
        <v>70</v>
      </c>
      <c r="R85" s="8"/>
      <c r="S85" s="8"/>
      <c r="T85" s="8"/>
      <c r="W85" s="8">
        <v>0.5</v>
      </c>
      <c r="AD85" s="8"/>
      <c r="AE85" s="8">
        <v>100</v>
      </c>
      <c r="AF85" s="8">
        <v>100</v>
      </c>
      <c r="AH85" t="str">
        <f t="shared" si="40"/>
        <v>SS - Clark Canuck</v>
      </c>
    </row>
    <row r="86" spans="1:60" ht="13">
      <c r="A86" s="94" t="s">
        <v>1673</v>
      </c>
      <c r="B86" s="8" t="s">
        <v>304</v>
      </c>
      <c r="C86" s="271" t="s">
        <v>1675</v>
      </c>
      <c r="D86" s="94" t="s">
        <v>1676</v>
      </c>
      <c r="E86" s="8" t="str">
        <f t="shared" ref="E86:E95" si="44">TRIM(LEFT(D86,LEN(D86)-4))</f>
        <v>Jax MacDoo</v>
      </c>
      <c r="F86" s="8" t="str">
        <f t="shared" si="42"/>
        <v>SP</v>
      </c>
      <c r="G86" s="8" t="s">
        <v>109</v>
      </c>
      <c r="H86" s="8">
        <v>100</v>
      </c>
      <c r="O86" t="s">
        <v>70</v>
      </c>
      <c r="P86" s="8" t="s">
        <v>1232</v>
      </c>
      <c r="Q86" t="s">
        <v>70</v>
      </c>
      <c r="U86" s="8"/>
      <c r="V86" s="8" t="s">
        <v>1036</v>
      </c>
      <c r="W86" s="8"/>
      <c r="X86" s="8"/>
      <c r="AD86" s="8">
        <v>100</v>
      </c>
      <c r="AE86" s="8"/>
      <c r="AF86" s="8">
        <v>100</v>
      </c>
      <c r="AG86" s="8">
        <v>100</v>
      </c>
      <c r="AH86" t="str">
        <f t="shared" si="40"/>
        <v>SP - Jax MacDoo</v>
      </c>
    </row>
    <row r="87" spans="1:60" ht="13">
      <c r="A87" s="94" t="s">
        <v>1678</v>
      </c>
      <c r="B87" s="8" t="s">
        <v>304</v>
      </c>
      <c r="C87" s="271" t="s">
        <v>1679</v>
      </c>
      <c r="D87" s="94" t="s">
        <v>1680</v>
      </c>
      <c r="E87" s="8" t="str">
        <f t="shared" si="44"/>
        <v>Kip Houston</v>
      </c>
      <c r="F87" s="8" t="str">
        <f t="shared" si="42"/>
        <v>SS</v>
      </c>
      <c r="G87" s="8"/>
      <c r="H87" s="8">
        <v>100</v>
      </c>
      <c r="O87" s="8" t="s">
        <v>78</v>
      </c>
      <c r="P87" s="8" t="s">
        <v>1232</v>
      </c>
      <c r="Q87" s="8" t="s">
        <v>70</v>
      </c>
      <c r="R87" s="8"/>
      <c r="S87" s="8"/>
      <c r="T87" s="8"/>
      <c r="U87" s="8"/>
      <c r="V87" s="8" t="s">
        <v>1036</v>
      </c>
      <c r="AD87" s="8"/>
      <c r="AE87" s="8"/>
      <c r="AF87" s="8">
        <v>100</v>
      </c>
      <c r="AG87" s="8">
        <v>100</v>
      </c>
      <c r="AH87" t="str">
        <f t="shared" si="40"/>
        <v>SS - Kip Houston</v>
      </c>
    </row>
    <row r="88" spans="1:60" ht="13">
      <c r="A88" s="94" t="s">
        <v>1683</v>
      </c>
      <c r="B88" s="8" t="s">
        <v>304</v>
      </c>
      <c r="C88" s="271" t="s">
        <v>1685</v>
      </c>
      <c r="D88" s="94" t="s">
        <v>1686</v>
      </c>
      <c r="E88" s="8" t="str">
        <f t="shared" si="44"/>
        <v>Kyle Dallas</v>
      </c>
      <c r="F88" s="8" t="str">
        <f t="shared" si="42"/>
        <v>3B</v>
      </c>
      <c r="G88" s="8"/>
      <c r="H88" s="8">
        <v>100</v>
      </c>
      <c r="O88" t="s">
        <v>70</v>
      </c>
      <c r="P88" s="8" t="s">
        <v>1232</v>
      </c>
      <c r="Q88" t="s">
        <v>70</v>
      </c>
      <c r="U88" s="8"/>
      <c r="V88" s="8" t="s">
        <v>1036</v>
      </c>
      <c r="AD88" s="8"/>
      <c r="AE88" s="8"/>
      <c r="AF88" s="8">
        <v>100</v>
      </c>
      <c r="AG88" s="8">
        <v>100</v>
      </c>
      <c r="AH88" t="str">
        <f t="shared" si="40"/>
        <v>3B - Kyle Dallas</v>
      </c>
    </row>
    <row r="89" spans="1:60" ht="13">
      <c r="A89" s="94" t="s">
        <v>1687</v>
      </c>
      <c r="B89" s="8" t="s">
        <v>304</v>
      </c>
      <c r="C89" s="271" t="s">
        <v>1689</v>
      </c>
      <c r="D89" s="94" t="s">
        <v>1691</v>
      </c>
      <c r="E89" s="8" t="str">
        <f t="shared" si="44"/>
        <v>Henry Lym</v>
      </c>
      <c r="F89" s="8" t="str">
        <f t="shared" si="42"/>
        <v>CF</v>
      </c>
      <c r="G89" s="8"/>
      <c r="H89" s="8">
        <v>100</v>
      </c>
      <c r="O89" s="8" t="s">
        <v>70</v>
      </c>
      <c r="P89" s="8">
        <v>88</v>
      </c>
      <c r="Q89" s="8" t="s">
        <v>70</v>
      </c>
      <c r="R89" s="8"/>
      <c r="S89" s="8"/>
      <c r="T89" s="8"/>
      <c r="U89" s="8"/>
      <c r="V89" s="8" t="s">
        <v>1036</v>
      </c>
      <c r="AD89" s="8"/>
      <c r="AE89" s="8"/>
      <c r="AF89" s="8">
        <v>100</v>
      </c>
      <c r="AG89" s="8">
        <v>100</v>
      </c>
      <c r="AH89" t="str">
        <f t="shared" si="40"/>
        <v>CF - Henry Lym</v>
      </c>
    </row>
    <row r="90" spans="1:60" ht="13">
      <c r="A90" s="94" t="s">
        <v>1692</v>
      </c>
      <c r="B90" s="8" t="s">
        <v>304</v>
      </c>
      <c r="C90" s="271" t="s">
        <v>1693</v>
      </c>
      <c r="D90" s="94" t="s">
        <v>1694</v>
      </c>
      <c r="E90" s="8" t="str">
        <f t="shared" si="44"/>
        <v>Rodrigo de Hierro</v>
      </c>
      <c r="F90" s="8" t="str">
        <f t="shared" si="42"/>
        <v>LF</v>
      </c>
      <c r="G90" s="8"/>
      <c r="H90" s="8">
        <v>100</v>
      </c>
      <c r="O90" s="8" t="s">
        <v>70</v>
      </c>
      <c r="P90" s="8" t="s">
        <v>1232</v>
      </c>
      <c r="Q90" s="8" t="s">
        <v>70</v>
      </c>
      <c r="R90" s="8"/>
      <c r="S90" s="8"/>
      <c r="T90" s="8"/>
      <c r="U90" s="8"/>
      <c r="V90" s="8" t="s">
        <v>1036</v>
      </c>
      <c r="AD90" s="8"/>
      <c r="AE90" s="8"/>
      <c r="AF90" s="8">
        <v>100</v>
      </c>
      <c r="AG90" s="8">
        <v>100</v>
      </c>
      <c r="AH90" t="str">
        <f t="shared" si="40"/>
        <v>LF - Rodrigo de Hierro</v>
      </c>
    </row>
    <row r="91" spans="1:60" ht="13">
      <c r="A91" s="94" t="s">
        <v>1696</v>
      </c>
      <c r="B91" s="8" t="s">
        <v>304</v>
      </c>
      <c r="C91" s="271" t="s">
        <v>1698</v>
      </c>
      <c r="D91" s="94" t="s">
        <v>1699</v>
      </c>
      <c r="E91" s="8" t="str">
        <f t="shared" si="44"/>
        <v>Justin Thompson</v>
      </c>
      <c r="F91" s="8" t="str">
        <f t="shared" si="42"/>
        <v>RF</v>
      </c>
      <c r="G91" s="8"/>
      <c r="H91" s="8">
        <v>100</v>
      </c>
      <c r="O91" t="s">
        <v>70</v>
      </c>
      <c r="P91" s="8" t="s">
        <v>1232</v>
      </c>
      <c r="Q91" t="s">
        <v>70</v>
      </c>
      <c r="U91" s="8"/>
      <c r="V91" s="8" t="s">
        <v>1036</v>
      </c>
      <c r="AD91" s="8"/>
      <c r="AE91" s="8"/>
      <c r="AF91" s="8">
        <v>100</v>
      </c>
      <c r="AG91" s="8">
        <v>100</v>
      </c>
      <c r="AH91" t="str">
        <f t="shared" si="40"/>
        <v>RF - Justin Thompson</v>
      </c>
    </row>
    <row r="92" spans="1:60" ht="13">
      <c r="A92" s="94" t="s">
        <v>1700</v>
      </c>
      <c r="B92" s="8" t="s">
        <v>304</v>
      </c>
      <c r="C92" s="271" t="s">
        <v>1701</v>
      </c>
      <c r="D92" s="94" t="s">
        <v>1703</v>
      </c>
      <c r="E92" s="8" t="str">
        <f t="shared" si="44"/>
        <v>Chris Benji</v>
      </c>
      <c r="F92" s="8" t="str">
        <f t="shared" si="42"/>
        <v>SS</v>
      </c>
      <c r="G92" s="8"/>
      <c r="H92" s="8">
        <v>100</v>
      </c>
      <c r="O92" s="8" t="s">
        <v>70</v>
      </c>
      <c r="P92" s="8">
        <v>84</v>
      </c>
      <c r="Q92" s="8" t="s">
        <v>70</v>
      </c>
      <c r="R92" s="8"/>
      <c r="S92" s="8"/>
      <c r="T92" s="8"/>
      <c r="U92" s="8"/>
      <c r="V92" s="8" t="s">
        <v>1036</v>
      </c>
      <c r="AD92" s="8"/>
      <c r="AE92" s="8"/>
      <c r="AF92" s="8">
        <v>100</v>
      </c>
      <c r="AG92" s="8">
        <v>100</v>
      </c>
      <c r="AH92" t="str">
        <f t="shared" si="40"/>
        <v>SS - Chris Benji</v>
      </c>
    </row>
    <row r="93" spans="1:60" ht="13">
      <c r="A93" s="94" t="s">
        <v>1705</v>
      </c>
      <c r="B93" s="8" t="s">
        <v>3</v>
      </c>
      <c r="C93" s="140" t="s">
        <v>1706</v>
      </c>
      <c r="D93" s="140" t="s">
        <v>1707</v>
      </c>
      <c r="E93" t="str">
        <f t="shared" si="44"/>
        <v>Victor Ball</v>
      </c>
      <c r="F93" t="s">
        <v>336</v>
      </c>
      <c r="G93" s="8" t="s">
        <v>1186</v>
      </c>
      <c r="H93" s="8">
        <v>113</v>
      </c>
      <c r="I93" s="99"/>
      <c r="J93" s="99"/>
      <c r="K93" s="99"/>
      <c r="O93" t="s">
        <v>70</v>
      </c>
      <c r="P93">
        <v>80</v>
      </c>
      <c r="Q93" t="s">
        <v>70</v>
      </c>
      <c r="W93">
        <v>0.5</v>
      </c>
      <c r="Y93" s="8"/>
      <c r="Z93">
        <v>0.5</v>
      </c>
      <c r="AB93" s="99">
        <v>0.5</v>
      </c>
      <c r="AE93">
        <v>113</v>
      </c>
      <c r="AF93">
        <v>113</v>
      </c>
      <c r="AH93" t="str">
        <f t="shared" si="40"/>
        <v>CL - Victor Ball</v>
      </c>
      <c r="BE93" s="313"/>
      <c r="BF93" s="313"/>
      <c r="BG93" s="313"/>
      <c r="BH93" s="313"/>
    </row>
    <row r="94" spans="1:60" ht="13">
      <c r="A94" s="94" t="s">
        <v>1708</v>
      </c>
      <c r="B94" s="8" t="s">
        <v>304</v>
      </c>
      <c r="C94" s="96" t="s">
        <v>1008</v>
      </c>
      <c r="D94" s="96" t="s">
        <v>1711</v>
      </c>
      <c r="E94" t="str">
        <f t="shared" si="44"/>
        <v>Danny McGlover</v>
      </c>
      <c r="F94" s="8" t="str">
        <f t="shared" ref="F94:F100" si="45">TRIM(RIGHT(D94,2))</f>
        <v>C</v>
      </c>
      <c r="G94" s="8" t="s">
        <v>159</v>
      </c>
      <c r="H94" s="8">
        <v>234</v>
      </c>
      <c r="I94" s="99"/>
      <c r="J94" s="99"/>
      <c r="K94" s="99"/>
      <c r="L94" s="99"/>
      <c r="M94" s="99"/>
      <c r="N94" s="8"/>
      <c r="O94" s="8" t="s">
        <v>70</v>
      </c>
      <c r="P94" s="8">
        <v>83</v>
      </c>
      <c r="Q94" s="8" t="s">
        <v>70</v>
      </c>
      <c r="W94" s="8">
        <v>2</v>
      </c>
      <c r="X94" s="8">
        <v>2</v>
      </c>
      <c r="Y94" s="8">
        <v>2</v>
      </c>
      <c r="Z94" s="8">
        <v>2</v>
      </c>
      <c r="AA94">
        <v>2</v>
      </c>
      <c r="AB94" s="99">
        <v>3</v>
      </c>
      <c r="AC94">
        <v>2</v>
      </c>
      <c r="AD94" s="8">
        <v>234</v>
      </c>
      <c r="AE94" s="8">
        <v>234</v>
      </c>
      <c r="AF94" s="8">
        <v>234</v>
      </c>
      <c r="AG94" s="8">
        <v>214</v>
      </c>
    </row>
    <row r="95" spans="1:60" ht="18" customHeight="1">
      <c r="A95" s="26" t="s">
        <v>802</v>
      </c>
      <c r="B95" s="8" t="s">
        <v>13</v>
      </c>
      <c r="C95" s="140" t="s">
        <v>803</v>
      </c>
      <c r="D95" s="140" t="s">
        <v>804</v>
      </c>
      <c r="E95" t="str">
        <f t="shared" si="44"/>
        <v>Brock Beck</v>
      </c>
      <c r="F95" t="str">
        <f t="shared" si="45"/>
        <v>SS</v>
      </c>
      <c r="G95" s="127" t="s">
        <v>104</v>
      </c>
      <c r="H95" s="4">
        <v>287</v>
      </c>
      <c r="I95" s="102">
        <v>3</v>
      </c>
      <c r="J95" s="99"/>
      <c r="K95" s="99"/>
      <c r="L95" s="99"/>
      <c r="M95" s="99"/>
      <c r="N95" t="s">
        <v>417</v>
      </c>
      <c r="O95" t="s">
        <v>35</v>
      </c>
      <c r="P95">
        <v>25</v>
      </c>
      <c r="Q95" t="s">
        <v>35</v>
      </c>
      <c r="AA95" t="s">
        <v>257</v>
      </c>
      <c r="AB95" s="99">
        <v>3</v>
      </c>
      <c r="AC95">
        <v>287</v>
      </c>
      <c r="AD95">
        <v>3</v>
      </c>
    </row>
    <row r="96" spans="1:60" ht="13">
      <c r="A96" s="12"/>
      <c r="B96" s="7" t="s">
        <v>44</v>
      </c>
      <c r="C96" s="118" t="s">
        <v>968</v>
      </c>
      <c r="D96" s="25" t="s">
        <v>1714</v>
      </c>
      <c r="E96" s="11" t="str">
        <f>IFERROR(TRIM(LEFT(D96,LEN(D96)-4)),"")</f>
        <v>Jack Bauer</v>
      </c>
      <c r="F96" s="11" t="str">
        <f t="shared" si="45"/>
        <v>SP</v>
      </c>
      <c r="G96" s="7" t="s">
        <v>1716</v>
      </c>
      <c r="H96" s="7">
        <v>100</v>
      </c>
      <c r="I96" s="2"/>
      <c r="J96" s="2"/>
      <c r="K96" s="2"/>
      <c r="L96" s="2"/>
      <c r="M96" s="2"/>
      <c r="N96" s="2"/>
      <c r="O96" s="7" t="s">
        <v>19</v>
      </c>
      <c r="P96" s="6"/>
      <c r="Q96" s="7" t="s">
        <v>38</v>
      </c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4" t="s">
        <v>47</v>
      </c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</row>
    <row r="97" spans="1:38" ht="18" customHeight="1">
      <c r="A97" s="94" t="s">
        <v>1127</v>
      </c>
      <c r="B97" s="11" t="s">
        <v>10</v>
      </c>
      <c r="C97" s="95" t="s">
        <v>1128</v>
      </c>
      <c r="D97" s="96" t="s">
        <v>1129</v>
      </c>
      <c r="E97" s="8" t="str">
        <f>TRIM(LEFT(D97,LEN(D97)-4))</f>
        <v>Landon Hope</v>
      </c>
      <c r="F97" s="8" t="str">
        <f t="shared" si="45"/>
        <v>SP</v>
      </c>
      <c r="G97" s="97" t="s">
        <v>109</v>
      </c>
      <c r="H97" s="4">
        <v>160</v>
      </c>
      <c r="I97" s="98">
        <v>0.5</v>
      </c>
      <c r="J97" s="99"/>
      <c r="K97" s="99"/>
      <c r="L97" s="99"/>
      <c r="M97" s="99"/>
      <c r="N97" s="99"/>
      <c r="P97" s="8" t="s">
        <v>70</v>
      </c>
      <c r="Q97" s="8" t="s">
        <v>141</v>
      </c>
      <c r="R97" s="8" t="s">
        <v>70</v>
      </c>
      <c r="X97" s="8">
        <v>2</v>
      </c>
      <c r="Y97" s="8">
        <v>0.5</v>
      </c>
      <c r="Z97" s="8">
        <v>0.5</v>
      </c>
      <c r="AA97" s="8">
        <v>0.5</v>
      </c>
      <c r="AC97" s="98">
        <v>0.5</v>
      </c>
      <c r="AD97" s="8">
        <v>181</v>
      </c>
      <c r="AF97" s="8">
        <v>181</v>
      </c>
      <c r="AG97" s="8">
        <v>181</v>
      </c>
      <c r="AH97" s="8">
        <v>181</v>
      </c>
      <c r="AI97" s="8">
        <v>181</v>
      </c>
    </row>
    <row r="98" spans="1:38" ht="13">
      <c r="A98" s="94" t="s">
        <v>361</v>
      </c>
      <c r="B98" s="8" t="s">
        <v>11</v>
      </c>
      <c r="C98" s="96" t="s">
        <v>362</v>
      </c>
      <c r="D98" s="96" t="s">
        <v>363</v>
      </c>
      <c r="E98" s="8" t="str">
        <f>TRIM(LEFT(D98,LEN(D98)-5))</f>
        <v>Eijun Wozy</v>
      </c>
      <c r="F98" s="8" t="str">
        <f t="shared" si="45"/>
        <v>SP</v>
      </c>
      <c r="G98" s="97" t="s">
        <v>114</v>
      </c>
      <c r="H98" s="4">
        <v>830</v>
      </c>
      <c r="I98" s="98">
        <v>8</v>
      </c>
      <c r="J98" s="99"/>
      <c r="K98" s="99"/>
      <c r="L98" s="99"/>
      <c r="M98" s="99"/>
      <c r="N98" s="99"/>
      <c r="O98" s="8"/>
      <c r="P98" s="8" t="s">
        <v>70</v>
      </c>
      <c r="Q98" s="8">
        <v>8</v>
      </c>
      <c r="R98" s="8" t="s">
        <v>70</v>
      </c>
      <c r="W98" s="8">
        <v>4</v>
      </c>
      <c r="X98" s="8">
        <v>4</v>
      </c>
      <c r="Y98" s="8">
        <v>5</v>
      </c>
      <c r="Z98" s="8">
        <v>6.5</v>
      </c>
      <c r="AA98" s="8">
        <v>464</v>
      </c>
      <c r="AB98" s="8">
        <v>16</v>
      </c>
      <c r="AC98" s="8">
        <v>12</v>
      </c>
      <c r="AD98" s="99">
        <v>6</v>
      </c>
      <c r="AE98" s="8">
        <v>943</v>
      </c>
      <c r="AF98" s="8">
        <v>452</v>
      </c>
      <c r="AG98" s="8">
        <v>418</v>
      </c>
      <c r="AH98">
        <v>346</v>
      </c>
    </row>
    <row r="99" spans="1:38" ht="13">
      <c r="A99" s="94" t="s">
        <v>1293</v>
      </c>
      <c r="B99" s="8" t="s">
        <v>3</v>
      </c>
      <c r="C99" s="140" t="s">
        <v>1296</v>
      </c>
      <c r="D99" s="140" t="s">
        <v>1299</v>
      </c>
      <c r="E99" t="str">
        <f t="shared" ref="E99:E101" si="46">TRIM(LEFT(D99,LEN(D99)-4))</f>
        <v>Buddy McKnight</v>
      </c>
      <c r="F99" t="str">
        <f t="shared" si="45"/>
        <v>SP</v>
      </c>
      <c r="G99" s="127" t="s">
        <v>114</v>
      </c>
      <c r="H99" s="4">
        <v>118</v>
      </c>
      <c r="I99" s="98">
        <v>0.5</v>
      </c>
      <c r="J99" s="99"/>
      <c r="K99" s="99"/>
      <c r="L99" s="99"/>
      <c r="M99" s="99"/>
      <c r="N99" s="99"/>
      <c r="P99" t="s">
        <v>70</v>
      </c>
      <c r="Q99">
        <v>20</v>
      </c>
      <c r="R99" t="s">
        <v>70</v>
      </c>
      <c r="X99">
        <v>3</v>
      </c>
      <c r="Y99">
        <v>0.5</v>
      </c>
      <c r="Z99" s="8">
        <v>0.5</v>
      </c>
      <c r="AA99">
        <v>0.5</v>
      </c>
      <c r="AB99">
        <v>0.5</v>
      </c>
      <c r="AC99" s="99">
        <v>0.5</v>
      </c>
      <c r="AD99" s="8">
        <v>133</v>
      </c>
      <c r="AF99">
        <v>133</v>
      </c>
      <c r="AG99">
        <v>133</v>
      </c>
      <c r="AH99">
        <v>133</v>
      </c>
      <c r="AI99">
        <v>133</v>
      </c>
    </row>
    <row r="100" spans="1:38" ht="12.75" customHeight="1">
      <c r="A100" s="94" t="s">
        <v>1099</v>
      </c>
      <c r="B100" s="8" t="s">
        <v>13</v>
      </c>
      <c r="C100" s="96" t="s">
        <v>1100</v>
      </c>
      <c r="D100" s="96" t="s">
        <v>1101</v>
      </c>
      <c r="E100" t="str">
        <f t="shared" si="46"/>
        <v>Kai-Wei Mai</v>
      </c>
      <c r="F100" s="8" t="str">
        <f t="shared" si="45"/>
        <v>CL</v>
      </c>
      <c r="G100" s="97" t="s">
        <v>55</v>
      </c>
      <c r="H100" s="8">
        <v>169</v>
      </c>
      <c r="I100" s="99">
        <v>0.5</v>
      </c>
      <c r="J100" s="99"/>
      <c r="K100" s="99"/>
      <c r="L100" s="99"/>
      <c r="M100" s="99"/>
      <c r="N100" s="99"/>
      <c r="P100" s="8" t="s">
        <v>78</v>
      </c>
      <c r="Q100" s="8">
        <v>5</v>
      </c>
      <c r="R100" s="8" t="s">
        <v>70</v>
      </c>
      <c r="X100" s="8">
        <v>3</v>
      </c>
      <c r="Y100" s="8">
        <v>3</v>
      </c>
      <c r="Z100" s="8">
        <v>0.5</v>
      </c>
      <c r="AA100" s="8">
        <v>0.5</v>
      </c>
      <c r="AB100">
        <v>0.5</v>
      </c>
      <c r="AC100" s="99">
        <v>0.5</v>
      </c>
      <c r="AD100" s="8">
        <v>192</v>
      </c>
      <c r="AE100">
        <v>0.5</v>
      </c>
      <c r="AF100" s="8">
        <v>192</v>
      </c>
      <c r="AG100" s="8">
        <v>192</v>
      </c>
      <c r="AH100" s="8">
        <v>192</v>
      </c>
      <c r="AI100" s="8">
        <v>192</v>
      </c>
    </row>
    <row r="101" spans="1:38" ht="13">
      <c r="A101" s="94" t="s">
        <v>308</v>
      </c>
      <c r="B101" s="142" t="s">
        <v>5</v>
      </c>
      <c r="C101" s="96" t="s">
        <v>310</v>
      </c>
      <c r="D101" s="96" t="s">
        <v>312</v>
      </c>
      <c r="E101" t="str">
        <f t="shared" si="46"/>
        <v>Ludwig Groetzinger</v>
      </c>
      <c r="F101" s="8" t="s">
        <v>90</v>
      </c>
      <c r="G101" s="97" t="s">
        <v>55</v>
      </c>
      <c r="H101" s="4">
        <v>982</v>
      </c>
      <c r="I101" s="99"/>
      <c r="J101" s="99"/>
      <c r="K101" s="99"/>
      <c r="L101" s="99"/>
      <c r="M101" s="99"/>
      <c r="O101" s="8" t="s">
        <v>33</v>
      </c>
      <c r="P101" s="8">
        <v>13</v>
      </c>
      <c r="Q101" s="8" t="s">
        <v>33</v>
      </c>
      <c r="W101" s="8"/>
      <c r="X101" s="8"/>
      <c r="Y101" s="8">
        <v>4</v>
      </c>
      <c r="Z101" s="8">
        <v>2</v>
      </c>
      <c r="AA101" s="8">
        <v>1.5</v>
      </c>
      <c r="AB101" s="99">
        <v>10.25</v>
      </c>
      <c r="AC101" s="8">
        <v>5</v>
      </c>
      <c r="AD101" s="99">
        <v>6</v>
      </c>
      <c r="AE101" s="8">
        <v>885</v>
      </c>
      <c r="AF101" s="8"/>
      <c r="AG101" s="8"/>
      <c r="AH101" s="8"/>
      <c r="AI101" s="8"/>
    </row>
    <row r="102" spans="1:38" ht="18" customHeight="1">
      <c r="A102" s="94" t="s">
        <v>1093</v>
      </c>
      <c r="B102" s="8" t="s">
        <v>304</v>
      </c>
      <c r="C102" s="140" t="s">
        <v>1094</v>
      </c>
      <c r="D102" s="140" t="s">
        <v>1095</v>
      </c>
      <c r="E102" t="str">
        <f t="shared" ref="E102:E125" si="47">TRIM(LEFT(D102,LEN(D102)-5))</f>
        <v>Dave Cope</v>
      </c>
      <c r="F102" t="str">
        <f t="shared" ref="F102:F126" si="48">TRIM(RIGHT(D102,2))</f>
        <v>3B</v>
      </c>
      <c r="G102" s="127" t="s">
        <v>159</v>
      </c>
      <c r="H102" s="4">
        <v>170</v>
      </c>
      <c r="O102" t="s">
        <v>70</v>
      </c>
      <c r="P102">
        <v>27</v>
      </c>
      <c r="Q102" t="s">
        <v>70</v>
      </c>
      <c r="W102">
        <v>0.5</v>
      </c>
      <c r="AE102" s="4">
        <v>170</v>
      </c>
      <c r="AF102">
        <v>193</v>
      </c>
      <c r="AG102">
        <v>193</v>
      </c>
      <c r="AH102">
        <v>193</v>
      </c>
      <c r="AI102">
        <v>193</v>
      </c>
      <c r="AJ102" s="8" t="str">
        <f>VLOOKUP(B102,Analysis!$A$24:$B$32,2,FALSE)</f>
        <v>:bulldogs:</v>
      </c>
      <c r="AK102" s="8" t="str">
        <f t="shared" ref="AK102:AK103" si="49">AJ102&amp;" [b][url="&amp;A102&amp;"]"&amp;D102&amp;"[/url][/b] TPE: "&amp;H102&amp;", Regression Class: "&amp;Q102</f>
        <v>:bulldogs: [b][url=http://probaseballexperience.jcink.net/index.php?showtopic=219]Dave Cope - 3B[/url][/b] TPE: 170, Regression Class: S1</v>
      </c>
      <c r="AL102" t="str">
        <f t="shared" ref="AL102:AL103" si="50">F102&amp;" - "&amp;E102</f>
        <v>3B - Dave Cope</v>
      </c>
    </row>
    <row r="103" spans="1:38" ht="12.75" customHeight="1">
      <c r="A103" s="94" t="s">
        <v>1103</v>
      </c>
      <c r="B103" s="8" t="s">
        <v>304</v>
      </c>
      <c r="C103" s="140" t="s">
        <v>1104</v>
      </c>
      <c r="D103" s="140" t="s">
        <v>1105</v>
      </c>
      <c r="E103" t="str">
        <f t="shared" si="47"/>
        <v>Dirty Dongs</v>
      </c>
      <c r="F103" t="str">
        <f t="shared" si="48"/>
        <v>RF</v>
      </c>
      <c r="G103" s="127" t="s">
        <v>192</v>
      </c>
      <c r="H103" s="4">
        <v>168</v>
      </c>
      <c r="O103" t="s">
        <v>70</v>
      </c>
      <c r="P103">
        <v>31</v>
      </c>
      <c r="Q103" t="s">
        <v>70</v>
      </c>
      <c r="W103">
        <v>0.5</v>
      </c>
      <c r="AE103" s="4">
        <v>168</v>
      </c>
      <c r="AF103">
        <v>190</v>
      </c>
      <c r="AG103">
        <v>190</v>
      </c>
      <c r="AH103">
        <v>190</v>
      </c>
      <c r="AI103">
        <v>190</v>
      </c>
      <c r="AJ103" s="8" t="str">
        <f>VLOOKUP(B103,Analysis!$A$24:$B$32,2,FALSE)</f>
        <v>:bulldogs:</v>
      </c>
      <c r="AK103" s="8" t="str">
        <f t="shared" si="49"/>
        <v>:bulldogs: [b][url=http://probaseballexperience.jcink.net/index.php?showtopic=98]Dirty Dongs - RF[/url][/b] TPE: 168, Regression Class: S1</v>
      </c>
      <c r="AL103" t="str">
        <f t="shared" si="50"/>
        <v>RF - Dirty Dongs</v>
      </c>
    </row>
    <row r="104" spans="1:38" ht="12.75" customHeight="1">
      <c r="A104" s="94" t="s">
        <v>1145</v>
      </c>
      <c r="B104" s="8" t="s">
        <v>304</v>
      </c>
      <c r="C104" s="96">
        <v>124715</v>
      </c>
      <c r="D104" s="96" t="s">
        <v>1147</v>
      </c>
      <c r="E104" t="str">
        <f t="shared" si="47"/>
        <v>Jack Westin</v>
      </c>
      <c r="F104" t="str">
        <f t="shared" si="48"/>
        <v>1B</v>
      </c>
      <c r="G104" s="97" t="s">
        <v>298</v>
      </c>
      <c r="H104" s="4">
        <v>156</v>
      </c>
      <c r="I104" s="99"/>
      <c r="J104" s="99"/>
      <c r="K104" s="99"/>
      <c r="L104" s="99"/>
      <c r="M104" s="99"/>
      <c r="N104" s="8"/>
      <c r="O104" s="8" t="s">
        <v>70</v>
      </c>
      <c r="P104" s="8">
        <v>24</v>
      </c>
      <c r="Q104" s="8" t="s">
        <v>70</v>
      </c>
      <c r="V104">
        <v>1</v>
      </c>
      <c r="W104" s="8">
        <v>3</v>
      </c>
      <c r="X104" s="8">
        <v>0.5</v>
      </c>
      <c r="Y104" s="8">
        <v>0.5</v>
      </c>
      <c r="Z104" s="8">
        <v>0.5</v>
      </c>
      <c r="AA104">
        <v>0.5</v>
      </c>
      <c r="AB104" s="99">
        <v>0.5</v>
      </c>
      <c r="AC104">
        <v>161</v>
      </c>
      <c r="AD104" s="99"/>
      <c r="AE104" s="4">
        <v>156</v>
      </c>
      <c r="AF104" s="8">
        <v>161</v>
      </c>
      <c r="AG104" s="8">
        <v>161</v>
      </c>
      <c r="AH104" s="8">
        <v>161</v>
      </c>
      <c r="AI104" s="8"/>
    </row>
    <row r="105" spans="1:38" ht="13">
      <c r="A105" s="94" t="s">
        <v>1187</v>
      </c>
      <c r="B105" s="8" t="s">
        <v>304</v>
      </c>
      <c r="C105" s="96" t="s">
        <v>1188</v>
      </c>
      <c r="D105" s="96" t="s">
        <v>1189</v>
      </c>
      <c r="E105" t="str">
        <f t="shared" si="47"/>
        <v>Kazuya Miyuk</v>
      </c>
      <c r="F105" t="str">
        <f t="shared" si="48"/>
        <v>C</v>
      </c>
      <c r="G105" s="97" t="s">
        <v>46</v>
      </c>
      <c r="H105" s="8">
        <v>139</v>
      </c>
      <c r="N105" s="8"/>
      <c r="O105" s="8" t="s">
        <v>126</v>
      </c>
      <c r="P105" s="8">
        <v>17</v>
      </c>
      <c r="Q105" s="8" t="s">
        <v>78</v>
      </c>
      <c r="V105">
        <v>1.5</v>
      </c>
      <c r="W105" s="8">
        <v>1.5</v>
      </c>
      <c r="X105" s="8">
        <v>1.5</v>
      </c>
      <c r="Y105" s="8">
        <v>0.5</v>
      </c>
      <c r="Z105" s="8">
        <v>0.5</v>
      </c>
      <c r="AA105">
        <v>0.5</v>
      </c>
      <c r="AB105">
        <v>139</v>
      </c>
      <c r="AE105" s="8">
        <v>139</v>
      </c>
      <c r="AF105" s="8">
        <v>139</v>
      </c>
      <c r="AG105" s="8">
        <v>139</v>
      </c>
      <c r="AH105" s="8">
        <v>139</v>
      </c>
      <c r="AI105" s="8"/>
      <c r="AJ105" s="8" t="str">
        <f>VLOOKUP(B105,Analysis!$A$24:$B$32,2,FALSE)</f>
        <v>:bulldogs:</v>
      </c>
      <c r="AK105" s="8" t="str">
        <f t="shared" ref="AK105:AK106" si="51">AJ105&amp;" [b][url="&amp;A105&amp;"]"&amp;D105&amp;"[/url][/b] TPE: "&amp;H105&amp;", Regression Class: "&amp;Q105</f>
        <v>:bulldogs: [b][url=http://probaseballexperience.jcink.net/index.php?showtopic=1477]Kazuya Miyuki - C[/url][/b] TPE: 139, Regression Class: S2</v>
      </c>
    </row>
    <row r="106" spans="1:38" ht="13">
      <c r="A106" s="94" t="s">
        <v>1228</v>
      </c>
      <c r="B106" s="8" t="s">
        <v>304</v>
      </c>
      <c r="C106" s="96" t="s">
        <v>1230</v>
      </c>
      <c r="D106" s="96" t="s">
        <v>1231</v>
      </c>
      <c r="E106" t="str">
        <f t="shared" si="47"/>
        <v>Ben O'Lear</v>
      </c>
      <c r="F106" t="str">
        <f t="shared" si="48"/>
        <v>C</v>
      </c>
      <c r="G106" s="97" t="s">
        <v>132</v>
      </c>
      <c r="H106" s="8">
        <v>129</v>
      </c>
      <c r="I106" s="8"/>
      <c r="J106" s="8"/>
      <c r="N106" s="8"/>
      <c r="O106" s="8" t="s">
        <v>78</v>
      </c>
      <c r="P106" s="8">
        <v>26</v>
      </c>
      <c r="Q106" s="8" t="s">
        <v>78</v>
      </c>
      <c r="R106" s="8"/>
      <c r="S106" s="8"/>
      <c r="T106" s="8"/>
      <c r="W106" s="8">
        <v>1</v>
      </c>
      <c r="X106" s="8">
        <v>1</v>
      </c>
      <c r="Y106" s="8">
        <v>1</v>
      </c>
      <c r="Z106" s="8">
        <v>0.5</v>
      </c>
      <c r="AA106" s="8"/>
      <c r="AB106" s="8"/>
      <c r="AC106" s="8"/>
      <c r="AD106" s="8"/>
      <c r="AE106" s="8">
        <v>129</v>
      </c>
      <c r="AF106" s="8">
        <v>129</v>
      </c>
      <c r="AG106" s="8">
        <v>129</v>
      </c>
      <c r="AH106" s="8">
        <v>129</v>
      </c>
      <c r="AI106" s="8">
        <v>129</v>
      </c>
      <c r="AJ106" s="8" t="str">
        <f>VLOOKUP(B106,Analysis!$A$24:$B$32,2,FALSE)</f>
        <v>:bulldogs:</v>
      </c>
      <c r="AK106" s="8" t="str">
        <f t="shared" si="51"/>
        <v>:bulldogs: [b][url=http://probaseballexperience.jcink.net/index.php?showtopic=1377]Ben O'Leary - C[/url][/b] TPE: 129, Regression Class: S2</v>
      </c>
    </row>
    <row r="107" spans="1:38" ht="13">
      <c r="A107" s="94" t="s">
        <v>1308</v>
      </c>
      <c r="B107" s="8" t="s">
        <v>304</v>
      </c>
      <c r="C107" s="140" t="s">
        <v>1311</v>
      </c>
      <c r="D107" s="140" t="s">
        <v>1313</v>
      </c>
      <c r="E107" t="str">
        <f t="shared" si="47"/>
        <v>Brandon Adams</v>
      </c>
      <c r="F107" t="str">
        <f t="shared" si="48"/>
        <v>SP</v>
      </c>
      <c r="G107" s="127" t="s">
        <v>114</v>
      </c>
      <c r="H107" s="8">
        <v>114</v>
      </c>
      <c r="I107" s="99"/>
      <c r="J107" s="99"/>
      <c r="K107" s="99"/>
      <c r="L107" s="99"/>
      <c r="M107" s="99"/>
      <c r="O107" t="s">
        <v>78</v>
      </c>
      <c r="P107">
        <v>35</v>
      </c>
      <c r="Q107" t="s">
        <v>78</v>
      </c>
      <c r="W107">
        <v>1</v>
      </c>
      <c r="X107">
        <v>1</v>
      </c>
      <c r="Y107" s="8">
        <v>0.5</v>
      </c>
      <c r="Z107">
        <v>0.5</v>
      </c>
      <c r="AB107" s="99">
        <v>0.5</v>
      </c>
      <c r="AD107" s="98">
        <v>0.5</v>
      </c>
      <c r="AE107" s="8">
        <v>114</v>
      </c>
      <c r="AF107">
        <v>114</v>
      </c>
      <c r="AG107">
        <v>114</v>
      </c>
      <c r="AH107">
        <v>114</v>
      </c>
      <c r="AI107">
        <v>114</v>
      </c>
    </row>
    <row r="108" spans="1:38" ht="13">
      <c r="A108" s="94" t="s">
        <v>1356</v>
      </c>
      <c r="B108" s="8" t="s">
        <v>304</v>
      </c>
      <c r="C108" s="140" t="s">
        <v>1358</v>
      </c>
      <c r="D108" s="140" t="s">
        <v>1360</v>
      </c>
      <c r="E108" t="str">
        <f t="shared" si="47"/>
        <v>Ulysses Covfefe</v>
      </c>
      <c r="F108" t="str">
        <f t="shared" si="48"/>
        <v>CF</v>
      </c>
      <c r="G108" s="127" t="s">
        <v>1363</v>
      </c>
      <c r="H108" s="8">
        <v>112</v>
      </c>
      <c r="O108" t="s">
        <v>78</v>
      </c>
      <c r="P108">
        <v>37</v>
      </c>
      <c r="Q108" t="s">
        <v>78</v>
      </c>
      <c r="W108">
        <v>0.6</v>
      </c>
      <c r="X108">
        <v>0.6</v>
      </c>
      <c r="AE108" s="8">
        <v>112</v>
      </c>
      <c r="AF108">
        <v>113</v>
      </c>
      <c r="AG108">
        <v>113</v>
      </c>
      <c r="AH108">
        <v>113</v>
      </c>
      <c r="AI108">
        <v>113</v>
      </c>
      <c r="AJ108" s="8" t="str">
        <f>VLOOKUP(B108,Analysis!$A$24:$B$32,2,FALSE)</f>
        <v>:bulldogs:</v>
      </c>
      <c r="AK108" s="8" t="str">
        <f t="shared" ref="AK108:AK125" si="52">AJ108&amp;" [b][url="&amp;A108&amp;"]"&amp;D108&amp;"[/url][/b] TPE: "&amp;H108&amp;", Regression Class: "&amp;Q108</f>
        <v>:bulldogs: [b][url=http://probaseballexperience.jcink.net/index.php?showtopic=1147]Ulysses Covfefe - CF[/url][/b] TPE: 112, Regression Class: S2</v>
      </c>
      <c r="AL108" t="str">
        <f>F108&amp;" - "&amp;E108</f>
        <v>CF - Ulysses Covfefe</v>
      </c>
    </row>
    <row r="109" spans="1:38" ht="13">
      <c r="A109" s="94" t="s">
        <v>1393</v>
      </c>
      <c r="B109" s="8" t="s">
        <v>304</v>
      </c>
      <c r="C109" s="96" t="s">
        <v>1396</v>
      </c>
      <c r="D109" s="96" t="s">
        <v>1398</v>
      </c>
      <c r="E109" t="str">
        <f t="shared" si="47"/>
        <v>Addison Steinbach</v>
      </c>
      <c r="F109" t="str">
        <f t="shared" si="48"/>
        <v>SP</v>
      </c>
      <c r="G109" s="97" t="s">
        <v>55</v>
      </c>
      <c r="H109" s="8">
        <v>111</v>
      </c>
      <c r="N109" s="8"/>
      <c r="O109" s="8" t="s">
        <v>78</v>
      </c>
      <c r="P109" s="8">
        <v>30</v>
      </c>
      <c r="Q109" s="8" t="s">
        <v>78</v>
      </c>
      <c r="R109" s="8"/>
      <c r="S109" s="8"/>
      <c r="T109" s="8"/>
      <c r="W109" s="8">
        <v>4</v>
      </c>
      <c r="X109" s="8">
        <v>4</v>
      </c>
      <c r="Y109" s="8">
        <v>0.5</v>
      </c>
      <c r="AE109" s="8">
        <v>111</v>
      </c>
      <c r="AF109" s="8">
        <v>111</v>
      </c>
      <c r="AG109" s="8">
        <v>111</v>
      </c>
      <c r="AH109" s="8">
        <v>111</v>
      </c>
      <c r="AI109" s="8">
        <v>111</v>
      </c>
      <c r="AJ109" s="8" t="str">
        <f>VLOOKUP(B109,Analysis!$A$24:$B$32,2,FALSE)</f>
        <v>:bulldogs:</v>
      </c>
      <c r="AK109" s="8" t="str">
        <f t="shared" si="52"/>
        <v>:bulldogs: [b][url=http://probaseballexperience.jcink.net/index.php?showtopic=1062]Addison Steinbach - SP[/url][/b] TPE: 111, Regression Class: S2</v>
      </c>
    </row>
    <row r="110" spans="1:38" ht="13">
      <c r="A110" s="94" t="s">
        <v>1547</v>
      </c>
      <c r="B110" s="8" t="s">
        <v>304</v>
      </c>
      <c r="C110" s="96" t="s">
        <v>1550</v>
      </c>
      <c r="D110" s="96" t="s">
        <v>1552</v>
      </c>
      <c r="E110" t="str">
        <f t="shared" si="47"/>
        <v>Harvey Bones</v>
      </c>
      <c r="F110" t="str">
        <f t="shared" si="48"/>
        <v>SP</v>
      </c>
      <c r="G110" s="97" t="s">
        <v>55</v>
      </c>
      <c r="H110" s="8">
        <v>103</v>
      </c>
      <c r="N110" s="8" t="s">
        <v>1174</v>
      </c>
      <c r="O110" s="8" t="s">
        <v>78</v>
      </c>
      <c r="P110" s="8">
        <v>8</v>
      </c>
      <c r="Q110" s="8" t="s">
        <v>78</v>
      </c>
      <c r="R110" s="8"/>
      <c r="S110" s="8"/>
      <c r="T110" s="8"/>
      <c r="W110" s="8">
        <v>3</v>
      </c>
      <c r="X110" s="8">
        <v>3</v>
      </c>
      <c r="Y110" s="8">
        <v>0.5</v>
      </c>
      <c r="Z110" s="8">
        <v>0.25</v>
      </c>
      <c r="AE110" s="8">
        <v>103</v>
      </c>
      <c r="AF110" s="8">
        <v>103</v>
      </c>
      <c r="AG110" s="8">
        <v>103</v>
      </c>
      <c r="AH110" s="8">
        <v>103</v>
      </c>
      <c r="AI110" s="8">
        <v>103</v>
      </c>
      <c r="AJ110" s="8" t="str">
        <f>VLOOKUP(B110,Analysis!$A$24:$B$32,2,FALSE)</f>
        <v>:bulldogs:</v>
      </c>
      <c r="AK110" s="8" t="str">
        <f t="shared" si="52"/>
        <v>:bulldogs: [b][url=http://probaseballexperience.jcink.net/index.php?showtopic=1032]Harvey Bones - SP[/url][/b] TPE: 103, Regression Class: S2</v>
      </c>
    </row>
    <row r="111" spans="1:38" ht="13">
      <c r="A111" s="94" t="s">
        <v>1418</v>
      </c>
      <c r="B111" s="8" t="s">
        <v>304</v>
      </c>
      <c r="C111" s="96" t="s">
        <v>1419</v>
      </c>
      <c r="D111" s="96" t="s">
        <v>1421</v>
      </c>
      <c r="E111" t="str">
        <f t="shared" si="47"/>
        <v>Peter R Kotsay</v>
      </c>
      <c r="F111" t="str">
        <f t="shared" si="48"/>
        <v>CL</v>
      </c>
      <c r="G111" s="97" t="s">
        <v>820</v>
      </c>
      <c r="H111" s="8">
        <v>100</v>
      </c>
      <c r="O111" s="8" t="s">
        <v>78</v>
      </c>
      <c r="P111" s="8" t="s">
        <v>1232</v>
      </c>
      <c r="Q111" s="8" t="s">
        <v>78</v>
      </c>
      <c r="R111" s="8"/>
      <c r="S111" s="8"/>
      <c r="T111" s="8"/>
      <c r="U111" s="8"/>
      <c r="V111" s="8" t="s">
        <v>1036</v>
      </c>
      <c r="AE111" s="8">
        <v>100</v>
      </c>
      <c r="AF111" s="8"/>
      <c r="AG111" s="8"/>
      <c r="AH111" s="8">
        <v>100</v>
      </c>
      <c r="AI111" s="8">
        <v>100</v>
      </c>
      <c r="AJ111" s="8" t="str">
        <f>VLOOKUP(B111,Analysis!$A$24:$B$32,2,FALSE)</f>
        <v>:bulldogs:</v>
      </c>
      <c r="AK111" s="8" t="str">
        <f t="shared" si="52"/>
        <v>:bulldogs: [b][url=http://probaseballexperience.jcink.net/index.php?showtopic=1070]Peter R Kotsay - CL[/url][/b] TPE: 100, Regression Class: S2</v>
      </c>
      <c r="AL111" t="str">
        <f t="shared" ref="AL111:AL124" si="53">F111&amp;" - "&amp;E111</f>
        <v>CL - Peter R Kotsay</v>
      </c>
    </row>
    <row r="112" spans="1:38" ht="13">
      <c r="A112" s="94" t="s">
        <v>1731</v>
      </c>
      <c r="B112" s="8" t="s">
        <v>304</v>
      </c>
      <c r="C112" s="140" t="s">
        <v>1732</v>
      </c>
      <c r="D112" s="140" t="s">
        <v>1733</v>
      </c>
      <c r="E112" t="str">
        <f t="shared" si="47"/>
        <v>Rex Pennebaker</v>
      </c>
      <c r="F112" t="str">
        <f t="shared" si="48"/>
        <v>2B</v>
      </c>
      <c r="G112" s="97" t="s">
        <v>104</v>
      </c>
      <c r="H112" s="8">
        <v>100</v>
      </c>
      <c r="O112" t="s">
        <v>78</v>
      </c>
      <c r="P112">
        <v>41</v>
      </c>
      <c r="Q112" t="s">
        <v>78</v>
      </c>
      <c r="W112">
        <v>0.5</v>
      </c>
      <c r="AE112" s="8">
        <v>100</v>
      </c>
      <c r="AG112">
        <v>100</v>
      </c>
      <c r="AH112">
        <v>100</v>
      </c>
      <c r="AJ112" s="8" t="str">
        <f>VLOOKUP(B112,Analysis!$A$24:$B$32,2,FALSE)</f>
        <v>:bulldogs:</v>
      </c>
      <c r="AK112" s="8" t="str">
        <f t="shared" si="52"/>
        <v>:bulldogs: [b][url=http://probaseballexperience.jcink.net/index.php?showtopic=1093]Rex Pennebaker - 2B[/url][/b] TPE: 100, Regression Class: S2</v>
      </c>
      <c r="AL112" t="str">
        <f t="shared" si="53"/>
        <v>2B - Rex Pennebaker</v>
      </c>
    </row>
    <row r="113" spans="1:38" ht="13">
      <c r="A113" s="94" t="s">
        <v>1737</v>
      </c>
      <c r="B113" s="8" t="s">
        <v>304</v>
      </c>
      <c r="C113" s="96" t="s">
        <v>1738</v>
      </c>
      <c r="D113" s="96" t="s">
        <v>1739</v>
      </c>
      <c r="E113" t="str">
        <f t="shared" si="47"/>
        <v>Sam Sinister</v>
      </c>
      <c r="F113" t="str">
        <f t="shared" si="48"/>
        <v>SS</v>
      </c>
      <c r="G113" s="97" t="s">
        <v>159</v>
      </c>
      <c r="H113" s="8">
        <v>100</v>
      </c>
      <c r="O113" s="8" t="s">
        <v>78</v>
      </c>
      <c r="P113" s="8">
        <v>29</v>
      </c>
      <c r="Q113" s="8" t="s">
        <v>78</v>
      </c>
      <c r="R113" s="8"/>
      <c r="S113" s="8"/>
      <c r="T113" s="8"/>
      <c r="W113" s="8">
        <v>2</v>
      </c>
      <c r="X113" s="8"/>
      <c r="AE113" s="8">
        <v>100</v>
      </c>
      <c r="AF113" s="8"/>
      <c r="AG113" s="8">
        <v>100</v>
      </c>
      <c r="AH113" s="8">
        <v>100</v>
      </c>
      <c r="AJ113" s="8" t="str">
        <f>VLOOKUP(B113,Analysis!$A$24:$B$32,2,FALSE)</f>
        <v>:bulldogs:</v>
      </c>
      <c r="AK113" s="8" t="str">
        <f t="shared" si="52"/>
        <v>:bulldogs: [b][url=http://probaseballexperience.jcink.net/index.php?showtopic=1097]Sam Sinister - SS[/url][/b] TPE: 100, Regression Class: S2</v>
      </c>
      <c r="AL113" t="str">
        <f t="shared" si="53"/>
        <v>SS - Sam Sinister</v>
      </c>
    </row>
    <row r="114" spans="1:38" ht="13">
      <c r="A114" s="94" t="s">
        <v>1743</v>
      </c>
      <c r="B114" s="8" t="s">
        <v>304</v>
      </c>
      <c r="C114" s="140" t="s">
        <v>1744</v>
      </c>
      <c r="D114" s="140" t="s">
        <v>1745</v>
      </c>
      <c r="E114" t="str">
        <f t="shared" si="47"/>
        <v>Kruton Bazko</v>
      </c>
      <c r="F114" t="str">
        <f t="shared" si="48"/>
        <v>CL</v>
      </c>
      <c r="G114" s="97" t="s">
        <v>55</v>
      </c>
      <c r="H114" s="8">
        <v>100</v>
      </c>
      <c r="O114" t="s">
        <v>78</v>
      </c>
      <c r="P114">
        <v>18</v>
      </c>
      <c r="Q114" t="s">
        <v>78</v>
      </c>
      <c r="W114">
        <v>0.5</v>
      </c>
      <c r="AE114" s="8">
        <v>100</v>
      </c>
      <c r="AG114">
        <v>100</v>
      </c>
      <c r="AH114">
        <v>100</v>
      </c>
      <c r="AJ114" s="8" t="str">
        <f>VLOOKUP(B114,Analysis!$A$24:$B$32,2,FALSE)</f>
        <v>:bulldogs:</v>
      </c>
      <c r="AK114" s="8" t="str">
        <f t="shared" si="52"/>
        <v>:bulldogs: [b][url=http://probaseballexperience.jcink.net/index.php?showtopic=1148]Kruton Bazko - CL[/url][/b] TPE: 100, Regression Class: S2</v>
      </c>
      <c r="AL114" t="str">
        <f t="shared" si="53"/>
        <v>CL - Kruton Bazko</v>
      </c>
    </row>
    <row r="115" spans="1:38" ht="13">
      <c r="A115" s="94" t="s">
        <v>1749</v>
      </c>
      <c r="B115" s="8" t="s">
        <v>304</v>
      </c>
      <c r="C115" s="96" t="s">
        <v>1750</v>
      </c>
      <c r="D115" s="96" t="s">
        <v>1751</v>
      </c>
      <c r="E115" t="str">
        <f t="shared" si="47"/>
        <v>John Luther</v>
      </c>
      <c r="F115" t="str">
        <f t="shared" si="48"/>
        <v>CL</v>
      </c>
      <c r="G115" s="97" t="s">
        <v>55</v>
      </c>
      <c r="H115" s="8">
        <v>100</v>
      </c>
      <c r="N115" s="8"/>
      <c r="O115" s="8" t="s">
        <v>78</v>
      </c>
      <c r="P115" s="8">
        <v>44</v>
      </c>
      <c r="Q115" s="8" t="s">
        <v>78</v>
      </c>
      <c r="R115" s="8"/>
      <c r="S115" s="8"/>
      <c r="T115" s="8"/>
      <c r="W115" s="8">
        <v>0.5</v>
      </c>
      <c r="X115" s="8"/>
      <c r="AE115" s="8">
        <v>100</v>
      </c>
      <c r="AF115" s="8">
        <v>100</v>
      </c>
      <c r="AG115" s="8">
        <v>100</v>
      </c>
      <c r="AH115" s="8">
        <v>100</v>
      </c>
      <c r="AI115" s="8">
        <v>100</v>
      </c>
      <c r="AJ115" s="8" t="str">
        <f>VLOOKUP(B115,Analysis!$A$24:$B$32,2,FALSE)</f>
        <v>:bulldogs:</v>
      </c>
      <c r="AK115" s="8" t="str">
        <f t="shared" si="52"/>
        <v>:bulldogs: [b][url=http://probaseballexperience.jcink.net/index.php?showtopic=1048]John Luther - CL[/url][/b] TPE: 100, Regression Class: S2</v>
      </c>
      <c r="AL115" t="str">
        <f t="shared" si="53"/>
        <v>CL - John Luther</v>
      </c>
    </row>
    <row r="116" spans="1:38" ht="13">
      <c r="A116" s="94" t="s">
        <v>1755</v>
      </c>
      <c r="B116" s="8" t="s">
        <v>304</v>
      </c>
      <c r="C116" s="96" t="s">
        <v>1756</v>
      </c>
      <c r="D116" s="96" t="s">
        <v>1757</v>
      </c>
      <c r="E116" t="str">
        <f t="shared" si="47"/>
        <v>Bouf LeBeef</v>
      </c>
      <c r="F116" t="str">
        <f t="shared" si="48"/>
        <v>CL</v>
      </c>
      <c r="G116" s="97" t="s">
        <v>55</v>
      </c>
      <c r="H116" s="8">
        <v>100</v>
      </c>
      <c r="O116" s="8" t="s">
        <v>78</v>
      </c>
      <c r="P116" s="8">
        <v>39</v>
      </c>
      <c r="Q116" s="8" t="s">
        <v>78</v>
      </c>
      <c r="R116" s="8"/>
      <c r="S116" s="8"/>
      <c r="T116" s="8"/>
      <c r="W116" s="8">
        <v>0.5</v>
      </c>
      <c r="X116" s="8"/>
      <c r="AE116" s="8">
        <v>100</v>
      </c>
      <c r="AF116" s="8">
        <v>100</v>
      </c>
      <c r="AG116" s="8">
        <v>100</v>
      </c>
      <c r="AH116" s="8">
        <v>100</v>
      </c>
      <c r="AI116" s="8">
        <v>100</v>
      </c>
      <c r="AJ116" s="8" t="str">
        <f>VLOOKUP(B116,Analysis!$A$24:$B$32,2,FALSE)</f>
        <v>:bulldogs:</v>
      </c>
      <c r="AK116" s="8" t="str">
        <f t="shared" si="52"/>
        <v>:bulldogs: [b][url=http://probaseballexperience.jcink.net/index.php?showtopic=1104]Bouf LeBeef - CL[/url][/b] TPE: 100, Regression Class: S2</v>
      </c>
      <c r="AL116" t="str">
        <f t="shared" si="53"/>
        <v>CL - Bouf LeBeef</v>
      </c>
    </row>
    <row r="117" spans="1:38" ht="13">
      <c r="A117" s="94" t="s">
        <v>1761</v>
      </c>
      <c r="B117" s="8" t="s">
        <v>304</v>
      </c>
      <c r="C117" s="140" t="s">
        <v>1762</v>
      </c>
      <c r="D117" s="140" t="s">
        <v>1763</v>
      </c>
      <c r="E117" t="str">
        <f t="shared" si="47"/>
        <v>Hans Herjólfur</v>
      </c>
      <c r="F117" t="str">
        <f t="shared" si="48"/>
        <v>CL</v>
      </c>
      <c r="G117" s="127" t="s">
        <v>109</v>
      </c>
      <c r="H117" s="8">
        <v>100</v>
      </c>
      <c r="O117" t="s">
        <v>126</v>
      </c>
      <c r="P117">
        <v>21</v>
      </c>
      <c r="Q117" t="s">
        <v>78</v>
      </c>
      <c r="V117" t="s">
        <v>1036</v>
      </c>
      <c r="X117">
        <v>0.5</v>
      </c>
      <c r="AE117" s="8">
        <v>100</v>
      </c>
      <c r="AF117">
        <v>100</v>
      </c>
      <c r="AG117" t="e">
        <f>$H117-#REF!</f>
        <v>#REF!</v>
      </c>
      <c r="AH117">
        <v>100</v>
      </c>
      <c r="AI117">
        <v>100</v>
      </c>
      <c r="AJ117" s="8" t="str">
        <f>VLOOKUP(B117,Analysis!$A$24:$B$32,2,FALSE)</f>
        <v>:bulldogs:</v>
      </c>
      <c r="AK117" s="8" t="str">
        <f t="shared" si="52"/>
        <v>:bulldogs: [b][url=http://probaseballexperience.jcink.net/index.php?showtopic=1076]Hans Herjólfur - CL[/url][/b] TPE: 100, Regression Class: S2</v>
      </c>
      <c r="AL117" t="str">
        <f t="shared" si="53"/>
        <v>CL - Hans Herjólfur</v>
      </c>
    </row>
    <row r="118" spans="1:38" ht="13">
      <c r="A118" s="94" t="s">
        <v>1767</v>
      </c>
      <c r="B118" s="8" t="s">
        <v>304</v>
      </c>
      <c r="C118" s="140" t="s">
        <v>1768</v>
      </c>
      <c r="D118" s="140" t="s">
        <v>1769</v>
      </c>
      <c r="E118" t="str">
        <f t="shared" si="47"/>
        <v>Mike Paolin</v>
      </c>
      <c r="F118" t="str">
        <f t="shared" si="48"/>
        <v>C</v>
      </c>
      <c r="G118" s="127" t="s">
        <v>132</v>
      </c>
      <c r="H118" s="8">
        <v>100</v>
      </c>
      <c r="O118" t="s">
        <v>78</v>
      </c>
      <c r="P118">
        <v>26</v>
      </c>
      <c r="Q118" t="s">
        <v>78</v>
      </c>
      <c r="W118">
        <v>2</v>
      </c>
      <c r="X118">
        <v>1</v>
      </c>
      <c r="AE118" s="8">
        <v>100</v>
      </c>
      <c r="AF118">
        <v>100</v>
      </c>
      <c r="AG118">
        <v>100</v>
      </c>
      <c r="AH118">
        <v>100</v>
      </c>
      <c r="AI118">
        <v>100</v>
      </c>
      <c r="AJ118" s="8" t="str">
        <f>VLOOKUP(B118,Analysis!$A$24:$B$32,2,FALSE)</f>
        <v>:bulldogs:</v>
      </c>
      <c r="AK118" s="8" t="str">
        <f t="shared" si="52"/>
        <v>:bulldogs: [b][url=http://probaseballexperience.jcink.net/index.php?showtopic=1064]Mike Paolino - C[/url][/b] TPE: 100, Regression Class: S2</v>
      </c>
      <c r="AL118" t="str">
        <f t="shared" si="53"/>
        <v>C - Mike Paolin</v>
      </c>
    </row>
    <row r="119" spans="1:38" ht="13">
      <c r="A119" s="94" t="s">
        <v>1409</v>
      </c>
      <c r="B119" s="8" t="s">
        <v>304</v>
      </c>
      <c r="C119" s="96" t="s">
        <v>1411</v>
      </c>
      <c r="D119" s="96" t="s">
        <v>1413</v>
      </c>
      <c r="E119" t="str">
        <f t="shared" si="47"/>
        <v>Gray Goose McGillicuddy</v>
      </c>
      <c r="F119" t="str">
        <f t="shared" si="48"/>
        <v>CL</v>
      </c>
      <c r="G119" s="97"/>
      <c r="H119" s="8">
        <v>100</v>
      </c>
      <c r="O119" s="8" t="s">
        <v>126</v>
      </c>
      <c r="P119" s="8">
        <v>24</v>
      </c>
      <c r="Q119" s="8" t="s">
        <v>78</v>
      </c>
      <c r="R119" s="8"/>
      <c r="S119" s="8"/>
      <c r="T119" s="8"/>
      <c r="U119" s="8"/>
      <c r="V119" s="8" t="s">
        <v>1036</v>
      </c>
      <c r="AE119" s="8">
        <v>100</v>
      </c>
      <c r="AF119" s="8"/>
      <c r="AG119" s="8"/>
      <c r="AH119" s="8">
        <v>100</v>
      </c>
      <c r="AI119" s="8">
        <v>100</v>
      </c>
      <c r="AJ119" s="8" t="str">
        <f>VLOOKUP(B119,Analysis!$A$24:$B$32,2,FALSE)</f>
        <v>:bulldogs:</v>
      </c>
      <c r="AK119" s="8" t="str">
        <f t="shared" si="52"/>
        <v>:bulldogs: [b][url=http://probaseballexperience.jcink.net/index.php?showtopic=1426]Gray Goose McGillicuddy - CL[/url][/b] TPE: 100, Regression Class: S2</v>
      </c>
      <c r="AL119" t="str">
        <f t="shared" si="53"/>
        <v>CL - Gray Goose McGillicuddy</v>
      </c>
    </row>
    <row r="120" spans="1:38" ht="13">
      <c r="A120" s="94" t="s">
        <v>1776</v>
      </c>
      <c r="B120" s="8" t="s">
        <v>304</v>
      </c>
      <c r="C120" s="96" t="s">
        <v>1777</v>
      </c>
      <c r="D120" s="96" t="s">
        <v>1778</v>
      </c>
      <c r="E120" t="str">
        <f t="shared" si="47"/>
        <v>Evan Becke</v>
      </c>
      <c r="F120" t="str">
        <f t="shared" si="48"/>
        <v>1B</v>
      </c>
      <c r="G120" s="97"/>
      <c r="H120" s="8">
        <v>100</v>
      </c>
      <c r="O120" s="8" t="s">
        <v>78</v>
      </c>
      <c r="P120" s="8" t="s">
        <v>1232</v>
      </c>
      <c r="Q120" s="8" t="s">
        <v>78</v>
      </c>
      <c r="R120" s="8"/>
      <c r="S120" s="8"/>
      <c r="T120" s="8"/>
      <c r="U120" s="8"/>
      <c r="V120" s="8" t="s">
        <v>1036</v>
      </c>
      <c r="AE120" s="8">
        <v>100</v>
      </c>
      <c r="AF120" s="8"/>
      <c r="AG120" s="8"/>
      <c r="AH120" s="8">
        <v>100</v>
      </c>
      <c r="AI120" s="8">
        <v>100</v>
      </c>
      <c r="AJ120" s="8" t="str">
        <f>VLOOKUP(B120,Analysis!$A$24:$B$32,2,FALSE)</f>
        <v>:bulldogs:</v>
      </c>
      <c r="AK120" s="8" t="str">
        <f t="shared" si="52"/>
        <v>:bulldogs: [b][url=http://probaseballexperience.jcink.net/index.php?showtopic=1082]Evan Beckett 1B[/url][/b] TPE: 100, Regression Class: S2</v>
      </c>
      <c r="AL120" t="str">
        <f t="shared" si="53"/>
        <v>1B - Evan Becke</v>
      </c>
    </row>
    <row r="121" spans="1:38" ht="13">
      <c r="A121" s="94" t="s">
        <v>1782</v>
      </c>
      <c r="B121" s="8" t="s">
        <v>304</v>
      </c>
      <c r="C121" s="96" t="s">
        <v>1783</v>
      </c>
      <c r="D121" s="96" t="s">
        <v>1784</v>
      </c>
      <c r="E121" t="str">
        <f t="shared" si="47"/>
        <v>Badr Ajlouni</v>
      </c>
      <c r="F121" t="str">
        <f t="shared" si="48"/>
        <v>CF</v>
      </c>
      <c r="G121" s="97"/>
      <c r="H121" s="8">
        <v>100</v>
      </c>
      <c r="O121" s="8" t="s">
        <v>126</v>
      </c>
      <c r="P121" s="8">
        <v>29</v>
      </c>
      <c r="Q121" s="8" t="s">
        <v>78</v>
      </c>
      <c r="R121" s="8"/>
      <c r="S121" s="8"/>
      <c r="T121" s="8"/>
      <c r="U121" s="8"/>
      <c r="V121" s="8" t="s">
        <v>1036</v>
      </c>
      <c r="AE121" s="8">
        <v>100</v>
      </c>
      <c r="AF121" s="8"/>
      <c r="AG121" s="8"/>
      <c r="AH121" s="8">
        <v>100</v>
      </c>
      <c r="AI121" s="8">
        <v>100</v>
      </c>
      <c r="AJ121" s="8" t="str">
        <f>VLOOKUP(B121,Analysis!$A$24:$B$32,2,FALSE)</f>
        <v>:bulldogs:</v>
      </c>
      <c r="AK121" s="8" t="str">
        <f t="shared" si="52"/>
        <v>:bulldogs: [b][url=http://probaseballexperience.jcink.net/index.php?showtopic=1541]Badr Ajlouni - CF[/url][/b] TPE: 100, Regression Class: S2</v>
      </c>
      <c r="AL121" t="str">
        <f t="shared" si="53"/>
        <v>CF - Badr Ajlouni</v>
      </c>
    </row>
    <row r="122" spans="1:38" ht="13">
      <c r="A122" s="94" t="s">
        <v>1788</v>
      </c>
      <c r="B122" s="8" t="s">
        <v>304</v>
      </c>
      <c r="C122" s="96" t="s">
        <v>1789</v>
      </c>
      <c r="D122" s="96" t="s">
        <v>1790</v>
      </c>
      <c r="E122" t="str">
        <f t="shared" si="47"/>
        <v>Austin Schwar</v>
      </c>
      <c r="F122" t="str">
        <f t="shared" si="48"/>
        <v>SP</v>
      </c>
      <c r="G122" s="97"/>
      <c r="H122" s="8">
        <v>100</v>
      </c>
      <c r="O122" s="8" t="s">
        <v>78</v>
      </c>
      <c r="P122" s="8" t="s">
        <v>1232</v>
      </c>
      <c r="Q122" s="8" t="s">
        <v>78</v>
      </c>
      <c r="R122" s="8"/>
      <c r="S122" s="8"/>
      <c r="T122" s="8"/>
      <c r="U122" s="8"/>
      <c r="V122" s="8" t="s">
        <v>1036</v>
      </c>
      <c r="AE122" s="8">
        <v>100</v>
      </c>
      <c r="AF122" s="8"/>
      <c r="AG122" s="8"/>
      <c r="AH122" s="8">
        <v>100</v>
      </c>
      <c r="AI122" s="8">
        <v>100</v>
      </c>
      <c r="AJ122" s="8" t="str">
        <f>VLOOKUP(B122,Analysis!$A$24:$B$32,2,FALSE)</f>
        <v>:bulldogs:</v>
      </c>
      <c r="AK122" s="8" t="str">
        <f t="shared" si="52"/>
        <v>:bulldogs: [b][url=http://probaseballexperience.jcink.net/index.php?showtopic=1083]Austin Schwartz SP[/url][/b] TPE: 100, Regression Class: S2</v>
      </c>
      <c r="AL122" t="str">
        <f t="shared" si="53"/>
        <v>SP - Austin Schwar</v>
      </c>
    </row>
    <row r="123" spans="1:38" ht="13">
      <c r="A123" s="94" t="s">
        <v>1794</v>
      </c>
      <c r="B123" s="8" t="s">
        <v>304</v>
      </c>
      <c r="C123" s="96" t="s">
        <v>1795</v>
      </c>
      <c r="D123" s="96" t="s">
        <v>1796</v>
      </c>
      <c r="E123" t="str">
        <f t="shared" si="47"/>
        <v>Mike Honcho</v>
      </c>
      <c r="F123" t="str">
        <f t="shared" si="48"/>
        <v>SS</v>
      </c>
      <c r="G123" s="97"/>
      <c r="H123" s="8">
        <v>100</v>
      </c>
      <c r="O123" s="8" t="s">
        <v>78</v>
      </c>
      <c r="P123" s="8" t="s">
        <v>1232</v>
      </c>
      <c r="Q123" s="8" t="s">
        <v>78</v>
      </c>
      <c r="R123" s="8"/>
      <c r="S123" s="8"/>
      <c r="T123" s="8"/>
      <c r="U123" s="8"/>
      <c r="V123" s="8" t="s">
        <v>1036</v>
      </c>
      <c r="AE123" s="8">
        <v>100</v>
      </c>
      <c r="AF123" s="8"/>
      <c r="AG123" s="8"/>
      <c r="AH123" s="8">
        <v>100</v>
      </c>
      <c r="AI123" s="8">
        <v>100</v>
      </c>
      <c r="AJ123" s="8" t="str">
        <f>VLOOKUP(B123,Analysis!$A$24:$B$32,2,FALSE)</f>
        <v>:bulldogs:</v>
      </c>
      <c r="AK123" s="8" t="str">
        <f t="shared" si="52"/>
        <v>:bulldogs: [b][url=http://probaseballexperience.jcink.net/index.php?showtopic=1085]Mike Honcho - SS[/url][/b] TPE: 100, Regression Class: S2</v>
      </c>
      <c r="AL123" t="str">
        <f t="shared" si="53"/>
        <v>SS - Mike Honcho</v>
      </c>
    </row>
    <row r="124" spans="1:38" ht="13">
      <c r="A124" s="94" t="s">
        <v>1800</v>
      </c>
      <c r="B124" s="8" t="s">
        <v>304</v>
      </c>
      <c r="C124" s="140" t="s">
        <v>1801</v>
      </c>
      <c r="D124" s="140" t="s">
        <v>1802</v>
      </c>
      <c r="E124" t="str">
        <f t="shared" si="47"/>
        <v>Mam Siller</v>
      </c>
      <c r="F124" t="str">
        <f t="shared" si="48"/>
        <v>3B</v>
      </c>
      <c r="G124" s="127" t="s">
        <v>132</v>
      </c>
      <c r="H124" s="8">
        <v>100</v>
      </c>
      <c r="O124" t="s">
        <v>78</v>
      </c>
      <c r="P124">
        <v>31</v>
      </c>
      <c r="Q124" t="s">
        <v>78</v>
      </c>
      <c r="W124">
        <v>0.75</v>
      </c>
      <c r="X124">
        <v>0.75</v>
      </c>
      <c r="AE124" s="8">
        <v>100</v>
      </c>
      <c r="AF124">
        <v>100</v>
      </c>
      <c r="AG124">
        <v>100</v>
      </c>
      <c r="AH124">
        <v>100</v>
      </c>
      <c r="AI124">
        <v>100</v>
      </c>
      <c r="AJ124" s="8" t="str">
        <f>VLOOKUP(B124,Analysis!$A$24:$B$32,2,FALSE)</f>
        <v>:bulldogs:</v>
      </c>
      <c r="AK124" s="8" t="str">
        <f t="shared" si="52"/>
        <v>:bulldogs: [b][url=http://probaseballexperience.jcink.net/index.php?showtopic=1174]Mam Siller - 3B[/url][/b] TPE: 100, Regression Class: S2</v>
      </c>
      <c r="AL124" t="str">
        <f t="shared" si="53"/>
        <v>3B - Mam Siller</v>
      </c>
    </row>
    <row r="125" spans="1:38" ht="13">
      <c r="A125" s="94" t="s">
        <v>1806</v>
      </c>
      <c r="B125" s="8" t="s">
        <v>304</v>
      </c>
      <c r="C125" s="96" t="s">
        <v>1807</v>
      </c>
      <c r="D125" s="96" t="s">
        <v>1808</v>
      </c>
      <c r="E125" t="str">
        <f t="shared" si="47"/>
        <v>Marc Garvey</v>
      </c>
      <c r="F125" t="str">
        <f t="shared" si="48"/>
        <v>CF</v>
      </c>
      <c r="G125" s="97" t="s">
        <v>904</v>
      </c>
      <c r="H125" s="8">
        <v>100</v>
      </c>
      <c r="O125" s="8" t="s">
        <v>78</v>
      </c>
      <c r="P125" s="8">
        <v>23</v>
      </c>
      <c r="Q125" s="8" t="s">
        <v>78</v>
      </c>
      <c r="R125" s="8"/>
      <c r="S125" s="8"/>
      <c r="T125" s="8"/>
      <c r="W125" s="8">
        <v>2</v>
      </c>
      <c r="X125" s="8">
        <v>2</v>
      </c>
      <c r="Y125" s="8">
        <v>0.5</v>
      </c>
      <c r="AE125" s="8">
        <v>100</v>
      </c>
      <c r="AF125" s="8">
        <v>100</v>
      </c>
      <c r="AG125" s="8">
        <v>100</v>
      </c>
      <c r="AH125" s="8">
        <v>100</v>
      </c>
      <c r="AI125" s="8">
        <v>100</v>
      </c>
      <c r="AJ125" s="8" t="str">
        <f>VLOOKUP(B125,Analysis!$A$24:$B$32,2,FALSE)</f>
        <v>:bulldogs:</v>
      </c>
      <c r="AK125" s="8" t="str">
        <f t="shared" si="52"/>
        <v>:bulldogs: [b][url=http://probaseballexperience.jcink.net/index.php?showtopic=1034]Marc Garvey - CF[/url][/b] TPE: 100, Regression Class: S2</v>
      </c>
    </row>
    <row r="126" spans="1:38" ht="13">
      <c r="A126" s="26" t="s">
        <v>442</v>
      </c>
      <c r="B126" s="8" t="s">
        <v>13</v>
      </c>
      <c r="C126" s="140" t="s">
        <v>443</v>
      </c>
      <c r="D126" s="140" t="s">
        <v>444</v>
      </c>
      <c r="E126" t="str">
        <f t="shared" ref="E126:E129" si="54">TRIM(LEFT(D126,LEN(D126)-4))</f>
        <v>Marcos Gonzalez</v>
      </c>
      <c r="F126" t="str">
        <f t="shared" si="48"/>
        <v>CF</v>
      </c>
      <c r="G126" s="127" t="s">
        <v>181</v>
      </c>
      <c r="H126" s="4">
        <v>689</v>
      </c>
      <c r="I126" s="99"/>
      <c r="J126" s="99"/>
      <c r="K126" s="99"/>
      <c r="L126" s="99"/>
      <c r="M126" s="99"/>
      <c r="O126" t="s">
        <v>70</v>
      </c>
      <c r="P126">
        <v>69</v>
      </c>
      <c r="Q126" t="s">
        <v>70</v>
      </c>
      <c r="V126">
        <v>3</v>
      </c>
      <c r="W126">
        <v>5</v>
      </c>
      <c r="X126">
        <v>5</v>
      </c>
      <c r="Y126">
        <v>5</v>
      </c>
      <c r="Z126">
        <v>5.75</v>
      </c>
      <c r="AA126">
        <v>7.25</v>
      </c>
      <c r="AB126" s="99">
        <v>8</v>
      </c>
      <c r="AC126" s="98">
        <v>6.5</v>
      </c>
      <c r="AD126" s="8">
        <v>749</v>
      </c>
      <c r="AE126">
        <v>302</v>
      </c>
      <c r="AF126">
        <v>270</v>
      </c>
      <c r="AG126">
        <v>270</v>
      </c>
      <c r="AH126">
        <v>270</v>
      </c>
    </row>
    <row r="127" spans="1:38" ht="13">
      <c r="A127" s="94" t="s">
        <v>650</v>
      </c>
      <c r="B127" s="8" t="s">
        <v>8</v>
      </c>
      <c r="C127" s="96" t="s">
        <v>652</v>
      </c>
      <c r="D127" s="96" t="s">
        <v>653</v>
      </c>
      <c r="E127" t="str">
        <f t="shared" si="54"/>
        <v>Chris Bennett</v>
      </c>
      <c r="F127" s="8" t="s">
        <v>90</v>
      </c>
      <c r="G127" s="97" t="s">
        <v>114</v>
      </c>
      <c r="H127" s="141">
        <v>390</v>
      </c>
      <c r="I127" s="99"/>
      <c r="J127" s="99"/>
      <c r="K127" s="99"/>
      <c r="L127" s="99"/>
      <c r="M127" s="99"/>
      <c r="O127" s="8" t="s">
        <v>33</v>
      </c>
      <c r="P127" s="8">
        <v>2</v>
      </c>
      <c r="Q127" s="8" t="s">
        <v>33</v>
      </c>
      <c r="W127" s="8"/>
      <c r="X127" s="8">
        <v>4</v>
      </c>
      <c r="Y127" s="8">
        <v>5</v>
      </c>
      <c r="Z127" s="8">
        <v>5</v>
      </c>
      <c r="AA127">
        <v>4</v>
      </c>
      <c r="AC127" s="99">
        <v>3</v>
      </c>
      <c r="AD127" s="99">
        <v>3</v>
      </c>
      <c r="AE127" s="142">
        <v>390</v>
      </c>
      <c r="AF127" s="8"/>
      <c r="AG127" s="8"/>
      <c r="AH127" s="8"/>
      <c r="AI127" s="8"/>
    </row>
    <row r="128" spans="1:38" ht="12.75" customHeight="1">
      <c r="A128" s="94" t="s">
        <v>934</v>
      </c>
      <c r="B128" s="4" t="s">
        <v>12</v>
      </c>
      <c r="C128" s="96" t="s">
        <v>649</v>
      </c>
      <c r="D128" s="96" t="s">
        <v>935</v>
      </c>
      <c r="E128" t="str">
        <f t="shared" si="54"/>
        <v>Mason Brown</v>
      </c>
      <c r="F128" s="8" t="str">
        <f>TRIM(RIGHT(D128,2))</f>
        <v>CL</v>
      </c>
      <c r="G128" s="97" t="s">
        <v>109</v>
      </c>
      <c r="H128" s="4">
        <v>224</v>
      </c>
      <c r="I128" s="125"/>
      <c r="J128" s="125"/>
      <c r="K128" s="125"/>
      <c r="L128" s="99"/>
      <c r="M128" s="99"/>
      <c r="N128" s="4" t="s">
        <v>937</v>
      </c>
      <c r="O128" s="8" t="s">
        <v>34</v>
      </c>
      <c r="P128" s="8">
        <v>7</v>
      </c>
      <c r="Q128" s="8" t="s">
        <v>34</v>
      </c>
      <c r="R128" s="8"/>
      <c r="S128" s="8"/>
      <c r="T128" s="8"/>
      <c r="U128" s="8"/>
      <c r="X128" s="8"/>
      <c r="Y128" s="8">
        <v>2.5</v>
      </c>
      <c r="Z128" s="8">
        <v>2.75</v>
      </c>
      <c r="AA128" s="8">
        <v>3</v>
      </c>
      <c r="AB128" s="99">
        <v>3</v>
      </c>
      <c r="AC128" s="98">
        <v>3</v>
      </c>
      <c r="AD128" s="4">
        <v>195</v>
      </c>
    </row>
    <row r="129" spans="1:57" ht="13">
      <c r="A129" s="94" t="s">
        <v>572</v>
      </c>
      <c r="B129" s="8" t="s">
        <v>304</v>
      </c>
      <c r="C129" s="140" t="s">
        <v>573</v>
      </c>
      <c r="D129" s="140" t="s">
        <v>574</v>
      </c>
      <c r="E129" t="str">
        <f t="shared" si="54"/>
        <v>AJ Robertson</v>
      </c>
      <c r="F129" t="s">
        <v>215</v>
      </c>
      <c r="G129" s="127" t="s">
        <v>159</v>
      </c>
      <c r="H129" s="4">
        <v>462</v>
      </c>
      <c r="I129" s="99"/>
      <c r="J129" s="99"/>
      <c r="K129" s="99"/>
      <c r="L129" s="99"/>
      <c r="M129" s="99"/>
      <c r="O129" t="s">
        <v>33</v>
      </c>
      <c r="P129">
        <v>17</v>
      </c>
      <c r="Q129" t="s">
        <v>33</v>
      </c>
      <c r="Y129" s="8">
        <v>1.66</v>
      </c>
      <c r="Z129">
        <v>3.5</v>
      </c>
      <c r="AA129" s="8">
        <v>3</v>
      </c>
      <c r="AB129" s="99">
        <v>5</v>
      </c>
      <c r="AC129" s="99">
        <v>7.25</v>
      </c>
      <c r="AD129" s="8">
        <v>462</v>
      </c>
      <c r="AE129" s="99">
        <v>4</v>
      </c>
      <c r="AJ129" s="8"/>
      <c r="AK129" s="8"/>
    </row>
    <row r="130" spans="1:57" ht="13">
      <c r="A130" s="12"/>
      <c r="B130" s="7" t="s">
        <v>44</v>
      </c>
      <c r="C130" s="118" t="s">
        <v>1816</v>
      </c>
      <c r="D130" s="25" t="s">
        <v>1817</v>
      </c>
      <c r="E130" s="11" t="str">
        <f>IFERROR(TRIM(LEFT(D130,LEN(D130)-4)),"")</f>
        <v>Performancia Artisto</v>
      </c>
      <c r="F130" s="6"/>
      <c r="G130" s="11" t="str">
        <f>TRIM(RIGHT(D130,2))</f>
        <v>LF</v>
      </c>
      <c r="H130" s="7" t="s">
        <v>192</v>
      </c>
      <c r="I130" s="7">
        <v>100</v>
      </c>
      <c r="J130" s="2"/>
      <c r="K130" s="2"/>
      <c r="L130" s="2"/>
      <c r="M130" s="2"/>
      <c r="N130" s="2"/>
      <c r="O130" s="7" t="s">
        <v>19</v>
      </c>
      <c r="P130" s="7" t="s">
        <v>19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2"/>
      <c r="AC130" s="4" t="s">
        <v>47</v>
      </c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</row>
  </sheetData>
  <hyperlinks>
    <hyperlink ref="B3" r:id="rId1" xr:uid="{00000000-0004-0000-0D00-000000000000}"/>
    <hyperlink ref="C3" r:id="rId2" xr:uid="{00000000-0004-0000-0D00-000001000000}"/>
    <hyperlink ref="B4" r:id="rId3" xr:uid="{00000000-0004-0000-0D00-000002000000}"/>
    <hyperlink ref="C4" r:id="rId4" xr:uid="{00000000-0004-0000-0D00-000003000000}"/>
    <hyperlink ref="B5" r:id="rId5" xr:uid="{00000000-0004-0000-0D00-000004000000}"/>
    <hyperlink ref="C5" r:id="rId6" xr:uid="{00000000-0004-0000-0D00-000005000000}"/>
    <hyperlink ref="B6" r:id="rId7" xr:uid="{00000000-0004-0000-0D00-000006000000}"/>
    <hyperlink ref="C6" r:id="rId8" xr:uid="{00000000-0004-0000-0D00-000007000000}"/>
    <hyperlink ref="B7" r:id="rId9" xr:uid="{00000000-0004-0000-0D00-000008000000}"/>
    <hyperlink ref="C7" r:id="rId10" xr:uid="{00000000-0004-0000-0D00-000009000000}"/>
    <hyperlink ref="B8" r:id="rId11" xr:uid="{00000000-0004-0000-0D00-00000A000000}"/>
    <hyperlink ref="C8" r:id="rId12" xr:uid="{00000000-0004-0000-0D00-00000B000000}"/>
    <hyperlink ref="B9" r:id="rId13" xr:uid="{00000000-0004-0000-0D00-00000C000000}"/>
    <hyperlink ref="C9" r:id="rId14" xr:uid="{00000000-0004-0000-0D00-00000D000000}"/>
    <hyperlink ref="B10" r:id="rId15" xr:uid="{00000000-0004-0000-0D00-00000E000000}"/>
    <hyperlink ref="C10" r:id="rId16" xr:uid="{00000000-0004-0000-0D00-00000F000000}"/>
    <hyperlink ref="B11" r:id="rId17" xr:uid="{00000000-0004-0000-0D00-000010000000}"/>
    <hyperlink ref="C11" r:id="rId18" xr:uid="{00000000-0004-0000-0D00-000011000000}"/>
    <hyperlink ref="B12" r:id="rId19" xr:uid="{00000000-0004-0000-0D00-000012000000}"/>
    <hyperlink ref="C12" r:id="rId20" xr:uid="{00000000-0004-0000-0D00-000013000000}"/>
    <hyperlink ref="B14" r:id="rId21" xr:uid="{00000000-0004-0000-0D00-000014000000}"/>
    <hyperlink ref="C14" r:id="rId22" xr:uid="{00000000-0004-0000-0D00-000015000000}"/>
    <hyperlink ref="B15" r:id="rId23" xr:uid="{00000000-0004-0000-0D00-000016000000}"/>
    <hyperlink ref="C15" r:id="rId24" xr:uid="{00000000-0004-0000-0D00-000017000000}"/>
    <hyperlink ref="B16" r:id="rId25" xr:uid="{00000000-0004-0000-0D00-000018000000}"/>
    <hyperlink ref="C16" r:id="rId26" xr:uid="{00000000-0004-0000-0D00-000019000000}"/>
    <hyperlink ref="B17" r:id="rId27" xr:uid="{00000000-0004-0000-0D00-00001A000000}"/>
    <hyperlink ref="C17" r:id="rId28" xr:uid="{00000000-0004-0000-0D00-00001B000000}"/>
    <hyperlink ref="B18" r:id="rId29" xr:uid="{00000000-0004-0000-0D00-00001C000000}"/>
    <hyperlink ref="C18" r:id="rId30" xr:uid="{00000000-0004-0000-0D00-00001D000000}"/>
    <hyperlink ref="B19" r:id="rId31" xr:uid="{00000000-0004-0000-0D00-00001E000000}"/>
    <hyperlink ref="C19" r:id="rId32" xr:uid="{00000000-0004-0000-0D00-00001F000000}"/>
    <hyperlink ref="B20" r:id="rId33" xr:uid="{00000000-0004-0000-0D00-000020000000}"/>
    <hyperlink ref="C20" r:id="rId34" xr:uid="{00000000-0004-0000-0D00-000021000000}"/>
    <hyperlink ref="B21" r:id="rId35" xr:uid="{00000000-0004-0000-0D00-000022000000}"/>
    <hyperlink ref="C21" r:id="rId36" xr:uid="{00000000-0004-0000-0D00-000023000000}"/>
    <hyperlink ref="B22" r:id="rId37" xr:uid="{00000000-0004-0000-0D00-000024000000}"/>
    <hyperlink ref="C22" r:id="rId38" xr:uid="{00000000-0004-0000-0D00-000025000000}"/>
    <hyperlink ref="B23" r:id="rId39" xr:uid="{00000000-0004-0000-0D00-000026000000}"/>
    <hyperlink ref="C23" r:id="rId40" xr:uid="{00000000-0004-0000-0D00-000027000000}"/>
    <hyperlink ref="B24" r:id="rId41" xr:uid="{00000000-0004-0000-0D00-000028000000}"/>
    <hyperlink ref="C24" r:id="rId42" xr:uid="{00000000-0004-0000-0D00-000029000000}"/>
    <hyperlink ref="B25" r:id="rId43" xr:uid="{00000000-0004-0000-0D00-00002A000000}"/>
    <hyperlink ref="C25" r:id="rId44" xr:uid="{00000000-0004-0000-0D00-00002B000000}"/>
    <hyperlink ref="C26" r:id="rId45" xr:uid="{00000000-0004-0000-0D00-00002C000000}"/>
    <hyperlink ref="D26" r:id="rId46" xr:uid="{00000000-0004-0000-0D00-00002D000000}"/>
    <hyperlink ref="A27" r:id="rId47" xr:uid="{00000000-0004-0000-0D00-00002E000000}"/>
    <hyperlink ref="C27" r:id="rId48" xr:uid="{00000000-0004-0000-0D00-00002F000000}"/>
    <hyperlink ref="D27" r:id="rId49" xr:uid="{00000000-0004-0000-0D00-000030000000}"/>
    <hyperlink ref="A28" r:id="rId50" xr:uid="{00000000-0004-0000-0D00-000031000000}"/>
    <hyperlink ref="C28" r:id="rId51" xr:uid="{00000000-0004-0000-0D00-000032000000}"/>
    <hyperlink ref="D28" r:id="rId52" xr:uid="{00000000-0004-0000-0D00-000033000000}"/>
    <hyperlink ref="A29" r:id="rId53" xr:uid="{00000000-0004-0000-0D00-000034000000}"/>
    <hyperlink ref="C29" r:id="rId54" xr:uid="{00000000-0004-0000-0D00-000035000000}"/>
    <hyperlink ref="D29" r:id="rId55" xr:uid="{00000000-0004-0000-0D00-000036000000}"/>
    <hyperlink ref="B30" r:id="rId56" xr:uid="{00000000-0004-0000-0D00-000037000000}"/>
    <hyperlink ref="D30" r:id="rId57" xr:uid="{00000000-0004-0000-0D00-000038000000}"/>
    <hyperlink ref="E30" r:id="rId58" xr:uid="{00000000-0004-0000-0D00-000039000000}"/>
    <hyperlink ref="A31" r:id="rId59" xr:uid="{00000000-0004-0000-0D00-00003A000000}"/>
    <hyperlink ref="C31" r:id="rId60" xr:uid="{00000000-0004-0000-0D00-00003B000000}"/>
    <hyperlink ref="D31" r:id="rId61" xr:uid="{00000000-0004-0000-0D00-00003C000000}"/>
    <hyperlink ref="A32" r:id="rId62" xr:uid="{00000000-0004-0000-0D00-00003D000000}"/>
    <hyperlink ref="C32" r:id="rId63" xr:uid="{00000000-0004-0000-0D00-00003E000000}"/>
    <hyperlink ref="D32" r:id="rId64" xr:uid="{00000000-0004-0000-0D00-00003F000000}"/>
    <hyperlink ref="A33" r:id="rId65" xr:uid="{00000000-0004-0000-0D00-000040000000}"/>
    <hyperlink ref="C33" r:id="rId66" xr:uid="{00000000-0004-0000-0D00-000041000000}"/>
    <hyperlink ref="D33" r:id="rId67" xr:uid="{00000000-0004-0000-0D00-000042000000}"/>
    <hyperlink ref="A34" r:id="rId68" xr:uid="{00000000-0004-0000-0D00-000043000000}"/>
    <hyperlink ref="C34" r:id="rId69" xr:uid="{00000000-0004-0000-0D00-000044000000}"/>
    <hyperlink ref="D34" r:id="rId70" xr:uid="{00000000-0004-0000-0D00-000045000000}"/>
    <hyperlink ref="A35" r:id="rId71" xr:uid="{00000000-0004-0000-0D00-000046000000}"/>
    <hyperlink ref="C35" r:id="rId72" xr:uid="{00000000-0004-0000-0D00-000047000000}"/>
    <hyperlink ref="D35" r:id="rId73" xr:uid="{00000000-0004-0000-0D00-000048000000}"/>
    <hyperlink ref="A36" r:id="rId74" xr:uid="{00000000-0004-0000-0D00-000049000000}"/>
    <hyperlink ref="C36" r:id="rId75" xr:uid="{00000000-0004-0000-0D00-00004A000000}"/>
    <hyperlink ref="D36" r:id="rId76" xr:uid="{00000000-0004-0000-0D00-00004B000000}"/>
    <hyperlink ref="A37" r:id="rId77" xr:uid="{00000000-0004-0000-0D00-00004C000000}"/>
    <hyperlink ref="C37" r:id="rId78" xr:uid="{00000000-0004-0000-0D00-00004D000000}"/>
    <hyperlink ref="D37" r:id="rId79" xr:uid="{00000000-0004-0000-0D00-00004E000000}"/>
    <hyperlink ref="A38" r:id="rId80" xr:uid="{00000000-0004-0000-0D00-00004F000000}"/>
    <hyperlink ref="C38" r:id="rId81" xr:uid="{00000000-0004-0000-0D00-000050000000}"/>
    <hyperlink ref="D38" r:id="rId82" xr:uid="{00000000-0004-0000-0D00-000051000000}"/>
    <hyperlink ref="A39" r:id="rId83" xr:uid="{00000000-0004-0000-0D00-000052000000}"/>
    <hyperlink ref="C39" r:id="rId84" xr:uid="{00000000-0004-0000-0D00-000053000000}"/>
    <hyperlink ref="D39" r:id="rId85" xr:uid="{00000000-0004-0000-0D00-000054000000}"/>
    <hyperlink ref="A40" r:id="rId86" xr:uid="{00000000-0004-0000-0D00-000055000000}"/>
    <hyperlink ref="C40" r:id="rId87" xr:uid="{00000000-0004-0000-0D00-000056000000}"/>
    <hyperlink ref="D40" r:id="rId88" xr:uid="{00000000-0004-0000-0D00-000057000000}"/>
    <hyperlink ref="A41" r:id="rId89" xr:uid="{00000000-0004-0000-0D00-000058000000}"/>
    <hyperlink ref="C41" r:id="rId90" xr:uid="{00000000-0004-0000-0D00-000059000000}"/>
    <hyperlink ref="D41" r:id="rId91" xr:uid="{00000000-0004-0000-0D00-00005A000000}"/>
    <hyperlink ref="A42" r:id="rId92" xr:uid="{00000000-0004-0000-0D00-00005B000000}"/>
    <hyperlink ref="C42" r:id="rId93" xr:uid="{00000000-0004-0000-0D00-00005C000000}"/>
    <hyperlink ref="D42" r:id="rId94" xr:uid="{00000000-0004-0000-0D00-00005D000000}"/>
    <hyperlink ref="A43" r:id="rId95" xr:uid="{00000000-0004-0000-0D00-00005E000000}"/>
    <hyperlink ref="C43" r:id="rId96" xr:uid="{00000000-0004-0000-0D00-00005F000000}"/>
    <hyperlink ref="D43" r:id="rId97" xr:uid="{00000000-0004-0000-0D00-000060000000}"/>
    <hyperlink ref="A44" r:id="rId98" xr:uid="{00000000-0004-0000-0D00-000061000000}"/>
    <hyperlink ref="C44" r:id="rId99" xr:uid="{00000000-0004-0000-0D00-000062000000}"/>
    <hyperlink ref="D44" r:id="rId100" xr:uid="{00000000-0004-0000-0D00-000063000000}"/>
    <hyperlink ref="A45" r:id="rId101" xr:uid="{00000000-0004-0000-0D00-000064000000}"/>
    <hyperlink ref="C45" r:id="rId102" xr:uid="{00000000-0004-0000-0D00-000065000000}"/>
    <hyperlink ref="D45" r:id="rId103" xr:uid="{00000000-0004-0000-0D00-000066000000}"/>
    <hyperlink ref="A46" r:id="rId104" xr:uid="{00000000-0004-0000-0D00-000067000000}"/>
    <hyperlink ref="C46" r:id="rId105" xr:uid="{00000000-0004-0000-0D00-000068000000}"/>
    <hyperlink ref="D46" r:id="rId106" xr:uid="{00000000-0004-0000-0D00-000069000000}"/>
    <hyperlink ref="A47" r:id="rId107" xr:uid="{00000000-0004-0000-0D00-00006A000000}"/>
    <hyperlink ref="C47" r:id="rId108" xr:uid="{00000000-0004-0000-0D00-00006B000000}"/>
    <hyperlink ref="D47" r:id="rId109" xr:uid="{00000000-0004-0000-0D00-00006C000000}"/>
    <hyperlink ref="A48" r:id="rId110" xr:uid="{00000000-0004-0000-0D00-00006D000000}"/>
    <hyperlink ref="C48" r:id="rId111" xr:uid="{00000000-0004-0000-0D00-00006E000000}"/>
    <hyperlink ref="D48" r:id="rId112" xr:uid="{00000000-0004-0000-0D00-00006F000000}"/>
    <hyperlink ref="A49" r:id="rId113" xr:uid="{00000000-0004-0000-0D00-000070000000}"/>
    <hyperlink ref="C49" r:id="rId114" xr:uid="{00000000-0004-0000-0D00-000071000000}"/>
    <hyperlink ref="D49" r:id="rId115" xr:uid="{00000000-0004-0000-0D00-000072000000}"/>
    <hyperlink ref="A50" r:id="rId116" xr:uid="{00000000-0004-0000-0D00-000073000000}"/>
    <hyperlink ref="C50" r:id="rId117" xr:uid="{00000000-0004-0000-0D00-000074000000}"/>
    <hyperlink ref="D50" r:id="rId118" xr:uid="{00000000-0004-0000-0D00-000075000000}"/>
    <hyperlink ref="A51" r:id="rId119" xr:uid="{00000000-0004-0000-0D00-000076000000}"/>
    <hyperlink ref="C51" r:id="rId120" xr:uid="{00000000-0004-0000-0D00-000077000000}"/>
    <hyperlink ref="D51" r:id="rId121" xr:uid="{00000000-0004-0000-0D00-000078000000}"/>
    <hyperlink ref="A52" r:id="rId122" xr:uid="{00000000-0004-0000-0D00-000079000000}"/>
    <hyperlink ref="C52" r:id="rId123" xr:uid="{00000000-0004-0000-0D00-00007A000000}"/>
    <hyperlink ref="D52" r:id="rId124" xr:uid="{00000000-0004-0000-0D00-00007B000000}"/>
    <hyperlink ref="A53" r:id="rId125" xr:uid="{00000000-0004-0000-0D00-00007C000000}"/>
    <hyperlink ref="C53" r:id="rId126" xr:uid="{00000000-0004-0000-0D00-00007D000000}"/>
    <hyperlink ref="D53" r:id="rId127" xr:uid="{00000000-0004-0000-0D00-00007E000000}"/>
    <hyperlink ref="C54" r:id="rId128" xr:uid="{00000000-0004-0000-0D00-00007F000000}"/>
    <hyperlink ref="D54" r:id="rId129" xr:uid="{00000000-0004-0000-0D00-000080000000}"/>
    <hyperlink ref="A55" r:id="rId130" xr:uid="{00000000-0004-0000-0D00-000081000000}"/>
    <hyperlink ref="C55" r:id="rId131" xr:uid="{00000000-0004-0000-0D00-000082000000}"/>
    <hyperlink ref="D55" r:id="rId132" xr:uid="{00000000-0004-0000-0D00-000083000000}"/>
    <hyperlink ref="A56" r:id="rId133" xr:uid="{00000000-0004-0000-0D00-000084000000}"/>
    <hyperlink ref="C56" r:id="rId134" xr:uid="{00000000-0004-0000-0D00-000085000000}"/>
    <hyperlink ref="D56" r:id="rId135" xr:uid="{00000000-0004-0000-0D00-000086000000}"/>
    <hyperlink ref="A57" r:id="rId136" xr:uid="{00000000-0004-0000-0D00-000087000000}"/>
    <hyperlink ref="C57" r:id="rId137" xr:uid="{00000000-0004-0000-0D00-000088000000}"/>
    <hyperlink ref="D57" r:id="rId138" xr:uid="{00000000-0004-0000-0D00-000089000000}"/>
    <hyperlink ref="A58" r:id="rId139" xr:uid="{00000000-0004-0000-0D00-00008A000000}"/>
    <hyperlink ref="C58" r:id="rId140" xr:uid="{00000000-0004-0000-0D00-00008B000000}"/>
    <hyperlink ref="D58" r:id="rId141" xr:uid="{00000000-0004-0000-0D00-00008C000000}"/>
    <hyperlink ref="A59" r:id="rId142" xr:uid="{00000000-0004-0000-0D00-00008D000000}"/>
    <hyperlink ref="C59" r:id="rId143" xr:uid="{00000000-0004-0000-0D00-00008E000000}"/>
    <hyperlink ref="D59" r:id="rId144" xr:uid="{00000000-0004-0000-0D00-00008F000000}"/>
    <hyperlink ref="A60" r:id="rId145" xr:uid="{00000000-0004-0000-0D00-000090000000}"/>
    <hyperlink ref="C60" r:id="rId146" xr:uid="{00000000-0004-0000-0D00-000091000000}"/>
    <hyperlink ref="D60" r:id="rId147" xr:uid="{00000000-0004-0000-0D00-000092000000}"/>
    <hyperlink ref="A61" r:id="rId148" xr:uid="{00000000-0004-0000-0D00-000093000000}"/>
    <hyperlink ref="C61" r:id="rId149" xr:uid="{00000000-0004-0000-0D00-000094000000}"/>
    <hyperlink ref="D61" r:id="rId150" xr:uid="{00000000-0004-0000-0D00-000095000000}"/>
    <hyperlink ref="A62" r:id="rId151" xr:uid="{00000000-0004-0000-0D00-000096000000}"/>
    <hyperlink ref="C62" r:id="rId152" xr:uid="{00000000-0004-0000-0D00-000097000000}"/>
    <hyperlink ref="D62" r:id="rId153" xr:uid="{00000000-0004-0000-0D00-000098000000}"/>
    <hyperlink ref="A63" r:id="rId154" xr:uid="{00000000-0004-0000-0D00-000099000000}"/>
    <hyperlink ref="C63" r:id="rId155" xr:uid="{00000000-0004-0000-0D00-00009A000000}"/>
    <hyperlink ref="D63" r:id="rId156" xr:uid="{00000000-0004-0000-0D00-00009B000000}"/>
    <hyperlink ref="A64" r:id="rId157" xr:uid="{00000000-0004-0000-0D00-00009C000000}"/>
    <hyperlink ref="C64" r:id="rId158" xr:uid="{00000000-0004-0000-0D00-00009D000000}"/>
    <hyperlink ref="D64" r:id="rId159" xr:uid="{00000000-0004-0000-0D00-00009E000000}"/>
    <hyperlink ref="A65" r:id="rId160" xr:uid="{00000000-0004-0000-0D00-00009F000000}"/>
    <hyperlink ref="C65" r:id="rId161" xr:uid="{00000000-0004-0000-0D00-0000A0000000}"/>
    <hyperlink ref="D65" r:id="rId162" xr:uid="{00000000-0004-0000-0D00-0000A1000000}"/>
    <hyperlink ref="A66" r:id="rId163" xr:uid="{00000000-0004-0000-0D00-0000A2000000}"/>
    <hyperlink ref="C66" r:id="rId164" xr:uid="{00000000-0004-0000-0D00-0000A3000000}"/>
    <hyperlink ref="D66" r:id="rId165" xr:uid="{00000000-0004-0000-0D00-0000A4000000}"/>
    <hyperlink ref="A67" r:id="rId166" xr:uid="{00000000-0004-0000-0D00-0000A5000000}"/>
    <hyperlink ref="C67" r:id="rId167" xr:uid="{00000000-0004-0000-0D00-0000A6000000}"/>
    <hyperlink ref="D67" r:id="rId168" xr:uid="{00000000-0004-0000-0D00-0000A7000000}"/>
    <hyperlink ref="A68" r:id="rId169" xr:uid="{00000000-0004-0000-0D00-0000A8000000}"/>
    <hyperlink ref="C68" r:id="rId170" xr:uid="{00000000-0004-0000-0D00-0000A9000000}"/>
    <hyperlink ref="D68" r:id="rId171" xr:uid="{00000000-0004-0000-0D00-0000AA000000}"/>
    <hyperlink ref="A69" r:id="rId172" xr:uid="{00000000-0004-0000-0D00-0000AB000000}"/>
    <hyperlink ref="C69" r:id="rId173" xr:uid="{00000000-0004-0000-0D00-0000AC000000}"/>
    <hyperlink ref="D69" r:id="rId174" xr:uid="{00000000-0004-0000-0D00-0000AD000000}"/>
    <hyperlink ref="A70" r:id="rId175" xr:uid="{00000000-0004-0000-0D00-0000AE000000}"/>
    <hyperlink ref="C70" r:id="rId176" xr:uid="{00000000-0004-0000-0D00-0000AF000000}"/>
    <hyperlink ref="D70" r:id="rId177" xr:uid="{00000000-0004-0000-0D00-0000B0000000}"/>
    <hyperlink ref="A71" r:id="rId178" xr:uid="{00000000-0004-0000-0D00-0000B1000000}"/>
    <hyperlink ref="C71" r:id="rId179" xr:uid="{00000000-0004-0000-0D00-0000B2000000}"/>
    <hyperlink ref="D71" r:id="rId180" xr:uid="{00000000-0004-0000-0D00-0000B3000000}"/>
    <hyperlink ref="A72" r:id="rId181" xr:uid="{00000000-0004-0000-0D00-0000B4000000}"/>
    <hyperlink ref="C72" r:id="rId182" xr:uid="{00000000-0004-0000-0D00-0000B5000000}"/>
    <hyperlink ref="D72" r:id="rId183" xr:uid="{00000000-0004-0000-0D00-0000B6000000}"/>
    <hyperlink ref="A73" r:id="rId184" xr:uid="{00000000-0004-0000-0D00-0000B7000000}"/>
    <hyperlink ref="C73" r:id="rId185" xr:uid="{00000000-0004-0000-0D00-0000B8000000}"/>
    <hyperlink ref="D73" r:id="rId186" xr:uid="{00000000-0004-0000-0D00-0000B9000000}"/>
    <hyperlink ref="A74" r:id="rId187" xr:uid="{00000000-0004-0000-0D00-0000BA000000}"/>
    <hyperlink ref="C74" r:id="rId188" xr:uid="{00000000-0004-0000-0D00-0000BB000000}"/>
    <hyperlink ref="D74" r:id="rId189" xr:uid="{00000000-0004-0000-0D00-0000BC000000}"/>
    <hyperlink ref="A75" r:id="rId190" xr:uid="{00000000-0004-0000-0D00-0000BD000000}"/>
    <hyperlink ref="C75" r:id="rId191" xr:uid="{00000000-0004-0000-0D00-0000BE000000}"/>
    <hyperlink ref="D75" r:id="rId192" xr:uid="{00000000-0004-0000-0D00-0000BF000000}"/>
    <hyperlink ref="A76" r:id="rId193" xr:uid="{00000000-0004-0000-0D00-0000C0000000}"/>
    <hyperlink ref="C76" r:id="rId194" xr:uid="{00000000-0004-0000-0D00-0000C1000000}"/>
    <hyperlink ref="D76" r:id="rId195" xr:uid="{00000000-0004-0000-0D00-0000C2000000}"/>
    <hyperlink ref="A77" r:id="rId196" xr:uid="{00000000-0004-0000-0D00-0000C3000000}"/>
    <hyperlink ref="C77" r:id="rId197" xr:uid="{00000000-0004-0000-0D00-0000C4000000}"/>
    <hyperlink ref="D77" r:id="rId198" xr:uid="{00000000-0004-0000-0D00-0000C5000000}"/>
    <hyperlink ref="A78" r:id="rId199" xr:uid="{00000000-0004-0000-0D00-0000C6000000}"/>
    <hyperlink ref="C78" r:id="rId200" xr:uid="{00000000-0004-0000-0D00-0000C7000000}"/>
    <hyperlink ref="D78" r:id="rId201" xr:uid="{00000000-0004-0000-0D00-0000C8000000}"/>
    <hyperlink ref="A79" r:id="rId202" xr:uid="{00000000-0004-0000-0D00-0000C9000000}"/>
    <hyperlink ref="C79" r:id="rId203" xr:uid="{00000000-0004-0000-0D00-0000CA000000}"/>
    <hyperlink ref="D79" r:id="rId204" xr:uid="{00000000-0004-0000-0D00-0000CB000000}"/>
    <hyperlink ref="A80" r:id="rId205" xr:uid="{00000000-0004-0000-0D00-0000CC000000}"/>
    <hyperlink ref="C80" r:id="rId206" xr:uid="{00000000-0004-0000-0D00-0000CD000000}"/>
    <hyperlink ref="D80" r:id="rId207" xr:uid="{00000000-0004-0000-0D00-0000CE000000}"/>
    <hyperlink ref="A81" r:id="rId208" xr:uid="{00000000-0004-0000-0D00-0000CF000000}"/>
    <hyperlink ref="C81" r:id="rId209" xr:uid="{00000000-0004-0000-0D00-0000D0000000}"/>
    <hyperlink ref="D81" r:id="rId210" xr:uid="{00000000-0004-0000-0D00-0000D1000000}"/>
    <hyperlink ref="A82" r:id="rId211" xr:uid="{00000000-0004-0000-0D00-0000D2000000}"/>
    <hyperlink ref="C82" r:id="rId212" xr:uid="{00000000-0004-0000-0D00-0000D3000000}"/>
    <hyperlink ref="D82" r:id="rId213" xr:uid="{00000000-0004-0000-0D00-0000D4000000}"/>
    <hyperlink ref="A83" r:id="rId214" xr:uid="{00000000-0004-0000-0D00-0000D5000000}"/>
    <hyperlink ref="C83" r:id="rId215" xr:uid="{00000000-0004-0000-0D00-0000D6000000}"/>
    <hyperlink ref="D83" r:id="rId216" xr:uid="{00000000-0004-0000-0D00-0000D7000000}"/>
    <hyperlink ref="A84" r:id="rId217" xr:uid="{00000000-0004-0000-0D00-0000D8000000}"/>
    <hyperlink ref="C84" r:id="rId218" xr:uid="{00000000-0004-0000-0D00-0000D9000000}"/>
    <hyperlink ref="D84" r:id="rId219" xr:uid="{00000000-0004-0000-0D00-0000DA000000}"/>
    <hyperlink ref="A85" r:id="rId220" xr:uid="{00000000-0004-0000-0D00-0000DB000000}"/>
    <hyperlink ref="C85" r:id="rId221" xr:uid="{00000000-0004-0000-0D00-0000DC000000}"/>
    <hyperlink ref="D85" r:id="rId222" xr:uid="{00000000-0004-0000-0D00-0000DD000000}"/>
    <hyperlink ref="A86" r:id="rId223" xr:uid="{00000000-0004-0000-0D00-0000DE000000}"/>
    <hyperlink ref="C86" r:id="rId224" xr:uid="{00000000-0004-0000-0D00-0000DF000000}"/>
    <hyperlink ref="D86" r:id="rId225" xr:uid="{00000000-0004-0000-0D00-0000E0000000}"/>
    <hyperlink ref="A87" r:id="rId226" xr:uid="{00000000-0004-0000-0D00-0000E1000000}"/>
    <hyperlink ref="C87" r:id="rId227" xr:uid="{00000000-0004-0000-0D00-0000E2000000}"/>
    <hyperlink ref="D87" r:id="rId228" xr:uid="{00000000-0004-0000-0D00-0000E3000000}"/>
    <hyperlink ref="A88" r:id="rId229" xr:uid="{00000000-0004-0000-0D00-0000E4000000}"/>
    <hyperlink ref="C88" r:id="rId230" xr:uid="{00000000-0004-0000-0D00-0000E5000000}"/>
    <hyperlink ref="D88" r:id="rId231" xr:uid="{00000000-0004-0000-0D00-0000E6000000}"/>
    <hyperlink ref="A89" r:id="rId232" xr:uid="{00000000-0004-0000-0D00-0000E7000000}"/>
    <hyperlink ref="C89" r:id="rId233" xr:uid="{00000000-0004-0000-0D00-0000E8000000}"/>
    <hyperlink ref="D89" r:id="rId234" xr:uid="{00000000-0004-0000-0D00-0000E9000000}"/>
    <hyperlink ref="A90" r:id="rId235" xr:uid="{00000000-0004-0000-0D00-0000EA000000}"/>
    <hyperlink ref="C90" r:id="rId236" xr:uid="{00000000-0004-0000-0D00-0000EB000000}"/>
    <hyperlink ref="D90" r:id="rId237" xr:uid="{00000000-0004-0000-0D00-0000EC000000}"/>
    <hyperlink ref="A91" r:id="rId238" xr:uid="{00000000-0004-0000-0D00-0000ED000000}"/>
    <hyperlink ref="C91" r:id="rId239" xr:uid="{00000000-0004-0000-0D00-0000EE000000}"/>
    <hyperlink ref="D91" r:id="rId240" xr:uid="{00000000-0004-0000-0D00-0000EF000000}"/>
    <hyperlink ref="A92" r:id="rId241" xr:uid="{00000000-0004-0000-0D00-0000F0000000}"/>
    <hyperlink ref="C92" r:id="rId242" xr:uid="{00000000-0004-0000-0D00-0000F1000000}"/>
    <hyperlink ref="D92" r:id="rId243" xr:uid="{00000000-0004-0000-0D00-0000F2000000}"/>
    <hyperlink ref="A93" r:id="rId244" xr:uid="{00000000-0004-0000-0D00-0000F3000000}"/>
    <hyperlink ref="C93" r:id="rId245" xr:uid="{00000000-0004-0000-0D00-0000F4000000}"/>
    <hyperlink ref="D93" r:id="rId246" xr:uid="{00000000-0004-0000-0D00-0000F5000000}"/>
    <hyperlink ref="A94" r:id="rId247" xr:uid="{00000000-0004-0000-0D00-0000F6000000}"/>
    <hyperlink ref="C94" r:id="rId248" xr:uid="{00000000-0004-0000-0D00-0000F7000000}"/>
    <hyperlink ref="D94" r:id="rId249" xr:uid="{00000000-0004-0000-0D00-0000F8000000}"/>
    <hyperlink ref="A95" r:id="rId250" xr:uid="{00000000-0004-0000-0D00-0000F9000000}"/>
    <hyperlink ref="C95" r:id="rId251" xr:uid="{00000000-0004-0000-0D00-0000FA000000}"/>
    <hyperlink ref="D95" r:id="rId252" xr:uid="{00000000-0004-0000-0D00-0000FB000000}"/>
    <hyperlink ref="C96" r:id="rId253" xr:uid="{00000000-0004-0000-0D00-0000FC000000}"/>
    <hyperlink ref="D96" r:id="rId254" xr:uid="{00000000-0004-0000-0D00-0000FD000000}"/>
    <hyperlink ref="A97" r:id="rId255" xr:uid="{00000000-0004-0000-0D00-0000FE000000}"/>
    <hyperlink ref="C97" r:id="rId256" xr:uid="{00000000-0004-0000-0D00-0000FF000000}"/>
    <hyperlink ref="D97" r:id="rId257" xr:uid="{00000000-0004-0000-0D00-000000010000}"/>
    <hyperlink ref="A98" r:id="rId258" xr:uid="{00000000-0004-0000-0D00-000001010000}"/>
    <hyperlink ref="C98" r:id="rId259" xr:uid="{00000000-0004-0000-0D00-000002010000}"/>
    <hyperlink ref="D98" r:id="rId260" xr:uid="{00000000-0004-0000-0D00-000003010000}"/>
    <hyperlink ref="A99" r:id="rId261" xr:uid="{00000000-0004-0000-0D00-000004010000}"/>
    <hyperlink ref="C99" r:id="rId262" xr:uid="{00000000-0004-0000-0D00-000005010000}"/>
    <hyperlink ref="D99" r:id="rId263" xr:uid="{00000000-0004-0000-0D00-000006010000}"/>
    <hyperlink ref="A100" r:id="rId264" xr:uid="{00000000-0004-0000-0D00-000007010000}"/>
    <hyperlink ref="C100" r:id="rId265" xr:uid="{00000000-0004-0000-0D00-000008010000}"/>
    <hyperlink ref="D100" r:id="rId266" xr:uid="{00000000-0004-0000-0D00-000009010000}"/>
    <hyperlink ref="A101" r:id="rId267" xr:uid="{00000000-0004-0000-0D00-00000A010000}"/>
    <hyperlink ref="C101" r:id="rId268" xr:uid="{00000000-0004-0000-0D00-00000B010000}"/>
    <hyperlink ref="D101" r:id="rId269" xr:uid="{00000000-0004-0000-0D00-00000C010000}"/>
    <hyperlink ref="A102" r:id="rId270" xr:uid="{00000000-0004-0000-0D00-00000D010000}"/>
    <hyperlink ref="C102" r:id="rId271" xr:uid="{00000000-0004-0000-0D00-00000E010000}"/>
    <hyperlink ref="D102" r:id="rId272" xr:uid="{00000000-0004-0000-0D00-00000F010000}"/>
    <hyperlink ref="A103" r:id="rId273" xr:uid="{00000000-0004-0000-0D00-000010010000}"/>
    <hyperlink ref="C103" r:id="rId274" xr:uid="{00000000-0004-0000-0D00-000011010000}"/>
    <hyperlink ref="D103" r:id="rId275" xr:uid="{00000000-0004-0000-0D00-000012010000}"/>
    <hyperlink ref="A104" r:id="rId276" xr:uid="{00000000-0004-0000-0D00-000013010000}"/>
    <hyperlink ref="C104" r:id="rId277" display="http://probaseballexperience.jcink.net/index.php?showuser=5" xr:uid="{00000000-0004-0000-0D00-000014010000}"/>
    <hyperlink ref="D104" r:id="rId278" xr:uid="{00000000-0004-0000-0D00-000015010000}"/>
    <hyperlink ref="A105" r:id="rId279" xr:uid="{00000000-0004-0000-0D00-000016010000}"/>
    <hyperlink ref="C105" r:id="rId280" xr:uid="{00000000-0004-0000-0D00-000017010000}"/>
    <hyperlink ref="D105" r:id="rId281" xr:uid="{00000000-0004-0000-0D00-000018010000}"/>
    <hyperlink ref="A106" r:id="rId282" xr:uid="{00000000-0004-0000-0D00-000019010000}"/>
    <hyperlink ref="C106" r:id="rId283" xr:uid="{00000000-0004-0000-0D00-00001A010000}"/>
    <hyperlink ref="D106" r:id="rId284" xr:uid="{00000000-0004-0000-0D00-00001B010000}"/>
    <hyperlink ref="A107" r:id="rId285" xr:uid="{00000000-0004-0000-0D00-00001C010000}"/>
    <hyperlink ref="C107" r:id="rId286" xr:uid="{00000000-0004-0000-0D00-00001D010000}"/>
    <hyperlink ref="D107" r:id="rId287" xr:uid="{00000000-0004-0000-0D00-00001E010000}"/>
    <hyperlink ref="A108" r:id="rId288" xr:uid="{00000000-0004-0000-0D00-00001F010000}"/>
    <hyperlink ref="C108" r:id="rId289" xr:uid="{00000000-0004-0000-0D00-000020010000}"/>
    <hyperlink ref="D108" r:id="rId290" xr:uid="{00000000-0004-0000-0D00-000021010000}"/>
    <hyperlink ref="A109" r:id="rId291" xr:uid="{00000000-0004-0000-0D00-000022010000}"/>
    <hyperlink ref="C109" r:id="rId292" xr:uid="{00000000-0004-0000-0D00-000023010000}"/>
    <hyperlink ref="D109" r:id="rId293" xr:uid="{00000000-0004-0000-0D00-000024010000}"/>
    <hyperlink ref="A110" r:id="rId294" xr:uid="{00000000-0004-0000-0D00-000025010000}"/>
    <hyperlink ref="C110" r:id="rId295" xr:uid="{00000000-0004-0000-0D00-000026010000}"/>
    <hyperlink ref="D110" r:id="rId296" xr:uid="{00000000-0004-0000-0D00-000027010000}"/>
    <hyperlink ref="A111" r:id="rId297" xr:uid="{00000000-0004-0000-0D00-000028010000}"/>
    <hyperlink ref="C111" r:id="rId298" xr:uid="{00000000-0004-0000-0D00-000029010000}"/>
    <hyperlink ref="D111" r:id="rId299" xr:uid="{00000000-0004-0000-0D00-00002A010000}"/>
    <hyperlink ref="A112" r:id="rId300" xr:uid="{00000000-0004-0000-0D00-00002B010000}"/>
    <hyperlink ref="C112" r:id="rId301" xr:uid="{00000000-0004-0000-0D00-00002C010000}"/>
    <hyperlink ref="D112" r:id="rId302" xr:uid="{00000000-0004-0000-0D00-00002D010000}"/>
    <hyperlink ref="A113" r:id="rId303" xr:uid="{00000000-0004-0000-0D00-00002E010000}"/>
    <hyperlink ref="C113" r:id="rId304" xr:uid="{00000000-0004-0000-0D00-00002F010000}"/>
    <hyperlink ref="D113" r:id="rId305" xr:uid="{00000000-0004-0000-0D00-000030010000}"/>
    <hyperlink ref="A114" r:id="rId306" xr:uid="{00000000-0004-0000-0D00-000031010000}"/>
    <hyperlink ref="C114" r:id="rId307" xr:uid="{00000000-0004-0000-0D00-000032010000}"/>
    <hyperlink ref="D114" r:id="rId308" xr:uid="{00000000-0004-0000-0D00-000033010000}"/>
    <hyperlink ref="A115" r:id="rId309" xr:uid="{00000000-0004-0000-0D00-000034010000}"/>
    <hyperlink ref="C115" r:id="rId310" xr:uid="{00000000-0004-0000-0D00-000035010000}"/>
    <hyperlink ref="D115" r:id="rId311" xr:uid="{00000000-0004-0000-0D00-000036010000}"/>
    <hyperlink ref="A116" r:id="rId312" xr:uid="{00000000-0004-0000-0D00-000037010000}"/>
    <hyperlink ref="C116" r:id="rId313" xr:uid="{00000000-0004-0000-0D00-000038010000}"/>
    <hyperlink ref="D116" r:id="rId314" xr:uid="{00000000-0004-0000-0D00-000039010000}"/>
    <hyperlink ref="A117" r:id="rId315" xr:uid="{00000000-0004-0000-0D00-00003A010000}"/>
    <hyperlink ref="C117" r:id="rId316" xr:uid="{00000000-0004-0000-0D00-00003B010000}"/>
    <hyperlink ref="D117" r:id="rId317" xr:uid="{00000000-0004-0000-0D00-00003C010000}"/>
    <hyperlink ref="A118" r:id="rId318" xr:uid="{00000000-0004-0000-0D00-00003D010000}"/>
    <hyperlink ref="C118" r:id="rId319" xr:uid="{00000000-0004-0000-0D00-00003E010000}"/>
    <hyperlink ref="D118" r:id="rId320" xr:uid="{00000000-0004-0000-0D00-00003F010000}"/>
    <hyperlink ref="A119" r:id="rId321" xr:uid="{00000000-0004-0000-0D00-000040010000}"/>
    <hyperlink ref="C119" r:id="rId322" xr:uid="{00000000-0004-0000-0D00-000041010000}"/>
    <hyperlink ref="D119" r:id="rId323" xr:uid="{00000000-0004-0000-0D00-000042010000}"/>
    <hyperlink ref="A120" r:id="rId324" xr:uid="{00000000-0004-0000-0D00-000043010000}"/>
    <hyperlink ref="C120" r:id="rId325" xr:uid="{00000000-0004-0000-0D00-000044010000}"/>
    <hyperlink ref="D120" r:id="rId326" xr:uid="{00000000-0004-0000-0D00-000045010000}"/>
    <hyperlink ref="A121" r:id="rId327" xr:uid="{00000000-0004-0000-0D00-000046010000}"/>
    <hyperlink ref="C121" r:id="rId328" xr:uid="{00000000-0004-0000-0D00-000047010000}"/>
    <hyperlink ref="D121" r:id="rId329" xr:uid="{00000000-0004-0000-0D00-000048010000}"/>
    <hyperlink ref="A122" r:id="rId330" xr:uid="{00000000-0004-0000-0D00-000049010000}"/>
    <hyperlink ref="C122" r:id="rId331" xr:uid="{00000000-0004-0000-0D00-00004A010000}"/>
    <hyperlink ref="D122" r:id="rId332" xr:uid="{00000000-0004-0000-0D00-00004B010000}"/>
    <hyperlink ref="A123" r:id="rId333" xr:uid="{00000000-0004-0000-0D00-00004C010000}"/>
    <hyperlink ref="C123" r:id="rId334" xr:uid="{00000000-0004-0000-0D00-00004D010000}"/>
    <hyperlink ref="D123" r:id="rId335" xr:uid="{00000000-0004-0000-0D00-00004E010000}"/>
    <hyperlink ref="A124" r:id="rId336" xr:uid="{00000000-0004-0000-0D00-00004F010000}"/>
    <hyperlink ref="C124" r:id="rId337" xr:uid="{00000000-0004-0000-0D00-000050010000}"/>
    <hyperlink ref="D124" r:id="rId338" xr:uid="{00000000-0004-0000-0D00-000051010000}"/>
    <hyperlink ref="A125" r:id="rId339" xr:uid="{00000000-0004-0000-0D00-000052010000}"/>
    <hyperlink ref="C125" r:id="rId340" xr:uid="{00000000-0004-0000-0D00-000053010000}"/>
    <hyperlink ref="D125" r:id="rId341" xr:uid="{00000000-0004-0000-0D00-000054010000}"/>
    <hyperlink ref="A126" r:id="rId342" xr:uid="{00000000-0004-0000-0D00-000055010000}"/>
    <hyperlink ref="C126" r:id="rId343" xr:uid="{00000000-0004-0000-0D00-000056010000}"/>
    <hyperlink ref="D126" r:id="rId344" xr:uid="{00000000-0004-0000-0D00-000057010000}"/>
    <hyperlink ref="A127" r:id="rId345" xr:uid="{00000000-0004-0000-0D00-000058010000}"/>
    <hyperlink ref="C127" r:id="rId346" xr:uid="{00000000-0004-0000-0D00-000059010000}"/>
    <hyperlink ref="D127" r:id="rId347" xr:uid="{00000000-0004-0000-0D00-00005A010000}"/>
    <hyperlink ref="A128" r:id="rId348" xr:uid="{00000000-0004-0000-0D00-00005B010000}"/>
    <hyperlink ref="C128" r:id="rId349" xr:uid="{00000000-0004-0000-0D00-00005C010000}"/>
    <hyperlink ref="D128" r:id="rId350" xr:uid="{00000000-0004-0000-0D00-00005D010000}"/>
    <hyperlink ref="A129" r:id="rId351" xr:uid="{00000000-0004-0000-0D00-00005E010000}"/>
    <hyperlink ref="C129" r:id="rId352" xr:uid="{00000000-0004-0000-0D00-00005F010000}"/>
    <hyperlink ref="D129" r:id="rId353" xr:uid="{00000000-0004-0000-0D00-000060010000}"/>
    <hyperlink ref="C130" r:id="rId354" xr:uid="{00000000-0004-0000-0D00-000061010000}"/>
    <hyperlink ref="D130" r:id="rId355" xr:uid="{00000000-0004-0000-0D00-000062010000}"/>
  </hyperlinks>
  <pageMargins left="0.7" right="0.7" top="0.75" bottom="0.75" header="0.3" footer="0.3"/>
  <tableParts count="2">
    <tablePart r:id="rId356"/>
    <tablePart r:id="rId357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B1:O136"/>
  <sheetViews>
    <sheetView workbookViewId="0"/>
  </sheetViews>
  <sheetFormatPr baseColWidth="10" defaultColWidth="14.5" defaultRowHeight="15.75" customHeight="1"/>
  <cols>
    <col min="1" max="1" width="4.5" customWidth="1"/>
    <col min="4" max="4" width="5.1640625" customWidth="1"/>
    <col min="7" max="7" width="6.1640625" customWidth="1"/>
    <col min="10" max="10" width="5.6640625" customWidth="1"/>
    <col min="13" max="13" width="5.5" customWidth="1"/>
  </cols>
  <sheetData>
    <row r="1" spans="2:15" ht="15.75" customHeight="1">
      <c r="B1" s="316" t="s">
        <v>1818</v>
      </c>
      <c r="C1" s="317"/>
      <c r="D1" s="317"/>
      <c r="E1" s="317"/>
      <c r="F1" s="317"/>
      <c r="G1" s="317"/>
      <c r="H1" s="317"/>
      <c r="I1" s="317"/>
      <c r="J1" s="21"/>
      <c r="K1" s="21"/>
      <c r="L1" s="21"/>
      <c r="M1" s="21"/>
      <c r="N1" s="21"/>
    </row>
    <row r="2" spans="2:15" ht="15.75" customHeight="1">
      <c r="B2" s="318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</row>
    <row r="3" spans="2:15" ht="15.75" customHeight="1">
      <c r="B3" s="424" t="s">
        <v>1819</v>
      </c>
      <c r="C3" s="421"/>
      <c r="D3" s="319"/>
      <c r="E3" s="423" t="s">
        <v>1820</v>
      </c>
      <c r="F3" s="421"/>
      <c r="G3" s="319"/>
      <c r="H3" s="422" t="s">
        <v>1821</v>
      </c>
      <c r="I3" s="421"/>
      <c r="J3" s="319"/>
      <c r="K3" s="420" t="s">
        <v>1822</v>
      </c>
      <c r="L3" s="421"/>
      <c r="M3" s="21"/>
      <c r="N3" s="21"/>
    </row>
    <row r="4" spans="2:15" ht="15.75" customHeight="1">
      <c r="B4" s="320" t="s">
        <v>1823</v>
      </c>
      <c r="C4" s="320" t="s">
        <v>1824</v>
      </c>
      <c r="D4" s="319"/>
      <c r="E4" s="321" t="s">
        <v>1825</v>
      </c>
      <c r="F4" s="321" t="s">
        <v>1826</v>
      </c>
      <c r="G4" s="319"/>
      <c r="H4" s="322" t="s">
        <v>1827</v>
      </c>
      <c r="I4" s="322" t="s">
        <v>1827</v>
      </c>
      <c r="J4" s="319"/>
      <c r="K4" s="323" t="s">
        <v>1828</v>
      </c>
      <c r="L4" s="323" t="s">
        <v>1829</v>
      </c>
      <c r="M4" s="21"/>
      <c r="N4" s="21"/>
    </row>
    <row r="5" spans="2:15" ht="15.75" customHeight="1">
      <c r="B5" s="320" t="s">
        <v>1830</v>
      </c>
      <c r="C5" s="320" t="s">
        <v>1831</v>
      </c>
      <c r="D5" s="319"/>
      <c r="E5" s="321" t="s">
        <v>1832</v>
      </c>
      <c r="F5" s="321" t="s">
        <v>1833</v>
      </c>
      <c r="G5" s="319"/>
      <c r="H5" s="322" t="s">
        <v>1834</v>
      </c>
      <c r="I5" s="322" t="s">
        <v>1835</v>
      </c>
      <c r="J5" s="319"/>
      <c r="K5" s="324" t="s">
        <v>1836</v>
      </c>
      <c r="L5" s="324" t="s">
        <v>1837</v>
      </c>
      <c r="M5" s="21"/>
      <c r="N5" s="21"/>
    </row>
    <row r="6" spans="2:15" ht="15.75" customHeight="1">
      <c r="B6" s="320" t="s">
        <v>1838</v>
      </c>
      <c r="C6" s="320" t="s">
        <v>1839</v>
      </c>
      <c r="D6" s="319"/>
      <c r="E6" s="325" t="s">
        <v>1840</v>
      </c>
      <c r="F6" s="321" t="s">
        <v>1841</v>
      </c>
      <c r="G6" s="319"/>
      <c r="H6" s="322" t="s">
        <v>1842</v>
      </c>
      <c r="I6" s="322" t="s">
        <v>1843</v>
      </c>
      <c r="J6" s="319"/>
      <c r="K6" s="324" t="s">
        <v>1844</v>
      </c>
      <c r="L6" s="324" t="s">
        <v>1845</v>
      </c>
      <c r="M6" s="21"/>
      <c r="N6" s="21"/>
    </row>
    <row r="7" spans="2:15" ht="15.75" customHeight="1">
      <c r="B7" s="320" t="s">
        <v>1846</v>
      </c>
      <c r="C7" s="320" t="s">
        <v>1847</v>
      </c>
      <c r="D7" s="319"/>
      <c r="E7" s="321" t="s">
        <v>1848</v>
      </c>
      <c r="F7" s="321" t="s">
        <v>1849</v>
      </c>
      <c r="G7" s="319"/>
      <c r="H7" s="322" t="s">
        <v>1850</v>
      </c>
      <c r="I7" s="322" t="s">
        <v>1851</v>
      </c>
      <c r="J7" s="319"/>
      <c r="K7" s="324" t="s">
        <v>1852</v>
      </c>
      <c r="L7" s="324" t="s">
        <v>1853</v>
      </c>
      <c r="M7" s="21"/>
      <c r="N7" s="21"/>
    </row>
    <row r="8" spans="2:15" ht="15.75" customHeight="1">
      <c r="B8" s="320" t="s">
        <v>1854</v>
      </c>
      <c r="C8" s="320" t="s">
        <v>1855</v>
      </c>
      <c r="D8" s="319"/>
      <c r="E8" s="321" t="s">
        <v>1856</v>
      </c>
      <c r="F8" s="321" t="s">
        <v>1857</v>
      </c>
      <c r="G8" s="319"/>
      <c r="H8" s="322" t="s">
        <v>1858</v>
      </c>
      <c r="I8" s="322" t="s">
        <v>1859</v>
      </c>
      <c r="J8" s="319"/>
      <c r="K8" s="324" t="s">
        <v>1860</v>
      </c>
      <c r="L8" s="324" t="s">
        <v>1861</v>
      </c>
      <c r="M8" s="21"/>
      <c r="N8" s="21"/>
    </row>
    <row r="9" spans="2:15" ht="15.75" customHeight="1">
      <c r="B9" s="320" t="s">
        <v>1862</v>
      </c>
      <c r="C9" s="320" t="s">
        <v>1863</v>
      </c>
      <c r="D9" s="319"/>
      <c r="E9" s="321" t="s">
        <v>1864</v>
      </c>
      <c r="F9" s="321" t="s">
        <v>1865</v>
      </c>
      <c r="G9" s="319"/>
      <c r="H9" s="322" t="s">
        <v>1866</v>
      </c>
      <c r="I9" s="322" t="s">
        <v>1867</v>
      </c>
      <c r="J9" s="319"/>
      <c r="K9" s="324" t="s">
        <v>1868</v>
      </c>
      <c r="L9" s="324" t="s">
        <v>1869</v>
      </c>
      <c r="M9" s="21"/>
      <c r="N9" s="21"/>
    </row>
    <row r="10" spans="2:15" ht="15.75" customHeight="1">
      <c r="B10" s="320" t="s">
        <v>1870</v>
      </c>
      <c r="C10" s="320" t="s">
        <v>1871</v>
      </c>
      <c r="D10" s="319"/>
      <c r="E10" s="321" t="s">
        <v>1872</v>
      </c>
      <c r="F10" s="321" t="s">
        <v>1873</v>
      </c>
      <c r="G10" s="319"/>
      <c r="I10" s="322" t="s">
        <v>1874</v>
      </c>
      <c r="J10" s="319"/>
      <c r="K10" s="324" t="s">
        <v>1875</v>
      </c>
      <c r="L10" s="324" t="s">
        <v>1876</v>
      </c>
      <c r="M10" s="21"/>
      <c r="N10" s="21"/>
    </row>
    <row r="11" spans="2:15" ht="15.75" customHeight="1">
      <c r="D11" s="21"/>
      <c r="E11" s="321" t="s">
        <v>1877</v>
      </c>
      <c r="F11" s="321" t="s">
        <v>1878</v>
      </c>
      <c r="G11" s="319"/>
      <c r="I11" s="322" t="s">
        <v>1879</v>
      </c>
      <c r="J11" s="21"/>
      <c r="K11" s="326" t="s">
        <v>1880</v>
      </c>
      <c r="L11" s="326" t="s">
        <v>1881</v>
      </c>
      <c r="M11" s="21"/>
      <c r="N11" s="21"/>
    </row>
    <row r="12" spans="2:15" ht="15.75" customHeight="1">
      <c r="C12" s="21"/>
      <c r="D12" s="21"/>
      <c r="E12" s="321" t="s">
        <v>1882</v>
      </c>
      <c r="G12" s="319"/>
      <c r="J12" s="21"/>
      <c r="M12" s="21"/>
      <c r="N12" s="21"/>
    </row>
    <row r="13" spans="2:15" ht="15.75" customHeight="1">
      <c r="B13" s="21"/>
      <c r="C13" s="21"/>
      <c r="D13" s="21"/>
      <c r="G13" s="21"/>
      <c r="J13" s="21"/>
      <c r="L13" s="21"/>
      <c r="M13" s="21"/>
      <c r="N13" s="21"/>
    </row>
    <row r="14" spans="2:15" ht="15.75" customHeight="1">
      <c r="M14" s="21"/>
      <c r="N14" s="21"/>
      <c r="O14" s="21"/>
    </row>
    <row r="15" spans="2:15" ht="15.75" customHeight="1">
      <c r="M15" s="21"/>
      <c r="N15" s="21"/>
    </row>
    <row r="16" spans="2:15" ht="15.75" customHeight="1">
      <c r="M16" s="21"/>
      <c r="N16" s="21"/>
    </row>
    <row r="17" spans="2:14" ht="15.75" customHeight="1">
      <c r="B17" s="327"/>
      <c r="C17" s="327"/>
      <c r="D17" s="21"/>
      <c r="E17" s="327"/>
      <c r="F17" s="327"/>
      <c r="G17" s="21"/>
      <c r="H17" s="327"/>
      <c r="I17" s="327"/>
      <c r="J17" s="21"/>
      <c r="K17" s="327"/>
      <c r="L17" s="327"/>
      <c r="M17" s="21"/>
      <c r="N17" s="21"/>
    </row>
    <row r="18" spans="2:14" ht="15.75" customHeight="1">
      <c r="B18" s="426" t="s">
        <v>1883</v>
      </c>
      <c r="C18" s="421"/>
      <c r="D18" s="319"/>
      <c r="E18" s="425" t="s">
        <v>1884</v>
      </c>
      <c r="F18" s="421"/>
      <c r="G18" s="319"/>
      <c r="H18" s="428" t="s">
        <v>1885</v>
      </c>
      <c r="I18" s="421"/>
      <c r="J18" s="319"/>
      <c r="K18" s="427" t="s">
        <v>1886</v>
      </c>
      <c r="L18" s="421"/>
      <c r="M18" s="21"/>
      <c r="N18" s="21"/>
    </row>
    <row r="19" spans="2:14" ht="15.75" customHeight="1">
      <c r="B19" s="328" t="s">
        <v>1887</v>
      </c>
      <c r="C19" s="328" t="s">
        <v>1888</v>
      </c>
      <c r="D19" s="319"/>
      <c r="E19" s="329" t="s">
        <v>1889</v>
      </c>
      <c r="F19" s="329" t="s">
        <v>1890</v>
      </c>
      <c r="G19" s="319"/>
      <c r="H19" s="330" t="s">
        <v>1891</v>
      </c>
      <c r="I19" s="330" t="s">
        <v>1892</v>
      </c>
      <c r="J19" s="319"/>
      <c r="K19" s="325" t="s">
        <v>1893</v>
      </c>
      <c r="L19" s="325" t="s">
        <v>1894</v>
      </c>
      <c r="M19" s="21"/>
      <c r="N19" s="21"/>
    </row>
    <row r="20" spans="2:14" ht="15.75" customHeight="1">
      <c r="B20" s="328" t="s">
        <v>1895</v>
      </c>
      <c r="C20" s="328" t="s">
        <v>1896</v>
      </c>
      <c r="D20" s="319"/>
      <c r="E20" s="329" t="s">
        <v>1897</v>
      </c>
      <c r="F20" s="329" t="s">
        <v>1898</v>
      </c>
      <c r="G20" s="319"/>
      <c r="H20" s="330" t="s">
        <v>1899</v>
      </c>
      <c r="I20" s="330" t="s">
        <v>1900</v>
      </c>
      <c r="J20" s="319"/>
      <c r="K20" s="325" t="s">
        <v>1901</v>
      </c>
      <c r="L20" s="325" t="s">
        <v>1902</v>
      </c>
      <c r="M20" s="21"/>
      <c r="N20" s="21"/>
    </row>
    <row r="21" spans="2:14" ht="15.75" customHeight="1">
      <c r="B21" s="328" t="s">
        <v>1903</v>
      </c>
      <c r="C21" s="328" t="s">
        <v>1904</v>
      </c>
      <c r="D21" s="319"/>
      <c r="E21" s="329" t="s">
        <v>1905</v>
      </c>
      <c r="F21" s="329" t="s">
        <v>1906</v>
      </c>
      <c r="G21" s="319"/>
      <c r="H21" s="330" t="s">
        <v>1907</v>
      </c>
      <c r="I21" s="330" t="s">
        <v>1908</v>
      </c>
      <c r="J21" s="319"/>
      <c r="K21" s="322" t="s">
        <v>1909</v>
      </c>
      <c r="L21" s="325" t="s">
        <v>1910</v>
      </c>
      <c r="M21" s="21"/>
      <c r="N21" s="21"/>
    </row>
    <row r="22" spans="2:14" ht="15.75" customHeight="1">
      <c r="B22" s="328" t="s">
        <v>1911</v>
      </c>
      <c r="C22" s="328" t="s">
        <v>1912</v>
      </c>
      <c r="D22" s="319"/>
      <c r="E22" s="329" t="s">
        <v>1913</v>
      </c>
      <c r="F22" s="329" t="s">
        <v>1914</v>
      </c>
      <c r="G22" s="319"/>
      <c r="H22" s="330" t="s">
        <v>1915</v>
      </c>
      <c r="I22" s="330" t="s">
        <v>1916</v>
      </c>
      <c r="J22" s="319"/>
      <c r="K22" s="328" t="s">
        <v>1917</v>
      </c>
      <c r="L22" s="325" t="s">
        <v>1918</v>
      </c>
      <c r="M22" s="21"/>
      <c r="N22" s="21"/>
    </row>
    <row r="23" spans="2:14" ht="15.75" customHeight="1">
      <c r="B23" s="328" t="s">
        <v>1919</v>
      </c>
      <c r="C23" s="328" t="s">
        <v>1920</v>
      </c>
      <c r="D23" s="319"/>
      <c r="E23" s="329" t="s">
        <v>1921</v>
      </c>
      <c r="F23" s="329" t="s">
        <v>1922</v>
      </c>
      <c r="G23" s="319"/>
      <c r="H23" s="330" t="s">
        <v>1923</v>
      </c>
      <c r="I23" s="330" t="s">
        <v>1924</v>
      </c>
      <c r="J23" s="319"/>
      <c r="K23" s="325" t="s">
        <v>1925</v>
      </c>
      <c r="L23" s="325" t="s">
        <v>1926</v>
      </c>
      <c r="M23" s="21"/>
      <c r="N23" s="21"/>
    </row>
    <row r="24" spans="2:14" ht="15.75" customHeight="1">
      <c r="B24" s="328" t="s">
        <v>1927</v>
      </c>
      <c r="C24" s="328" t="s">
        <v>1928</v>
      </c>
      <c r="D24" s="319"/>
      <c r="E24" s="322" t="s">
        <v>1929</v>
      </c>
      <c r="F24" s="329" t="s">
        <v>1930</v>
      </c>
      <c r="G24" s="319"/>
      <c r="H24" s="320" t="s">
        <v>1931</v>
      </c>
      <c r="I24" s="330" t="s">
        <v>1932</v>
      </c>
      <c r="J24" s="319"/>
      <c r="K24" s="325" t="s">
        <v>1933</v>
      </c>
      <c r="L24" s="325" t="s">
        <v>1934</v>
      </c>
      <c r="M24" s="21"/>
      <c r="N24" s="21"/>
    </row>
    <row r="25" spans="2:14" ht="15.75" customHeight="1">
      <c r="B25" s="328" t="s">
        <v>1935</v>
      </c>
      <c r="C25" s="328" t="s">
        <v>1936</v>
      </c>
      <c r="D25" s="319"/>
      <c r="E25" s="329" t="s">
        <v>1937</v>
      </c>
      <c r="F25" s="329" t="s">
        <v>1938</v>
      </c>
      <c r="G25" s="319"/>
      <c r="H25" s="330" t="s">
        <v>1939</v>
      </c>
      <c r="I25" s="330" t="s">
        <v>1940</v>
      </c>
      <c r="J25" s="319"/>
      <c r="K25" s="325" t="s">
        <v>1941</v>
      </c>
      <c r="L25" s="325" t="s">
        <v>1942</v>
      </c>
      <c r="M25" s="21"/>
      <c r="N25" s="21"/>
    </row>
    <row r="26" spans="2:14" ht="15.75" customHeight="1">
      <c r="C26" s="328" t="s">
        <v>1943</v>
      </c>
      <c r="D26" s="319"/>
      <c r="E26" s="329" t="s">
        <v>1944</v>
      </c>
      <c r="F26" s="329" t="s">
        <v>1945</v>
      </c>
      <c r="G26" s="21"/>
      <c r="H26" s="330" t="s">
        <v>1946</v>
      </c>
      <c r="I26" s="330" t="s">
        <v>1947</v>
      </c>
      <c r="J26" s="319"/>
      <c r="K26" s="325" t="s">
        <v>1948</v>
      </c>
      <c r="L26" s="325" t="s">
        <v>1949</v>
      </c>
      <c r="M26" s="21"/>
      <c r="N26" s="21"/>
    </row>
    <row r="27" spans="2:14" ht="15.75" customHeight="1">
      <c r="E27" s="329" t="s">
        <v>1950</v>
      </c>
      <c r="H27" s="330" t="s">
        <v>1951</v>
      </c>
      <c r="K27" s="325" t="s">
        <v>1952</v>
      </c>
      <c r="M27" s="21"/>
      <c r="N27" s="21"/>
    </row>
    <row r="28" spans="2:14" ht="15.75" customHeight="1">
      <c r="B28" s="318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2:14" ht="15.75" customHeight="1">
      <c r="B29" s="318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2:14" ht="15.75" customHeight="1">
      <c r="B30" s="318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2:14" ht="15.75" customHeight="1">
      <c r="B31" s="318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2:14" ht="15.75" customHeight="1">
      <c r="B32" s="318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2:15" ht="15.75" customHeight="1">
      <c r="B33" s="318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</row>
    <row r="34" spans="2:15" ht="15.75" customHeight="1">
      <c r="B34" s="318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2:15" ht="15.75" customHeight="1">
      <c r="B35" s="318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</row>
    <row r="36" spans="2:15" ht="15.75" customHeight="1">
      <c r="B36" s="318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</row>
    <row r="37" spans="2:15" ht="15.75" customHeight="1">
      <c r="B37" s="318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</row>
    <row r="38" spans="2:15" ht="15.75" customHeight="1">
      <c r="B38" s="318" t="s">
        <v>1953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</row>
    <row r="40" spans="2:15" ht="15.75" customHeight="1">
      <c r="B40" s="327"/>
      <c r="C40" s="327"/>
      <c r="D40" s="21"/>
      <c r="E40" s="327"/>
      <c r="F40" s="327"/>
      <c r="G40" s="21"/>
      <c r="I40" s="327"/>
      <c r="J40" s="21"/>
      <c r="K40" s="327"/>
      <c r="L40" s="327"/>
      <c r="M40" s="21"/>
      <c r="N40" s="21" t="s">
        <v>1954</v>
      </c>
    </row>
    <row r="41" spans="2:15" ht="15.75" customHeight="1">
      <c r="B41" s="424" t="s">
        <v>1819</v>
      </c>
      <c r="C41" s="421"/>
      <c r="D41" s="319"/>
      <c r="E41" s="423" t="s">
        <v>1820</v>
      </c>
      <c r="F41" s="421"/>
      <c r="G41" s="319"/>
      <c r="H41" s="422" t="s">
        <v>1821</v>
      </c>
      <c r="I41" s="421"/>
      <c r="J41" s="319"/>
      <c r="K41" s="420" t="s">
        <v>1822</v>
      </c>
      <c r="L41" s="421"/>
      <c r="M41" s="21"/>
      <c r="N41" s="331" t="s">
        <v>19</v>
      </c>
    </row>
    <row r="42" spans="2:15" ht="15.75" customHeight="1">
      <c r="B42" s="320" t="s">
        <v>1955</v>
      </c>
      <c r="C42" s="320" t="s">
        <v>1823</v>
      </c>
      <c r="D42" s="319"/>
      <c r="E42" s="321" t="s">
        <v>1956</v>
      </c>
      <c r="F42" s="321" t="s">
        <v>1825</v>
      </c>
      <c r="G42" s="319"/>
      <c r="H42" s="322" t="s">
        <v>1957</v>
      </c>
      <c r="I42" s="322" t="s">
        <v>1827</v>
      </c>
      <c r="J42" s="319"/>
      <c r="K42" s="323" t="s">
        <v>1958</v>
      </c>
      <c r="L42" s="323" t="s">
        <v>1828</v>
      </c>
      <c r="M42" s="21"/>
      <c r="N42" s="332" t="s">
        <v>1959</v>
      </c>
      <c r="O42" s="15" t="s">
        <v>1960</v>
      </c>
    </row>
    <row r="43" spans="2:15" ht="15.75" customHeight="1">
      <c r="B43" s="329" t="s">
        <v>1961</v>
      </c>
      <c r="C43" s="320" t="s">
        <v>1830</v>
      </c>
      <c r="D43" s="319"/>
      <c r="E43" s="324" t="s">
        <v>1962</v>
      </c>
      <c r="F43" s="321" t="s">
        <v>1832</v>
      </c>
      <c r="G43" s="319"/>
      <c r="H43" s="325" t="s">
        <v>1963</v>
      </c>
      <c r="I43" s="322" t="s">
        <v>1834</v>
      </c>
      <c r="J43" s="319"/>
      <c r="K43" s="321" t="s">
        <v>1964</v>
      </c>
      <c r="L43" s="324" t="s">
        <v>1836</v>
      </c>
      <c r="M43" s="21"/>
      <c r="N43" s="320" t="s">
        <v>1965</v>
      </c>
      <c r="O43" s="15" t="s">
        <v>1966</v>
      </c>
    </row>
    <row r="44" spans="2:15" ht="15.75" customHeight="1">
      <c r="B44" s="333" t="s">
        <v>1967</v>
      </c>
      <c r="C44" s="320" t="s">
        <v>1838</v>
      </c>
      <c r="D44" s="319"/>
      <c r="E44" s="330" t="s">
        <v>1968</v>
      </c>
      <c r="F44" s="325" t="s">
        <v>1840</v>
      </c>
      <c r="G44" s="319"/>
      <c r="H44" s="322" t="s">
        <v>1969</v>
      </c>
      <c r="I44" s="322" t="s">
        <v>1842</v>
      </c>
      <c r="J44" s="319"/>
      <c r="K44" s="325" t="s">
        <v>1970</v>
      </c>
      <c r="L44" s="324" t="s">
        <v>1844</v>
      </c>
      <c r="M44" s="21"/>
    </row>
    <row r="45" spans="2:15" ht="15.75" customHeight="1">
      <c r="B45" s="324" t="s">
        <v>1971</v>
      </c>
      <c r="C45" s="320" t="s">
        <v>1846</v>
      </c>
      <c r="D45" s="319"/>
      <c r="E45" s="334" t="s">
        <v>1972</v>
      </c>
      <c r="F45" s="321" t="s">
        <v>1848</v>
      </c>
      <c r="G45" s="319"/>
      <c r="H45" s="322" t="s">
        <v>1973</v>
      </c>
      <c r="I45" s="322" t="s">
        <v>1850</v>
      </c>
      <c r="J45" s="319"/>
      <c r="K45" s="328" t="s">
        <v>1974</v>
      </c>
      <c r="L45" s="324" t="s">
        <v>1852</v>
      </c>
      <c r="M45" s="21"/>
      <c r="N45" s="21"/>
    </row>
    <row r="46" spans="2:15" ht="15.75" customHeight="1">
      <c r="B46" s="333" t="s">
        <v>1975</v>
      </c>
      <c r="C46" s="320" t="s">
        <v>1854</v>
      </c>
      <c r="D46" s="319"/>
      <c r="E46" s="334" t="s">
        <v>1976</v>
      </c>
      <c r="F46" s="321" t="s">
        <v>1856</v>
      </c>
      <c r="G46" s="319"/>
      <c r="H46" s="330" t="s">
        <v>1977</v>
      </c>
      <c r="I46" s="322" t="s">
        <v>1858</v>
      </c>
      <c r="J46" s="319"/>
      <c r="K46" s="324" t="s">
        <v>1978</v>
      </c>
      <c r="L46" s="324" t="s">
        <v>1860</v>
      </c>
      <c r="M46" s="21"/>
      <c r="N46" s="21"/>
    </row>
    <row r="47" spans="2:15" ht="15.75" customHeight="1">
      <c r="B47" s="320" t="s">
        <v>1979</v>
      </c>
      <c r="C47" s="320" t="s">
        <v>1862</v>
      </c>
      <c r="D47" s="319"/>
      <c r="E47" s="321" t="s">
        <v>1980</v>
      </c>
      <c r="F47" s="321" t="s">
        <v>1864</v>
      </c>
      <c r="G47" s="319"/>
      <c r="H47" s="324" t="s">
        <v>1981</v>
      </c>
      <c r="I47" s="322" t="s">
        <v>1866</v>
      </c>
      <c r="J47" s="319"/>
      <c r="K47" s="324" t="s">
        <v>1982</v>
      </c>
      <c r="L47" s="324" t="s">
        <v>1868</v>
      </c>
      <c r="M47" s="21"/>
      <c r="N47" s="21"/>
    </row>
    <row r="48" spans="2:15" ht="15.75" customHeight="1">
      <c r="B48" s="320" t="s">
        <v>1983</v>
      </c>
      <c r="C48" s="320" t="s">
        <v>1870</v>
      </c>
      <c r="D48" s="319"/>
      <c r="E48" s="321" t="s">
        <v>1984</v>
      </c>
      <c r="F48" s="321" t="s">
        <v>1872</v>
      </c>
      <c r="G48" s="319"/>
      <c r="H48" s="321" t="s">
        <v>1985</v>
      </c>
      <c r="J48" s="319"/>
      <c r="K48" s="324" t="s">
        <v>1986</v>
      </c>
      <c r="L48" s="324" t="s">
        <v>1875</v>
      </c>
      <c r="M48" s="21"/>
      <c r="N48" s="21"/>
    </row>
    <row r="49" spans="2:15" ht="15.75" customHeight="1">
      <c r="D49" s="21"/>
      <c r="F49" s="321" t="s">
        <v>1877</v>
      </c>
      <c r="G49" s="319"/>
      <c r="H49" s="320" t="s">
        <v>1987</v>
      </c>
      <c r="J49" s="21"/>
      <c r="K49" s="335" t="s">
        <v>1988</v>
      </c>
      <c r="L49" s="326" t="s">
        <v>1880</v>
      </c>
      <c r="M49" s="21"/>
      <c r="N49" s="331" t="s">
        <v>20</v>
      </c>
    </row>
    <row r="50" spans="2:15" ht="15.75" customHeight="1">
      <c r="C50" s="21"/>
      <c r="D50" s="21"/>
      <c r="F50" s="321" t="s">
        <v>1882</v>
      </c>
      <c r="G50" s="319"/>
      <c r="H50" s="322" t="s">
        <v>1989</v>
      </c>
      <c r="J50" s="21"/>
      <c r="M50" s="21"/>
      <c r="N50" s="332" t="s">
        <v>1915</v>
      </c>
      <c r="O50" s="15" t="s">
        <v>1960</v>
      </c>
    </row>
    <row r="51" spans="2:15" ht="15.75" customHeight="1">
      <c r="B51" s="21"/>
      <c r="C51" s="21"/>
      <c r="D51" s="21"/>
      <c r="G51" s="21"/>
      <c r="H51" s="322" t="s">
        <v>1990</v>
      </c>
      <c r="I51" s="21"/>
      <c r="J51" s="21"/>
      <c r="L51" s="21"/>
      <c r="M51" s="21"/>
      <c r="N51" s="21"/>
    </row>
    <row r="52" spans="2:15" ht="15.75" customHeight="1">
      <c r="H52" s="336" t="s">
        <v>1991</v>
      </c>
      <c r="M52" s="21"/>
      <c r="N52" s="21"/>
    </row>
    <row r="53" spans="2:15" ht="15.75" customHeight="1">
      <c r="M53" s="21"/>
      <c r="N53" s="21"/>
    </row>
    <row r="54" spans="2:15" ht="15.75" customHeight="1">
      <c r="M54" s="21"/>
      <c r="N54" s="21"/>
    </row>
    <row r="55" spans="2:15" ht="15.75" customHeight="1">
      <c r="B55" s="327"/>
      <c r="C55" s="327"/>
      <c r="D55" s="21"/>
      <c r="E55" s="327"/>
      <c r="F55" s="327"/>
      <c r="G55" s="21"/>
      <c r="H55" s="327"/>
      <c r="I55" s="327"/>
      <c r="J55" s="21"/>
      <c r="K55" s="327"/>
      <c r="L55" s="327"/>
      <c r="M55" s="21"/>
      <c r="N55" s="21"/>
    </row>
    <row r="56" spans="2:15" ht="15.75" customHeight="1">
      <c r="B56" s="426" t="s">
        <v>1883</v>
      </c>
      <c r="C56" s="421"/>
      <c r="D56" s="319"/>
      <c r="E56" s="425" t="s">
        <v>1884</v>
      </c>
      <c r="F56" s="421"/>
      <c r="G56" s="319"/>
      <c r="H56" s="428" t="s">
        <v>1885</v>
      </c>
      <c r="I56" s="421"/>
      <c r="J56" s="319"/>
      <c r="K56" s="427" t="s">
        <v>1886</v>
      </c>
      <c r="L56" s="421"/>
      <c r="M56" s="21"/>
      <c r="N56" s="21"/>
    </row>
    <row r="57" spans="2:15" ht="15.75" customHeight="1">
      <c r="B57" s="328" t="s">
        <v>1992</v>
      </c>
      <c r="C57" s="328" t="s">
        <v>1887</v>
      </c>
      <c r="D57" s="319"/>
      <c r="E57" s="329" t="s">
        <v>1993</v>
      </c>
      <c r="F57" s="329" t="s">
        <v>1889</v>
      </c>
      <c r="G57" s="319"/>
      <c r="H57" s="330" t="s">
        <v>1994</v>
      </c>
      <c r="I57" s="330" t="s">
        <v>1891</v>
      </c>
      <c r="J57" s="319"/>
      <c r="K57" s="320" t="s">
        <v>1995</v>
      </c>
      <c r="L57" s="325" t="s">
        <v>1893</v>
      </c>
      <c r="M57" s="21"/>
    </row>
    <row r="58" spans="2:15" ht="15.75" customHeight="1">
      <c r="B58" s="322" t="s">
        <v>1996</v>
      </c>
      <c r="C58" s="328" t="s">
        <v>1895</v>
      </c>
      <c r="D58" s="319"/>
      <c r="E58" s="329" t="s">
        <v>1997</v>
      </c>
      <c r="F58" s="329" t="s">
        <v>1897</v>
      </c>
      <c r="G58" s="319"/>
      <c r="H58" s="330" t="s">
        <v>1959</v>
      </c>
      <c r="I58" s="330" t="s">
        <v>1899</v>
      </c>
      <c r="J58" s="319"/>
      <c r="K58" s="325" t="s">
        <v>1998</v>
      </c>
      <c r="L58" s="325" t="s">
        <v>1901</v>
      </c>
      <c r="M58" s="21"/>
      <c r="N58" s="21"/>
    </row>
    <row r="59" spans="2:15" ht="15.75" customHeight="1">
      <c r="B59" s="328" t="s">
        <v>1999</v>
      </c>
      <c r="C59" s="328" t="s">
        <v>1903</v>
      </c>
      <c r="D59" s="319"/>
      <c r="E59" s="328" t="s">
        <v>2000</v>
      </c>
      <c r="F59" s="329" t="s">
        <v>1905</v>
      </c>
      <c r="G59" s="319"/>
      <c r="H59" s="320" t="s">
        <v>1965</v>
      </c>
      <c r="I59" s="330" t="s">
        <v>1907</v>
      </c>
      <c r="J59" s="319"/>
      <c r="K59" s="337" t="s">
        <v>2001</v>
      </c>
      <c r="L59" s="322" t="s">
        <v>1909</v>
      </c>
      <c r="M59" s="21"/>
      <c r="N59" s="21"/>
    </row>
    <row r="60" spans="2:15" ht="15.75" customHeight="1">
      <c r="B60" s="328" t="s">
        <v>2002</v>
      </c>
      <c r="C60" s="328" t="s">
        <v>1911</v>
      </c>
      <c r="D60" s="319"/>
      <c r="E60" s="329" t="s">
        <v>2003</v>
      </c>
      <c r="F60" s="329" t="s">
        <v>1913</v>
      </c>
      <c r="G60" s="319"/>
      <c r="H60" s="321" t="s">
        <v>2004</v>
      </c>
      <c r="I60" s="330" t="s">
        <v>1915</v>
      </c>
      <c r="J60" s="319"/>
      <c r="K60" s="322" t="s">
        <v>2005</v>
      </c>
      <c r="L60" s="328" t="s">
        <v>1917</v>
      </c>
      <c r="M60" s="21"/>
      <c r="N60" s="21"/>
    </row>
    <row r="61" spans="2:15" ht="15.75" customHeight="1">
      <c r="B61" s="338" t="s">
        <v>2006</v>
      </c>
      <c r="C61" s="328" t="s">
        <v>1919</v>
      </c>
      <c r="D61" s="319"/>
      <c r="E61" s="329" t="s">
        <v>2007</v>
      </c>
      <c r="F61" s="329" t="s">
        <v>1921</v>
      </c>
      <c r="G61" s="319"/>
      <c r="H61" s="330" t="s">
        <v>2008</v>
      </c>
      <c r="I61" s="330" t="s">
        <v>1923</v>
      </c>
      <c r="J61" s="319"/>
      <c r="K61" s="325" t="s">
        <v>2009</v>
      </c>
      <c r="L61" s="325" t="s">
        <v>1925</v>
      </c>
      <c r="M61" s="21"/>
      <c r="N61" s="21"/>
    </row>
    <row r="62" spans="2:15" ht="15.75" customHeight="1">
      <c r="B62" s="328" t="s">
        <v>2010</v>
      </c>
      <c r="C62" s="328" t="s">
        <v>1927</v>
      </c>
      <c r="D62" s="319"/>
      <c r="E62" s="329" t="s">
        <v>2011</v>
      </c>
      <c r="F62" s="322" t="s">
        <v>1929</v>
      </c>
      <c r="G62" s="319"/>
      <c r="H62" s="330" t="s">
        <v>2012</v>
      </c>
      <c r="I62" s="320" t="s">
        <v>1931</v>
      </c>
      <c r="J62" s="319"/>
      <c r="K62" s="337" t="s">
        <v>2013</v>
      </c>
      <c r="L62" s="325" t="s">
        <v>1933</v>
      </c>
    </row>
    <row r="63" spans="2:15" ht="15.75" customHeight="1">
      <c r="B63" s="328" t="s">
        <v>2014</v>
      </c>
      <c r="C63" s="328" t="s">
        <v>1935</v>
      </c>
      <c r="D63" s="319"/>
      <c r="E63" s="329" t="s">
        <v>2015</v>
      </c>
      <c r="F63" s="329" t="s">
        <v>1937</v>
      </c>
      <c r="G63" s="319"/>
      <c r="H63" s="330" t="s">
        <v>2016</v>
      </c>
      <c r="I63" s="330" t="s">
        <v>1939</v>
      </c>
      <c r="J63" s="319"/>
      <c r="K63" s="325" t="s">
        <v>2017</v>
      </c>
      <c r="L63" s="325" t="s">
        <v>1941</v>
      </c>
    </row>
    <row r="64" spans="2:15" ht="15.75" customHeight="1">
      <c r="D64" s="319"/>
      <c r="E64" s="329" t="s">
        <v>2018</v>
      </c>
      <c r="F64" s="329" t="s">
        <v>1944</v>
      </c>
      <c r="G64" s="21"/>
      <c r="H64" s="330" t="s">
        <v>2019</v>
      </c>
      <c r="I64" s="330" t="s">
        <v>1946</v>
      </c>
      <c r="J64" s="319"/>
      <c r="K64" s="325" t="s">
        <v>2020</v>
      </c>
      <c r="L64" s="325" t="s">
        <v>1948</v>
      </c>
    </row>
    <row r="65" spans="2:12" ht="15.75" customHeight="1">
      <c r="F65" s="329" t="s">
        <v>1950</v>
      </c>
      <c r="I65" s="330" t="s">
        <v>1951</v>
      </c>
      <c r="L65" s="325" t="s">
        <v>1952</v>
      </c>
    </row>
    <row r="77" spans="2:12" ht="15.75" customHeight="1">
      <c r="F77" s="4" t="s">
        <v>2021</v>
      </c>
    </row>
    <row r="80" spans="2:12" ht="15.75" customHeight="1">
      <c r="B80" s="424" t="s">
        <v>1819</v>
      </c>
      <c r="C80" s="421"/>
      <c r="D80" s="319"/>
      <c r="E80" s="423" t="s">
        <v>1820</v>
      </c>
      <c r="F80" s="421"/>
      <c r="G80" s="319"/>
      <c r="H80" s="422" t="s">
        <v>1821</v>
      </c>
      <c r="I80" s="421"/>
      <c r="J80" s="319"/>
      <c r="K80" s="420" t="s">
        <v>1822</v>
      </c>
      <c r="L80" s="421"/>
    </row>
    <row r="81" spans="2:12" ht="15.75" customHeight="1">
      <c r="B81" s="339" t="s">
        <v>2022</v>
      </c>
      <c r="C81" s="320" t="s">
        <v>1965</v>
      </c>
      <c r="D81" s="319"/>
      <c r="E81" s="340" t="s">
        <v>2023</v>
      </c>
      <c r="F81" s="321" t="s">
        <v>1956</v>
      </c>
      <c r="G81" s="319"/>
      <c r="H81" s="341" t="s">
        <v>2024</v>
      </c>
      <c r="I81" s="322" t="s">
        <v>1957</v>
      </c>
      <c r="J81" s="319"/>
      <c r="K81" s="342" t="s">
        <v>2025</v>
      </c>
      <c r="L81" s="323" t="s">
        <v>1958</v>
      </c>
    </row>
    <row r="82" spans="2:12" ht="15.75" customHeight="1">
      <c r="B82" s="343" t="s">
        <v>2026</v>
      </c>
      <c r="C82" s="320" t="s">
        <v>1955</v>
      </c>
      <c r="D82" s="319"/>
      <c r="E82" s="340" t="s">
        <v>2027</v>
      </c>
      <c r="F82" s="321" t="s">
        <v>1964</v>
      </c>
      <c r="G82" s="319"/>
      <c r="H82" s="343" t="s">
        <v>2028</v>
      </c>
      <c r="I82" s="320" t="s">
        <v>1995</v>
      </c>
      <c r="J82" s="319"/>
      <c r="K82" s="339" t="s">
        <v>2029</v>
      </c>
      <c r="L82" s="324" t="s">
        <v>1962</v>
      </c>
    </row>
    <row r="83" spans="2:12" ht="15.75" customHeight="1">
      <c r="B83" s="344" t="s">
        <v>2030</v>
      </c>
      <c r="C83" s="320" t="s">
        <v>1967</v>
      </c>
      <c r="D83" s="319"/>
      <c r="E83" s="340" t="s">
        <v>2031</v>
      </c>
      <c r="F83" s="321" t="s">
        <v>2004</v>
      </c>
      <c r="G83" s="319"/>
      <c r="H83" s="344" t="s">
        <v>2032</v>
      </c>
      <c r="I83" s="322" t="s">
        <v>1969</v>
      </c>
      <c r="J83" s="319"/>
      <c r="K83" s="342" t="s">
        <v>2033</v>
      </c>
      <c r="L83" s="324" t="s">
        <v>1978</v>
      </c>
    </row>
    <row r="84" spans="2:12" ht="15.75" customHeight="1">
      <c r="B84" s="343" t="s">
        <v>2034</v>
      </c>
      <c r="C84" s="320" t="s">
        <v>1987</v>
      </c>
      <c r="D84" s="319"/>
      <c r="E84" s="340" t="s">
        <v>2035</v>
      </c>
      <c r="F84" s="321" t="s">
        <v>1972</v>
      </c>
      <c r="G84" s="319"/>
      <c r="H84" s="341" t="s">
        <v>2036</v>
      </c>
      <c r="I84" s="322" t="s">
        <v>1996</v>
      </c>
      <c r="J84" s="319"/>
      <c r="K84" s="339" t="s">
        <v>2037</v>
      </c>
      <c r="L84" s="324" t="s">
        <v>1982</v>
      </c>
    </row>
    <row r="85" spans="2:12" ht="15.75" customHeight="1">
      <c r="B85" s="343" t="s">
        <v>2038</v>
      </c>
      <c r="C85" s="320" t="s">
        <v>1975</v>
      </c>
      <c r="D85" s="319"/>
      <c r="E85" s="340" t="s">
        <v>2039</v>
      </c>
      <c r="F85" s="321" t="s">
        <v>1985</v>
      </c>
      <c r="G85" s="319"/>
      <c r="H85" s="341" t="s">
        <v>2040</v>
      </c>
      <c r="I85" s="322" t="s">
        <v>1973</v>
      </c>
      <c r="J85" s="319"/>
      <c r="K85" s="342" t="s">
        <v>2041</v>
      </c>
      <c r="L85" s="324" t="s">
        <v>1981</v>
      </c>
    </row>
    <row r="86" spans="2:12" ht="15.75" customHeight="1">
      <c r="B86" s="343" t="s">
        <v>2042</v>
      </c>
      <c r="C86" s="320" t="s">
        <v>1979</v>
      </c>
      <c r="D86" s="319"/>
      <c r="E86" s="345" t="s">
        <v>2043</v>
      </c>
      <c r="F86" s="321" t="s">
        <v>1976</v>
      </c>
      <c r="G86" s="319"/>
      <c r="H86" s="341" t="s">
        <v>2044</v>
      </c>
      <c r="I86" s="322" t="s">
        <v>2005</v>
      </c>
      <c r="J86" s="319"/>
      <c r="K86" s="342" t="s">
        <v>2045</v>
      </c>
      <c r="L86" s="324" t="s">
        <v>1971</v>
      </c>
    </row>
    <row r="87" spans="2:12" ht="15.75" customHeight="1">
      <c r="B87" s="343" t="s">
        <v>2046</v>
      </c>
      <c r="C87" s="320" t="s">
        <v>1983</v>
      </c>
      <c r="D87" s="319"/>
      <c r="E87" s="340" t="s">
        <v>2047</v>
      </c>
      <c r="F87" s="321" t="s">
        <v>1980</v>
      </c>
      <c r="G87" s="319"/>
      <c r="H87" s="341" t="s">
        <v>2048</v>
      </c>
      <c r="I87" s="322" t="s">
        <v>1989</v>
      </c>
      <c r="J87" s="319"/>
      <c r="K87" s="342" t="s">
        <v>2049</v>
      </c>
      <c r="L87" s="324" t="s">
        <v>1986</v>
      </c>
    </row>
    <row r="88" spans="2:12" ht="15.75" customHeight="1">
      <c r="D88" s="21"/>
      <c r="E88" s="340" t="s">
        <v>2050</v>
      </c>
      <c r="F88" s="321" t="s">
        <v>1984</v>
      </c>
      <c r="G88" s="319"/>
      <c r="H88" s="341" t="s">
        <v>2051</v>
      </c>
      <c r="I88" s="322" t="s">
        <v>1990</v>
      </c>
      <c r="J88" s="319"/>
      <c r="K88" s="342" t="s">
        <v>2052</v>
      </c>
      <c r="L88" s="326" t="s">
        <v>1988</v>
      </c>
    </row>
    <row r="89" spans="2:12" ht="15.75" customHeight="1">
      <c r="C89" s="21"/>
      <c r="D89" s="21"/>
      <c r="E89" s="21"/>
      <c r="F89" s="21"/>
      <c r="G89" s="319"/>
      <c r="H89" s="341" t="s">
        <v>2053</v>
      </c>
      <c r="I89" s="322" t="s">
        <v>1991</v>
      </c>
      <c r="J89" s="21"/>
    </row>
    <row r="90" spans="2:12" ht="15.75" customHeight="1">
      <c r="B90" s="327"/>
      <c r="C90" s="327"/>
      <c r="D90" s="21"/>
      <c r="F90" s="327"/>
      <c r="G90" s="21"/>
      <c r="H90" s="327"/>
      <c r="I90" s="327"/>
      <c r="J90" s="21"/>
      <c r="L90" s="327"/>
    </row>
    <row r="91" spans="2:12" ht="15.75" customHeight="1">
      <c r="B91" s="327"/>
      <c r="C91" s="327"/>
      <c r="D91" s="21"/>
      <c r="E91" s="327"/>
      <c r="F91" s="327"/>
      <c r="G91" s="21"/>
      <c r="H91" s="327"/>
      <c r="I91" s="327"/>
      <c r="J91" s="21"/>
      <c r="K91" s="327"/>
      <c r="L91" s="327"/>
    </row>
    <row r="92" spans="2:12" ht="15.75" customHeight="1">
      <c r="B92" s="426" t="s">
        <v>1883</v>
      </c>
      <c r="C92" s="421"/>
      <c r="D92" s="319"/>
      <c r="E92" s="425" t="s">
        <v>1884</v>
      </c>
      <c r="F92" s="421"/>
      <c r="G92" s="319"/>
      <c r="H92" s="428" t="s">
        <v>1885</v>
      </c>
      <c r="I92" s="421"/>
      <c r="J92" s="319"/>
      <c r="K92" s="427" t="s">
        <v>1886</v>
      </c>
      <c r="L92" s="421"/>
    </row>
    <row r="93" spans="2:12" ht="15.75" customHeight="1">
      <c r="B93" s="346" t="s">
        <v>2054</v>
      </c>
      <c r="C93" s="328" t="s">
        <v>1992</v>
      </c>
      <c r="D93" s="319"/>
      <c r="E93" s="347" t="s">
        <v>2055</v>
      </c>
      <c r="F93" s="329" t="s">
        <v>1993</v>
      </c>
      <c r="G93" s="319"/>
      <c r="H93" s="343" t="s">
        <v>2056</v>
      </c>
      <c r="I93" s="330" t="s">
        <v>1994</v>
      </c>
      <c r="J93" s="319"/>
      <c r="K93" s="344" t="s">
        <v>2057</v>
      </c>
      <c r="L93" s="325" t="s">
        <v>1963</v>
      </c>
    </row>
    <row r="94" spans="2:12" ht="15.75" customHeight="1">
      <c r="B94" s="346" t="s">
        <v>2058</v>
      </c>
      <c r="C94" s="328" t="s">
        <v>2000</v>
      </c>
      <c r="D94" s="319"/>
      <c r="E94" s="347" t="s">
        <v>2059</v>
      </c>
      <c r="F94" s="329" t="s">
        <v>1997</v>
      </c>
      <c r="G94" s="319"/>
      <c r="H94" s="342" t="s">
        <v>2060</v>
      </c>
      <c r="I94" s="330" t="s">
        <v>1959</v>
      </c>
      <c r="J94" s="319"/>
      <c r="K94" s="339" t="s">
        <v>2061</v>
      </c>
      <c r="L94" s="325" t="s">
        <v>1998</v>
      </c>
    </row>
    <row r="95" spans="2:12" ht="15.75" customHeight="1">
      <c r="B95" s="348" t="s">
        <v>2062</v>
      </c>
      <c r="C95" s="328" t="s">
        <v>1974</v>
      </c>
      <c r="D95" s="319"/>
      <c r="E95" s="346" t="s">
        <v>2063</v>
      </c>
      <c r="F95" s="329" t="s">
        <v>2003</v>
      </c>
      <c r="G95" s="319"/>
      <c r="H95" s="344" t="s">
        <v>2064</v>
      </c>
      <c r="I95" s="330" t="s">
        <v>1968</v>
      </c>
      <c r="J95" s="319"/>
      <c r="K95" s="344" t="s">
        <v>2065</v>
      </c>
      <c r="L95" s="325" t="s">
        <v>1970</v>
      </c>
    </row>
    <row r="96" spans="2:12" ht="15.75" customHeight="1">
      <c r="B96" s="346" t="s">
        <v>2066</v>
      </c>
      <c r="C96" s="328" t="s">
        <v>1999</v>
      </c>
      <c r="D96" s="319"/>
      <c r="E96" s="347" t="s">
        <v>2067</v>
      </c>
      <c r="F96" s="329" t="s">
        <v>1961</v>
      </c>
      <c r="G96" s="319"/>
      <c r="H96" s="339" t="s">
        <v>2068</v>
      </c>
      <c r="I96" s="330" t="s">
        <v>1977</v>
      </c>
      <c r="J96" s="319"/>
      <c r="K96" s="342" t="s">
        <v>2069</v>
      </c>
      <c r="L96" s="325" t="s">
        <v>2001</v>
      </c>
    </row>
    <row r="97" spans="2:12" ht="15.75" customHeight="1">
      <c r="B97" s="348" t="s">
        <v>2070</v>
      </c>
      <c r="C97" s="328" t="s">
        <v>2002</v>
      </c>
      <c r="D97" s="319"/>
      <c r="E97" s="341" t="s">
        <v>2071</v>
      </c>
      <c r="F97" s="329" t="s">
        <v>2007</v>
      </c>
      <c r="G97" s="319"/>
      <c r="H97" s="339" t="s">
        <v>2072</v>
      </c>
      <c r="I97" s="330" t="s">
        <v>2008</v>
      </c>
      <c r="J97" s="319"/>
      <c r="K97" s="347" t="s">
        <v>2073</v>
      </c>
      <c r="L97" s="325" t="s">
        <v>2009</v>
      </c>
    </row>
    <row r="98" spans="2:12" ht="15.75" customHeight="1">
      <c r="B98" s="346" t="s">
        <v>2074</v>
      </c>
      <c r="C98" s="328" t="s">
        <v>2006</v>
      </c>
      <c r="D98" s="319"/>
      <c r="E98" s="343" t="s">
        <v>2075</v>
      </c>
      <c r="F98" s="329" t="s">
        <v>2011</v>
      </c>
      <c r="G98" s="319"/>
      <c r="H98" s="339" t="s">
        <v>2076</v>
      </c>
      <c r="I98" s="330" t="s">
        <v>2012</v>
      </c>
      <c r="J98" s="319"/>
      <c r="K98" s="349" t="s">
        <v>2077</v>
      </c>
      <c r="L98" s="325" t="s">
        <v>2013</v>
      </c>
    </row>
    <row r="99" spans="2:12" ht="15.75" customHeight="1">
      <c r="B99" s="346" t="s">
        <v>2078</v>
      </c>
      <c r="C99" s="328" t="s">
        <v>2010</v>
      </c>
      <c r="D99" s="319"/>
      <c r="E99" s="347" t="s">
        <v>2079</v>
      </c>
      <c r="F99" s="329" t="s">
        <v>2015</v>
      </c>
      <c r="G99" s="319"/>
      <c r="H99" s="339" t="s">
        <v>2080</v>
      </c>
      <c r="I99" s="330" t="s">
        <v>2016</v>
      </c>
      <c r="J99" s="319"/>
      <c r="K99" s="344" t="s">
        <v>2081</v>
      </c>
      <c r="L99" s="325" t="s">
        <v>2017</v>
      </c>
    </row>
    <row r="100" spans="2:12" ht="15.75" customHeight="1">
      <c r="B100" s="21"/>
      <c r="C100" s="328" t="s">
        <v>2014</v>
      </c>
      <c r="D100" s="319"/>
      <c r="E100" s="347" t="s">
        <v>2082</v>
      </c>
      <c r="F100" s="329" t="s">
        <v>2018</v>
      </c>
      <c r="G100" s="21"/>
      <c r="H100" s="21"/>
      <c r="I100" s="330" t="s">
        <v>2019</v>
      </c>
      <c r="J100" s="319"/>
      <c r="K100" s="344" t="s">
        <v>2083</v>
      </c>
      <c r="L100" s="325" t="s">
        <v>2020</v>
      </c>
    </row>
    <row r="101" spans="2:12" ht="15.75" customHeight="1">
      <c r="B101" s="21"/>
      <c r="C101" s="21"/>
      <c r="D101" s="319"/>
      <c r="E101" s="347" t="s">
        <v>2084</v>
      </c>
      <c r="G101" s="21"/>
      <c r="H101" s="21"/>
      <c r="I101" s="350"/>
      <c r="J101" s="319"/>
    </row>
    <row r="102" spans="2:12" ht="15.75" customHeight="1">
      <c r="E102" s="347" t="s">
        <v>2085</v>
      </c>
    </row>
    <row r="112" spans="2:12" ht="15.75" customHeight="1">
      <c r="B112" s="424" t="s">
        <v>1819</v>
      </c>
      <c r="C112" s="421"/>
      <c r="D112" s="319"/>
      <c r="E112" s="423" t="s">
        <v>1820</v>
      </c>
      <c r="F112" s="421"/>
      <c r="G112" s="319"/>
      <c r="H112" s="422" t="s">
        <v>1821</v>
      </c>
      <c r="I112" s="421"/>
      <c r="J112" s="319"/>
      <c r="K112" s="420" t="s">
        <v>1822</v>
      </c>
      <c r="L112" s="421"/>
    </row>
    <row r="113" spans="2:12" ht="15.75" customHeight="1">
      <c r="B113" s="351" t="s">
        <v>2086</v>
      </c>
      <c r="C113" s="343" t="s">
        <v>2028</v>
      </c>
      <c r="D113" s="319"/>
      <c r="E113" s="340" t="s">
        <v>2087</v>
      </c>
      <c r="F113" s="340" t="s">
        <v>2023</v>
      </c>
      <c r="G113" s="319"/>
      <c r="H113" s="339" t="s">
        <v>2088</v>
      </c>
      <c r="I113" s="341" t="s">
        <v>2024</v>
      </c>
      <c r="J113" s="319"/>
      <c r="K113" s="342" t="s">
        <v>2089</v>
      </c>
      <c r="L113" s="342" t="s">
        <v>2025</v>
      </c>
    </row>
    <row r="114" spans="2:12" ht="15.75" customHeight="1">
      <c r="B114" s="352" t="s">
        <v>2090</v>
      </c>
      <c r="C114" s="343" t="s">
        <v>2026</v>
      </c>
      <c r="D114" s="319"/>
      <c r="E114" s="340" t="s">
        <v>2091</v>
      </c>
      <c r="F114" s="340" t="s">
        <v>2027</v>
      </c>
      <c r="G114" s="319"/>
      <c r="H114" s="343" t="s">
        <v>2092</v>
      </c>
      <c r="I114" s="344" t="s">
        <v>2032</v>
      </c>
      <c r="J114" s="319"/>
      <c r="K114" s="342" t="s">
        <v>2093</v>
      </c>
      <c r="L114" s="339" t="s">
        <v>2029</v>
      </c>
    </row>
    <row r="115" spans="2:12" ht="15.75" customHeight="1">
      <c r="B115" s="351" t="s">
        <v>2094</v>
      </c>
      <c r="C115" s="343" t="s">
        <v>2034</v>
      </c>
      <c r="D115" s="319"/>
      <c r="E115" s="340" t="s">
        <v>2095</v>
      </c>
      <c r="F115" s="340" t="s">
        <v>2031</v>
      </c>
      <c r="G115" s="319"/>
      <c r="H115" s="344" t="s">
        <v>2096</v>
      </c>
      <c r="I115" s="341" t="s">
        <v>2036</v>
      </c>
      <c r="J115" s="319"/>
      <c r="K115" s="352" t="s">
        <v>2097</v>
      </c>
      <c r="L115" s="342" t="s">
        <v>2033</v>
      </c>
    </row>
    <row r="116" spans="2:12" ht="15.75" customHeight="1">
      <c r="B116" s="352" t="s">
        <v>2098</v>
      </c>
      <c r="C116" s="343" t="s">
        <v>2038</v>
      </c>
      <c r="D116" s="319"/>
      <c r="E116" s="340" t="s">
        <v>2099</v>
      </c>
      <c r="F116" s="340" t="s">
        <v>2035</v>
      </c>
      <c r="G116" s="319"/>
      <c r="H116" s="340" t="s">
        <v>2100</v>
      </c>
      <c r="I116" s="339" t="s">
        <v>2022</v>
      </c>
      <c r="J116" s="319"/>
      <c r="K116" s="352" t="s">
        <v>2101</v>
      </c>
      <c r="L116" s="339" t="s">
        <v>2037</v>
      </c>
    </row>
    <row r="117" spans="2:12" ht="15.75" customHeight="1">
      <c r="B117" s="352" t="s">
        <v>2102</v>
      </c>
      <c r="C117" s="343" t="s">
        <v>2042</v>
      </c>
      <c r="D117" s="319"/>
      <c r="E117" s="340" t="s">
        <v>2103</v>
      </c>
      <c r="F117" s="340" t="s">
        <v>2039</v>
      </c>
      <c r="G117" s="319"/>
      <c r="H117" s="341" t="s">
        <v>2104</v>
      </c>
      <c r="I117" s="341" t="s">
        <v>2040</v>
      </c>
      <c r="J117" s="319"/>
      <c r="K117" s="342" t="s">
        <v>2105</v>
      </c>
      <c r="L117" s="342" t="s">
        <v>2041</v>
      </c>
    </row>
    <row r="118" spans="2:12" ht="15.75" customHeight="1">
      <c r="C118" s="343" t="s">
        <v>2046</v>
      </c>
      <c r="D118" s="319"/>
      <c r="E118" s="340" t="s">
        <v>2106</v>
      </c>
      <c r="F118" s="340" t="s">
        <v>2043</v>
      </c>
      <c r="G118" s="319"/>
      <c r="H118" s="341" t="s">
        <v>2107</v>
      </c>
      <c r="I118" s="341" t="s">
        <v>2044</v>
      </c>
      <c r="J118" s="319"/>
      <c r="K118" s="342" t="s">
        <v>2108</v>
      </c>
      <c r="L118" s="342" t="s">
        <v>2045</v>
      </c>
    </row>
    <row r="119" spans="2:12" ht="15.75" customHeight="1">
      <c r="D119" s="319"/>
      <c r="E119" s="340" t="s">
        <v>2109</v>
      </c>
      <c r="F119" s="340" t="s">
        <v>2047</v>
      </c>
      <c r="G119" s="319"/>
      <c r="H119" s="341" t="s">
        <v>2110</v>
      </c>
      <c r="I119" s="341" t="s">
        <v>2048</v>
      </c>
      <c r="J119" s="319"/>
      <c r="K119" s="342" t="s">
        <v>2111</v>
      </c>
      <c r="L119" s="342" t="s">
        <v>2069</v>
      </c>
    </row>
    <row r="120" spans="2:12" ht="15.75" customHeight="1">
      <c r="C120" s="21"/>
      <c r="D120" s="21"/>
      <c r="E120" s="319"/>
      <c r="F120" s="340" t="s">
        <v>2050</v>
      </c>
      <c r="G120" s="319"/>
      <c r="H120" s="341" t="s">
        <v>2112</v>
      </c>
      <c r="I120" s="341" t="s">
        <v>2051</v>
      </c>
      <c r="J120" s="319"/>
      <c r="K120" s="342" t="s">
        <v>2113</v>
      </c>
      <c r="L120" s="342" t="s">
        <v>2049</v>
      </c>
    </row>
    <row r="121" spans="2:12" ht="15.75" customHeight="1">
      <c r="B121" s="21"/>
      <c r="C121" s="21"/>
      <c r="D121" s="21"/>
      <c r="E121" s="21"/>
      <c r="F121" s="21"/>
      <c r="G121" s="319"/>
      <c r="H121" s="341" t="s">
        <v>2114</v>
      </c>
      <c r="I121" s="341" t="s">
        <v>2053</v>
      </c>
      <c r="J121" s="21"/>
      <c r="K121" s="342" t="s">
        <v>2115</v>
      </c>
      <c r="L121" s="342" t="s">
        <v>2052</v>
      </c>
    </row>
    <row r="122" spans="2:12" ht="15.75" customHeight="1">
      <c r="B122" s="21"/>
      <c r="C122" s="21"/>
      <c r="D122" s="21"/>
      <c r="E122" s="21"/>
      <c r="F122" s="21"/>
      <c r="G122" s="21"/>
      <c r="I122" s="21"/>
      <c r="J122" s="21"/>
      <c r="K122" s="342" t="s">
        <v>2116</v>
      </c>
      <c r="L122" s="21"/>
    </row>
    <row r="123" spans="2:12" ht="15.75" customHeight="1">
      <c r="B123" s="327"/>
      <c r="C123" s="327"/>
      <c r="D123" s="21"/>
      <c r="E123" s="327"/>
      <c r="F123" s="327"/>
      <c r="G123" s="21"/>
      <c r="H123" s="327"/>
      <c r="I123" s="327"/>
      <c r="J123" s="21"/>
      <c r="K123" s="327"/>
      <c r="L123" s="327"/>
    </row>
    <row r="124" spans="2:12" ht="15.75" customHeight="1">
      <c r="B124" s="426" t="s">
        <v>1883</v>
      </c>
      <c r="C124" s="421"/>
      <c r="D124" s="319"/>
      <c r="E124" s="425" t="s">
        <v>1884</v>
      </c>
      <c r="F124" s="421"/>
      <c r="G124" s="319"/>
      <c r="H124" s="428" t="s">
        <v>1885</v>
      </c>
      <c r="I124" s="421"/>
      <c r="J124" s="319"/>
      <c r="K124" s="427" t="s">
        <v>1886</v>
      </c>
      <c r="L124" s="421"/>
    </row>
    <row r="125" spans="2:12" ht="15.75" customHeight="1">
      <c r="B125" s="353" t="s">
        <v>2117</v>
      </c>
      <c r="C125" s="346" t="s">
        <v>2054</v>
      </c>
      <c r="D125" s="319"/>
      <c r="E125" s="347" t="s">
        <v>2118</v>
      </c>
      <c r="F125" s="347" t="s">
        <v>2055</v>
      </c>
      <c r="G125" s="319"/>
      <c r="H125" s="341" t="s">
        <v>2119</v>
      </c>
      <c r="I125" s="343" t="s">
        <v>2056</v>
      </c>
      <c r="J125" s="319"/>
      <c r="K125" s="341" t="s">
        <v>2120</v>
      </c>
      <c r="L125" s="344" t="s">
        <v>2057</v>
      </c>
    </row>
    <row r="126" spans="2:12" ht="15.75" customHeight="1">
      <c r="B126" s="353" t="s">
        <v>2121</v>
      </c>
      <c r="C126" s="346" t="s">
        <v>2058</v>
      </c>
      <c r="D126" s="319"/>
      <c r="E126" s="354" t="s">
        <v>2122</v>
      </c>
      <c r="F126" s="347" t="s">
        <v>2059</v>
      </c>
      <c r="G126" s="319"/>
      <c r="H126" s="339" t="s">
        <v>2123</v>
      </c>
      <c r="I126" s="342" t="s">
        <v>2060</v>
      </c>
      <c r="J126" s="319"/>
      <c r="K126" s="344" t="s">
        <v>2124</v>
      </c>
      <c r="L126" s="344" t="s">
        <v>2064</v>
      </c>
    </row>
    <row r="127" spans="2:12" ht="15.75" customHeight="1">
      <c r="B127" s="355" t="s">
        <v>2125</v>
      </c>
      <c r="C127" s="346" t="s">
        <v>2062</v>
      </c>
      <c r="D127" s="319"/>
      <c r="E127" s="346" t="s">
        <v>2126</v>
      </c>
      <c r="F127" s="347" t="s">
        <v>2067</v>
      </c>
      <c r="G127" s="319"/>
      <c r="H127" s="339" t="s">
        <v>2127</v>
      </c>
      <c r="I127" s="339" t="s">
        <v>2061</v>
      </c>
      <c r="J127" s="319"/>
      <c r="K127" s="341" t="s">
        <v>2128</v>
      </c>
      <c r="L127" s="341" t="s">
        <v>2071</v>
      </c>
    </row>
    <row r="128" spans="2:12" ht="15.75" customHeight="1">
      <c r="B128" s="353" t="s">
        <v>2129</v>
      </c>
      <c r="C128" s="346" t="s">
        <v>2066</v>
      </c>
      <c r="D128" s="319"/>
      <c r="E128" s="356" t="s">
        <v>2130</v>
      </c>
      <c r="F128" s="346" t="s">
        <v>2063</v>
      </c>
      <c r="G128" s="319"/>
      <c r="H128" s="339" t="s">
        <v>2131</v>
      </c>
      <c r="I128" s="339" t="s">
        <v>2068</v>
      </c>
      <c r="J128" s="319"/>
      <c r="K128" s="344" t="s">
        <v>2132</v>
      </c>
      <c r="L128" s="343" t="s">
        <v>2075</v>
      </c>
    </row>
    <row r="129" spans="2:12" ht="15.75" customHeight="1">
      <c r="B129" s="353" t="s">
        <v>2133</v>
      </c>
      <c r="C129" s="346" t="s">
        <v>2070</v>
      </c>
      <c r="D129" s="319"/>
      <c r="E129" s="347" t="s">
        <v>2134</v>
      </c>
      <c r="F129" s="347" t="s">
        <v>2079</v>
      </c>
      <c r="G129" s="319"/>
      <c r="H129" s="357" t="s">
        <v>2135</v>
      </c>
      <c r="I129" s="339" t="s">
        <v>2072</v>
      </c>
      <c r="J129" s="319"/>
      <c r="K129" s="344" t="s">
        <v>2136</v>
      </c>
      <c r="L129" s="344" t="s">
        <v>2065</v>
      </c>
    </row>
    <row r="130" spans="2:12" ht="15.75" customHeight="1">
      <c r="B130" s="319"/>
      <c r="C130" s="346" t="s">
        <v>2074</v>
      </c>
      <c r="D130" s="319"/>
      <c r="E130" s="346" t="s">
        <v>2137</v>
      </c>
      <c r="F130" s="347" t="s">
        <v>2082</v>
      </c>
      <c r="G130" s="319"/>
      <c r="H130" s="339" t="s">
        <v>2138</v>
      </c>
      <c r="I130" s="339" t="s">
        <v>2076</v>
      </c>
      <c r="J130" s="319"/>
      <c r="K130" s="344" t="s">
        <v>2139</v>
      </c>
      <c r="L130" s="344" t="s">
        <v>2030</v>
      </c>
    </row>
    <row r="131" spans="2:12" ht="15.75" customHeight="1">
      <c r="B131" s="319"/>
      <c r="C131" s="346" t="s">
        <v>2078</v>
      </c>
      <c r="D131" s="319"/>
      <c r="E131" s="347" t="s">
        <v>2140</v>
      </c>
      <c r="F131" s="347" t="s">
        <v>2073</v>
      </c>
      <c r="G131" s="319"/>
      <c r="H131" s="339" t="s">
        <v>2141</v>
      </c>
      <c r="I131" s="339" t="s">
        <v>2080</v>
      </c>
      <c r="J131" s="319"/>
      <c r="K131" s="344" t="s">
        <v>2142</v>
      </c>
      <c r="L131" s="344" t="s">
        <v>2077</v>
      </c>
    </row>
    <row r="132" spans="2:12" ht="15.75" customHeight="1">
      <c r="B132" s="21"/>
      <c r="C132" s="21"/>
      <c r="D132" s="319"/>
      <c r="E132" s="346" t="s">
        <v>2143</v>
      </c>
      <c r="F132" s="347" t="s">
        <v>2084</v>
      </c>
      <c r="G132" s="21"/>
      <c r="H132" s="21"/>
      <c r="I132" s="21"/>
      <c r="J132" s="319"/>
      <c r="K132" s="344" t="s">
        <v>2144</v>
      </c>
      <c r="L132" s="344" t="s">
        <v>2081</v>
      </c>
    </row>
    <row r="133" spans="2:12" ht="15.75" customHeight="1">
      <c r="B133" s="21"/>
      <c r="C133" s="21"/>
      <c r="D133" s="319"/>
      <c r="E133" s="347" t="s">
        <v>2145</v>
      </c>
      <c r="F133" s="347" t="s">
        <v>2085</v>
      </c>
      <c r="G133" s="21"/>
      <c r="H133" s="21"/>
      <c r="I133" s="358" t="s">
        <v>2146</v>
      </c>
      <c r="J133" s="319"/>
      <c r="K133" s="344" t="s">
        <v>2147</v>
      </c>
      <c r="L133" s="344" t="s">
        <v>2083</v>
      </c>
    </row>
    <row r="134" spans="2:12" ht="15.75" customHeight="1">
      <c r="B134" s="21"/>
      <c r="C134" s="21"/>
      <c r="D134" s="319"/>
      <c r="E134" s="347" t="s">
        <v>2148</v>
      </c>
      <c r="F134" s="21"/>
      <c r="G134" s="21"/>
      <c r="H134" s="21"/>
      <c r="I134" s="21"/>
      <c r="J134" s="21"/>
      <c r="K134" s="21"/>
      <c r="L134" s="21"/>
    </row>
    <row r="135" spans="2:12" ht="15.75" customHeight="1">
      <c r="B135" s="21"/>
      <c r="C135" s="21"/>
      <c r="D135" s="319"/>
      <c r="E135" s="347" t="s">
        <v>2149</v>
      </c>
      <c r="F135" s="21"/>
      <c r="G135" s="21"/>
      <c r="H135" s="21"/>
      <c r="I135" s="21"/>
      <c r="J135" s="21"/>
      <c r="K135" s="21"/>
      <c r="L135" s="21"/>
    </row>
    <row r="136" spans="2:12" ht="15.75" customHeight="1">
      <c r="E136" s="347" t="s">
        <v>2150</v>
      </c>
    </row>
  </sheetData>
  <mergeCells count="32">
    <mergeCell ref="H56:I56"/>
    <mergeCell ref="K124:L124"/>
    <mergeCell ref="H124:I124"/>
    <mergeCell ref="K56:L56"/>
    <mergeCell ref="B56:C56"/>
    <mergeCell ref="B112:C112"/>
    <mergeCell ref="E18:F18"/>
    <mergeCell ref="E80:F80"/>
    <mergeCell ref="E92:F92"/>
    <mergeCell ref="K18:L18"/>
    <mergeCell ref="H18:I18"/>
    <mergeCell ref="K3:L3"/>
    <mergeCell ref="B18:C18"/>
    <mergeCell ref="B3:C3"/>
    <mergeCell ref="H3:I3"/>
    <mergeCell ref="E3:F3"/>
    <mergeCell ref="K41:L41"/>
    <mergeCell ref="H41:I41"/>
    <mergeCell ref="E41:F41"/>
    <mergeCell ref="B41:C41"/>
    <mergeCell ref="E124:F124"/>
    <mergeCell ref="E112:F112"/>
    <mergeCell ref="B92:C92"/>
    <mergeCell ref="B80:C80"/>
    <mergeCell ref="K92:L92"/>
    <mergeCell ref="H92:I92"/>
    <mergeCell ref="K80:L80"/>
    <mergeCell ref="H80:I80"/>
    <mergeCell ref="K112:L112"/>
    <mergeCell ref="H112:I112"/>
    <mergeCell ref="B124:C124"/>
    <mergeCell ref="E56:F56"/>
  </mergeCells>
  <hyperlinks>
    <hyperlink ref="I133" location="Draft Picks!A1" display="Draft Picks" xr:uid="{00000000-0004-0000-0E00-000000000000}"/>
  </hyperlink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J36"/>
  <sheetViews>
    <sheetView workbookViewId="0"/>
  </sheetViews>
  <sheetFormatPr baseColWidth="10" defaultColWidth="14.5" defaultRowHeight="15.75" customHeight="1"/>
  <cols>
    <col min="3" max="3" width="16.6640625" customWidth="1"/>
    <col min="4" max="4" width="26.33203125" customWidth="1"/>
    <col min="7" max="7" width="17.83203125" customWidth="1"/>
  </cols>
  <sheetData>
    <row r="1" spans="1:10" ht="15.75" customHeight="1">
      <c r="A1" s="82" t="s">
        <v>2151</v>
      </c>
      <c r="B1" s="12"/>
      <c r="D1" s="82" t="s">
        <v>2152</v>
      </c>
      <c r="E1" s="82">
        <v>927</v>
      </c>
      <c r="F1" s="12"/>
      <c r="G1" s="12"/>
      <c r="H1" s="82" t="s">
        <v>2153</v>
      </c>
      <c r="I1" s="359">
        <v>0</v>
      </c>
      <c r="J1" s="82">
        <v>0.5</v>
      </c>
    </row>
    <row r="2" spans="1:10" ht="15.75" customHeight="1">
      <c r="A2" s="82" t="s">
        <v>2154</v>
      </c>
      <c r="B2" s="360">
        <v>2</v>
      </c>
      <c r="D2" s="361" t="s">
        <v>2155</v>
      </c>
      <c r="E2" s="82" t="s">
        <v>2156</v>
      </c>
      <c r="F2" s="82" t="s">
        <v>2157</v>
      </c>
      <c r="G2" s="82" t="s">
        <v>2158</v>
      </c>
      <c r="H2" s="12"/>
      <c r="I2" s="362">
        <v>200</v>
      </c>
      <c r="J2" s="82">
        <v>2</v>
      </c>
    </row>
    <row r="3" spans="1:10" ht="15.75" customHeight="1">
      <c r="A3" s="82" t="s">
        <v>2159</v>
      </c>
      <c r="B3" s="12">
        <f t="shared" ref="B3:B5" si="0">VLOOKUP(B$2,$A$9:$B$15,2)</f>
        <v>2</v>
      </c>
      <c r="D3" s="82" t="s">
        <v>2159</v>
      </c>
      <c r="E3" s="12">
        <f>E1</f>
        <v>927</v>
      </c>
      <c r="F3" s="12">
        <f t="shared" ref="F3:F17" si="1">VLOOKUP(E3,I$1:J$15,2, TRUE)</f>
        <v>8</v>
      </c>
      <c r="G3" s="12">
        <f>F3</f>
        <v>8</v>
      </c>
      <c r="H3" s="82">
        <f t="shared" ref="H3:H17" si="2">G3/2</f>
        <v>4</v>
      </c>
      <c r="I3" s="362">
        <v>300</v>
      </c>
      <c r="J3" s="82">
        <v>3</v>
      </c>
    </row>
    <row r="4" spans="1:10" ht="15.75" customHeight="1">
      <c r="A4" s="82" t="s">
        <v>2160</v>
      </c>
      <c r="B4" s="12">
        <f t="shared" si="0"/>
        <v>2</v>
      </c>
      <c r="D4" s="82" t="s">
        <v>2160</v>
      </c>
      <c r="E4" s="12">
        <f t="shared" ref="E4:E17" si="3">E3+150</f>
        <v>1077</v>
      </c>
      <c r="F4" s="12">
        <f t="shared" si="1"/>
        <v>8.5</v>
      </c>
      <c r="G4" s="12">
        <f t="shared" ref="G4:G17" si="4">F4+G3</f>
        <v>16.5</v>
      </c>
      <c r="H4" s="82">
        <f t="shared" si="2"/>
        <v>8.25</v>
      </c>
      <c r="I4" s="362">
        <v>400</v>
      </c>
      <c r="J4" s="82">
        <v>4</v>
      </c>
    </row>
    <row r="5" spans="1:10" ht="15.75" customHeight="1">
      <c r="A5" s="82" t="s">
        <v>2161</v>
      </c>
      <c r="B5" s="12">
        <f t="shared" si="0"/>
        <v>2</v>
      </c>
      <c r="D5" s="82" t="s">
        <v>2161</v>
      </c>
      <c r="E5" s="12">
        <f t="shared" si="3"/>
        <v>1227</v>
      </c>
      <c r="F5" s="12">
        <f t="shared" si="1"/>
        <v>9.25</v>
      </c>
      <c r="G5" s="12">
        <f t="shared" si="4"/>
        <v>25.75</v>
      </c>
      <c r="H5" s="82">
        <f t="shared" si="2"/>
        <v>12.875</v>
      </c>
      <c r="I5" s="362">
        <v>500</v>
      </c>
      <c r="J5" s="82">
        <v>5</v>
      </c>
    </row>
    <row r="6" spans="1:10" ht="15.75" customHeight="1">
      <c r="A6" s="82" t="s">
        <v>2162</v>
      </c>
      <c r="B6" s="12">
        <f>SUM(B3:B5)</f>
        <v>6</v>
      </c>
      <c r="D6" s="82" t="s">
        <v>2163</v>
      </c>
      <c r="E6" s="12">
        <f t="shared" si="3"/>
        <v>1377</v>
      </c>
      <c r="F6" s="12">
        <f t="shared" si="1"/>
        <v>9.5</v>
      </c>
      <c r="G6" s="12">
        <f t="shared" si="4"/>
        <v>35.25</v>
      </c>
      <c r="H6" s="82">
        <f t="shared" si="2"/>
        <v>17.625</v>
      </c>
      <c r="I6" s="362">
        <v>600</v>
      </c>
      <c r="J6" s="82">
        <v>5.75</v>
      </c>
    </row>
    <row r="7" spans="1:10" ht="15.75" customHeight="1">
      <c r="D7" s="82" t="s">
        <v>2164</v>
      </c>
      <c r="E7" s="12">
        <f t="shared" si="3"/>
        <v>1527</v>
      </c>
      <c r="F7" s="12">
        <f t="shared" si="1"/>
        <v>10</v>
      </c>
      <c r="G7" s="12">
        <f t="shared" si="4"/>
        <v>45.25</v>
      </c>
      <c r="H7" s="82">
        <f t="shared" si="2"/>
        <v>22.625</v>
      </c>
      <c r="I7" s="362">
        <v>700</v>
      </c>
      <c r="J7" s="82">
        <v>6.5</v>
      </c>
    </row>
    <row r="8" spans="1:10" ht="15.75" customHeight="1">
      <c r="D8" s="82" t="s">
        <v>2165</v>
      </c>
      <c r="E8" s="12">
        <f t="shared" si="3"/>
        <v>1677</v>
      </c>
      <c r="F8" s="12">
        <f t="shared" si="1"/>
        <v>10</v>
      </c>
      <c r="G8" s="12">
        <f t="shared" si="4"/>
        <v>55.25</v>
      </c>
      <c r="H8" s="82">
        <f t="shared" si="2"/>
        <v>27.625</v>
      </c>
      <c r="I8" s="362">
        <v>800</v>
      </c>
      <c r="J8" s="82">
        <v>7.25</v>
      </c>
    </row>
    <row r="9" spans="1:10" ht="15.75" customHeight="1">
      <c r="A9" s="362">
        <v>1</v>
      </c>
      <c r="B9" s="82">
        <v>3</v>
      </c>
      <c r="D9" s="82" t="s">
        <v>2166</v>
      </c>
      <c r="E9" s="12">
        <f t="shared" si="3"/>
        <v>1827</v>
      </c>
      <c r="F9" s="12">
        <f t="shared" si="1"/>
        <v>10</v>
      </c>
      <c r="G9" s="12">
        <f t="shared" si="4"/>
        <v>65.25</v>
      </c>
      <c r="H9" s="82">
        <f t="shared" si="2"/>
        <v>32.625</v>
      </c>
      <c r="I9" s="362">
        <v>900</v>
      </c>
      <c r="J9" s="82">
        <v>8</v>
      </c>
    </row>
    <row r="10" spans="1:10" ht="15.75" customHeight="1">
      <c r="A10" s="362">
        <v>2</v>
      </c>
      <c r="B10" s="82">
        <v>2</v>
      </c>
      <c r="D10" s="82" t="s">
        <v>2167</v>
      </c>
      <c r="E10" s="12">
        <f t="shared" si="3"/>
        <v>1977</v>
      </c>
      <c r="F10" s="12">
        <f t="shared" si="1"/>
        <v>10</v>
      </c>
      <c r="G10" s="12">
        <f t="shared" si="4"/>
        <v>75.25</v>
      </c>
      <c r="H10" s="82">
        <f t="shared" si="2"/>
        <v>37.625</v>
      </c>
      <c r="I10" s="362">
        <v>1000</v>
      </c>
      <c r="J10" s="82">
        <v>8.5</v>
      </c>
    </row>
    <row r="11" spans="1:10" ht="15.75" customHeight="1">
      <c r="A11" s="362">
        <v>3</v>
      </c>
      <c r="B11" s="82">
        <v>1.5</v>
      </c>
      <c r="D11" s="82" t="s">
        <v>2168</v>
      </c>
      <c r="E11" s="12">
        <f t="shared" si="3"/>
        <v>2127</v>
      </c>
      <c r="F11" s="12">
        <f t="shared" si="1"/>
        <v>10</v>
      </c>
      <c r="G11" s="12">
        <f t="shared" si="4"/>
        <v>85.25</v>
      </c>
      <c r="H11" s="82">
        <f t="shared" si="2"/>
        <v>42.625</v>
      </c>
      <c r="I11" s="362">
        <v>1100</v>
      </c>
      <c r="J11" s="82">
        <v>9</v>
      </c>
    </row>
    <row r="12" spans="1:10" ht="15.75" customHeight="1">
      <c r="A12" s="362">
        <v>4</v>
      </c>
      <c r="B12" s="82">
        <v>1.25</v>
      </c>
      <c r="D12" s="82" t="s">
        <v>2169</v>
      </c>
      <c r="E12" s="12">
        <f t="shared" si="3"/>
        <v>2277</v>
      </c>
      <c r="F12" s="12">
        <f t="shared" si="1"/>
        <v>10</v>
      </c>
      <c r="G12" s="12">
        <f t="shared" si="4"/>
        <v>95.25</v>
      </c>
      <c r="H12" s="82">
        <f t="shared" si="2"/>
        <v>47.625</v>
      </c>
      <c r="I12" s="362">
        <v>1200</v>
      </c>
      <c r="J12" s="82">
        <v>9.25</v>
      </c>
    </row>
    <row r="13" spans="1:10" ht="15.75" customHeight="1">
      <c r="A13" s="362">
        <v>5</v>
      </c>
      <c r="B13" s="82">
        <v>1</v>
      </c>
      <c r="D13" s="82" t="s">
        <v>2170</v>
      </c>
      <c r="E13" s="12">
        <f t="shared" si="3"/>
        <v>2427</v>
      </c>
      <c r="F13" s="12">
        <f t="shared" si="1"/>
        <v>10</v>
      </c>
      <c r="G13" s="12">
        <f t="shared" si="4"/>
        <v>105.25</v>
      </c>
      <c r="H13" s="82">
        <f t="shared" si="2"/>
        <v>52.625</v>
      </c>
      <c r="I13" s="362">
        <v>1300</v>
      </c>
      <c r="J13" s="82">
        <v>9.5</v>
      </c>
    </row>
    <row r="14" spans="1:10" ht="15.75" customHeight="1">
      <c r="A14" s="362">
        <v>6</v>
      </c>
      <c r="B14" s="82">
        <v>0.75</v>
      </c>
      <c r="D14" s="82" t="s">
        <v>2171</v>
      </c>
      <c r="E14" s="12">
        <f t="shared" si="3"/>
        <v>2577</v>
      </c>
      <c r="F14" s="12">
        <f t="shared" si="1"/>
        <v>10</v>
      </c>
      <c r="G14" s="12">
        <f t="shared" si="4"/>
        <v>115.25</v>
      </c>
      <c r="H14" s="82">
        <f t="shared" si="2"/>
        <v>57.625</v>
      </c>
      <c r="I14" s="362">
        <v>1400</v>
      </c>
      <c r="J14" s="82">
        <v>9.75</v>
      </c>
    </row>
    <row r="15" spans="1:10" ht="15.75" customHeight="1">
      <c r="A15" s="362">
        <v>7</v>
      </c>
      <c r="B15" s="82">
        <v>0.5</v>
      </c>
      <c r="D15" s="82" t="s">
        <v>2172</v>
      </c>
      <c r="E15" s="12">
        <f t="shared" si="3"/>
        <v>2727</v>
      </c>
      <c r="F15" s="12">
        <f t="shared" si="1"/>
        <v>10</v>
      </c>
      <c r="G15" s="12">
        <f t="shared" si="4"/>
        <v>125.25</v>
      </c>
      <c r="H15" s="82">
        <f t="shared" si="2"/>
        <v>62.625</v>
      </c>
      <c r="I15" s="362">
        <v>1500</v>
      </c>
      <c r="J15" s="82">
        <v>10</v>
      </c>
    </row>
    <row r="16" spans="1:10" ht="15.75" customHeight="1">
      <c r="D16" s="82" t="s">
        <v>2173</v>
      </c>
      <c r="E16" s="12">
        <f t="shared" si="3"/>
        <v>2877</v>
      </c>
      <c r="F16" s="12">
        <f t="shared" si="1"/>
        <v>10</v>
      </c>
      <c r="G16" s="12">
        <f t="shared" si="4"/>
        <v>135.25</v>
      </c>
      <c r="H16" s="82">
        <f t="shared" si="2"/>
        <v>67.625</v>
      </c>
    </row>
    <row r="17" spans="4:8" ht="15.75" customHeight="1">
      <c r="D17" s="82" t="s">
        <v>2174</v>
      </c>
      <c r="E17" s="12">
        <f t="shared" si="3"/>
        <v>3027</v>
      </c>
      <c r="F17" s="12">
        <f t="shared" si="1"/>
        <v>10</v>
      </c>
      <c r="G17" s="12">
        <f t="shared" si="4"/>
        <v>145.25</v>
      </c>
      <c r="H17" s="82">
        <f t="shared" si="2"/>
        <v>72.625</v>
      </c>
    </row>
    <row r="18" spans="4:8" ht="15.75" customHeight="1">
      <c r="D18" s="4"/>
    </row>
    <row r="19" spans="4:8" ht="15.75" customHeight="1">
      <c r="D19" s="75" t="s">
        <v>2175</v>
      </c>
    </row>
    <row r="20" spans="4:8" ht="15.75" customHeight="1">
      <c r="D20" s="82" t="s">
        <v>2152</v>
      </c>
      <c r="E20" s="82">
        <v>1476</v>
      </c>
      <c r="F20" s="12"/>
      <c r="G20" s="12"/>
      <c r="H20" s="82" t="s">
        <v>2153</v>
      </c>
    </row>
    <row r="21" spans="4:8" ht="15.75" customHeight="1">
      <c r="D21" s="361" t="s">
        <v>2155</v>
      </c>
      <c r="E21" s="82" t="s">
        <v>2156</v>
      </c>
      <c r="F21" s="82" t="s">
        <v>2157</v>
      </c>
      <c r="G21" s="82" t="s">
        <v>2158</v>
      </c>
      <c r="H21" s="12"/>
    </row>
    <row r="22" spans="4:8" ht="15.75" customHeight="1">
      <c r="D22" s="82" t="s">
        <v>2159</v>
      </c>
      <c r="E22" s="12">
        <f>E20</f>
        <v>1476</v>
      </c>
      <c r="F22" s="12">
        <f t="shared" ref="F22:F36" si="5">VLOOKUP(E22,I$1:J$15,2, TRUE)</f>
        <v>9.75</v>
      </c>
      <c r="G22" s="12">
        <f>F22</f>
        <v>9.75</v>
      </c>
      <c r="H22" s="82">
        <f t="shared" ref="H22:H36" si="6">G22/2</f>
        <v>4.875</v>
      </c>
    </row>
    <row r="23" spans="4:8" ht="15.75" customHeight="1">
      <c r="D23" s="82" t="s">
        <v>2160</v>
      </c>
      <c r="E23" s="12">
        <f t="shared" ref="E23:E36" si="7">E22</f>
        <v>1476</v>
      </c>
      <c r="F23" s="12">
        <f t="shared" si="5"/>
        <v>9.75</v>
      </c>
      <c r="G23" s="12">
        <f t="shared" ref="G23:G36" si="8">F23+G22</f>
        <v>19.5</v>
      </c>
      <c r="H23" s="82">
        <f t="shared" si="6"/>
        <v>9.75</v>
      </c>
    </row>
    <row r="24" spans="4:8" ht="15.75" customHeight="1">
      <c r="D24" s="82" t="s">
        <v>2161</v>
      </c>
      <c r="E24" s="12">
        <f t="shared" si="7"/>
        <v>1476</v>
      </c>
      <c r="F24" s="12">
        <f t="shared" si="5"/>
        <v>9.75</v>
      </c>
      <c r="G24" s="12">
        <f t="shared" si="8"/>
        <v>29.25</v>
      </c>
      <c r="H24" s="82">
        <f t="shared" si="6"/>
        <v>14.625</v>
      </c>
    </row>
    <row r="25" spans="4:8" ht="15.75" customHeight="1">
      <c r="D25" s="82" t="s">
        <v>2163</v>
      </c>
      <c r="E25" s="12">
        <f t="shared" si="7"/>
        <v>1476</v>
      </c>
      <c r="F25" s="12">
        <f t="shared" si="5"/>
        <v>9.75</v>
      </c>
      <c r="G25" s="12">
        <f t="shared" si="8"/>
        <v>39</v>
      </c>
      <c r="H25" s="82">
        <f t="shared" si="6"/>
        <v>19.5</v>
      </c>
    </row>
    <row r="26" spans="4:8" ht="15.75" customHeight="1">
      <c r="D26" s="82" t="s">
        <v>2164</v>
      </c>
      <c r="E26" s="12">
        <f t="shared" si="7"/>
        <v>1476</v>
      </c>
      <c r="F26" s="12">
        <f t="shared" si="5"/>
        <v>9.75</v>
      </c>
      <c r="G26" s="12">
        <f t="shared" si="8"/>
        <v>48.75</v>
      </c>
      <c r="H26" s="82">
        <f t="shared" si="6"/>
        <v>24.375</v>
      </c>
    </row>
    <row r="27" spans="4:8" ht="15.75" customHeight="1">
      <c r="D27" s="82" t="s">
        <v>2165</v>
      </c>
      <c r="E27" s="12">
        <f t="shared" si="7"/>
        <v>1476</v>
      </c>
      <c r="F27" s="12">
        <f t="shared" si="5"/>
        <v>9.75</v>
      </c>
      <c r="G27" s="12">
        <f t="shared" si="8"/>
        <v>58.5</v>
      </c>
      <c r="H27" s="82">
        <f t="shared" si="6"/>
        <v>29.25</v>
      </c>
    </row>
    <row r="28" spans="4:8" ht="15.75" customHeight="1">
      <c r="D28" s="82" t="s">
        <v>2166</v>
      </c>
      <c r="E28" s="12">
        <f t="shared" si="7"/>
        <v>1476</v>
      </c>
      <c r="F28" s="12">
        <f t="shared" si="5"/>
        <v>9.75</v>
      </c>
      <c r="G28" s="12">
        <f t="shared" si="8"/>
        <v>68.25</v>
      </c>
      <c r="H28" s="82">
        <f t="shared" si="6"/>
        <v>34.125</v>
      </c>
    </row>
    <row r="29" spans="4:8" ht="15.75" customHeight="1">
      <c r="D29" s="82" t="s">
        <v>2167</v>
      </c>
      <c r="E29" s="12">
        <f t="shared" si="7"/>
        <v>1476</v>
      </c>
      <c r="F29" s="12">
        <f t="shared" si="5"/>
        <v>9.75</v>
      </c>
      <c r="G29" s="12">
        <f t="shared" si="8"/>
        <v>78</v>
      </c>
      <c r="H29" s="82">
        <f t="shared" si="6"/>
        <v>39</v>
      </c>
    </row>
    <row r="30" spans="4:8" ht="15.75" customHeight="1">
      <c r="D30" s="82" t="s">
        <v>2168</v>
      </c>
      <c r="E30" s="12">
        <f t="shared" si="7"/>
        <v>1476</v>
      </c>
      <c r="F30" s="12">
        <f t="shared" si="5"/>
        <v>9.75</v>
      </c>
      <c r="G30" s="12">
        <f t="shared" si="8"/>
        <v>87.75</v>
      </c>
      <c r="H30" s="82">
        <f t="shared" si="6"/>
        <v>43.875</v>
      </c>
    </row>
    <row r="31" spans="4:8" ht="15.75" customHeight="1">
      <c r="D31" s="82" t="s">
        <v>2169</v>
      </c>
      <c r="E31" s="12">
        <f t="shared" si="7"/>
        <v>1476</v>
      </c>
      <c r="F31" s="12">
        <f t="shared" si="5"/>
        <v>9.75</v>
      </c>
      <c r="G31" s="12">
        <f t="shared" si="8"/>
        <v>97.5</v>
      </c>
      <c r="H31" s="82">
        <f t="shared" si="6"/>
        <v>48.75</v>
      </c>
    </row>
    <row r="32" spans="4:8" ht="15.75" customHeight="1">
      <c r="D32" s="82" t="s">
        <v>2170</v>
      </c>
      <c r="E32" s="12">
        <f t="shared" si="7"/>
        <v>1476</v>
      </c>
      <c r="F32" s="12">
        <f t="shared" si="5"/>
        <v>9.75</v>
      </c>
      <c r="G32" s="12">
        <f t="shared" si="8"/>
        <v>107.25</v>
      </c>
      <c r="H32" s="82">
        <f t="shared" si="6"/>
        <v>53.625</v>
      </c>
    </row>
    <row r="33" spans="4:8" ht="15.75" customHeight="1">
      <c r="D33" s="82" t="s">
        <v>2171</v>
      </c>
      <c r="E33" s="12">
        <f t="shared" si="7"/>
        <v>1476</v>
      </c>
      <c r="F33" s="12">
        <f t="shared" si="5"/>
        <v>9.75</v>
      </c>
      <c r="G33" s="12">
        <f t="shared" si="8"/>
        <v>117</v>
      </c>
      <c r="H33" s="82">
        <f t="shared" si="6"/>
        <v>58.5</v>
      </c>
    </row>
    <row r="34" spans="4:8" ht="15.75" customHeight="1">
      <c r="D34" s="82" t="s">
        <v>2172</v>
      </c>
      <c r="E34" s="12">
        <f t="shared" si="7"/>
        <v>1476</v>
      </c>
      <c r="F34" s="12">
        <f t="shared" si="5"/>
        <v>9.75</v>
      </c>
      <c r="G34" s="12">
        <f t="shared" si="8"/>
        <v>126.75</v>
      </c>
      <c r="H34" s="82">
        <f t="shared" si="6"/>
        <v>63.375</v>
      </c>
    </row>
    <row r="35" spans="4:8" ht="15.75" customHeight="1">
      <c r="D35" s="82" t="s">
        <v>2173</v>
      </c>
      <c r="E35" s="12">
        <f t="shared" si="7"/>
        <v>1476</v>
      </c>
      <c r="F35" s="12">
        <f t="shared" si="5"/>
        <v>9.75</v>
      </c>
      <c r="G35" s="12">
        <f t="shared" si="8"/>
        <v>136.5</v>
      </c>
      <c r="H35" s="82">
        <f t="shared" si="6"/>
        <v>68.25</v>
      </c>
    </row>
    <row r="36" spans="4:8" ht="15.75" customHeight="1">
      <c r="D36" s="82" t="s">
        <v>2174</v>
      </c>
      <c r="E36" s="12">
        <f t="shared" si="7"/>
        <v>1476</v>
      </c>
      <c r="F36" s="12">
        <f t="shared" si="5"/>
        <v>9.75</v>
      </c>
      <c r="G36" s="12">
        <f t="shared" si="8"/>
        <v>146.25</v>
      </c>
      <c r="H36" s="82">
        <f t="shared" si="6"/>
        <v>73.125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87"/>
  <sheetViews>
    <sheetView showGridLines="0" workbookViewId="0"/>
  </sheetViews>
  <sheetFormatPr baseColWidth="10" defaultColWidth="14.5" defaultRowHeight="15.75" customHeight="1"/>
  <cols>
    <col min="2" max="2" width="17" customWidth="1"/>
  </cols>
  <sheetData>
    <row r="1" spans="1:14" ht="13">
      <c r="A1" s="409" t="s">
        <v>6</v>
      </c>
      <c r="B1" t="s">
        <v>2295</v>
      </c>
      <c r="D1" s="409" t="s">
        <v>6</v>
      </c>
      <c r="E1" t="s">
        <v>2297</v>
      </c>
      <c r="M1" s="409" t="s">
        <v>18</v>
      </c>
      <c r="N1" t="s">
        <v>2294</v>
      </c>
    </row>
    <row r="2" spans="1:14" ht="13">
      <c r="A2" t="s">
        <v>44</v>
      </c>
      <c r="B2" s="410">
        <v>112.8</v>
      </c>
      <c r="D2" t="s">
        <v>44</v>
      </c>
      <c r="E2" s="410">
        <v>1692</v>
      </c>
    </row>
    <row r="3" spans="1:14" ht="13">
      <c r="A3" t="s">
        <v>10</v>
      </c>
      <c r="B3" s="410">
        <v>680.23076923076928</v>
      </c>
      <c r="D3" t="s">
        <v>10</v>
      </c>
      <c r="E3" s="410">
        <v>17686</v>
      </c>
      <c r="M3" s="409" t="s">
        <v>16</v>
      </c>
      <c r="N3" t="s">
        <v>2177</v>
      </c>
    </row>
    <row r="4" spans="1:14" ht="13">
      <c r="A4" t="s">
        <v>304</v>
      </c>
      <c r="B4" s="410">
        <v>137</v>
      </c>
      <c r="D4" t="s">
        <v>304</v>
      </c>
      <c r="E4" s="410">
        <v>11234</v>
      </c>
      <c r="M4" t="s">
        <v>187</v>
      </c>
      <c r="N4" s="410">
        <v>178.22222222222223</v>
      </c>
    </row>
    <row r="5" spans="1:14" ht="13">
      <c r="A5" t="s">
        <v>9</v>
      </c>
      <c r="B5" s="410">
        <v>763.3478260869565</v>
      </c>
      <c r="D5" t="s">
        <v>9</v>
      </c>
      <c r="E5" s="410">
        <v>17557</v>
      </c>
      <c r="M5" t="s">
        <v>83</v>
      </c>
      <c r="N5" s="410">
        <v>198.5</v>
      </c>
    </row>
    <row r="6" spans="1:14" ht="13">
      <c r="A6" t="s">
        <v>8</v>
      </c>
      <c r="B6" s="410">
        <v>415.8</v>
      </c>
      <c r="D6" t="s">
        <v>8</v>
      </c>
      <c r="E6" s="410">
        <v>10395</v>
      </c>
      <c r="M6" t="s">
        <v>215</v>
      </c>
      <c r="N6" s="410">
        <v>191.63636363636363</v>
      </c>
    </row>
    <row r="7" spans="1:14" ht="13">
      <c r="A7" t="s">
        <v>5</v>
      </c>
      <c r="B7" s="410">
        <v>644.61538461538464</v>
      </c>
      <c r="D7" t="s">
        <v>5</v>
      </c>
      <c r="E7" s="410">
        <v>16760</v>
      </c>
      <c r="M7" t="s">
        <v>103</v>
      </c>
      <c r="N7" s="410">
        <v>179.1764705882353</v>
      </c>
    </row>
    <row r="8" spans="1:14" ht="13">
      <c r="A8" t="s">
        <v>3</v>
      </c>
      <c r="B8" s="410">
        <v>402.8125</v>
      </c>
      <c r="D8" t="s">
        <v>3</v>
      </c>
      <c r="E8" s="410">
        <v>12890</v>
      </c>
      <c r="M8" t="s">
        <v>67</v>
      </c>
      <c r="N8" s="410">
        <v>215.72727272727272</v>
      </c>
    </row>
    <row r="9" spans="1:14" ht="13">
      <c r="A9" t="s">
        <v>11</v>
      </c>
      <c r="B9" s="410">
        <v>792.19047619047615</v>
      </c>
      <c r="D9" t="s">
        <v>11</v>
      </c>
      <c r="E9" s="410">
        <v>16636</v>
      </c>
      <c r="M9" t="s">
        <v>336</v>
      </c>
      <c r="N9" s="410">
        <v>157.47058823529412</v>
      </c>
    </row>
    <row r="10" spans="1:14" ht="13">
      <c r="A10" t="s">
        <v>13</v>
      </c>
      <c r="B10" s="410">
        <v>339.75862068965517</v>
      </c>
      <c r="D10" t="s">
        <v>13</v>
      </c>
      <c r="E10" s="410">
        <v>9853</v>
      </c>
      <c r="M10" t="s">
        <v>180</v>
      </c>
      <c r="N10" s="410">
        <v>222.6</v>
      </c>
    </row>
    <row r="11" spans="1:14" ht="13">
      <c r="A11" t="s">
        <v>12</v>
      </c>
      <c r="B11" s="410">
        <v>311.66666666666669</v>
      </c>
      <c r="D11" t="s">
        <v>12</v>
      </c>
      <c r="E11" s="410">
        <v>11220</v>
      </c>
      <c r="M11" t="s">
        <v>131</v>
      </c>
      <c r="N11" s="410">
        <v>139.19999999999999</v>
      </c>
    </row>
    <row r="12" spans="1:14" ht="13">
      <c r="A12" t="s">
        <v>2296</v>
      </c>
      <c r="B12" s="410"/>
      <c r="D12" t="s">
        <v>2296</v>
      </c>
      <c r="E12" s="410"/>
      <c r="M12" t="s">
        <v>90</v>
      </c>
      <c r="N12" s="410">
        <v>214.65909090909091</v>
      </c>
    </row>
    <row r="13" spans="1:14" ht="13">
      <c r="A13" t="s">
        <v>2293</v>
      </c>
      <c r="B13" s="410">
        <v>399.75555555555553</v>
      </c>
      <c r="D13" t="s">
        <v>2293</v>
      </c>
      <c r="E13" s="410">
        <v>125923</v>
      </c>
      <c r="M13" t="s">
        <v>75</v>
      </c>
      <c r="N13" s="410">
        <v>159</v>
      </c>
    </row>
    <row r="14" spans="1:14" ht="13">
      <c r="A14" s="366" t="s">
        <v>6</v>
      </c>
      <c r="B14" s="367" t="s">
        <v>2177</v>
      </c>
      <c r="D14" s="366" t="s">
        <v>6</v>
      </c>
      <c r="E14" s="367" t="s">
        <v>2178</v>
      </c>
      <c r="M14" t="s">
        <v>2293</v>
      </c>
      <c r="N14" s="410">
        <v>193.18309859154928</v>
      </c>
    </row>
    <row r="15" spans="1:14" ht="13">
      <c r="A15" s="368" t="s">
        <v>10</v>
      </c>
      <c r="B15" s="369">
        <v>680.23076923076928</v>
      </c>
      <c r="D15" s="368" t="s">
        <v>10</v>
      </c>
      <c r="E15" s="370">
        <v>17686</v>
      </c>
    </row>
    <row r="16" spans="1:14" ht="13">
      <c r="A16" s="368" t="s">
        <v>9</v>
      </c>
      <c r="B16" s="369">
        <v>763.3478260869565</v>
      </c>
      <c r="D16" s="368" t="s">
        <v>9</v>
      </c>
      <c r="E16" s="370">
        <v>17557</v>
      </c>
    </row>
    <row r="17" spans="1:26" ht="13">
      <c r="A17" s="368" t="s">
        <v>8</v>
      </c>
      <c r="B17" s="369">
        <v>415.8</v>
      </c>
      <c r="D17" s="368" t="s">
        <v>8</v>
      </c>
      <c r="E17" s="370">
        <v>10395</v>
      </c>
    </row>
    <row r="18" spans="1:26" ht="13">
      <c r="A18" s="368" t="s">
        <v>5</v>
      </c>
      <c r="B18" s="369">
        <v>644.61538461538464</v>
      </c>
      <c r="C18" s="371"/>
      <c r="D18" s="368" t="s">
        <v>5</v>
      </c>
      <c r="E18" s="370">
        <v>16760</v>
      </c>
      <c r="F18" s="371"/>
      <c r="G18" s="371"/>
      <c r="H18" s="371"/>
      <c r="I18" s="371"/>
      <c r="J18" s="371"/>
      <c r="K18" s="371"/>
      <c r="L18" s="371"/>
      <c r="M18" s="409" t="s">
        <v>18</v>
      </c>
      <c r="N18" t="s">
        <v>2294</v>
      </c>
      <c r="O18" s="371"/>
      <c r="P18" s="371"/>
      <c r="Q18" s="371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26" ht="13">
      <c r="A19" s="368" t="s">
        <v>3</v>
      </c>
      <c r="B19" s="369">
        <v>402.8125</v>
      </c>
      <c r="D19" s="368" t="s">
        <v>3</v>
      </c>
      <c r="E19" s="370">
        <v>12890</v>
      </c>
    </row>
    <row r="20" spans="1:26" ht="13">
      <c r="A20" s="368" t="s">
        <v>11</v>
      </c>
      <c r="B20" s="369">
        <v>792.19047619047615</v>
      </c>
      <c r="D20" s="368" t="s">
        <v>11</v>
      </c>
      <c r="E20" s="370">
        <v>16636</v>
      </c>
      <c r="M20" s="409" t="s">
        <v>16</v>
      </c>
      <c r="N20" t="s">
        <v>2179</v>
      </c>
    </row>
    <row r="21" spans="1:26" ht="16.5" customHeight="1">
      <c r="A21" s="368" t="s">
        <v>13</v>
      </c>
      <c r="B21" s="369">
        <v>339.75862068965517</v>
      </c>
      <c r="D21" s="368" t="s">
        <v>13</v>
      </c>
      <c r="E21" s="370">
        <v>9853</v>
      </c>
      <c r="M21" t="s">
        <v>187</v>
      </c>
      <c r="N21" s="410">
        <v>9</v>
      </c>
    </row>
    <row r="22" spans="1:26" ht="13">
      <c r="A22" s="372" t="s">
        <v>12</v>
      </c>
      <c r="B22" s="373">
        <v>311.66666666666669</v>
      </c>
      <c r="D22" s="372" t="s">
        <v>12</v>
      </c>
      <c r="E22" s="374">
        <v>11220</v>
      </c>
      <c r="M22" t="s">
        <v>83</v>
      </c>
      <c r="N22" s="410">
        <v>10</v>
      </c>
    </row>
    <row r="23" spans="1:26" ht="13">
      <c r="M23" t="s">
        <v>215</v>
      </c>
      <c r="N23" s="410">
        <v>11</v>
      </c>
    </row>
    <row r="24" spans="1:26" ht="13">
      <c r="A24" s="368" t="s">
        <v>10</v>
      </c>
      <c r="B24" s="4" t="s">
        <v>1085</v>
      </c>
      <c r="M24" t="s">
        <v>103</v>
      </c>
      <c r="N24" s="410">
        <v>17</v>
      </c>
    </row>
    <row r="25" spans="1:26" ht="13">
      <c r="A25" s="368" t="s">
        <v>11</v>
      </c>
      <c r="B25" s="4" t="s">
        <v>389</v>
      </c>
      <c r="M25" t="s">
        <v>67</v>
      </c>
      <c r="N25" s="410">
        <v>11</v>
      </c>
    </row>
    <row r="26" spans="1:26" ht="13">
      <c r="A26" s="375" t="s">
        <v>12</v>
      </c>
      <c r="B26" s="4" t="s">
        <v>2180</v>
      </c>
      <c r="M26" t="s">
        <v>336</v>
      </c>
      <c r="N26" s="410">
        <v>17</v>
      </c>
    </row>
    <row r="27" spans="1:26" ht="13">
      <c r="A27" s="376" t="s">
        <v>9</v>
      </c>
      <c r="B27" s="4" t="s">
        <v>91</v>
      </c>
      <c r="M27" t="s">
        <v>180</v>
      </c>
      <c r="N27" s="410">
        <v>10</v>
      </c>
    </row>
    <row r="28" spans="1:26" ht="13">
      <c r="A28" s="368" t="s">
        <v>5</v>
      </c>
      <c r="B28" s="4" t="s">
        <v>209</v>
      </c>
      <c r="M28" t="s">
        <v>131</v>
      </c>
      <c r="N28" s="410">
        <v>5</v>
      </c>
    </row>
    <row r="29" spans="1:26" ht="13">
      <c r="A29" s="368" t="s">
        <v>8</v>
      </c>
      <c r="B29" s="4" t="s">
        <v>203</v>
      </c>
      <c r="M29" t="s">
        <v>90</v>
      </c>
      <c r="N29" s="410">
        <v>44</v>
      </c>
    </row>
    <row r="30" spans="1:26" ht="13">
      <c r="A30" s="368" t="s">
        <v>3</v>
      </c>
      <c r="B30" s="4" t="s">
        <v>956</v>
      </c>
      <c r="M30" t="s">
        <v>75</v>
      </c>
      <c r="N30" s="410">
        <v>8</v>
      </c>
    </row>
    <row r="31" spans="1:26" ht="13">
      <c r="A31" s="368" t="s">
        <v>13</v>
      </c>
      <c r="B31" s="4" t="s">
        <v>510</v>
      </c>
      <c r="M31" t="s">
        <v>2293</v>
      </c>
      <c r="N31" s="410">
        <v>142</v>
      </c>
    </row>
    <row r="32" spans="1:26" ht="13">
      <c r="A32" s="4" t="s">
        <v>304</v>
      </c>
      <c r="B32" s="4" t="s">
        <v>647</v>
      </c>
    </row>
    <row r="33" spans="1:14" ht="13">
      <c r="A33" s="4" t="s">
        <v>44</v>
      </c>
    </row>
    <row r="36" spans="1:14" ht="13">
      <c r="A36" s="363" t="s">
        <v>631</v>
      </c>
      <c r="M36" s="409" t="s">
        <v>18</v>
      </c>
      <c r="N36" t="s">
        <v>2294</v>
      </c>
    </row>
    <row r="37" spans="1:14" ht="13">
      <c r="A37" s="363" t="s">
        <v>707</v>
      </c>
    </row>
    <row r="38" spans="1:14" ht="13">
      <c r="A38" s="363" t="s">
        <v>270</v>
      </c>
      <c r="M38" s="409" t="s">
        <v>16</v>
      </c>
      <c r="N38" t="s">
        <v>2181</v>
      </c>
    </row>
    <row r="39" spans="1:14" ht="13">
      <c r="A39" s="363" t="s">
        <v>675</v>
      </c>
      <c r="M39" t="s">
        <v>187</v>
      </c>
      <c r="N39" s="410">
        <v>4.25</v>
      </c>
    </row>
    <row r="40" spans="1:14" ht="13">
      <c r="A40" s="363" t="s">
        <v>611</v>
      </c>
      <c r="M40" t="s">
        <v>83</v>
      </c>
      <c r="N40" s="410">
        <v>0.66666666666666663</v>
      </c>
    </row>
    <row r="41" spans="1:14" ht="13">
      <c r="A41" s="363" t="s">
        <v>898</v>
      </c>
      <c r="M41" t="s">
        <v>215</v>
      </c>
      <c r="N41" s="410">
        <v>3.25</v>
      </c>
    </row>
    <row r="42" spans="1:14" ht="13">
      <c r="A42" s="363" t="s">
        <v>897</v>
      </c>
      <c r="M42" t="s">
        <v>103</v>
      </c>
      <c r="N42" s="410">
        <v>24.75</v>
      </c>
    </row>
    <row r="43" spans="1:14" ht="13">
      <c r="A43" s="377" t="s">
        <v>696</v>
      </c>
      <c r="M43" t="s">
        <v>67</v>
      </c>
      <c r="N43" s="410">
        <v>4.25</v>
      </c>
    </row>
    <row r="44" spans="1:14" ht="13">
      <c r="A44" s="363" t="s">
        <v>688</v>
      </c>
      <c r="M44" t="s">
        <v>336</v>
      </c>
      <c r="N44" s="410">
        <v>1.5714285714285714</v>
      </c>
    </row>
    <row r="45" spans="1:14" ht="13">
      <c r="A45" s="363" t="s">
        <v>655</v>
      </c>
      <c r="M45" t="s">
        <v>180</v>
      </c>
      <c r="N45" s="410">
        <v>2.25</v>
      </c>
    </row>
    <row r="46" spans="1:14" ht="13">
      <c r="A46" s="363" t="s">
        <v>659</v>
      </c>
      <c r="M46" t="s">
        <v>131</v>
      </c>
      <c r="N46" s="410">
        <v>1.5</v>
      </c>
    </row>
    <row r="47" spans="1:14" ht="13">
      <c r="A47" s="363" t="s">
        <v>705</v>
      </c>
      <c r="M47" t="s">
        <v>90</v>
      </c>
      <c r="N47" s="410">
        <v>2.0909090909090908</v>
      </c>
    </row>
    <row r="48" spans="1:14" ht="13">
      <c r="A48" s="363" t="s">
        <v>616</v>
      </c>
      <c r="M48" t="s">
        <v>75</v>
      </c>
      <c r="N48" s="410">
        <v>1.8333333333333333</v>
      </c>
    </row>
    <row r="49" spans="1:14" ht="13">
      <c r="A49" s="363" t="s">
        <v>623</v>
      </c>
      <c r="M49" t="s">
        <v>2293</v>
      </c>
      <c r="N49" s="410">
        <v>4.6294642857142856</v>
      </c>
    </row>
    <row r="50" spans="1:14" ht="13">
      <c r="A50" s="363" t="s">
        <v>791</v>
      </c>
    </row>
    <row r="51" spans="1:14" ht="13">
      <c r="A51" s="363" t="s">
        <v>681</v>
      </c>
    </row>
    <row r="52" spans="1:14" ht="13">
      <c r="A52" s="363" t="s">
        <v>685</v>
      </c>
    </row>
    <row r="53" spans="1:14" ht="13">
      <c r="A53" s="363" t="s">
        <v>620</v>
      </c>
    </row>
    <row r="54" spans="1:14" ht="13">
      <c r="A54" s="363" t="s">
        <v>710</v>
      </c>
    </row>
    <row r="55" spans="1:14" ht="13">
      <c r="A55" s="363" t="s">
        <v>911</v>
      </c>
    </row>
    <row r="56" spans="1:14" ht="13">
      <c r="A56" s="363" t="s">
        <v>798</v>
      </c>
    </row>
    <row r="57" spans="1:14" ht="13">
      <c r="A57" s="363" t="s">
        <v>713</v>
      </c>
    </row>
    <row r="58" spans="1:14" ht="13">
      <c r="A58" s="363" t="s">
        <v>902</v>
      </c>
    </row>
    <row r="59" spans="1:14" ht="13">
      <c r="A59" s="363" t="s">
        <v>920</v>
      </c>
    </row>
    <row r="60" spans="1:14" ht="13">
      <c r="A60" s="363" t="s">
        <v>997</v>
      </c>
    </row>
    <row r="61" spans="1:14" ht="13">
      <c r="A61" s="363" t="s">
        <v>981</v>
      </c>
    </row>
    <row r="62" spans="1:14" ht="13">
      <c r="A62" s="363" t="s">
        <v>1496</v>
      </c>
    </row>
    <row r="63" spans="1:14" ht="13">
      <c r="A63" s="364" t="s">
        <v>1270</v>
      </c>
    </row>
    <row r="64" spans="1:14" ht="13">
      <c r="A64" s="363" t="s">
        <v>1275</v>
      </c>
    </row>
    <row r="65" spans="1:1" ht="13">
      <c r="A65" s="363" t="s">
        <v>794</v>
      </c>
    </row>
    <row r="66" spans="1:1" ht="13">
      <c r="A66" s="363" t="s">
        <v>986</v>
      </c>
    </row>
    <row r="67" spans="1:1" ht="13">
      <c r="A67" s="276" t="s">
        <v>689</v>
      </c>
    </row>
    <row r="68" spans="1:1" ht="13">
      <c r="A68" s="363" t="s">
        <v>1007</v>
      </c>
    </row>
    <row r="69" spans="1:1" ht="13">
      <c r="A69" s="365" t="s">
        <v>701</v>
      </c>
    </row>
    <row r="70" spans="1:1" ht="13">
      <c r="A70" s="363" t="s">
        <v>1326</v>
      </c>
    </row>
    <row r="71" spans="1:1" ht="13">
      <c r="A71" s="363" t="s">
        <v>923</v>
      </c>
    </row>
    <row r="72" spans="1:1" ht="13">
      <c r="A72" s="363" t="s">
        <v>1381</v>
      </c>
    </row>
    <row r="73" spans="1:1" ht="13">
      <c r="A73" s="363" t="s">
        <v>1397</v>
      </c>
    </row>
    <row r="74" spans="1:1" ht="13">
      <c r="A74" s="363" t="s">
        <v>1583</v>
      </c>
    </row>
    <row r="75" spans="1:1" ht="13">
      <c r="A75" s="363" t="s">
        <v>1546</v>
      </c>
    </row>
    <row r="76" spans="1:1" ht="13">
      <c r="A76" s="363" t="s">
        <v>814</v>
      </c>
    </row>
    <row r="77" spans="1:1" ht="13">
      <c r="A77" s="363" t="s">
        <v>625</v>
      </c>
    </row>
    <row r="78" spans="1:1" ht="13">
      <c r="A78" s="363" t="s">
        <v>1565</v>
      </c>
    </row>
    <row r="79" spans="1:1" ht="13">
      <c r="A79" s="363" t="s">
        <v>913</v>
      </c>
    </row>
    <row r="80" spans="1:1" ht="13">
      <c r="A80" s="363" t="s">
        <v>799</v>
      </c>
    </row>
    <row r="81" spans="1:1" ht="13">
      <c r="A81" s="364" t="s">
        <v>1386</v>
      </c>
    </row>
    <row r="82" spans="1:1" ht="13">
      <c r="A82" s="364" t="s">
        <v>1397</v>
      </c>
    </row>
    <row r="83" spans="1:1" ht="13">
      <c r="A83" s="364" t="s">
        <v>1572</v>
      </c>
    </row>
    <row r="84" spans="1:1" ht="13">
      <c r="A84" s="364" t="s">
        <v>1326</v>
      </c>
    </row>
    <row r="85" spans="1:1" ht="13">
      <c r="A85" s="364" t="s">
        <v>1577</v>
      </c>
    </row>
    <row r="86" spans="1:1" ht="13">
      <c r="A86" s="364" t="s">
        <v>1117</v>
      </c>
    </row>
    <row r="87" spans="1:1" ht="13">
      <c r="A87" s="378">
        <f ca="1">IFERROR(__xludf.DUMMYFUNCTION("COUNTUNIQUE(A36:A86)"),49)</f>
        <v>49</v>
      </c>
    </row>
  </sheetData>
  <hyperlinks>
    <hyperlink ref="A36" r:id="rId6" xr:uid="{00000000-0004-0000-1000-000000000000}"/>
    <hyperlink ref="A37" r:id="rId7" xr:uid="{00000000-0004-0000-1000-000001000000}"/>
    <hyperlink ref="A38" r:id="rId8" xr:uid="{00000000-0004-0000-1000-000002000000}"/>
    <hyperlink ref="A39" r:id="rId9" xr:uid="{00000000-0004-0000-1000-000003000000}"/>
    <hyperlink ref="A40" r:id="rId10" xr:uid="{00000000-0004-0000-1000-000004000000}"/>
    <hyperlink ref="A41" r:id="rId11" xr:uid="{00000000-0004-0000-1000-000005000000}"/>
    <hyperlink ref="A42" r:id="rId12" xr:uid="{00000000-0004-0000-1000-000006000000}"/>
    <hyperlink ref="A43" r:id="rId13" xr:uid="{00000000-0004-0000-1000-000007000000}"/>
    <hyperlink ref="A44" r:id="rId14" xr:uid="{00000000-0004-0000-1000-000008000000}"/>
    <hyperlink ref="A45" r:id="rId15" xr:uid="{00000000-0004-0000-1000-000009000000}"/>
    <hyperlink ref="A46" r:id="rId16" xr:uid="{00000000-0004-0000-1000-00000A000000}"/>
    <hyperlink ref="A47" r:id="rId17" xr:uid="{00000000-0004-0000-1000-00000B000000}"/>
    <hyperlink ref="A48" r:id="rId18" xr:uid="{00000000-0004-0000-1000-00000C000000}"/>
    <hyperlink ref="A49" r:id="rId19" xr:uid="{00000000-0004-0000-1000-00000D000000}"/>
    <hyperlink ref="A50" r:id="rId20" xr:uid="{00000000-0004-0000-1000-00000E000000}"/>
    <hyperlink ref="A51" r:id="rId21" xr:uid="{00000000-0004-0000-1000-00000F000000}"/>
    <hyperlink ref="A52" r:id="rId22" xr:uid="{00000000-0004-0000-1000-000010000000}"/>
    <hyperlink ref="A53" r:id="rId23" xr:uid="{00000000-0004-0000-1000-000011000000}"/>
    <hyperlink ref="A54" r:id="rId24" xr:uid="{00000000-0004-0000-1000-000012000000}"/>
    <hyperlink ref="A55" r:id="rId25" xr:uid="{00000000-0004-0000-1000-000013000000}"/>
    <hyperlink ref="A56" r:id="rId26" xr:uid="{00000000-0004-0000-1000-000014000000}"/>
    <hyperlink ref="A57" r:id="rId27" xr:uid="{00000000-0004-0000-1000-000015000000}"/>
    <hyperlink ref="A58" r:id="rId28" xr:uid="{00000000-0004-0000-1000-000016000000}"/>
    <hyperlink ref="A59" r:id="rId29" xr:uid="{00000000-0004-0000-1000-000017000000}"/>
    <hyperlink ref="A60" r:id="rId30" xr:uid="{00000000-0004-0000-1000-000018000000}"/>
    <hyperlink ref="A61" r:id="rId31" xr:uid="{00000000-0004-0000-1000-000019000000}"/>
    <hyperlink ref="A62" r:id="rId32" xr:uid="{00000000-0004-0000-1000-00001A000000}"/>
    <hyperlink ref="A63" r:id="rId33" xr:uid="{00000000-0004-0000-1000-00001B000000}"/>
    <hyperlink ref="A64" r:id="rId34" xr:uid="{00000000-0004-0000-1000-00001C000000}"/>
    <hyperlink ref="A65" r:id="rId35" xr:uid="{00000000-0004-0000-1000-00001D000000}"/>
    <hyperlink ref="A66" r:id="rId36" xr:uid="{00000000-0004-0000-1000-00001E000000}"/>
    <hyperlink ref="A67" r:id="rId37" xr:uid="{00000000-0004-0000-1000-00001F000000}"/>
    <hyperlink ref="A68" r:id="rId38" xr:uid="{00000000-0004-0000-1000-000020000000}"/>
    <hyperlink ref="A69" r:id="rId39" xr:uid="{00000000-0004-0000-1000-000021000000}"/>
    <hyperlink ref="A70" r:id="rId40" xr:uid="{00000000-0004-0000-1000-000022000000}"/>
    <hyperlink ref="A71" r:id="rId41" xr:uid="{00000000-0004-0000-1000-000023000000}"/>
    <hyperlink ref="A72" r:id="rId42" xr:uid="{00000000-0004-0000-1000-000024000000}"/>
    <hyperlink ref="A73" r:id="rId43" xr:uid="{00000000-0004-0000-1000-000025000000}"/>
    <hyperlink ref="A74" r:id="rId44" xr:uid="{00000000-0004-0000-1000-000026000000}"/>
    <hyperlink ref="A75" r:id="rId45" xr:uid="{00000000-0004-0000-1000-000027000000}"/>
    <hyperlink ref="A76" r:id="rId46" xr:uid="{00000000-0004-0000-1000-000028000000}"/>
    <hyperlink ref="A77" r:id="rId47" xr:uid="{00000000-0004-0000-1000-000029000000}"/>
    <hyperlink ref="A78" r:id="rId48" xr:uid="{00000000-0004-0000-1000-00002A000000}"/>
    <hyperlink ref="A79" r:id="rId49" xr:uid="{00000000-0004-0000-1000-00002B000000}"/>
    <hyperlink ref="A80" r:id="rId50" xr:uid="{00000000-0004-0000-1000-00002C000000}"/>
    <hyperlink ref="A81" r:id="rId51" xr:uid="{00000000-0004-0000-1000-00002D000000}"/>
    <hyperlink ref="A82" r:id="rId52" xr:uid="{00000000-0004-0000-1000-00002E000000}"/>
    <hyperlink ref="A83" r:id="rId53" xr:uid="{00000000-0004-0000-1000-00002F000000}"/>
    <hyperlink ref="A84" r:id="rId54" xr:uid="{00000000-0004-0000-1000-000030000000}"/>
    <hyperlink ref="A85" r:id="rId55" xr:uid="{00000000-0004-0000-1000-000031000000}"/>
    <hyperlink ref="A86" r:id="rId56" xr:uid="{00000000-0004-0000-1000-000032000000}"/>
  </hyperlinks>
  <pageMargins left="0.7" right="0.7" top="0.75" bottom="0.75" header="0.3" footer="0.3"/>
  <drawing r:id="rId57"/>
  <tableParts count="1">
    <tablePart r:id="rId58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F59"/>
  <sheetViews>
    <sheetView workbookViewId="0"/>
  </sheetViews>
  <sheetFormatPr baseColWidth="10" defaultColWidth="14.5" defaultRowHeight="15.75" customHeight="1"/>
  <sheetData>
    <row r="1" spans="1:6" ht="15.75" customHeight="1">
      <c r="A1" s="363" t="s">
        <v>1496</v>
      </c>
      <c r="B1" s="363" t="b">
        <f t="shared" ref="B1:C1" si="0">IF(A1=A2,TRUE,FALSE)</f>
        <v>0</v>
      </c>
      <c r="C1" s="363" t="b">
        <f t="shared" si="0"/>
        <v>1</v>
      </c>
      <c r="E1" s="4" t="s">
        <v>2176</v>
      </c>
    </row>
    <row r="2" spans="1:6" ht="15.75" customHeight="1">
      <c r="A2" s="363" t="s">
        <v>923</v>
      </c>
      <c r="B2" s="363" t="b">
        <f t="shared" ref="B2:C2" si="1">IF(A2=A3,TRUE,FALSE)</f>
        <v>0</v>
      </c>
      <c r="C2" s="363" t="b">
        <f t="shared" si="1"/>
        <v>1</v>
      </c>
      <c r="E2" s="4">
        <v>1</v>
      </c>
    </row>
    <row r="3" spans="1:6" ht="15.75" customHeight="1">
      <c r="A3" s="363" t="s">
        <v>791</v>
      </c>
      <c r="B3" s="363" t="b">
        <f t="shared" ref="B3:C3" si="2">IF(A3=A4,TRUE,FALSE)</f>
        <v>0</v>
      </c>
      <c r="C3" s="363" t="b">
        <f t="shared" si="2"/>
        <v>1</v>
      </c>
      <c r="E3" s="4">
        <v>2</v>
      </c>
    </row>
    <row r="4" spans="1:6" ht="15.75" customHeight="1">
      <c r="A4" s="364" t="s">
        <v>1117</v>
      </c>
      <c r="B4" s="363" t="b">
        <f t="shared" ref="B4:C4" si="3">IF(A4=A5,TRUE,FALSE)</f>
        <v>0</v>
      </c>
      <c r="C4" s="363" t="b">
        <f t="shared" si="3"/>
        <v>1</v>
      </c>
      <c r="E4" s="4">
        <v>3</v>
      </c>
    </row>
    <row r="5" spans="1:6" ht="15.75" customHeight="1">
      <c r="A5" s="363" t="s">
        <v>981</v>
      </c>
      <c r="B5" s="363" t="b">
        <f t="shared" ref="B5:C5" si="4">IF(A5=A6,TRUE,FALSE)</f>
        <v>0</v>
      </c>
      <c r="C5" s="363" t="b">
        <f t="shared" si="4"/>
        <v>1</v>
      </c>
      <c r="E5" s="4">
        <v>4</v>
      </c>
    </row>
    <row r="6" spans="1:6" ht="15.75" customHeight="1">
      <c r="A6" s="363" t="s">
        <v>1565</v>
      </c>
      <c r="B6" s="363" t="b">
        <f t="shared" ref="B6:C6" si="5">IF(A6=A7,TRUE,FALSE)</f>
        <v>0</v>
      </c>
      <c r="C6" s="363" t="b">
        <f t="shared" si="5"/>
        <v>1</v>
      </c>
      <c r="E6" s="4">
        <v>5</v>
      </c>
    </row>
    <row r="7" spans="1:6" ht="15.75" customHeight="1">
      <c r="A7" s="363" t="s">
        <v>902</v>
      </c>
      <c r="B7" s="363" t="b">
        <f t="shared" ref="B7:C7" si="6">IF(A7=A8,TRUE,FALSE)</f>
        <v>0</v>
      </c>
      <c r="C7" s="363" t="b">
        <f t="shared" si="6"/>
        <v>1</v>
      </c>
      <c r="E7" s="4">
        <v>6</v>
      </c>
    </row>
    <row r="8" spans="1:6" ht="15.75" customHeight="1">
      <c r="A8" s="363" t="s">
        <v>659</v>
      </c>
      <c r="B8" s="363" t="b">
        <f t="shared" ref="B8:C8" si="7">IF(A8=A9,TRUE,FALSE)</f>
        <v>0</v>
      </c>
      <c r="C8" s="363" t="b">
        <f t="shared" si="7"/>
        <v>1</v>
      </c>
      <c r="E8" s="4">
        <v>7</v>
      </c>
    </row>
    <row r="9" spans="1:6" ht="15.75" customHeight="1">
      <c r="A9" s="363" t="s">
        <v>798</v>
      </c>
      <c r="B9" s="363" t="b">
        <f t="shared" ref="B9:C9" si="8">IF(A9=A10,TRUE,FALSE)</f>
        <v>0</v>
      </c>
      <c r="C9" s="363" t="b">
        <f t="shared" si="8"/>
        <v>1</v>
      </c>
      <c r="E9" s="4">
        <v>8</v>
      </c>
    </row>
    <row r="10" spans="1:6" ht="15.75" customHeight="1">
      <c r="A10" s="363" t="s">
        <v>616</v>
      </c>
      <c r="B10" s="363" t="b">
        <f t="shared" ref="B10:C10" si="9">IF(A10=A11,TRUE,FALSE)</f>
        <v>0</v>
      </c>
      <c r="C10" s="363" t="b">
        <f t="shared" si="9"/>
        <v>1</v>
      </c>
      <c r="E10" s="4">
        <v>9</v>
      </c>
      <c r="F10" t="str">
        <f>E10&amp;". :utah: [b]Utah Railroaders[/b] -"</f>
        <v>9. :utah: [b]Utah Railroaders[/b] -</v>
      </c>
    </row>
    <row r="11" spans="1:6" ht="15.75" customHeight="1">
      <c r="A11" s="363" t="s">
        <v>1007</v>
      </c>
      <c r="B11" s="363" t="b">
        <f t="shared" ref="B11:C11" si="10">IF(A11=A12,TRUE,FALSE)</f>
        <v>0</v>
      </c>
      <c r="C11" s="363" t="b">
        <f t="shared" si="10"/>
        <v>1</v>
      </c>
      <c r="E11" s="4">
        <v>10</v>
      </c>
      <c r="F11" t="str">
        <f>E11&amp;". :vandals: [b]Vancouver Vandals[/b] -"</f>
        <v>10. :vandals: [b]Vancouver Vandals[/b] -</v>
      </c>
    </row>
    <row r="12" spans="1:6" ht="15.75" customHeight="1">
      <c r="A12" s="365" t="s">
        <v>701</v>
      </c>
      <c r="B12" s="363" t="b">
        <f t="shared" ref="B12:C12" si="11">IF(A12=A13,TRUE,FALSE)</f>
        <v>0</v>
      </c>
      <c r="C12" s="363" t="b">
        <f t="shared" si="11"/>
        <v>1</v>
      </c>
      <c r="E12" s="4">
        <v>11</v>
      </c>
      <c r="F12" t="str">
        <f>E12&amp;". :crabs: [b]Providence Crabs[/b] -"</f>
        <v>11. :crabs: [b]Providence Crabs[/b] -</v>
      </c>
    </row>
    <row r="13" spans="1:6" ht="15.75" customHeight="1">
      <c r="A13" s="363" t="s">
        <v>911</v>
      </c>
      <c r="B13" s="363" t="b">
        <f t="shared" ref="B13:C13" si="12">IF(A13=A14,TRUE,FALSE)</f>
        <v>0</v>
      </c>
      <c r="C13" s="363" t="b">
        <f t="shared" si="12"/>
        <v>1</v>
      </c>
      <c r="E13" s="4">
        <v>12</v>
      </c>
      <c r="F13" t="str">
        <f>E13&amp;". :voyagers: [b]New York Voyagers[/b] -"</f>
        <v>12. :voyagers: [b]New York Voyagers[/b] -</v>
      </c>
    </row>
    <row r="14" spans="1:6" ht="15.75" customHeight="1">
      <c r="A14" s="363" t="s">
        <v>814</v>
      </c>
      <c r="B14" s="363" t="b">
        <f t="shared" ref="B14:C14" si="13">IF(A14=A15,TRUE,FALSE)</f>
        <v>0</v>
      </c>
      <c r="C14" s="363" t="b">
        <f t="shared" si="13"/>
        <v>1</v>
      </c>
      <c r="E14" s="4">
        <v>13</v>
      </c>
      <c r="F14" t="str">
        <f>E14&amp;". :aviators: [b]Outer Banks Aviators[/b] -  "</f>
        <v xml:space="preserve">13. :aviators: [b]Outer Banks Aviators[/b] -  </v>
      </c>
    </row>
    <row r="15" spans="1:6" ht="15.75" customHeight="1">
      <c r="A15" s="363" t="s">
        <v>623</v>
      </c>
      <c r="B15" s="363" t="b">
        <f t="shared" ref="B15:C15" si="14">IF(A15=A16,TRUE,FALSE)</f>
        <v>0</v>
      </c>
      <c r="C15" s="363" t="b">
        <f t="shared" si="14"/>
        <v>1</v>
      </c>
      <c r="E15" s="4">
        <v>14</v>
      </c>
      <c r="F15" t="str">
        <f>E15&amp;". :scorpions: [b]Death Valley Scorpions[/b] -"</f>
        <v>14. :scorpions: [b]Death Valley Scorpions[/b] -</v>
      </c>
    </row>
    <row r="16" spans="1:6" ht="15.75" customHeight="1">
      <c r="A16" s="363" t="s">
        <v>611</v>
      </c>
      <c r="B16" s="363" t="b">
        <f t="shared" ref="B16:C16" si="15">IF(A16=A17,TRUE,FALSE)</f>
        <v>0</v>
      </c>
      <c r="C16" s="363" t="b">
        <f t="shared" si="15"/>
        <v>1</v>
      </c>
      <c r="E16" s="4">
        <v>15</v>
      </c>
      <c r="F16" t="str">
        <f>E16&amp;". :rangers: [b]Florida Space Rangers[/b] -"</f>
        <v>15. :rangers: [b]Florida Space Rangers[/b] -</v>
      </c>
    </row>
    <row r="17" spans="1:6" ht="15.75" customHeight="1">
      <c r="A17" s="363" t="s">
        <v>799</v>
      </c>
      <c r="B17" s="363" t="b">
        <f t="shared" ref="B17:C17" si="16">IF(A17=A18,TRUE,FALSE)</f>
        <v>0</v>
      </c>
      <c r="C17" s="363" t="b">
        <f t="shared" si="16"/>
        <v>1</v>
      </c>
      <c r="E17" s="4">
        <v>16</v>
      </c>
      <c r="F17" t="str">
        <f>E17&amp;". :sloths: [b]San Antonio Sloths[/b]  -"</f>
        <v>16. :sloths: [b]San Antonio Sloths[/b]  -</v>
      </c>
    </row>
    <row r="18" spans="1:6" ht="15.75" customHeight="1">
      <c r="A18" s="363" t="s">
        <v>913</v>
      </c>
      <c r="B18" s="363" t="b">
        <f t="shared" ref="B18:C18" si="17">IF(A18=A19,TRUE,FALSE)</f>
        <v>0</v>
      </c>
      <c r="C18" s="363" t="b">
        <f t="shared" si="17"/>
        <v>1</v>
      </c>
      <c r="E18" s="4">
        <v>17</v>
      </c>
      <c r="F18" t="str">
        <f>E18&amp;". :utah: [b]Utah Railroaders[/b] -"</f>
        <v>17. :utah: [b]Utah Railroaders[/b] -</v>
      </c>
    </row>
    <row r="19" spans="1:6" ht="15.75" customHeight="1">
      <c r="A19" s="363" t="s">
        <v>685</v>
      </c>
      <c r="B19" s="363" t="b">
        <f t="shared" ref="B19:C19" si="18">IF(A19=A20,TRUE,FALSE)</f>
        <v>0</v>
      </c>
      <c r="C19" s="363" t="b">
        <f t="shared" si="18"/>
        <v>1</v>
      </c>
      <c r="E19" s="4">
        <v>18</v>
      </c>
      <c r="F19" t="str">
        <f>E19&amp;". :vandals: [b]Vancouver Vandals[/b] -"</f>
        <v>18. :vandals: [b]Vancouver Vandals[/b] -</v>
      </c>
    </row>
    <row r="20" spans="1:6" ht="15.75" customHeight="1">
      <c r="A20" s="363" t="s">
        <v>794</v>
      </c>
      <c r="B20" s="363" t="b">
        <f t="shared" ref="B20:C20" si="19">IF(A20=A21,TRUE,FALSE)</f>
        <v>0</v>
      </c>
      <c r="C20" s="363" t="b">
        <f t="shared" si="19"/>
        <v>1</v>
      </c>
      <c r="E20" s="4">
        <v>19</v>
      </c>
      <c r="F20" t="str">
        <f>E20&amp;". :crabs: [b]Providence Crabs[/b] -"</f>
        <v>19. :crabs: [b]Providence Crabs[/b] -</v>
      </c>
    </row>
    <row r="21" spans="1:6" ht="15.75" customHeight="1">
      <c r="A21" s="363" t="s">
        <v>997</v>
      </c>
      <c r="B21" s="363" t="b">
        <f t="shared" ref="B21:C21" si="20">IF(A21=A22,TRUE,FALSE)</f>
        <v>0</v>
      </c>
      <c r="C21" s="363" t="b">
        <f t="shared" si="20"/>
        <v>1</v>
      </c>
      <c r="E21" s="4">
        <v>20</v>
      </c>
      <c r="F21" t="str">
        <f>E21&amp;". :voyagers: [b]New York Voyagers[/b] -"</f>
        <v>20. :voyagers: [b]New York Voyagers[/b] -</v>
      </c>
    </row>
    <row r="22" spans="1:6" ht="15.75" customHeight="1">
      <c r="A22" s="363" t="s">
        <v>681</v>
      </c>
      <c r="B22" s="363" t="b">
        <f t="shared" ref="B22:C22" si="21">IF(A22=A23,TRUE,FALSE)</f>
        <v>0</v>
      </c>
      <c r="C22" s="363" t="b">
        <f t="shared" si="21"/>
        <v>1</v>
      </c>
      <c r="E22" s="4">
        <v>21</v>
      </c>
      <c r="F22" t="str">
        <f>E22&amp;". :aviators: [b]Outer Banks Aviators[/b] -  "</f>
        <v xml:space="preserve">21. :aviators: [b]Outer Banks Aviators[/b] -  </v>
      </c>
    </row>
    <row r="23" spans="1:6" ht="15.75" customHeight="1">
      <c r="A23" s="364" t="s">
        <v>1577</v>
      </c>
      <c r="B23" s="363" t="b">
        <f t="shared" ref="B23:C23" si="22">IF(A23=A24,TRUE,FALSE)</f>
        <v>0</v>
      </c>
      <c r="C23" s="363" t="b">
        <f t="shared" si="22"/>
        <v>1</v>
      </c>
      <c r="E23" s="4">
        <v>22</v>
      </c>
      <c r="F23" t="str">
        <f>E23&amp;". :scorpions: [b]Death Valley Scorpions[/b] -"</f>
        <v>22. :scorpions: [b]Death Valley Scorpions[/b] -</v>
      </c>
    </row>
    <row r="24" spans="1:6" ht="15.75" customHeight="1">
      <c r="A24" s="363" t="s">
        <v>713</v>
      </c>
      <c r="B24" s="363" t="b">
        <f t="shared" ref="B24:C24" si="23">IF(A24=A25,TRUE,FALSE)</f>
        <v>0</v>
      </c>
      <c r="C24" s="363" t="b">
        <f t="shared" si="23"/>
        <v>1</v>
      </c>
      <c r="E24" s="4">
        <v>23</v>
      </c>
      <c r="F24" t="str">
        <f>E24&amp;". :rangers: [b]Florida Space Rangers[/b] -"</f>
        <v>23. :rangers: [b]Florida Space Rangers[/b] -</v>
      </c>
    </row>
    <row r="25" spans="1:6" ht="15.75" customHeight="1">
      <c r="A25" s="363" t="s">
        <v>1381</v>
      </c>
      <c r="B25" s="363" t="b">
        <f t="shared" ref="B25:C25" si="24">IF(A25=A26,TRUE,FALSE)</f>
        <v>0</v>
      </c>
      <c r="C25" s="363" t="b">
        <f t="shared" si="24"/>
        <v>1</v>
      </c>
      <c r="E25" s="4">
        <v>24</v>
      </c>
      <c r="F25" t="str">
        <f>E25&amp;". :sloths: [b]San Antonio Sloths[/b]  -"</f>
        <v>24. :sloths: [b]San Antonio Sloths[/b]  -</v>
      </c>
    </row>
    <row r="26" spans="1:6" ht="15.75" customHeight="1">
      <c r="A26" s="363" t="s">
        <v>675</v>
      </c>
      <c r="B26" s="363" t="b">
        <f t="shared" ref="B26:C26" si="25">IF(A26=A27,TRUE,FALSE)</f>
        <v>0</v>
      </c>
      <c r="C26" s="363" t="b">
        <f t="shared" si="25"/>
        <v>1</v>
      </c>
      <c r="E26" s="4">
        <v>25</v>
      </c>
      <c r="F26" t="str">
        <f>E26&amp;". :utah: [b]Utah Railroaders[/b] -"</f>
        <v>25. :utah: [b]Utah Railroaders[/b] -</v>
      </c>
    </row>
    <row r="27" spans="1:6" ht="15.75" customHeight="1">
      <c r="A27" s="363" t="s">
        <v>710</v>
      </c>
      <c r="B27" s="363" t="b">
        <f t="shared" ref="B27:C27" si="26">IF(A27=A28,TRUE,FALSE)</f>
        <v>0</v>
      </c>
      <c r="C27" s="363" t="b">
        <f t="shared" si="26"/>
        <v>1</v>
      </c>
      <c r="E27" s="4">
        <v>26</v>
      </c>
      <c r="F27" t="str">
        <f>E27&amp;". :vandals: [b]Vancouver Vandals[/b] -"</f>
        <v>26. :vandals: [b]Vancouver Vandals[/b] -</v>
      </c>
    </row>
    <row r="28" spans="1:6" ht="15.75" customHeight="1">
      <c r="A28" s="363" t="s">
        <v>620</v>
      </c>
      <c r="B28" s="363" t="b">
        <f t="shared" ref="B28:C28" si="27">IF(A28=A29,TRUE,FALSE)</f>
        <v>0</v>
      </c>
      <c r="C28" s="363" t="b">
        <f t="shared" si="27"/>
        <v>1</v>
      </c>
      <c r="E28" s="4">
        <v>27</v>
      </c>
      <c r="F28" t="str">
        <f>E28&amp;". :crabs: [b]Providence Crabs[/b] -"</f>
        <v>27. :crabs: [b]Providence Crabs[/b] -</v>
      </c>
    </row>
    <row r="29" spans="1:6" ht="15.75" customHeight="1">
      <c r="A29" s="363" t="s">
        <v>655</v>
      </c>
      <c r="B29" s="363" t="b">
        <f t="shared" ref="B29:C29" si="28">IF(A29=A30,TRUE,FALSE)</f>
        <v>0</v>
      </c>
      <c r="C29" s="363" t="b">
        <f t="shared" si="28"/>
        <v>1</v>
      </c>
      <c r="E29" s="4">
        <v>28</v>
      </c>
      <c r="F29" t="str">
        <f>E29&amp;". :voyagers: [b]New York Voyagers[/b] -"</f>
        <v>28. :voyagers: [b]New York Voyagers[/b] -</v>
      </c>
    </row>
    <row r="30" spans="1:6" ht="15.75" customHeight="1">
      <c r="A30" s="364" t="s">
        <v>1386</v>
      </c>
      <c r="B30" s="363" t="b">
        <f t="shared" ref="B30:C30" si="29">IF(A30=A31,TRUE,FALSE)</f>
        <v>0</v>
      </c>
      <c r="C30" s="363" t="b">
        <f t="shared" si="29"/>
        <v>1</v>
      </c>
      <c r="E30" s="4">
        <v>29</v>
      </c>
      <c r="F30" t="str">
        <f>E30&amp;". :aviators: [b]Outer Banks Aviators[/b] -  "</f>
        <v xml:space="preserve">29. :aviators: [b]Outer Banks Aviators[/b] -  </v>
      </c>
    </row>
    <row r="31" spans="1:6" ht="15.75" customHeight="1">
      <c r="A31" s="363" t="s">
        <v>270</v>
      </c>
      <c r="B31" s="363" t="b">
        <f t="shared" ref="B31:C31" si="30">IF(A31=A32,TRUE,FALSE)</f>
        <v>0</v>
      </c>
      <c r="C31" s="363" t="b">
        <f t="shared" si="30"/>
        <v>1</v>
      </c>
      <c r="E31" s="4">
        <v>30</v>
      </c>
      <c r="F31" t="str">
        <f>E31&amp;". :scorpions: [b]Death Valley Scorpions[/b] -"</f>
        <v>30. :scorpions: [b]Death Valley Scorpions[/b] -</v>
      </c>
    </row>
    <row r="32" spans="1:6" ht="15.75" customHeight="1">
      <c r="A32" s="363" t="s">
        <v>707</v>
      </c>
      <c r="B32" s="363" t="b">
        <f t="shared" ref="B32:C32" si="31">IF(A32=A33,TRUE,FALSE)</f>
        <v>0</v>
      </c>
      <c r="C32" s="363" t="b">
        <f t="shared" si="31"/>
        <v>1</v>
      </c>
      <c r="E32" s="4">
        <v>31</v>
      </c>
      <c r="F32" t="str">
        <f>E32&amp;". :rangers: [b]Florida Space Rangers[/b] -"</f>
        <v>31. :rangers: [b]Florida Space Rangers[/b] -</v>
      </c>
    </row>
    <row r="33" spans="1:6" ht="15.75" customHeight="1">
      <c r="A33" s="363" t="s">
        <v>986</v>
      </c>
      <c r="B33" s="363" t="b">
        <f t="shared" ref="B33:C33" si="32">IF(A33=A34,TRUE,FALSE)</f>
        <v>0</v>
      </c>
      <c r="C33" s="363" t="b">
        <f t="shared" si="32"/>
        <v>1</v>
      </c>
      <c r="E33" s="4">
        <v>32</v>
      </c>
      <c r="F33" t="str">
        <f>E33&amp;". :sloths: [b]San Antonio Sloths[/b]  -"</f>
        <v>32. :sloths: [b]San Antonio Sloths[/b]  -</v>
      </c>
    </row>
    <row r="34" spans="1:6" ht="15.75" customHeight="1">
      <c r="A34" s="377" t="s">
        <v>696</v>
      </c>
      <c r="B34" s="363" t="b">
        <f t="shared" ref="B34:B49" si="33">IF(A34=A35,TRUE,FALSE)</f>
        <v>0</v>
      </c>
      <c r="C34" s="363" t="e">
        <f>IF(B34=#REF!,TRUE,FALSE)</f>
        <v>#REF!</v>
      </c>
      <c r="E34" s="4">
        <v>33</v>
      </c>
      <c r="F34" t="str">
        <f>E34&amp;". :utah: [b]Utah Railroaders[/b] -"</f>
        <v>33. :utah: [b]Utah Railroaders[/b] -</v>
      </c>
    </row>
    <row r="35" spans="1:6" ht="15.75" customHeight="1">
      <c r="A35" s="364" t="s">
        <v>1397</v>
      </c>
      <c r="B35" s="363" t="b">
        <f t="shared" si="33"/>
        <v>0</v>
      </c>
      <c r="C35" s="363" t="b">
        <f t="shared" ref="C35:C42" si="34">IF(B35=B36,TRUE,FALSE)</f>
        <v>1</v>
      </c>
      <c r="E35" s="4">
        <v>34</v>
      </c>
      <c r="F35" t="str">
        <f>E35&amp;". :vandals: [b]Vancouver Vandals[/b] -"</f>
        <v>34. :vandals: [b]Vancouver Vandals[/b] -</v>
      </c>
    </row>
    <row r="36" spans="1:6" ht="15.75" customHeight="1">
      <c r="A36" s="363" t="s">
        <v>631</v>
      </c>
      <c r="B36" s="363" t="b">
        <f t="shared" si="33"/>
        <v>0</v>
      </c>
      <c r="C36" s="363" t="b">
        <f t="shared" si="34"/>
        <v>1</v>
      </c>
      <c r="E36" s="4">
        <v>35</v>
      </c>
      <c r="F36" t="str">
        <f>E36&amp;". :crabs: [b]Providence Crabs[/b] -"</f>
        <v>35. :crabs: [b]Providence Crabs[/b] -</v>
      </c>
    </row>
    <row r="37" spans="1:6" ht="15.75" customHeight="1">
      <c r="A37" s="363" t="s">
        <v>1275</v>
      </c>
      <c r="B37" s="363" t="b">
        <f t="shared" si="33"/>
        <v>0</v>
      </c>
      <c r="C37" s="363" t="b">
        <f t="shared" si="34"/>
        <v>1</v>
      </c>
      <c r="E37" s="4">
        <v>36</v>
      </c>
      <c r="F37" t="str">
        <f>E37&amp;". :voyagers: [b]New York Voyagers[/b] -"</f>
        <v>36. :voyagers: [b]New York Voyagers[/b] -</v>
      </c>
    </row>
    <row r="38" spans="1:6" ht="15.75" customHeight="1">
      <c r="A38" s="363" t="s">
        <v>1583</v>
      </c>
      <c r="B38" s="363" t="b">
        <f t="shared" si="33"/>
        <v>0</v>
      </c>
      <c r="C38" s="363" t="b">
        <f t="shared" si="34"/>
        <v>1</v>
      </c>
      <c r="E38" s="4">
        <v>37</v>
      </c>
      <c r="F38" t="str">
        <f>E38&amp;". :aviators: [b]Outer Banks Aviators[/b] -  "</f>
        <v xml:space="preserve">37. :aviators: [b]Outer Banks Aviators[/b] -  </v>
      </c>
    </row>
    <row r="39" spans="1:6" ht="15.75" customHeight="1">
      <c r="A39" s="363" t="s">
        <v>625</v>
      </c>
      <c r="B39" s="363" t="b">
        <f t="shared" si="33"/>
        <v>0</v>
      </c>
      <c r="C39" s="363" t="b">
        <f t="shared" si="34"/>
        <v>1</v>
      </c>
      <c r="E39" s="4">
        <v>38</v>
      </c>
      <c r="F39" t="str">
        <f>E39&amp;". :scorpions: [b]Death Valley Scorpions[/b] -"</f>
        <v>38. :scorpions: [b]Death Valley Scorpions[/b] -</v>
      </c>
    </row>
    <row r="40" spans="1:6" ht="15.75" customHeight="1">
      <c r="A40" s="363" t="s">
        <v>705</v>
      </c>
      <c r="B40" s="363" t="b">
        <f t="shared" si="33"/>
        <v>0</v>
      </c>
      <c r="C40" s="363" t="b">
        <f t="shared" si="34"/>
        <v>1</v>
      </c>
      <c r="E40" s="4">
        <v>39</v>
      </c>
      <c r="F40" t="str">
        <f>E40&amp;". :rangers: [b]Florida Space Rangers[/b] -"</f>
        <v>39. :rangers: [b]Florida Space Rangers[/b] -</v>
      </c>
    </row>
    <row r="41" spans="1:6" ht="15.75" customHeight="1">
      <c r="A41" s="363" t="s">
        <v>897</v>
      </c>
      <c r="B41" s="363" t="b">
        <f t="shared" si="33"/>
        <v>0</v>
      </c>
      <c r="C41" s="363" t="b">
        <f t="shared" si="34"/>
        <v>1</v>
      </c>
      <c r="E41" s="4">
        <v>40</v>
      </c>
      <c r="F41" t="str">
        <f>E41&amp;". :sloths: [b]San Antonio Sloths[/b]  -"</f>
        <v>40. :sloths: [b]San Antonio Sloths[/b]  -</v>
      </c>
    </row>
    <row r="42" spans="1:6" ht="15.75" customHeight="1">
      <c r="A42" s="363" t="s">
        <v>688</v>
      </c>
      <c r="B42" s="363" t="b">
        <f t="shared" si="33"/>
        <v>0</v>
      </c>
      <c r="C42" s="363" t="b">
        <f t="shared" si="34"/>
        <v>1</v>
      </c>
      <c r="E42" s="4">
        <v>41</v>
      </c>
      <c r="F42" t="str">
        <f>E42&amp;". :utah: [b]Utah Railroaders[/b] -"</f>
        <v>41. :utah: [b]Utah Railroaders[/b] -</v>
      </c>
    </row>
    <row r="43" spans="1:6" ht="15.75" customHeight="1">
      <c r="A43" s="363" t="s">
        <v>1546</v>
      </c>
      <c r="B43" s="363" t="b">
        <f t="shared" si="33"/>
        <v>0</v>
      </c>
      <c r="C43" s="363" t="e">
        <f>IF(B43=#REF!,TRUE,FALSE)</f>
        <v>#REF!</v>
      </c>
      <c r="E43" s="4">
        <v>42</v>
      </c>
      <c r="F43" t="str">
        <f>E43&amp;". :vandals: [b]Vancouver Vandals[/b] -"</f>
        <v>42. :vandals: [b]Vancouver Vandals[/b] -</v>
      </c>
    </row>
    <row r="44" spans="1:6" ht="15.75" customHeight="1">
      <c r="A44" s="364" t="s">
        <v>1326</v>
      </c>
      <c r="B44" s="363" t="b">
        <f t="shared" si="33"/>
        <v>0</v>
      </c>
      <c r="C44" s="363" t="b">
        <f t="shared" ref="C44:C49" si="35">IF(B44=B45,TRUE,FALSE)</f>
        <v>1</v>
      </c>
      <c r="E44" s="4">
        <v>43</v>
      </c>
      <c r="F44" t="str">
        <f>E44&amp;". :crabs: [b]Providence Crabs[/b] -"</f>
        <v>43. :crabs: [b]Providence Crabs[/b] -</v>
      </c>
    </row>
    <row r="45" spans="1:6" ht="15.75" customHeight="1">
      <c r="A45" s="364" t="s">
        <v>1572</v>
      </c>
      <c r="B45" s="363" t="b">
        <f t="shared" si="33"/>
        <v>0</v>
      </c>
      <c r="C45" s="363" t="b">
        <f t="shared" si="35"/>
        <v>1</v>
      </c>
      <c r="E45" s="4">
        <v>44</v>
      </c>
      <c r="F45" t="str">
        <f>E45&amp;". :voyagers: [b]New York Voyagers[/b] -"</f>
        <v>44. :voyagers: [b]New York Voyagers[/b] -</v>
      </c>
    </row>
    <row r="46" spans="1:6" ht="15.75" customHeight="1">
      <c r="A46" s="364" t="s">
        <v>1270</v>
      </c>
      <c r="B46" s="363" t="b">
        <f t="shared" si="33"/>
        <v>0</v>
      </c>
      <c r="C46" s="363" t="b">
        <f t="shared" si="35"/>
        <v>1</v>
      </c>
      <c r="E46" s="4">
        <v>45</v>
      </c>
      <c r="F46" t="str">
        <f>E46&amp;". :aviators: [b]Outer Banks Aviators[/b] -  "</f>
        <v xml:space="preserve">45. :aviators: [b]Outer Banks Aviators[/b] -  </v>
      </c>
    </row>
    <row r="47" spans="1:6" ht="15.75" customHeight="1">
      <c r="A47" s="363" t="s">
        <v>920</v>
      </c>
      <c r="B47" s="363" t="b">
        <f t="shared" si="33"/>
        <v>0</v>
      </c>
      <c r="C47" s="363" t="b">
        <f t="shared" si="35"/>
        <v>1</v>
      </c>
      <c r="E47" s="4">
        <v>46</v>
      </c>
      <c r="F47" t="str">
        <f>E47&amp;". :scorpions: [b]Death Valley Scorpions[/b] -"</f>
        <v>46. :scorpions: [b]Death Valley Scorpions[/b] -</v>
      </c>
    </row>
    <row r="48" spans="1:6" ht="15.75" customHeight="1">
      <c r="A48" s="276" t="s">
        <v>689</v>
      </c>
      <c r="B48" s="363" t="b">
        <f t="shared" si="33"/>
        <v>0</v>
      </c>
      <c r="C48" s="363" t="b">
        <f t="shared" si="35"/>
        <v>1</v>
      </c>
      <c r="E48" s="4">
        <v>47</v>
      </c>
      <c r="F48" t="str">
        <f>E48&amp;". :rangers: [b]Florida Space Rangers[/b] -"</f>
        <v>47. :rangers: [b]Florida Space Rangers[/b] -</v>
      </c>
    </row>
    <row r="49" spans="1:6" ht="15.75" customHeight="1">
      <c r="A49" s="363" t="s">
        <v>898</v>
      </c>
      <c r="B49" s="363" t="b">
        <f t="shared" si="33"/>
        <v>0</v>
      </c>
      <c r="C49" s="363" t="b">
        <f t="shared" si="35"/>
        <v>1</v>
      </c>
      <c r="E49" s="4">
        <v>48</v>
      </c>
      <c r="F49" t="str">
        <f>E49&amp;". :sloths: [b]San Antonio Sloths[/b]  -"</f>
        <v>48. :sloths: [b]San Antonio Sloths[/b]  -</v>
      </c>
    </row>
    <row r="50" spans="1:6" ht="15.75" customHeight="1">
      <c r="E50" s="4">
        <v>49</v>
      </c>
      <c r="F50" t="str">
        <f>E50&amp;". :utah: [b]Utah Railroaders[/b] -"</f>
        <v>49. :utah: [b]Utah Railroaders[/b] -</v>
      </c>
    </row>
    <row r="51" spans="1:6" ht="15.75" customHeight="1">
      <c r="E51" s="4">
        <v>50</v>
      </c>
      <c r="F51" t="str">
        <f>E51&amp;". :vandals: [b]Vancouver Vandals[/b] -"</f>
        <v>50. :vandals: [b]Vancouver Vandals[/b] -</v>
      </c>
    </row>
    <row r="52" spans="1:6" ht="15.75" customHeight="1">
      <c r="E52" s="4">
        <v>51</v>
      </c>
      <c r="F52" t="str">
        <f>E52&amp;". :crabs: [b]Providence Crabs[/b] -"</f>
        <v>51. :crabs: [b]Providence Crabs[/b] -</v>
      </c>
    </row>
    <row r="53" spans="1:6" ht="15.75" customHeight="1">
      <c r="E53" s="4">
        <v>52</v>
      </c>
      <c r="F53" t="str">
        <f>E53&amp;". :voyagers: [b]New York Voyagers[/b] -"</f>
        <v>52. :voyagers: [b]New York Voyagers[/b] -</v>
      </c>
    </row>
    <row r="54" spans="1:6" ht="15.75" customHeight="1">
      <c r="E54" s="4">
        <v>53</v>
      </c>
      <c r="F54" t="str">
        <f>E54&amp;". :aviators: [b]Outer Banks Aviators[/b] -  "</f>
        <v xml:space="preserve">53. :aviators: [b]Outer Banks Aviators[/b] -  </v>
      </c>
    </row>
    <row r="55" spans="1:6" ht="15.75" customHeight="1">
      <c r="E55" s="4">
        <v>54</v>
      </c>
      <c r="F55" t="str">
        <f>E55&amp;". :scorpions: [b]Death Valley Scorpions[/b] -"</f>
        <v>54. :scorpions: [b]Death Valley Scorpions[/b] -</v>
      </c>
    </row>
    <row r="56" spans="1:6" ht="15.75" customHeight="1">
      <c r="E56" s="4">
        <v>55</v>
      </c>
      <c r="F56" t="str">
        <f>E56&amp;". :rangers: [b]Florida Space Rangers[/b] -"</f>
        <v>55. :rangers: [b]Florida Space Rangers[/b] -</v>
      </c>
    </row>
    <row r="57" spans="1:6" ht="15.75" customHeight="1">
      <c r="E57" s="4">
        <v>56</v>
      </c>
      <c r="F57" t="str">
        <f>E57&amp;". :sloths: [b]San Antonio Sloths[/b]  -"</f>
        <v>56. :sloths: [b]San Antonio Sloths[/b]  -</v>
      </c>
    </row>
    <row r="58" spans="1:6" ht="15.75" customHeight="1">
      <c r="E58" s="4">
        <v>57</v>
      </c>
      <c r="F58" t="str">
        <f>E58&amp;". :utah: [b]Utah Railroaders[/b] -"</f>
        <v>57. :utah: [b]Utah Railroaders[/b] -</v>
      </c>
    </row>
    <row r="59" spans="1:6" ht="15.75" customHeight="1">
      <c r="E59" s="4">
        <v>58</v>
      </c>
      <c r="F59" t="str">
        <f>E59&amp;". :vandals: [b]Vancouver Vandals[/b] -"</f>
        <v>58. :vandals: [b]Vancouver Vandals[/b] -</v>
      </c>
    </row>
  </sheetData>
  <hyperlinks>
    <hyperlink ref="A1" r:id="rId1" xr:uid="{00000000-0004-0000-1100-000000000000}"/>
    <hyperlink ref="A2" r:id="rId2" xr:uid="{00000000-0004-0000-1100-000001000000}"/>
    <hyperlink ref="A3" r:id="rId3" xr:uid="{00000000-0004-0000-1100-000002000000}"/>
    <hyperlink ref="A4" r:id="rId4" xr:uid="{00000000-0004-0000-1100-000003000000}"/>
    <hyperlink ref="A5" r:id="rId5" xr:uid="{00000000-0004-0000-1100-000004000000}"/>
    <hyperlink ref="A6" r:id="rId6" xr:uid="{00000000-0004-0000-1100-000005000000}"/>
    <hyperlink ref="A7" r:id="rId7" xr:uid="{00000000-0004-0000-1100-000006000000}"/>
    <hyperlink ref="A8" r:id="rId8" xr:uid="{00000000-0004-0000-1100-000007000000}"/>
    <hyperlink ref="A9" r:id="rId9" xr:uid="{00000000-0004-0000-1100-000008000000}"/>
    <hyperlink ref="A10" r:id="rId10" xr:uid="{00000000-0004-0000-1100-000009000000}"/>
    <hyperlink ref="A11" r:id="rId11" xr:uid="{00000000-0004-0000-1100-00000A000000}"/>
    <hyperlink ref="A12" r:id="rId12" xr:uid="{00000000-0004-0000-1100-00000B000000}"/>
    <hyperlink ref="A13" r:id="rId13" xr:uid="{00000000-0004-0000-1100-00000C000000}"/>
    <hyperlink ref="A14" r:id="rId14" xr:uid="{00000000-0004-0000-1100-00000D000000}"/>
    <hyperlink ref="A15" r:id="rId15" xr:uid="{00000000-0004-0000-1100-00000E000000}"/>
    <hyperlink ref="A16" r:id="rId16" xr:uid="{00000000-0004-0000-1100-00000F000000}"/>
    <hyperlink ref="A17" r:id="rId17" xr:uid="{00000000-0004-0000-1100-000010000000}"/>
    <hyperlink ref="A18" r:id="rId18" xr:uid="{00000000-0004-0000-1100-000011000000}"/>
    <hyperlink ref="A19" r:id="rId19" xr:uid="{00000000-0004-0000-1100-000012000000}"/>
    <hyperlink ref="A20" r:id="rId20" xr:uid="{00000000-0004-0000-1100-000013000000}"/>
    <hyperlink ref="A21" r:id="rId21" xr:uid="{00000000-0004-0000-1100-000014000000}"/>
    <hyperlink ref="A22" r:id="rId22" xr:uid="{00000000-0004-0000-1100-000015000000}"/>
    <hyperlink ref="A23" r:id="rId23" xr:uid="{00000000-0004-0000-1100-000016000000}"/>
    <hyperlink ref="A24" r:id="rId24" xr:uid="{00000000-0004-0000-1100-000017000000}"/>
    <hyperlink ref="A25" r:id="rId25" xr:uid="{00000000-0004-0000-1100-000018000000}"/>
    <hyperlink ref="A26" r:id="rId26" xr:uid="{00000000-0004-0000-1100-000019000000}"/>
    <hyperlink ref="A27" r:id="rId27" xr:uid="{00000000-0004-0000-1100-00001A000000}"/>
    <hyperlink ref="A28" r:id="rId28" xr:uid="{00000000-0004-0000-1100-00001B000000}"/>
    <hyperlink ref="A29" r:id="rId29" xr:uid="{00000000-0004-0000-1100-00001C000000}"/>
    <hyperlink ref="A30" r:id="rId30" xr:uid="{00000000-0004-0000-1100-00001D000000}"/>
    <hyperlink ref="A31" r:id="rId31" xr:uid="{00000000-0004-0000-1100-00001E000000}"/>
    <hyperlink ref="A32" r:id="rId32" xr:uid="{00000000-0004-0000-1100-00001F000000}"/>
    <hyperlink ref="A33" r:id="rId33" xr:uid="{00000000-0004-0000-1100-000020000000}"/>
    <hyperlink ref="A34" r:id="rId34" xr:uid="{00000000-0004-0000-1100-000021000000}"/>
    <hyperlink ref="A35" r:id="rId35" xr:uid="{00000000-0004-0000-1100-000022000000}"/>
    <hyperlink ref="A36" r:id="rId36" xr:uid="{00000000-0004-0000-1100-000023000000}"/>
    <hyperlink ref="A37" r:id="rId37" xr:uid="{00000000-0004-0000-1100-000024000000}"/>
    <hyperlink ref="A38" r:id="rId38" xr:uid="{00000000-0004-0000-1100-000025000000}"/>
    <hyperlink ref="A39" r:id="rId39" xr:uid="{00000000-0004-0000-1100-000026000000}"/>
    <hyperlink ref="A40" r:id="rId40" xr:uid="{00000000-0004-0000-1100-000027000000}"/>
    <hyperlink ref="A41" r:id="rId41" xr:uid="{00000000-0004-0000-1100-000028000000}"/>
    <hyperlink ref="A42" r:id="rId42" xr:uid="{00000000-0004-0000-1100-000029000000}"/>
    <hyperlink ref="A43" r:id="rId43" xr:uid="{00000000-0004-0000-1100-00002A000000}"/>
    <hyperlink ref="A44" r:id="rId44" xr:uid="{00000000-0004-0000-1100-00002B000000}"/>
    <hyperlink ref="A45" r:id="rId45" xr:uid="{00000000-0004-0000-1100-00002C000000}"/>
    <hyperlink ref="A46" r:id="rId46" xr:uid="{00000000-0004-0000-1100-00002D000000}"/>
    <hyperlink ref="A47" r:id="rId47" xr:uid="{00000000-0004-0000-1100-00002E000000}"/>
    <hyperlink ref="A48" r:id="rId48" xr:uid="{00000000-0004-0000-1100-00002F000000}"/>
    <hyperlink ref="A49" r:id="rId49" xr:uid="{00000000-0004-0000-1100-000030000000}"/>
  </hyperlinks>
  <pageMargins left="0.7" right="0.7" top="0.75" bottom="0.75" header="0.3" footer="0.3"/>
  <tableParts count="1">
    <tablePart r:id="rId5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F99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4" customWidth="1"/>
    <col min="2" max="2" width="5.6640625" customWidth="1"/>
    <col min="4" max="4" width="15.1640625" customWidth="1"/>
    <col min="8" max="8" width="4.6640625" customWidth="1"/>
    <col min="9" max="9" width="4.33203125" customWidth="1"/>
    <col min="10" max="12" width="4.5" customWidth="1"/>
    <col min="13" max="14" width="5.1640625" customWidth="1"/>
    <col min="29" max="29" width="4.5" customWidth="1"/>
  </cols>
  <sheetData>
    <row r="1" spans="1:58" ht="15.75" customHeight="1">
      <c r="A1" s="2"/>
      <c r="B1" s="7" t="s">
        <v>5</v>
      </c>
      <c r="C1" s="5" t="s">
        <v>7</v>
      </c>
      <c r="D1" s="5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22</v>
      </c>
      <c r="M1" s="7" t="s">
        <v>142</v>
      </c>
      <c r="N1" s="2" t="s">
        <v>23</v>
      </c>
      <c r="O1" s="2" t="s">
        <v>24</v>
      </c>
      <c r="P1" s="6" t="s">
        <v>25</v>
      </c>
      <c r="Q1" s="2" t="s">
        <v>26</v>
      </c>
      <c r="R1" s="2" t="s">
        <v>27</v>
      </c>
      <c r="S1" s="2" t="s">
        <v>28</v>
      </c>
      <c r="T1" s="2" t="s">
        <v>29</v>
      </c>
      <c r="U1" s="2" t="s">
        <v>30</v>
      </c>
      <c r="V1" s="2" t="s">
        <v>31</v>
      </c>
      <c r="W1" s="2" t="s">
        <v>32</v>
      </c>
      <c r="X1" s="2" t="s">
        <v>33</v>
      </c>
      <c r="Y1" s="2" t="s">
        <v>34</v>
      </c>
      <c r="Z1" s="2" t="s">
        <v>35</v>
      </c>
      <c r="AA1" s="2" t="s">
        <v>36</v>
      </c>
      <c r="AB1" s="2" t="s">
        <v>37</v>
      </c>
      <c r="AC1" s="2" t="s">
        <v>38</v>
      </c>
      <c r="AD1" s="7" t="s">
        <v>39</v>
      </c>
      <c r="AE1" s="2" t="s">
        <v>40</v>
      </c>
      <c r="AF1" s="2" t="s">
        <v>41</v>
      </c>
      <c r="AG1" s="2" t="s">
        <v>42</v>
      </c>
      <c r="AH1" s="2" t="s">
        <v>43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ht="15.75" customHeight="1">
      <c r="A2" s="12"/>
      <c r="B2" s="7" t="s">
        <v>44</v>
      </c>
      <c r="C2" s="189" t="s">
        <v>1029</v>
      </c>
      <c r="D2" s="25" t="s">
        <v>1030</v>
      </c>
      <c r="E2" s="11" t="str">
        <f t="shared" ref="E2:E8" si="0">IFERROR(TRIM(LEFT(D2,LEN(D2)-4)),"")</f>
        <v>Kosei Yoshida</v>
      </c>
      <c r="F2" s="11" t="str">
        <f t="shared" ref="F2:F8" si="1">TRIM(RIGHT(D2,2))</f>
        <v>CL</v>
      </c>
      <c r="G2" s="7" t="s">
        <v>55</v>
      </c>
      <c r="H2" s="7">
        <v>100</v>
      </c>
      <c r="I2" s="2"/>
      <c r="J2" s="2"/>
      <c r="K2" s="2"/>
      <c r="L2" s="2"/>
      <c r="M2" s="2"/>
      <c r="N2" s="2"/>
      <c r="O2" s="7" t="s">
        <v>19</v>
      </c>
      <c r="P2" s="19">
        <v>1</v>
      </c>
      <c r="Q2" s="7" t="s">
        <v>19</v>
      </c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2"/>
      <c r="AD2" s="4" t="s">
        <v>47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</row>
    <row r="3" spans="1:58" ht="15.75" customHeight="1">
      <c r="A3" s="12"/>
      <c r="B3" s="7" t="s">
        <v>44</v>
      </c>
      <c r="C3" s="118" t="s">
        <v>745</v>
      </c>
      <c r="D3" s="25" t="s">
        <v>747</v>
      </c>
      <c r="E3" s="11" t="str">
        <f t="shared" si="0"/>
        <v>Blake Faux</v>
      </c>
      <c r="F3" s="11" t="str">
        <f t="shared" si="1"/>
        <v>SP</v>
      </c>
      <c r="G3" s="7" t="s">
        <v>749</v>
      </c>
      <c r="H3" s="7">
        <v>122</v>
      </c>
      <c r="I3" s="2"/>
      <c r="J3" s="2"/>
      <c r="K3" s="2"/>
      <c r="L3" s="2"/>
      <c r="M3" s="2"/>
      <c r="N3" s="2"/>
      <c r="O3" s="7" t="s">
        <v>19</v>
      </c>
      <c r="P3" s="19">
        <v>2</v>
      </c>
      <c r="Q3" s="7" t="s">
        <v>38</v>
      </c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2"/>
      <c r="AD3" s="4" t="s">
        <v>47</v>
      </c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</row>
    <row r="4" spans="1:58" ht="15.75" customHeight="1">
      <c r="A4" s="12"/>
      <c r="B4" s="7" t="s">
        <v>44</v>
      </c>
      <c r="C4" s="118" t="s">
        <v>958</v>
      </c>
      <c r="D4" s="25" t="s">
        <v>959</v>
      </c>
      <c r="E4" s="11" t="str">
        <f t="shared" si="0"/>
        <v>Dan Wilinsky</v>
      </c>
      <c r="F4" s="11" t="str">
        <f t="shared" si="1"/>
        <v>SP</v>
      </c>
      <c r="G4" s="15" t="s">
        <v>114</v>
      </c>
      <c r="H4" s="7">
        <v>167</v>
      </c>
      <c r="I4" s="2"/>
      <c r="J4" s="2"/>
      <c r="K4" s="2"/>
      <c r="L4" s="2"/>
      <c r="M4" s="2"/>
      <c r="N4" s="2"/>
      <c r="O4" s="7" t="s">
        <v>19</v>
      </c>
      <c r="P4" s="19">
        <v>3</v>
      </c>
      <c r="Q4" s="7" t="s">
        <v>38</v>
      </c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2"/>
      <c r="AD4" s="4" t="s">
        <v>47</v>
      </c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</row>
    <row r="5" spans="1:58" ht="15.75" customHeight="1">
      <c r="A5" s="12"/>
      <c r="B5" s="7" t="s">
        <v>44</v>
      </c>
      <c r="C5" s="189" t="s">
        <v>665</v>
      </c>
      <c r="D5" s="25" t="s">
        <v>667</v>
      </c>
      <c r="E5" s="11" t="str">
        <f t="shared" si="0"/>
        <v>Chris King</v>
      </c>
      <c r="F5" s="11" t="str">
        <f t="shared" si="1"/>
        <v>3B</v>
      </c>
      <c r="G5" s="7" t="s">
        <v>84</v>
      </c>
      <c r="H5" s="7">
        <v>100</v>
      </c>
      <c r="I5" s="2"/>
      <c r="J5" s="2"/>
      <c r="K5" s="2"/>
      <c r="L5" s="2"/>
      <c r="M5" s="2"/>
      <c r="N5" s="2"/>
      <c r="O5" s="7" t="s">
        <v>19</v>
      </c>
      <c r="P5" s="19">
        <v>4</v>
      </c>
      <c r="Q5" s="7" t="s">
        <v>19</v>
      </c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2"/>
      <c r="AD5" s="4" t="s">
        <v>47</v>
      </c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</row>
    <row r="6" spans="1:58" ht="15.75" customHeight="1">
      <c r="A6" s="12"/>
      <c r="B6" s="7" t="s">
        <v>44</v>
      </c>
      <c r="C6" s="118" t="s">
        <v>672</v>
      </c>
      <c r="D6" s="25" t="s">
        <v>2182</v>
      </c>
      <c r="E6" s="11" t="str">
        <f t="shared" si="0"/>
        <v>Jonny Times II</v>
      </c>
      <c r="F6" s="11" t="str">
        <f t="shared" si="1"/>
        <v>CF</v>
      </c>
      <c r="G6" s="7" t="s">
        <v>662</v>
      </c>
      <c r="H6" s="7">
        <v>100</v>
      </c>
      <c r="I6" s="2"/>
      <c r="J6" s="2"/>
      <c r="K6" s="2"/>
      <c r="L6" s="2"/>
      <c r="M6" s="2"/>
      <c r="N6" s="2"/>
      <c r="O6" s="7" t="s">
        <v>19</v>
      </c>
      <c r="P6" s="19">
        <v>5</v>
      </c>
      <c r="Q6" s="7" t="s">
        <v>19</v>
      </c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2"/>
      <c r="AD6" s="4" t="s">
        <v>47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</row>
    <row r="7" spans="1:58" ht="15.75" customHeight="1">
      <c r="A7" s="12"/>
      <c r="B7" s="7" t="s">
        <v>44</v>
      </c>
      <c r="C7" s="118" t="s">
        <v>311</v>
      </c>
      <c r="D7" s="25" t="s">
        <v>313</v>
      </c>
      <c r="E7" s="11" t="str">
        <f t="shared" si="0"/>
        <v>Harry Styles</v>
      </c>
      <c r="F7" s="11" t="str">
        <f t="shared" si="1"/>
        <v>CL</v>
      </c>
      <c r="G7" s="7" t="s">
        <v>55</v>
      </c>
      <c r="H7" s="7">
        <v>100</v>
      </c>
      <c r="I7" s="2"/>
      <c r="J7" s="2"/>
      <c r="K7" s="2"/>
      <c r="L7" s="2"/>
      <c r="M7" s="2"/>
      <c r="N7" s="2"/>
      <c r="O7" s="7" t="s">
        <v>19</v>
      </c>
      <c r="P7" s="19">
        <v>6</v>
      </c>
      <c r="Q7" s="7" t="s">
        <v>19</v>
      </c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2"/>
      <c r="AD7" s="4" t="s">
        <v>47</v>
      </c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</row>
    <row r="8" spans="1:58" ht="15.75" customHeight="1">
      <c r="A8" s="12"/>
      <c r="B8" s="7" t="s">
        <v>44</v>
      </c>
      <c r="C8" s="118" t="s">
        <v>837</v>
      </c>
      <c r="D8" s="25" t="s">
        <v>839</v>
      </c>
      <c r="E8" s="11" t="str">
        <f t="shared" si="0"/>
        <v>Jad McFearson</v>
      </c>
      <c r="F8" s="11" t="str">
        <f t="shared" si="1"/>
        <v>CF</v>
      </c>
      <c r="G8" s="7" t="s">
        <v>565</v>
      </c>
      <c r="H8" s="7">
        <v>100</v>
      </c>
      <c r="I8" s="2"/>
      <c r="J8" s="2"/>
      <c r="K8" s="2"/>
      <c r="L8" s="2"/>
      <c r="M8" s="2"/>
      <c r="N8" s="2"/>
      <c r="O8" s="7" t="s">
        <v>19</v>
      </c>
      <c r="P8" s="19">
        <v>7</v>
      </c>
      <c r="Q8" s="7" t="s">
        <v>19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2"/>
      <c r="AD8" s="4" t="s">
        <v>47</v>
      </c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</row>
    <row r="10" spans="1:58" ht="15.75" customHeight="1">
      <c r="A10" s="12"/>
      <c r="B10" s="7" t="s">
        <v>44</v>
      </c>
      <c r="C10" s="118" t="s">
        <v>2183</v>
      </c>
      <c r="D10" s="25" t="s">
        <v>2184</v>
      </c>
      <c r="E10" s="11" t="str">
        <f>IFERROR(TRIM(LEFT(D10,LEN(D10)-4)),"")</f>
        <v>Troy Graves</v>
      </c>
      <c r="F10" s="11" t="str">
        <f t="shared" ref="F10:F61" si="2">TRIM(RIGHT(D10,2))</f>
        <v>SP</v>
      </c>
      <c r="G10" s="7" t="s">
        <v>55</v>
      </c>
      <c r="H10" s="7">
        <v>130</v>
      </c>
      <c r="I10" s="2"/>
      <c r="J10" s="2"/>
      <c r="K10" s="2"/>
      <c r="L10" s="2"/>
      <c r="M10" s="2"/>
      <c r="N10" s="2"/>
      <c r="O10" s="7" t="s">
        <v>19</v>
      </c>
      <c r="P10" s="19">
        <v>79</v>
      </c>
      <c r="Q10" s="7" t="s">
        <v>38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2"/>
      <c r="AD10" s="4" t="s">
        <v>47</v>
      </c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</row>
    <row r="11" spans="1:58" ht="15.75" customHeight="1">
      <c r="A11" s="50"/>
      <c r="B11" s="50" t="s">
        <v>44</v>
      </c>
      <c r="C11" s="39"/>
      <c r="D11" s="50"/>
      <c r="E11" s="50" t="str">
        <f t="shared" ref="E11:E19" si="3">IFERROR(TRIM(LEFT(D11,LEN(D11)-4)),"")</f>
        <v/>
      </c>
      <c r="F11" s="50" t="str">
        <f t="shared" si="2"/>
        <v/>
      </c>
      <c r="G11" s="50"/>
      <c r="H11" s="174">
        <v>100</v>
      </c>
      <c r="I11" s="50"/>
      <c r="J11" s="50"/>
      <c r="K11" s="50"/>
      <c r="L11" s="50"/>
      <c r="M11" s="50"/>
      <c r="N11" s="50"/>
      <c r="O11" s="50" t="s">
        <v>19</v>
      </c>
      <c r="P11" s="50"/>
      <c r="Q11" s="50" t="s">
        <v>19</v>
      </c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 t="s">
        <v>47</v>
      </c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21"/>
      <c r="BC11" s="21"/>
      <c r="BD11" s="21"/>
      <c r="BE11" s="21"/>
      <c r="BF11" s="21"/>
    </row>
    <row r="12" spans="1:58" ht="15.75" customHeight="1">
      <c r="A12" s="50"/>
      <c r="B12" s="50" t="s">
        <v>44</v>
      </c>
      <c r="C12" s="39"/>
      <c r="D12" s="50"/>
      <c r="E12" s="50" t="str">
        <f t="shared" si="3"/>
        <v/>
      </c>
      <c r="F12" s="50" t="str">
        <f t="shared" si="2"/>
        <v/>
      </c>
      <c r="G12" s="50"/>
      <c r="H12" s="174">
        <v>100</v>
      </c>
      <c r="I12" s="50"/>
      <c r="J12" s="50"/>
      <c r="K12" s="50"/>
      <c r="L12" s="50"/>
      <c r="M12" s="50"/>
      <c r="N12" s="50"/>
      <c r="O12" s="50" t="s">
        <v>19</v>
      </c>
      <c r="P12" s="50"/>
      <c r="Q12" s="50" t="s">
        <v>19</v>
      </c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 t="s">
        <v>47</v>
      </c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21"/>
      <c r="BC12" s="21"/>
      <c r="BD12" s="21"/>
      <c r="BE12" s="21"/>
      <c r="BF12" s="21"/>
    </row>
    <row r="13" spans="1:58" ht="15.75" customHeight="1">
      <c r="A13" s="50"/>
      <c r="B13" s="50" t="s">
        <v>44</v>
      </c>
      <c r="C13" s="39"/>
      <c r="D13" s="50"/>
      <c r="E13" s="50" t="str">
        <f t="shared" si="3"/>
        <v/>
      </c>
      <c r="F13" s="50" t="str">
        <f t="shared" si="2"/>
        <v/>
      </c>
      <c r="G13" s="50"/>
      <c r="H13" s="174">
        <v>100</v>
      </c>
      <c r="I13" s="50"/>
      <c r="J13" s="50"/>
      <c r="K13" s="50"/>
      <c r="L13" s="50"/>
      <c r="M13" s="50"/>
      <c r="N13" s="50"/>
      <c r="O13" s="50" t="s">
        <v>19</v>
      </c>
      <c r="P13" s="50"/>
      <c r="Q13" s="50" t="s">
        <v>19</v>
      </c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 t="s">
        <v>47</v>
      </c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21"/>
      <c r="BC13" s="21"/>
      <c r="BD13" s="21"/>
      <c r="BE13" s="21"/>
      <c r="BF13" s="21"/>
    </row>
    <row r="14" spans="1:58" ht="15.75" customHeight="1">
      <c r="A14" s="50"/>
      <c r="B14" s="50" t="s">
        <v>44</v>
      </c>
      <c r="C14" s="39"/>
      <c r="D14" s="50"/>
      <c r="E14" s="50" t="str">
        <f t="shared" si="3"/>
        <v/>
      </c>
      <c r="F14" s="50" t="str">
        <f t="shared" si="2"/>
        <v/>
      </c>
      <c r="G14" s="50"/>
      <c r="H14" s="174">
        <v>100</v>
      </c>
      <c r="I14" s="50"/>
      <c r="J14" s="50"/>
      <c r="K14" s="50"/>
      <c r="L14" s="50"/>
      <c r="M14" s="50"/>
      <c r="N14" s="50"/>
      <c r="O14" s="50" t="s">
        <v>19</v>
      </c>
      <c r="P14" s="50"/>
      <c r="Q14" s="50" t="s">
        <v>19</v>
      </c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 t="s">
        <v>47</v>
      </c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21"/>
      <c r="BC14" s="21"/>
      <c r="BD14" s="21"/>
      <c r="BE14" s="21"/>
      <c r="BF14" s="21"/>
    </row>
    <row r="15" spans="1:58" ht="15.75" customHeight="1">
      <c r="A15" s="50"/>
      <c r="B15" s="50" t="s">
        <v>44</v>
      </c>
      <c r="C15" s="39"/>
      <c r="D15" s="50"/>
      <c r="E15" s="50" t="str">
        <f t="shared" si="3"/>
        <v/>
      </c>
      <c r="F15" s="50" t="str">
        <f t="shared" si="2"/>
        <v/>
      </c>
      <c r="G15" s="50"/>
      <c r="H15" s="174">
        <v>100</v>
      </c>
      <c r="I15" s="50"/>
      <c r="J15" s="50"/>
      <c r="K15" s="50"/>
      <c r="L15" s="50"/>
      <c r="M15" s="50"/>
      <c r="N15" s="50"/>
      <c r="O15" s="50" t="s">
        <v>19</v>
      </c>
      <c r="P15" s="50"/>
      <c r="Q15" s="50" t="s">
        <v>19</v>
      </c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 t="s">
        <v>47</v>
      </c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21"/>
      <c r="BC15" s="21"/>
      <c r="BD15" s="21"/>
      <c r="BE15" s="21"/>
      <c r="BF15" s="21"/>
    </row>
    <row r="16" spans="1:58" ht="15.75" customHeight="1">
      <c r="A16" s="50"/>
      <c r="B16" s="50" t="s">
        <v>44</v>
      </c>
      <c r="C16" s="39"/>
      <c r="D16" s="50"/>
      <c r="E16" s="50" t="str">
        <f t="shared" si="3"/>
        <v/>
      </c>
      <c r="F16" s="50" t="str">
        <f t="shared" si="2"/>
        <v/>
      </c>
      <c r="G16" s="50"/>
      <c r="H16" s="174">
        <v>100</v>
      </c>
      <c r="I16" s="50"/>
      <c r="J16" s="50"/>
      <c r="K16" s="50"/>
      <c r="L16" s="50"/>
      <c r="M16" s="50"/>
      <c r="N16" s="50"/>
      <c r="O16" s="50" t="s">
        <v>19</v>
      </c>
      <c r="P16" s="50"/>
      <c r="Q16" s="50" t="s">
        <v>19</v>
      </c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 t="s">
        <v>47</v>
      </c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21"/>
      <c r="BC16" s="21"/>
      <c r="BD16" s="21"/>
      <c r="BE16" s="21"/>
      <c r="BF16" s="21"/>
    </row>
    <row r="17" spans="1:58" ht="15.75" customHeight="1">
      <c r="A17" s="50"/>
      <c r="B17" s="50" t="s">
        <v>44</v>
      </c>
      <c r="C17" s="39"/>
      <c r="D17" s="50"/>
      <c r="E17" s="50" t="str">
        <f t="shared" si="3"/>
        <v/>
      </c>
      <c r="F17" s="50" t="str">
        <f t="shared" si="2"/>
        <v/>
      </c>
      <c r="G17" s="50"/>
      <c r="H17" s="174">
        <v>100</v>
      </c>
      <c r="I17" s="50"/>
      <c r="J17" s="50"/>
      <c r="K17" s="50"/>
      <c r="L17" s="50"/>
      <c r="M17" s="50"/>
      <c r="N17" s="50"/>
      <c r="O17" s="50" t="s">
        <v>19</v>
      </c>
      <c r="P17" s="50"/>
      <c r="Q17" s="50" t="s">
        <v>19</v>
      </c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 t="s">
        <v>47</v>
      </c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21"/>
      <c r="BC17" s="21"/>
      <c r="BD17" s="21"/>
      <c r="BE17" s="21"/>
      <c r="BF17" s="21"/>
    </row>
    <row r="18" spans="1:58" ht="15.75" customHeight="1">
      <c r="A18" s="50"/>
      <c r="B18" s="50" t="s">
        <v>44</v>
      </c>
      <c r="C18" s="39"/>
      <c r="D18" s="50"/>
      <c r="E18" s="50" t="str">
        <f t="shared" si="3"/>
        <v/>
      </c>
      <c r="F18" s="50" t="str">
        <f t="shared" si="2"/>
        <v/>
      </c>
      <c r="G18" s="50"/>
      <c r="H18" s="174">
        <v>100</v>
      </c>
      <c r="I18" s="50"/>
      <c r="J18" s="50"/>
      <c r="K18" s="50"/>
      <c r="L18" s="50"/>
      <c r="M18" s="50"/>
      <c r="N18" s="50"/>
      <c r="O18" s="50" t="s">
        <v>19</v>
      </c>
      <c r="P18" s="50"/>
      <c r="Q18" s="50" t="s">
        <v>19</v>
      </c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 t="s">
        <v>47</v>
      </c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21"/>
      <c r="BC18" s="21"/>
      <c r="BD18" s="21"/>
      <c r="BE18" s="21"/>
      <c r="BF18" s="21"/>
    </row>
    <row r="19" spans="1:58" ht="15.75" customHeight="1">
      <c r="A19" s="47"/>
      <c r="B19" s="48" t="s">
        <v>10</v>
      </c>
      <c r="C19" s="118" t="s">
        <v>317</v>
      </c>
      <c r="D19" s="25" t="s">
        <v>319</v>
      </c>
      <c r="E19" s="47" t="str">
        <f t="shared" si="3"/>
        <v>Henry Chadwick</v>
      </c>
      <c r="F19" s="47" t="str">
        <f t="shared" si="2"/>
        <v>SP</v>
      </c>
      <c r="G19" s="15" t="s">
        <v>109</v>
      </c>
      <c r="H19" s="162">
        <v>100</v>
      </c>
      <c r="I19" s="47"/>
      <c r="J19" s="47"/>
      <c r="K19" s="47"/>
      <c r="L19" s="47"/>
      <c r="M19" s="47"/>
      <c r="N19" s="47"/>
      <c r="O19" s="47" t="s">
        <v>19</v>
      </c>
      <c r="P19" s="48">
        <v>9</v>
      </c>
      <c r="Q19" s="47" t="s">
        <v>19</v>
      </c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9" t="s">
        <v>47</v>
      </c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21"/>
      <c r="BC19" s="21"/>
      <c r="BD19" s="21"/>
      <c r="BE19" s="21"/>
      <c r="BF19" s="21"/>
    </row>
    <row r="20" spans="1:58" ht="15.75" customHeight="1">
      <c r="A20" s="12"/>
      <c r="B20" s="7" t="s">
        <v>10</v>
      </c>
      <c r="C20" s="118" t="s">
        <v>323</v>
      </c>
      <c r="D20" s="25" t="s">
        <v>324</v>
      </c>
      <c r="E20" s="11" t="str">
        <f>IFERROR(TRIM(LEFT(D20,LEN(D20)-4)),"")</f>
        <v>Jackson Krowley</v>
      </c>
      <c r="F20" s="11" t="str">
        <f t="shared" si="2"/>
        <v>SS</v>
      </c>
      <c r="G20" s="7" t="s">
        <v>97</v>
      </c>
      <c r="H20" s="7">
        <v>100</v>
      </c>
      <c r="I20" s="2"/>
      <c r="J20" s="2"/>
      <c r="K20" s="2"/>
      <c r="L20" s="2"/>
      <c r="M20" s="2"/>
      <c r="N20" s="2"/>
      <c r="O20" s="7" t="s">
        <v>19</v>
      </c>
      <c r="P20" s="19">
        <v>20</v>
      </c>
      <c r="Q20" s="7" t="s">
        <v>19</v>
      </c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2"/>
      <c r="AD20" s="4" t="s">
        <v>47</v>
      </c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</row>
    <row r="21" spans="1:58" ht="15.75" customHeight="1">
      <c r="A21" s="50"/>
      <c r="B21" s="51" t="s">
        <v>10</v>
      </c>
      <c r="C21" s="118" t="s">
        <v>326</v>
      </c>
      <c r="D21" s="25" t="s">
        <v>327</v>
      </c>
      <c r="E21" s="50" t="str">
        <f t="shared" ref="E21:E22" si="4">IFERROR(TRIM(LEFT(D21,LEN(D21)-4)),"")</f>
        <v>Reggie Montoya</v>
      </c>
      <c r="F21" s="50" t="str">
        <f t="shared" si="2"/>
        <v>3B</v>
      </c>
      <c r="G21" s="51" t="s">
        <v>329</v>
      </c>
      <c r="H21" s="174">
        <v>100</v>
      </c>
      <c r="I21" s="50"/>
      <c r="J21" s="50"/>
      <c r="K21" s="50"/>
      <c r="L21" s="50"/>
      <c r="M21" s="50"/>
      <c r="N21" s="50"/>
      <c r="O21" s="50" t="s">
        <v>19</v>
      </c>
      <c r="P21" s="51">
        <v>37</v>
      </c>
      <c r="Q21" s="50" t="s">
        <v>19</v>
      </c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 t="s">
        <v>47</v>
      </c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21"/>
      <c r="BC21" s="21"/>
      <c r="BD21" s="21"/>
      <c r="BE21" s="21"/>
      <c r="BF21" s="21"/>
    </row>
    <row r="22" spans="1:58" ht="15.75" customHeight="1">
      <c r="A22" s="50"/>
      <c r="B22" s="51" t="s">
        <v>10</v>
      </c>
      <c r="C22" s="118" t="s">
        <v>1597</v>
      </c>
      <c r="D22" s="25" t="s">
        <v>1599</v>
      </c>
      <c r="E22" s="50" t="str">
        <f t="shared" si="4"/>
        <v>Jerome Lome</v>
      </c>
      <c r="F22" s="50" t="str">
        <f t="shared" si="2"/>
        <v>C</v>
      </c>
      <c r="G22" s="51" t="s">
        <v>159</v>
      </c>
      <c r="H22" s="174">
        <v>100</v>
      </c>
      <c r="I22" s="50"/>
      <c r="J22" s="50"/>
      <c r="K22" s="50"/>
      <c r="L22" s="50"/>
      <c r="M22" s="50"/>
      <c r="N22" s="50"/>
      <c r="O22" s="50" t="s">
        <v>19</v>
      </c>
      <c r="P22" s="51">
        <v>54</v>
      </c>
      <c r="Q22" s="50" t="s">
        <v>19</v>
      </c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 t="s">
        <v>47</v>
      </c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21"/>
      <c r="BC22" s="21"/>
      <c r="BD22" s="21"/>
      <c r="BE22" s="21"/>
      <c r="BF22" s="21"/>
    </row>
    <row r="23" spans="1:58" ht="15.75" customHeight="1">
      <c r="A23" s="12"/>
      <c r="B23" s="7" t="s">
        <v>10</v>
      </c>
      <c r="C23" s="24" t="s">
        <v>1604</v>
      </c>
      <c r="D23" s="25" t="s">
        <v>1606</v>
      </c>
      <c r="E23" s="11" t="str">
        <f t="shared" ref="E23:E25" si="5">IFERROR(TRIM(LEFT(D23,LEN(D23)-4)),"")</f>
        <v>Rickadosz Zimmermencha</v>
      </c>
      <c r="F23" s="11" t="str">
        <f t="shared" si="2"/>
        <v>CL</v>
      </c>
      <c r="G23" s="15" t="s">
        <v>55</v>
      </c>
      <c r="H23" s="7">
        <v>100</v>
      </c>
      <c r="I23" s="2"/>
      <c r="J23" s="2"/>
      <c r="K23" s="2"/>
      <c r="L23" s="2"/>
      <c r="M23" s="2"/>
      <c r="N23" s="2"/>
      <c r="O23" s="7" t="s">
        <v>19</v>
      </c>
      <c r="P23" s="19">
        <v>62</v>
      </c>
      <c r="Q23" s="7" t="s">
        <v>38</v>
      </c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2"/>
      <c r="AD23" s="4" t="s">
        <v>47</v>
      </c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</row>
    <row r="24" spans="1:58" ht="15.75" customHeight="1">
      <c r="A24" s="12"/>
      <c r="B24" s="7" t="s">
        <v>10</v>
      </c>
      <c r="C24" s="118" t="s">
        <v>1610</v>
      </c>
      <c r="D24" s="25" t="s">
        <v>1613</v>
      </c>
      <c r="E24" s="11" t="str">
        <f t="shared" si="5"/>
        <v>Brian Harris</v>
      </c>
      <c r="F24" s="11" t="str">
        <f t="shared" si="2"/>
        <v>SP</v>
      </c>
      <c r="G24" s="7" t="s">
        <v>55</v>
      </c>
      <c r="H24" s="7">
        <v>100</v>
      </c>
      <c r="I24" s="2"/>
      <c r="J24" s="2"/>
      <c r="K24" s="2"/>
      <c r="L24" s="2"/>
      <c r="M24" s="2"/>
      <c r="N24" s="2"/>
      <c r="O24" s="7" t="s">
        <v>19</v>
      </c>
      <c r="P24" s="19">
        <v>70</v>
      </c>
      <c r="Q24" s="7" t="s">
        <v>19</v>
      </c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2"/>
      <c r="AD24" s="4" t="s">
        <v>47</v>
      </c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</row>
    <row r="25" spans="1:58" ht="15.75" customHeight="1">
      <c r="A25" s="12"/>
      <c r="B25" s="7" t="s">
        <v>10</v>
      </c>
      <c r="C25" s="118" t="s">
        <v>1616</v>
      </c>
      <c r="D25" s="25" t="s">
        <v>1618</v>
      </c>
      <c r="E25" s="11" t="str">
        <f t="shared" si="5"/>
        <v>R.A. Johnston</v>
      </c>
      <c r="F25" s="11" t="str">
        <f t="shared" si="2"/>
        <v>SP</v>
      </c>
      <c r="G25" s="15" t="s">
        <v>109</v>
      </c>
      <c r="H25" s="7">
        <v>100</v>
      </c>
      <c r="I25" s="2"/>
      <c r="J25" s="2"/>
      <c r="K25" s="2"/>
      <c r="L25" s="2"/>
      <c r="M25" s="2"/>
      <c r="N25" s="2"/>
      <c r="O25" s="7" t="s">
        <v>19</v>
      </c>
      <c r="P25" s="19">
        <v>78</v>
      </c>
      <c r="Q25" s="7" t="s">
        <v>19</v>
      </c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2"/>
      <c r="AD25" s="4" t="s">
        <v>47</v>
      </c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</row>
    <row r="26" spans="1:58" ht="15.75" customHeight="1">
      <c r="A26" s="50"/>
      <c r="B26" s="51" t="s">
        <v>9</v>
      </c>
      <c r="C26" s="118" t="s">
        <v>1143</v>
      </c>
      <c r="D26" s="25" t="s">
        <v>1144</v>
      </c>
      <c r="E26" s="50" t="str">
        <f t="shared" ref="E26:E28" si="6">IFERROR(TRIM(LEFT(D26,LEN(D26)-4)),"")</f>
        <v>Mark Taylor</v>
      </c>
      <c r="F26" s="50" t="str">
        <f t="shared" si="2"/>
        <v>SP</v>
      </c>
      <c r="G26" s="15" t="s">
        <v>114</v>
      </c>
      <c r="H26" s="174">
        <v>100</v>
      </c>
      <c r="I26" s="50"/>
      <c r="J26" s="50"/>
      <c r="K26" s="50"/>
      <c r="L26" s="50"/>
      <c r="M26" s="50"/>
      <c r="N26" s="50"/>
      <c r="O26" s="50" t="s">
        <v>19</v>
      </c>
      <c r="P26" s="51">
        <v>24</v>
      </c>
      <c r="Q26" s="50" t="s">
        <v>19</v>
      </c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 t="s">
        <v>47</v>
      </c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21"/>
      <c r="BC26" s="21"/>
      <c r="BD26" s="21"/>
      <c r="BE26" s="21"/>
      <c r="BF26" s="21"/>
    </row>
    <row r="27" spans="1:58" ht="15.75" customHeight="1">
      <c r="A27" s="50"/>
      <c r="B27" s="51" t="s">
        <v>9</v>
      </c>
      <c r="C27" s="118" t="s">
        <v>1146</v>
      </c>
      <c r="D27" s="25" t="s">
        <v>1148</v>
      </c>
      <c r="E27" s="50" t="str">
        <f t="shared" si="6"/>
        <v>Drennifer Tarbington</v>
      </c>
      <c r="F27" s="50" t="str">
        <f t="shared" si="2"/>
        <v>CL</v>
      </c>
      <c r="G27" s="51" t="s">
        <v>290</v>
      </c>
      <c r="H27" s="174">
        <v>100</v>
      </c>
      <c r="I27" s="50"/>
      <c r="J27" s="50"/>
      <c r="K27" s="50"/>
      <c r="L27" s="50"/>
      <c r="M27" s="50"/>
      <c r="N27" s="50"/>
      <c r="O27" s="50" t="s">
        <v>19</v>
      </c>
      <c r="P27" s="51">
        <v>34</v>
      </c>
      <c r="Q27" s="50" t="s">
        <v>19</v>
      </c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 t="s">
        <v>47</v>
      </c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21"/>
      <c r="BC27" s="21"/>
      <c r="BD27" s="21"/>
      <c r="BE27" s="21"/>
      <c r="BF27" s="21"/>
    </row>
    <row r="28" spans="1:58" ht="15.75" customHeight="1">
      <c r="A28" s="50"/>
      <c r="B28" s="51" t="s">
        <v>8</v>
      </c>
      <c r="C28" s="189" t="s">
        <v>962</v>
      </c>
      <c r="D28" s="25" t="s">
        <v>963</v>
      </c>
      <c r="E28" s="50" t="str">
        <f t="shared" si="6"/>
        <v>Joey Slothface</v>
      </c>
      <c r="F28" s="50" t="str">
        <f t="shared" si="2"/>
        <v>SP</v>
      </c>
      <c r="G28" s="15" t="s">
        <v>114</v>
      </c>
      <c r="H28" s="174">
        <v>100</v>
      </c>
      <c r="I28" s="50"/>
      <c r="J28" s="50"/>
      <c r="K28" s="50"/>
      <c r="L28" s="50"/>
      <c r="M28" s="50"/>
      <c r="N28" s="50"/>
      <c r="O28" s="50" t="s">
        <v>19</v>
      </c>
      <c r="P28" s="51">
        <v>12</v>
      </c>
      <c r="Q28" s="50" t="s">
        <v>19</v>
      </c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 t="s">
        <v>47</v>
      </c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21"/>
      <c r="BC28" s="21"/>
      <c r="BD28" s="21"/>
      <c r="BE28" s="21"/>
      <c r="BF28" s="21"/>
    </row>
    <row r="29" spans="1:58" ht="15.75" customHeight="1">
      <c r="A29" s="12"/>
      <c r="B29" s="7" t="s">
        <v>8</v>
      </c>
      <c r="C29" s="118" t="s">
        <v>382</v>
      </c>
      <c r="D29" s="25" t="s">
        <v>966</v>
      </c>
      <c r="E29" s="11" t="str">
        <f t="shared" ref="E29:E35" si="7">IFERROR(TRIM(LEFT(D29,LEN(D29)-4)),"")</f>
        <v>Thomas Trey Oudekerk</v>
      </c>
      <c r="F29" s="11" t="str">
        <f t="shared" si="2"/>
        <v>1B</v>
      </c>
      <c r="G29" s="7" t="s">
        <v>691</v>
      </c>
      <c r="H29" s="7">
        <v>100</v>
      </c>
      <c r="I29" s="2"/>
      <c r="J29" s="2"/>
      <c r="K29" s="2"/>
      <c r="L29" s="2"/>
      <c r="M29" s="2"/>
      <c r="N29" s="2"/>
      <c r="O29" s="7" t="s">
        <v>19</v>
      </c>
      <c r="P29" s="19">
        <v>16</v>
      </c>
      <c r="Q29" s="7" t="s">
        <v>19</v>
      </c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2"/>
      <c r="AD29" s="4" t="s">
        <v>47</v>
      </c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</row>
    <row r="30" spans="1:58" ht="15.75" customHeight="1">
      <c r="A30" s="12"/>
      <c r="B30" s="7" t="s">
        <v>8</v>
      </c>
      <c r="C30" s="118" t="s">
        <v>968</v>
      </c>
      <c r="D30" s="25" t="s">
        <v>969</v>
      </c>
      <c r="E30" s="11" t="str">
        <f t="shared" si="7"/>
        <v>Jack Bauer II</v>
      </c>
      <c r="F30" s="11" t="str">
        <f t="shared" si="2"/>
        <v>SS</v>
      </c>
      <c r="G30" s="7" t="s">
        <v>84</v>
      </c>
      <c r="H30" s="7">
        <v>100</v>
      </c>
      <c r="I30" s="2"/>
      <c r="J30" s="2"/>
      <c r="K30" s="2"/>
      <c r="L30" s="2"/>
      <c r="M30" s="2"/>
      <c r="N30" s="2"/>
      <c r="O30" s="7" t="s">
        <v>19</v>
      </c>
      <c r="P30" s="19">
        <v>22</v>
      </c>
      <c r="Q30" s="7" t="s">
        <v>38</v>
      </c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2"/>
      <c r="AD30" s="4" t="s">
        <v>47</v>
      </c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</row>
    <row r="31" spans="1:58" ht="15.75" customHeight="1">
      <c r="A31" s="12"/>
      <c r="B31" s="7" t="s">
        <v>8</v>
      </c>
      <c r="C31" s="118" t="s">
        <v>1622</v>
      </c>
      <c r="D31" s="25" t="s">
        <v>1624</v>
      </c>
      <c r="E31" s="11" t="str">
        <f t="shared" si="7"/>
        <v>Sancho Webner</v>
      </c>
      <c r="F31" s="11" t="str">
        <f t="shared" si="2"/>
        <v>LF</v>
      </c>
      <c r="G31" s="7" t="s">
        <v>565</v>
      </c>
      <c r="H31" s="7">
        <v>100</v>
      </c>
      <c r="I31" s="2"/>
      <c r="J31" s="2"/>
      <c r="K31" s="2"/>
      <c r="L31" s="2"/>
      <c r="M31" s="2"/>
      <c r="N31" s="2"/>
      <c r="O31" s="7" t="s">
        <v>19</v>
      </c>
      <c r="P31" s="19">
        <v>36</v>
      </c>
      <c r="Q31" s="7" t="s">
        <v>19</v>
      </c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2"/>
      <c r="AD31" s="4" t="s">
        <v>47</v>
      </c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</row>
    <row r="32" spans="1:58" ht="15.75" customHeight="1">
      <c r="A32" s="12"/>
      <c r="B32" s="7" t="s">
        <v>8</v>
      </c>
      <c r="C32" s="118" t="s">
        <v>1560</v>
      </c>
      <c r="D32" s="25" t="s">
        <v>1631</v>
      </c>
      <c r="E32" s="11" t="str">
        <f t="shared" si="7"/>
        <v>Orlando Delgado</v>
      </c>
      <c r="F32" s="11" t="str">
        <f t="shared" si="2"/>
        <v>1B</v>
      </c>
      <c r="G32" s="7" t="s">
        <v>97</v>
      </c>
      <c r="H32" s="7">
        <v>100</v>
      </c>
      <c r="I32" s="2"/>
      <c r="J32" s="2"/>
      <c r="K32" s="2"/>
      <c r="L32" s="2"/>
      <c r="M32" s="2"/>
      <c r="N32" s="2"/>
      <c r="O32" s="7" t="s">
        <v>19</v>
      </c>
      <c r="P32" s="19">
        <v>44</v>
      </c>
      <c r="Q32" s="7" t="s">
        <v>19</v>
      </c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2"/>
      <c r="AD32" s="4" t="s">
        <v>47</v>
      </c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</row>
    <row r="33" spans="1:58" ht="15.75" customHeight="1">
      <c r="A33" s="12"/>
      <c r="B33" s="7" t="s">
        <v>8</v>
      </c>
      <c r="C33" s="118" t="s">
        <v>1405</v>
      </c>
      <c r="D33" s="25" t="s">
        <v>1407</v>
      </c>
      <c r="E33" s="11" t="str">
        <f t="shared" si="7"/>
        <v>Dinero Torres</v>
      </c>
      <c r="F33" s="11" t="str">
        <f t="shared" si="2"/>
        <v>SP</v>
      </c>
      <c r="G33" s="15" t="s">
        <v>109</v>
      </c>
      <c r="H33" s="7">
        <v>108</v>
      </c>
      <c r="I33" s="2"/>
      <c r="J33" s="2"/>
      <c r="K33" s="2"/>
      <c r="L33" s="2"/>
      <c r="M33" s="2"/>
      <c r="N33" s="2"/>
      <c r="O33" s="7" t="s">
        <v>19</v>
      </c>
      <c r="P33" s="19">
        <v>52</v>
      </c>
      <c r="Q33" s="7" t="s">
        <v>38</v>
      </c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2"/>
      <c r="AD33" s="4" t="s">
        <v>47</v>
      </c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</row>
    <row r="34" spans="1:58" ht="15.75" customHeight="1">
      <c r="A34" s="12"/>
      <c r="B34" s="7" t="s">
        <v>8</v>
      </c>
      <c r="C34" s="118" t="s">
        <v>1641</v>
      </c>
      <c r="D34" s="25" t="s">
        <v>1643</v>
      </c>
      <c r="E34" s="11" t="str">
        <f t="shared" si="7"/>
        <v>Jerry Parker</v>
      </c>
      <c r="F34" s="11" t="str">
        <f t="shared" si="2"/>
        <v>SP</v>
      </c>
      <c r="G34" s="15" t="s">
        <v>114</v>
      </c>
      <c r="H34" s="7">
        <v>138</v>
      </c>
      <c r="I34" s="2"/>
      <c r="J34" s="2"/>
      <c r="K34" s="2"/>
      <c r="L34" s="2"/>
      <c r="M34" s="2"/>
      <c r="N34" s="2"/>
      <c r="O34" s="7" t="s">
        <v>19</v>
      </c>
      <c r="P34" s="19">
        <v>60</v>
      </c>
      <c r="Q34" s="7" t="s">
        <v>38</v>
      </c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2"/>
      <c r="AD34" s="4" t="s">
        <v>47</v>
      </c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</row>
    <row r="35" spans="1:58" ht="15.75" customHeight="1">
      <c r="A35" s="12"/>
      <c r="B35" s="7" t="s">
        <v>5</v>
      </c>
      <c r="C35" s="118" t="s">
        <v>556</v>
      </c>
      <c r="D35" s="25" t="s">
        <v>844</v>
      </c>
      <c r="E35" s="11" t="str">
        <f t="shared" si="7"/>
        <v>Falco Von Adler</v>
      </c>
      <c r="F35" s="11" t="str">
        <f t="shared" si="2"/>
        <v>CL</v>
      </c>
      <c r="G35" s="7" t="s">
        <v>290</v>
      </c>
      <c r="H35" s="7">
        <v>100</v>
      </c>
      <c r="I35" s="2"/>
      <c r="J35" s="2"/>
      <c r="K35" s="2"/>
      <c r="L35" s="2"/>
      <c r="M35" s="2"/>
      <c r="N35" s="2"/>
      <c r="O35" s="7" t="s">
        <v>19</v>
      </c>
      <c r="P35" s="19">
        <v>18</v>
      </c>
      <c r="Q35" s="7" t="s">
        <v>19</v>
      </c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2"/>
      <c r="AD35" s="4" t="s">
        <v>47</v>
      </c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</row>
    <row r="36" spans="1:58" ht="15.75" customHeight="1">
      <c r="A36" s="50"/>
      <c r="B36" s="51" t="s">
        <v>5</v>
      </c>
      <c r="C36" s="118" t="s">
        <v>849</v>
      </c>
      <c r="D36" s="25" t="s">
        <v>850</v>
      </c>
      <c r="E36" s="50" t="str">
        <f>IFERROR(TRIM(LEFT(D36,LEN(D36)-4)),"")</f>
        <v>Tony Stark</v>
      </c>
      <c r="F36" s="50" t="str">
        <f t="shared" si="2"/>
        <v>3B</v>
      </c>
      <c r="G36" s="51" t="s">
        <v>62</v>
      </c>
      <c r="H36" s="174">
        <v>100</v>
      </c>
      <c r="I36" s="50"/>
      <c r="J36" s="50"/>
      <c r="K36" s="50"/>
      <c r="L36" s="50"/>
      <c r="M36" s="50"/>
      <c r="N36" s="50"/>
      <c r="O36" s="50" t="s">
        <v>19</v>
      </c>
      <c r="P36" s="51">
        <v>31</v>
      </c>
      <c r="Q36" s="50" t="s">
        <v>19</v>
      </c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 t="s">
        <v>47</v>
      </c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21"/>
      <c r="BC36" s="21"/>
      <c r="BD36" s="21"/>
      <c r="BE36" s="21"/>
      <c r="BF36" s="21"/>
    </row>
    <row r="37" spans="1:58" ht="15.75" customHeight="1">
      <c r="A37" s="12"/>
      <c r="B37" s="7" t="s">
        <v>5</v>
      </c>
      <c r="C37" s="118" t="s">
        <v>1652</v>
      </c>
      <c r="D37" s="25" t="s">
        <v>1655</v>
      </c>
      <c r="E37" s="11" t="str">
        <f t="shared" ref="E37:E42" si="8">IFERROR(TRIM(LEFT(D37,LEN(D37)-4)),"")</f>
        <v>Pete Davidson</v>
      </c>
      <c r="F37" s="11" t="str">
        <f t="shared" si="2"/>
        <v>SS</v>
      </c>
      <c r="G37" s="7" t="s">
        <v>159</v>
      </c>
      <c r="H37" s="7">
        <v>100</v>
      </c>
      <c r="I37" s="2"/>
      <c r="J37" s="2"/>
      <c r="K37" s="2"/>
      <c r="L37" s="2"/>
      <c r="M37" s="2"/>
      <c r="N37" s="2"/>
      <c r="O37" s="7" t="s">
        <v>19</v>
      </c>
      <c r="P37" s="19">
        <v>39</v>
      </c>
      <c r="Q37" s="7" t="s">
        <v>19</v>
      </c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2"/>
      <c r="AD37" s="4" t="s">
        <v>47</v>
      </c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</row>
    <row r="38" spans="1:58" ht="15.75" customHeight="1">
      <c r="A38" s="12"/>
      <c r="B38" s="7" t="s">
        <v>5</v>
      </c>
      <c r="C38" s="118" t="s">
        <v>1575</v>
      </c>
      <c r="D38" s="25" t="s">
        <v>1570</v>
      </c>
      <c r="E38" s="11" t="str">
        <f t="shared" si="8"/>
        <v>Albert Blueballs</v>
      </c>
      <c r="F38" s="11" t="str">
        <f t="shared" si="2"/>
        <v>1B</v>
      </c>
      <c r="G38" s="7" t="s">
        <v>97</v>
      </c>
      <c r="H38" s="7">
        <v>100</v>
      </c>
      <c r="I38" s="2"/>
      <c r="J38" s="2"/>
      <c r="K38" s="2"/>
      <c r="L38" s="2"/>
      <c r="M38" s="2"/>
      <c r="N38" s="2"/>
      <c r="O38" s="7" t="s">
        <v>19</v>
      </c>
      <c r="P38" s="19">
        <v>55</v>
      </c>
      <c r="Q38" s="7" t="s">
        <v>38</v>
      </c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2"/>
      <c r="AD38" s="4" t="s">
        <v>47</v>
      </c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</row>
    <row r="39" spans="1:58" ht="15.75" customHeight="1">
      <c r="A39" s="12"/>
      <c r="B39" s="7" t="s">
        <v>5</v>
      </c>
      <c r="C39" s="118" t="s">
        <v>1665</v>
      </c>
      <c r="D39" s="25" t="s">
        <v>1667</v>
      </c>
      <c r="E39" s="11" t="str">
        <f t="shared" si="8"/>
        <v>Espen Knutsen Jr.</v>
      </c>
      <c r="F39" s="11" t="str">
        <f t="shared" si="2"/>
        <v>CL</v>
      </c>
      <c r="G39" s="15" t="s">
        <v>114</v>
      </c>
      <c r="H39" s="7">
        <v>108</v>
      </c>
      <c r="I39" s="2"/>
      <c r="J39" s="2"/>
      <c r="K39" s="2"/>
      <c r="L39" s="2"/>
      <c r="M39" s="2"/>
      <c r="N39" s="2"/>
      <c r="O39" s="7" t="s">
        <v>19</v>
      </c>
      <c r="P39" s="19">
        <v>63</v>
      </c>
      <c r="Q39" s="7" t="s">
        <v>38</v>
      </c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2"/>
      <c r="AD39" s="4" t="s">
        <v>47</v>
      </c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</row>
    <row r="40" spans="1:58" ht="15.75" customHeight="1">
      <c r="A40" s="12"/>
      <c r="B40" s="7" t="s">
        <v>5</v>
      </c>
      <c r="C40" s="118" t="s">
        <v>1672</v>
      </c>
      <c r="D40" s="25" t="s">
        <v>1674</v>
      </c>
      <c r="E40" s="11" t="str">
        <f t="shared" si="8"/>
        <v>Jax Duggan</v>
      </c>
      <c r="F40" s="11" t="str">
        <f t="shared" si="2"/>
        <v>C</v>
      </c>
      <c r="G40" s="7" t="s">
        <v>159</v>
      </c>
      <c r="H40" s="7">
        <v>100</v>
      </c>
      <c r="I40" s="2"/>
      <c r="J40" s="2"/>
      <c r="K40" s="2"/>
      <c r="L40" s="2"/>
      <c r="M40" s="2"/>
      <c r="N40" s="2"/>
      <c r="O40" s="7" t="s">
        <v>19</v>
      </c>
      <c r="P40" s="19">
        <v>71</v>
      </c>
      <c r="Q40" s="7" t="s">
        <v>19</v>
      </c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2"/>
      <c r="AD40" s="4" t="s">
        <v>47</v>
      </c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</row>
    <row r="41" spans="1:58" ht="15.75" customHeight="1">
      <c r="A41" s="12"/>
      <c r="B41" s="7" t="s">
        <v>3</v>
      </c>
      <c r="C41" s="118" t="s">
        <v>652</v>
      </c>
      <c r="D41" s="25" t="s">
        <v>1038</v>
      </c>
      <c r="E41" s="11" t="str">
        <f t="shared" si="8"/>
        <v>Archer Fisch</v>
      </c>
      <c r="F41" s="11" t="str">
        <f t="shared" si="2"/>
        <v>SS</v>
      </c>
      <c r="G41" s="7" t="s">
        <v>589</v>
      </c>
      <c r="H41" s="7">
        <v>198</v>
      </c>
      <c r="I41" s="2"/>
      <c r="J41" s="2"/>
      <c r="K41" s="2"/>
      <c r="L41" s="2"/>
      <c r="M41" s="2"/>
      <c r="N41" s="2"/>
      <c r="O41" s="7" t="s">
        <v>19</v>
      </c>
      <c r="P41" s="19">
        <v>11</v>
      </c>
      <c r="Q41" s="7" t="s">
        <v>38</v>
      </c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2"/>
      <c r="AD41" s="4" t="s">
        <v>47</v>
      </c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</row>
    <row r="42" spans="1:58" ht="15.75" customHeight="1">
      <c r="A42" s="12"/>
      <c r="B42" s="7" t="s">
        <v>3</v>
      </c>
      <c r="C42" s="118" t="s">
        <v>1041</v>
      </c>
      <c r="D42" s="25" t="s">
        <v>1043</v>
      </c>
      <c r="E42" s="11" t="str">
        <f t="shared" si="8"/>
        <v>Smitty Springfield</v>
      </c>
      <c r="F42" s="11" t="str">
        <f t="shared" si="2"/>
        <v>2B</v>
      </c>
      <c r="G42" s="7" t="s">
        <v>1046</v>
      </c>
      <c r="H42" s="7">
        <v>100</v>
      </c>
      <c r="I42" s="2"/>
      <c r="J42" s="2"/>
      <c r="K42" s="2"/>
      <c r="L42" s="2"/>
      <c r="M42" s="2"/>
      <c r="N42" s="2"/>
      <c r="O42" s="7" t="s">
        <v>19</v>
      </c>
      <c r="P42" s="19">
        <v>15</v>
      </c>
      <c r="Q42" s="7" t="s">
        <v>19</v>
      </c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2"/>
      <c r="AD42" s="4" t="s">
        <v>47</v>
      </c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</row>
    <row r="43" spans="1:58" ht="15.75" customHeight="1">
      <c r="A43" s="50"/>
      <c r="B43" s="51" t="s">
        <v>3</v>
      </c>
      <c r="C43" s="118" t="s">
        <v>1050</v>
      </c>
      <c r="D43" s="25" t="s">
        <v>1051</v>
      </c>
      <c r="E43" s="50" t="str">
        <f>IFERROR(TRIM(LEFT(D43,LEN(D43)-4)),"")</f>
        <v>Rob Cena</v>
      </c>
      <c r="F43" s="50" t="str">
        <f t="shared" si="2"/>
        <v>CF</v>
      </c>
      <c r="G43" s="51" t="s">
        <v>554</v>
      </c>
      <c r="H43" s="174">
        <v>100</v>
      </c>
      <c r="I43" s="50"/>
      <c r="J43" s="50"/>
      <c r="K43" s="50"/>
      <c r="L43" s="50"/>
      <c r="M43" s="50"/>
      <c r="N43" s="50"/>
      <c r="O43" s="50" t="s">
        <v>19</v>
      </c>
      <c r="P43" s="51">
        <v>19</v>
      </c>
      <c r="Q43" s="50" t="s">
        <v>19</v>
      </c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 t="s">
        <v>47</v>
      </c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21"/>
      <c r="BC43" s="21"/>
      <c r="BD43" s="21"/>
      <c r="BE43" s="21"/>
      <c r="BF43" s="21"/>
    </row>
    <row r="44" spans="1:58" ht="15.75" customHeight="1">
      <c r="A44" s="12"/>
      <c r="B44" s="7" t="s">
        <v>3</v>
      </c>
      <c r="C44" s="118" t="s">
        <v>1053</v>
      </c>
      <c r="D44" s="25" t="s">
        <v>1054</v>
      </c>
      <c r="E44" s="11" t="str">
        <f t="shared" ref="E44:E47" si="9">IFERROR(TRIM(LEFT(D44,LEN(D44)-4)),"")</f>
        <v>Juan Dong</v>
      </c>
      <c r="F44" s="11" t="str">
        <f t="shared" si="2"/>
        <v>1B</v>
      </c>
      <c r="G44" s="7" t="s">
        <v>1046</v>
      </c>
      <c r="H44" s="7">
        <v>100</v>
      </c>
      <c r="I44" s="2"/>
      <c r="J44" s="2"/>
      <c r="K44" s="2"/>
      <c r="L44" s="2"/>
      <c r="M44" s="2"/>
      <c r="N44" s="2"/>
      <c r="O44" s="7" t="s">
        <v>19</v>
      </c>
      <c r="P44" s="19">
        <v>25</v>
      </c>
      <c r="Q44" s="7" t="s">
        <v>38</v>
      </c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2"/>
      <c r="AD44" s="4" t="s">
        <v>47</v>
      </c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</row>
    <row r="45" spans="1:58" ht="15.75" customHeight="1">
      <c r="A45" s="12"/>
      <c r="B45" s="7" t="s">
        <v>3</v>
      </c>
      <c r="C45" s="118" t="s">
        <v>1056</v>
      </c>
      <c r="D45" s="25" t="s">
        <v>1057</v>
      </c>
      <c r="E45" s="11" t="str">
        <f t="shared" si="9"/>
        <v>Ben Crump</v>
      </c>
      <c r="F45" s="11" t="str">
        <f t="shared" si="2"/>
        <v>SS</v>
      </c>
      <c r="G45" s="7" t="s">
        <v>62</v>
      </c>
      <c r="H45" s="7">
        <v>100</v>
      </c>
      <c r="I45" s="2"/>
      <c r="J45" s="2"/>
      <c r="K45" s="2"/>
      <c r="L45" s="2"/>
      <c r="M45" s="2"/>
      <c r="N45" s="2"/>
      <c r="O45" s="7" t="s">
        <v>19</v>
      </c>
      <c r="P45" s="19">
        <v>35</v>
      </c>
      <c r="Q45" s="7" t="s">
        <v>19</v>
      </c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2"/>
      <c r="AD45" s="4" t="s">
        <v>47</v>
      </c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</row>
    <row r="46" spans="1:58" ht="15.75" customHeight="1">
      <c r="A46" s="12"/>
      <c r="B46" s="7" t="s">
        <v>11</v>
      </c>
      <c r="C46" s="118" t="s">
        <v>521</v>
      </c>
      <c r="D46" s="25" t="s">
        <v>524</v>
      </c>
      <c r="E46" s="11" t="str">
        <f t="shared" si="9"/>
        <v>Noah Johns</v>
      </c>
      <c r="F46" s="11" t="str">
        <f t="shared" si="2"/>
        <v>SP</v>
      </c>
      <c r="G46" s="7" t="s">
        <v>55</v>
      </c>
      <c r="H46" s="7">
        <v>100</v>
      </c>
      <c r="I46" s="2"/>
      <c r="J46" s="2"/>
      <c r="K46" s="2"/>
      <c r="L46" s="2"/>
      <c r="M46" s="2"/>
      <c r="N46" s="2"/>
      <c r="O46" s="7" t="s">
        <v>19</v>
      </c>
      <c r="P46" s="19">
        <v>27</v>
      </c>
      <c r="Q46" s="7" t="s">
        <v>19</v>
      </c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2"/>
      <c r="AD46" s="4" t="s">
        <v>47</v>
      </c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</row>
    <row r="47" spans="1:58" ht="15.75" customHeight="1">
      <c r="A47" s="12"/>
      <c r="B47" s="7" t="s">
        <v>11</v>
      </c>
      <c r="C47" s="118" t="s">
        <v>526</v>
      </c>
      <c r="D47" s="25" t="s">
        <v>527</v>
      </c>
      <c r="E47" s="11" t="str">
        <f t="shared" si="9"/>
        <v>Vince MacArthur II</v>
      </c>
      <c r="F47" s="11" t="str">
        <f t="shared" si="2"/>
        <v>3B</v>
      </c>
      <c r="G47" s="7" t="s">
        <v>159</v>
      </c>
      <c r="H47" s="7">
        <v>100</v>
      </c>
      <c r="I47" s="2"/>
      <c r="J47" s="2"/>
      <c r="K47" s="2"/>
      <c r="L47" s="2"/>
      <c r="M47" s="2"/>
      <c r="N47" s="2"/>
      <c r="O47" s="7" t="s">
        <v>19</v>
      </c>
      <c r="P47" s="19">
        <v>33</v>
      </c>
      <c r="Q47" s="7" t="s">
        <v>19</v>
      </c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2"/>
      <c r="AD47" s="4" t="s">
        <v>47</v>
      </c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</row>
    <row r="48" spans="1:58" ht="15.75" customHeight="1">
      <c r="A48" s="50"/>
      <c r="B48" s="51" t="s">
        <v>11</v>
      </c>
      <c r="C48" s="189" t="s">
        <v>1682</v>
      </c>
      <c r="D48" s="25" t="s">
        <v>1684</v>
      </c>
      <c r="E48" s="50" t="str">
        <f>IFERROR(TRIM(LEFT(D48,LEN(D48)-4)),"")</f>
        <v>Lucky Luciano</v>
      </c>
      <c r="F48" s="50" t="str">
        <f t="shared" si="2"/>
        <v>SP</v>
      </c>
      <c r="G48" s="15" t="s">
        <v>55</v>
      </c>
      <c r="H48" s="174">
        <v>100</v>
      </c>
      <c r="I48" s="50"/>
      <c r="J48" s="50"/>
      <c r="K48" s="50"/>
      <c r="L48" s="50"/>
      <c r="M48" s="50"/>
      <c r="N48" s="50"/>
      <c r="O48" s="50" t="s">
        <v>19</v>
      </c>
      <c r="P48" s="51">
        <v>41</v>
      </c>
      <c r="Q48" s="50" t="s">
        <v>19</v>
      </c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 t="s">
        <v>47</v>
      </c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21"/>
      <c r="BC48" s="21"/>
      <c r="BD48" s="21"/>
      <c r="BE48" s="21"/>
      <c r="BF48" s="21"/>
    </row>
    <row r="49" spans="1:58" ht="15.75" customHeight="1">
      <c r="B49" s="4" t="s">
        <v>13</v>
      </c>
      <c r="C49" s="189" t="s">
        <v>310</v>
      </c>
      <c r="D49" s="25" t="s">
        <v>752</v>
      </c>
      <c r="E49" s="11" t="str">
        <f t="shared" ref="E49:E50" si="10">IFERROR(TRIM(LEFT(D49,LEN(D49)-4)),"")</f>
        <v>Bryan Barnes</v>
      </c>
      <c r="F49" s="11" t="str">
        <f t="shared" si="2"/>
        <v>3B</v>
      </c>
      <c r="G49" s="4" t="s">
        <v>159</v>
      </c>
      <c r="H49" s="4">
        <v>178</v>
      </c>
      <c r="O49" s="8" t="s">
        <v>19</v>
      </c>
      <c r="P49" s="4">
        <v>13</v>
      </c>
      <c r="Q49" s="8" t="s">
        <v>38</v>
      </c>
      <c r="AD49" s="4" t="s">
        <v>47</v>
      </c>
      <c r="BB49" s="12"/>
      <c r="BC49" s="12"/>
      <c r="BD49" s="12"/>
      <c r="BE49" s="12"/>
      <c r="BF49" s="12"/>
    </row>
    <row r="50" spans="1:58" ht="15.75" customHeight="1">
      <c r="A50" s="12"/>
      <c r="B50" s="7" t="s">
        <v>13</v>
      </c>
      <c r="C50" s="189" t="s">
        <v>755</v>
      </c>
      <c r="D50" s="25" t="s">
        <v>756</v>
      </c>
      <c r="E50" s="11" t="str">
        <f t="shared" si="10"/>
        <v>Amp Dupree</v>
      </c>
      <c r="F50" s="11" t="str">
        <f t="shared" si="2"/>
        <v>SP</v>
      </c>
      <c r="G50" s="15" t="s">
        <v>114</v>
      </c>
      <c r="H50" s="7">
        <v>100</v>
      </c>
      <c r="I50" s="2"/>
      <c r="J50" s="2"/>
      <c r="K50" s="2"/>
      <c r="L50" s="2"/>
      <c r="M50" s="2"/>
      <c r="N50" s="2"/>
      <c r="O50" s="7" t="s">
        <v>19</v>
      </c>
      <c r="P50" s="19">
        <v>14</v>
      </c>
      <c r="Q50" s="7" t="s">
        <v>19</v>
      </c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2"/>
      <c r="AD50" s="4" t="s">
        <v>47</v>
      </c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</row>
    <row r="51" spans="1:58" ht="15.75" customHeight="1">
      <c r="A51" s="50"/>
      <c r="B51" s="51" t="s">
        <v>13</v>
      </c>
      <c r="C51" s="118" t="s">
        <v>762</v>
      </c>
      <c r="D51" s="25" t="s">
        <v>763</v>
      </c>
      <c r="E51" s="50" t="str">
        <f>IFERROR(TRIM(LEFT(D51,LEN(D51)-4)),"")</f>
        <v>Bruce Thursday</v>
      </c>
      <c r="F51" s="50" t="str">
        <f t="shared" si="2"/>
        <v>CL</v>
      </c>
      <c r="G51" s="15" t="s">
        <v>114</v>
      </c>
      <c r="H51" s="174">
        <v>100</v>
      </c>
      <c r="I51" s="50"/>
      <c r="J51" s="50"/>
      <c r="K51" s="50"/>
      <c r="L51" s="50"/>
      <c r="M51" s="50"/>
      <c r="N51" s="50"/>
      <c r="O51" s="50" t="s">
        <v>19</v>
      </c>
      <c r="P51" s="51">
        <v>17</v>
      </c>
      <c r="Q51" s="50" t="s">
        <v>19</v>
      </c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 t="s">
        <v>47</v>
      </c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21"/>
      <c r="BC51" s="21"/>
      <c r="BD51" s="21"/>
      <c r="BE51" s="21"/>
      <c r="BF51" s="21"/>
    </row>
    <row r="52" spans="1:58" ht="15.75" customHeight="1">
      <c r="A52" s="12"/>
      <c r="B52" s="7" t="s">
        <v>13</v>
      </c>
      <c r="C52" s="189" t="s">
        <v>768</v>
      </c>
      <c r="D52" s="25" t="s">
        <v>770</v>
      </c>
      <c r="E52" s="11" t="str">
        <f t="shared" ref="E52:E58" si="11">IFERROR(TRIM(LEFT(D52,LEN(D52)-4)),"")</f>
        <v>Pipo DeRani</v>
      </c>
      <c r="F52" s="11" t="str">
        <f t="shared" si="2"/>
        <v>C</v>
      </c>
      <c r="G52" s="7" t="s">
        <v>298</v>
      </c>
      <c r="H52" s="7">
        <v>100</v>
      </c>
      <c r="I52" s="2"/>
      <c r="J52" s="2"/>
      <c r="K52" s="2"/>
      <c r="L52" s="2"/>
      <c r="M52" s="2"/>
      <c r="N52" s="2"/>
      <c r="O52" s="7" t="s">
        <v>19</v>
      </c>
      <c r="P52" s="19">
        <v>21</v>
      </c>
      <c r="Q52" s="7" t="s">
        <v>19</v>
      </c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2"/>
      <c r="AD52" s="4" t="s">
        <v>47</v>
      </c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</row>
    <row r="53" spans="1:58" ht="15.75" customHeight="1">
      <c r="A53" s="12"/>
      <c r="B53" s="7" t="s">
        <v>13</v>
      </c>
      <c r="C53" s="379" t="s">
        <v>774</v>
      </c>
      <c r="D53" s="25" t="s">
        <v>777</v>
      </c>
      <c r="E53" s="11" t="str">
        <f t="shared" si="11"/>
        <v>Alexei Brusilov</v>
      </c>
      <c r="F53" s="11" t="str">
        <f t="shared" si="2"/>
        <v>CL</v>
      </c>
      <c r="G53" s="7" t="s">
        <v>55</v>
      </c>
      <c r="H53" s="7">
        <v>100</v>
      </c>
      <c r="I53" s="2"/>
      <c r="J53" s="2"/>
      <c r="K53" s="2"/>
      <c r="L53" s="2"/>
      <c r="M53" s="2"/>
      <c r="N53" s="2"/>
      <c r="O53" s="7" t="s">
        <v>19</v>
      </c>
      <c r="P53" s="19">
        <v>23</v>
      </c>
      <c r="Q53" s="7" t="s">
        <v>19</v>
      </c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2"/>
      <c r="AD53" s="4" t="s">
        <v>47</v>
      </c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</row>
    <row r="54" spans="1:58" ht="15.75" customHeight="1">
      <c r="A54" s="12"/>
      <c r="B54" s="7" t="s">
        <v>13</v>
      </c>
      <c r="C54" s="118" t="s">
        <v>780</v>
      </c>
      <c r="D54" s="25" t="s">
        <v>782</v>
      </c>
      <c r="E54" s="11" t="str">
        <f t="shared" si="11"/>
        <v>Hisoka Ito</v>
      </c>
      <c r="F54" s="11" t="str">
        <f t="shared" si="2"/>
        <v>CL</v>
      </c>
      <c r="G54" s="15" t="s">
        <v>114</v>
      </c>
      <c r="H54" s="7">
        <v>100</v>
      </c>
      <c r="I54" s="2"/>
      <c r="J54" s="2"/>
      <c r="K54" s="2"/>
      <c r="L54" s="2"/>
      <c r="M54" s="2"/>
      <c r="N54" s="2"/>
      <c r="O54" s="7" t="s">
        <v>19</v>
      </c>
      <c r="P54" s="19">
        <v>49</v>
      </c>
      <c r="Q54" s="7" t="s">
        <v>19</v>
      </c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2"/>
      <c r="AD54" s="4" t="s">
        <v>47</v>
      </c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</row>
    <row r="55" spans="1:58" ht="15.75" customHeight="1">
      <c r="A55" s="12"/>
      <c r="B55" s="7" t="s">
        <v>13</v>
      </c>
      <c r="C55" s="118" t="s">
        <v>785</v>
      </c>
      <c r="D55" s="25" t="s">
        <v>787</v>
      </c>
      <c r="E55" s="11" t="str">
        <f t="shared" si="11"/>
        <v>Holden MaGroin</v>
      </c>
      <c r="F55" s="11" t="str">
        <f t="shared" si="2"/>
        <v>CL</v>
      </c>
      <c r="G55" s="15" t="s">
        <v>109</v>
      </c>
      <c r="H55" s="7">
        <v>125</v>
      </c>
      <c r="I55" s="2"/>
      <c r="J55" s="2"/>
      <c r="K55" s="2"/>
      <c r="L55" s="2"/>
      <c r="M55" s="2"/>
      <c r="N55" s="2"/>
      <c r="O55" s="7" t="s">
        <v>19</v>
      </c>
      <c r="P55" s="19">
        <v>57</v>
      </c>
      <c r="Q55" s="7" t="s">
        <v>38</v>
      </c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2"/>
      <c r="AD55" s="4" t="s">
        <v>47</v>
      </c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</row>
    <row r="56" spans="1:58" ht="15.75" customHeight="1">
      <c r="A56" s="12"/>
      <c r="B56" s="7" t="s">
        <v>13</v>
      </c>
      <c r="C56" s="118" t="s">
        <v>788</v>
      </c>
      <c r="D56" s="25" t="s">
        <v>789</v>
      </c>
      <c r="E56" s="11" t="str">
        <f t="shared" si="11"/>
        <v>Dale Miller</v>
      </c>
      <c r="F56" s="11" t="str">
        <f t="shared" si="2"/>
        <v>LF</v>
      </c>
      <c r="G56" s="7" t="s">
        <v>68</v>
      </c>
      <c r="H56" s="7">
        <v>100</v>
      </c>
      <c r="I56" s="2"/>
      <c r="J56" s="2"/>
      <c r="K56" s="2"/>
      <c r="L56" s="2"/>
      <c r="M56" s="2"/>
      <c r="N56" s="2"/>
      <c r="O56" s="7" t="s">
        <v>19</v>
      </c>
      <c r="P56" s="19">
        <v>65</v>
      </c>
      <c r="Q56" s="7" t="s">
        <v>38</v>
      </c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2"/>
      <c r="AD56" s="4" t="s">
        <v>47</v>
      </c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</row>
    <row r="57" spans="1:58" ht="15.75" customHeight="1">
      <c r="A57" s="12"/>
      <c r="B57" s="7" t="s">
        <v>13</v>
      </c>
      <c r="C57" s="118" t="s">
        <v>1647</v>
      </c>
      <c r="D57" s="25" t="s">
        <v>1649</v>
      </c>
      <c r="E57" s="11" t="str">
        <f t="shared" si="11"/>
        <v>Jack Goff</v>
      </c>
      <c r="F57" s="11" t="str">
        <f t="shared" si="2"/>
        <v>SP</v>
      </c>
      <c r="G57" s="15" t="s">
        <v>55</v>
      </c>
      <c r="H57" s="7">
        <v>100</v>
      </c>
      <c r="I57" s="2"/>
      <c r="J57" s="2"/>
      <c r="K57" s="2"/>
      <c r="L57" s="2"/>
      <c r="M57" s="2"/>
      <c r="N57" s="2"/>
      <c r="O57" s="7" t="s">
        <v>19</v>
      </c>
      <c r="P57" s="19">
        <v>73</v>
      </c>
      <c r="Q57" s="7" t="s">
        <v>38</v>
      </c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2"/>
      <c r="AD57" s="4" t="s">
        <v>47</v>
      </c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</row>
    <row r="58" spans="1:58" ht="15.75" customHeight="1">
      <c r="A58" s="12"/>
      <c r="B58" s="7" t="s">
        <v>12</v>
      </c>
      <c r="C58" s="118" t="s">
        <v>674</v>
      </c>
      <c r="D58" s="25" t="s">
        <v>676</v>
      </c>
      <c r="E58" s="11" t="str">
        <f t="shared" si="11"/>
        <v>Colby Kidd</v>
      </c>
      <c r="F58" s="11" t="str">
        <f t="shared" si="2"/>
        <v>CL</v>
      </c>
      <c r="G58" s="15" t="s">
        <v>114</v>
      </c>
      <c r="H58" s="7">
        <v>100</v>
      </c>
      <c r="I58" s="2"/>
      <c r="J58" s="2"/>
      <c r="K58" s="2"/>
      <c r="L58" s="2"/>
      <c r="M58" s="2"/>
      <c r="N58" s="2"/>
      <c r="O58" s="7" t="s">
        <v>19</v>
      </c>
      <c r="P58" s="19">
        <v>10</v>
      </c>
      <c r="Q58" s="7" t="s">
        <v>19</v>
      </c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2"/>
      <c r="AD58" s="4" t="s">
        <v>47</v>
      </c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</row>
    <row r="59" spans="1:58" ht="15.75" customHeight="1">
      <c r="B59" s="4" t="s">
        <v>12</v>
      </c>
      <c r="C59" s="118" t="s">
        <v>678</v>
      </c>
      <c r="D59" s="25" t="s">
        <v>679</v>
      </c>
      <c r="E59" s="11" t="str">
        <f>TRIM(LEFT(D59,LEN(D59)-4))</f>
        <v>Randy Drumbo</v>
      </c>
      <c r="F59" s="11" t="str">
        <f t="shared" si="2"/>
        <v>C</v>
      </c>
      <c r="G59" s="4" t="s">
        <v>192</v>
      </c>
      <c r="H59" s="4">
        <v>105</v>
      </c>
      <c r="O59" s="8" t="s">
        <v>19</v>
      </c>
      <c r="P59" s="4">
        <v>26</v>
      </c>
      <c r="Q59" s="8" t="s">
        <v>38</v>
      </c>
      <c r="AD59" s="4" t="s">
        <v>47</v>
      </c>
      <c r="BB59" s="12"/>
      <c r="BC59" s="12"/>
      <c r="BD59" s="12"/>
      <c r="BE59" s="12"/>
      <c r="BF59" s="12"/>
    </row>
    <row r="60" spans="1:58" ht="15.75" customHeight="1">
      <c r="A60" s="50"/>
      <c r="B60" s="51" t="s">
        <v>12</v>
      </c>
      <c r="C60" s="118" t="s">
        <v>1453</v>
      </c>
      <c r="D60" s="25" t="s">
        <v>1456</v>
      </c>
      <c r="E60" s="50" t="str">
        <f>IFERROR(TRIM(LEFT(D60,LEN(D60)-4)),"")</f>
        <v>Alison Wunderland</v>
      </c>
      <c r="F60" s="50" t="str">
        <f t="shared" si="2"/>
        <v>SS</v>
      </c>
      <c r="G60" s="51" t="s">
        <v>159</v>
      </c>
      <c r="H60" s="174">
        <v>100</v>
      </c>
      <c r="I60" s="50"/>
      <c r="J60" s="50"/>
      <c r="K60" s="50"/>
      <c r="L60" s="50"/>
      <c r="M60" s="50"/>
      <c r="N60" s="50"/>
      <c r="O60" s="50" t="s">
        <v>19</v>
      </c>
      <c r="P60" s="51">
        <v>28</v>
      </c>
      <c r="Q60" s="50" t="s">
        <v>19</v>
      </c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 t="s">
        <v>47</v>
      </c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21"/>
      <c r="BC60" s="21"/>
      <c r="BD60" s="21"/>
      <c r="BE60" s="21"/>
      <c r="BF60" s="21"/>
    </row>
    <row r="61" spans="1:58" ht="15.75" customHeight="1">
      <c r="A61" s="12"/>
      <c r="B61" s="7" t="s">
        <v>12</v>
      </c>
      <c r="C61" s="118" t="s">
        <v>529</v>
      </c>
      <c r="D61" s="25" t="s">
        <v>531</v>
      </c>
      <c r="E61" s="11" t="str">
        <f>IFERROR(TRIM(LEFT(D61,LEN(D61)-4)),"")</f>
        <v>Michael Fazio</v>
      </c>
      <c r="F61" s="11" t="str">
        <f t="shared" si="2"/>
        <v>2B</v>
      </c>
      <c r="G61" s="7" t="s">
        <v>329</v>
      </c>
      <c r="H61" s="7">
        <v>100</v>
      </c>
      <c r="I61" s="2"/>
      <c r="J61" s="2"/>
      <c r="K61" s="2"/>
      <c r="L61" s="2"/>
      <c r="M61" s="2"/>
      <c r="N61" s="2"/>
      <c r="O61" s="7" t="s">
        <v>19</v>
      </c>
      <c r="P61" s="19">
        <v>38</v>
      </c>
      <c r="Q61" s="7" t="s">
        <v>19</v>
      </c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2"/>
      <c r="AD61" s="4" t="s">
        <v>47</v>
      </c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</row>
    <row r="62" spans="1:58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</row>
    <row r="63" spans="1:58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</row>
    <row r="64" spans="1:58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</row>
    <row r="65" spans="1:58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</row>
    <row r="66" spans="1:58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</row>
    <row r="67" spans="1:58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</row>
    <row r="68" spans="1:5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</row>
    <row r="69" spans="1:58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</row>
    <row r="70" spans="1:58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</row>
    <row r="71" spans="1:58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</row>
    <row r="72" spans="1:58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</row>
    <row r="73" spans="1:58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</row>
    <row r="74" spans="1:58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</row>
    <row r="75" spans="1:58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</row>
    <row r="76" spans="1:58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</row>
    <row r="77" spans="1:58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</row>
    <row r="78" spans="1:5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</row>
    <row r="79" spans="1:58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</row>
    <row r="80" spans="1:58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</row>
    <row r="81" spans="1:58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</row>
    <row r="82" spans="1:58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</row>
    <row r="83" spans="1:58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</row>
    <row r="84" spans="1:58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</row>
    <row r="85" spans="1:58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</row>
    <row r="86" spans="1:58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</row>
    <row r="87" spans="1:58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</row>
    <row r="88" spans="1:5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</row>
    <row r="89" spans="1:58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</row>
    <row r="90" spans="1:58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</row>
    <row r="91" spans="1:58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</row>
    <row r="92" spans="1:58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</row>
    <row r="93" spans="1:58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</row>
    <row r="94" spans="1:58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</row>
    <row r="95" spans="1:58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</row>
    <row r="96" spans="1:58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</row>
    <row r="97" spans="1:58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</row>
    <row r="98" spans="1:5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</row>
    <row r="99" spans="1:58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</row>
    <row r="100" spans="1:58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</row>
    <row r="101" spans="1:58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</row>
    <row r="102" spans="1:58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</row>
    <row r="103" spans="1:58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</row>
    <row r="104" spans="1:58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</row>
    <row r="105" spans="1:58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</row>
    <row r="106" spans="1:58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</row>
    <row r="107" spans="1:58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</row>
    <row r="108" spans="1:5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</row>
    <row r="109" spans="1:58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</row>
    <row r="110" spans="1:58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</row>
    <row r="111" spans="1:58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</row>
    <row r="112" spans="1:58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</row>
    <row r="113" spans="1:58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</row>
    <row r="114" spans="1:58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</row>
    <row r="115" spans="1:58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</row>
    <row r="116" spans="1:58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</row>
    <row r="117" spans="1:58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</row>
    <row r="118" spans="1:5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</row>
    <row r="119" spans="1:58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</row>
    <row r="120" spans="1:58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</row>
    <row r="121" spans="1:58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</row>
    <row r="122" spans="1:58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</row>
    <row r="123" spans="1:58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</row>
    <row r="124" spans="1:58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</row>
    <row r="125" spans="1:58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</row>
    <row r="126" spans="1:58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</row>
    <row r="127" spans="1:58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</row>
    <row r="128" spans="1:5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</row>
    <row r="129" spans="1:58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</row>
    <row r="130" spans="1:58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</row>
    <row r="131" spans="1:58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</row>
    <row r="132" spans="1:58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</row>
    <row r="133" spans="1:58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</row>
    <row r="134" spans="1:58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</row>
    <row r="135" spans="1:58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</row>
    <row r="136" spans="1:58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</row>
    <row r="137" spans="1:58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</row>
    <row r="138" spans="1:5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</row>
    <row r="139" spans="1:58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</row>
    <row r="140" spans="1:58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</row>
    <row r="141" spans="1:58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</row>
    <row r="142" spans="1:58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</row>
    <row r="143" spans="1:58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</row>
    <row r="144" spans="1:58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</row>
    <row r="145" spans="1:58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</row>
    <row r="146" spans="1:58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</row>
    <row r="147" spans="1:58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</row>
    <row r="148" spans="1:5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</row>
    <row r="149" spans="1:58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</row>
    <row r="150" spans="1:58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</row>
    <row r="151" spans="1:58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</row>
    <row r="152" spans="1:58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</row>
    <row r="153" spans="1:58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</row>
    <row r="154" spans="1:58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</row>
    <row r="155" spans="1:58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</row>
    <row r="156" spans="1:58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</row>
    <row r="157" spans="1:58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</row>
    <row r="158" spans="1: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</row>
    <row r="159" spans="1:58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</row>
    <row r="160" spans="1:58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</row>
    <row r="161" spans="1:58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</row>
    <row r="162" spans="1:58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</row>
    <row r="163" spans="1:58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</row>
    <row r="164" spans="1:58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</row>
    <row r="165" spans="1:58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</row>
    <row r="166" spans="1:58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</row>
    <row r="167" spans="1:58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</row>
    <row r="168" spans="1:5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</row>
    <row r="169" spans="1:58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</row>
    <row r="170" spans="1:58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</row>
    <row r="171" spans="1:58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</row>
    <row r="172" spans="1:58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</row>
    <row r="173" spans="1:58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</row>
    <row r="174" spans="1:58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</row>
    <row r="175" spans="1:58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</row>
    <row r="176" spans="1:58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</row>
    <row r="177" spans="1:58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</row>
    <row r="178" spans="1:5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</row>
    <row r="179" spans="1:58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</row>
    <row r="180" spans="1:58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</row>
    <row r="181" spans="1:58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</row>
    <row r="182" spans="1:58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</row>
    <row r="183" spans="1:58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</row>
    <row r="184" spans="1:58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</row>
    <row r="185" spans="1:58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</row>
    <row r="186" spans="1:58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</row>
    <row r="187" spans="1:58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</row>
    <row r="188" spans="1:5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</row>
    <row r="189" spans="1:58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</row>
    <row r="190" spans="1:58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</row>
    <row r="191" spans="1:58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</row>
    <row r="192" spans="1:58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</row>
    <row r="193" spans="1:58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</row>
    <row r="194" spans="1:58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</row>
    <row r="195" spans="1:58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</row>
    <row r="196" spans="1:58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</row>
    <row r="197" spans="1:58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</row>
    <row r="198" spans="1:5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</row>
    <row r="199" spans="1:58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</row>
    <row r="200" spans="1:58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</row>
    <row r="201" spans="1:58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</row>
    <row r="202" spans="1:58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</row>
    <row r="203" spans="1:58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</row>
    <row r="204" spans="1:58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</row>
    <row r="205" spans="1:58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</row>
    <row r="206" spans="1:58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</row>
    <row r="207" spans="1:58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</row>
    <row r="208" spans="1:5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</row>
    <row r="209" spans="1:58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</row>
    <row r="210" spans="1:58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</row>
    <row r="211" spans="1:58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</row>
    <row r="212" spans="1:58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</row>
    <row r="213" spans="1:58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</row>
    <row r="214" spans="1:58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</row>
    <row r="215" spans="1:58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</row>
    <row r="216" spans="1:58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</row>
    <row r="217" spans="1:58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</row>
    <row r="218" spans="1:5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</row>
    <row r="219" spans="1:58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</row>
    <row r="220" spans="1:58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</row>
    <row r="221" spans="1:58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</row>
    <row r="222" spans="1:58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</row>
    <row r="223" spans="1:58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</row>
    <row r="224" spans="1:58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</row>
    <row r="225" spans="1:58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</row>
    <row r="226" spans="1:58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</row>
    <row r="227" spans="1:58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</row>
    <row r="228" spans="1:5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</row>
    <row r="229" spans="1:58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</row>
    <row r="230" spans="1:58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</row>
    <row r="231" spans="1:58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</row>
    <row r="232" spans="1:58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</row>
    <row r="233" spans="1:58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</row>
    <row r="234" spans="1:58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</row>
    <row r="235" spans="1:58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</row>
    <row r="236" spans="1:58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</row>
    <row r="237" spans="1:58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</row>
    <row r="238" spans="1:5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</row>
    <row r="239" spans="1:58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</row>
    <row r="240" spans="1:58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</row>
    <row r="241" spans="1:58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</row>
    <row r="242" spans="1:58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</row>
    <row r="243" spans="1:58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</row>
    <row r="244" spans="1:58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</row>
    <row r="245" spans="1:58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</row>
    <row r="246" spans="1:58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</row>
    <row r="247" spans="1:58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</row>
    <row r="248" spans="1:5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</row>
    <row r="249" spans="1:58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</row>
    <row r="250" spans="1:58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</row>
    <row r="251" spans="1:58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</row>
    <row r="252" spans="1:58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</row>
    <row r="253" spans="1:58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</row>
    <row r="254" spans="1:58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</row>
    <row r="255" spans="1:58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</row>
    <row r="256" spans="1:58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</row>
    <row r="257" spans="1:58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</row>
    <row r="258" spans="1: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</row>
    <row r="259" spans="1:58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</row>
    <row r="260" spans="1:58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</row>
    <row r="261" spans="1:58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</row>
    <row r="262" spans="1:58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</row>
    <row r="263" spans="1:58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</row>
    <row r="264" spans="1:58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</row>
    <row r="265" spans="1:58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</row>
    <row r="266" spans="1:58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</row>
    <row r="267" spans="1:58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</row>
    <row r="268" spans="1:5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</row>
    <row r="269" spans="1:58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</row>
    <row r="270" spans="1:58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</row>
    <row r="271" spans="1:58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</row>
    <row r="272" spans="1:58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</row>
    <row r="273" spans="1:58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</row>
    <row r="274" spans="1:58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</row>
    <row r="275" spans="1:58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</row>
    <row r="276" spans="1:58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</row>
    <row r="277" spans="1:58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</row>
    <row r="278" spans="1:5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</row>
    <row r="279" spans="1:58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</row>
    <row r="280" spans="1:58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</row>
    <row r="281" spans="1:58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</row>
    <row r="282" spans="1:58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</row>
    <row r="283" spans="1:58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</row>
    <row r="284" spans="1:58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</row>
    <row r="285" spans="1:58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</row>
    <row r="286" spans="1:58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</row>
    <row r="287" spans="1:58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</row>
    <row r="288" spans="1:5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</row>
    <row r="289" spans="1:58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</row>
    <row r="290" spans="1:58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</row>
    <row r="291" spans="1:58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</row>
    <row r="292" spans="1:58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</row>
    <row r="293" spans="1:58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</row>
    <row r="294" spans="1:58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</row>
    <row r="295" spans="1:58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</row>
    <row r="296" spans="1:58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</row>
    <row r="297" spans="1:58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</row>
    <row r="298" spans="1:5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</row>
    <row r="299" spans="1:58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</row>
    <row r="300" spans="1:58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</row>
    <row r="301" spans="1:58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</row>
    <row r="302" spans="1:58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</row>
    <row r="303" spans="1:58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</row>
    <row r="304" spans="1:58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</row>
    <row r="305" spans="1:58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</row>
    <row r="306" spans="1:58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</row>
    <row r="307" spans="1:58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</row>
    <row r="308" spans="1:5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</row>
    <row r="309" spans="1:58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</row>
    <row r="310" spans="1:58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</row>
    <row r="311" spans="1:58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</row>
    <row r="312" spans="1:58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</row>
    <row r="313" spans="1:58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</row>
    <row r="314" spans="1:58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</row>
    <row r="315" spans="1:58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</row>
    <row r="316" spans="1:58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</row>
    <row r="317" spans="1:58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</row>
    <row r="318" spans="1:5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</row>
    <row r="319" spans="1:58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</row>
    <row r="320" spans="1:58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</row>
    <row r="321" spans="1:58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</row>
    <row r="322" spans="1:58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</row>
    <row r="323" spans="1:58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</row>
    <row r="324" spans="1:58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</row>
    <row r="325" spans="1:58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</row>
    <row r="326" spans="1:58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</row>
    <row r="327" spans="1:58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</row>
    <row r="328" spans="1:5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</row>
    <row r="329" spans="1:58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</row>
    <row r="330" spans="1:58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</row>
    <row r="331" spans="1:58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</row>
    <row r="332" spans="1:58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</row>
    <row r="333" spans="1:58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</row>
    <row r="334" spans="1:58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</row>
    <row r="335" spans="1:58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</row>
    <row r="336" spans="1:58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</row>
    <row r="337" spans="1:58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</row>
    <row r="338" spans="1:5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</row>
    <row r="339" spans="1:58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</row>
    <row r="340" spans="1:58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</row>
    <row r="341" spans="1:58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</row>
    <row r="342" spans="1:58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</row>
    <row r="343" spans="1:58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</row>
    <row r="344" spans="1:58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</row>
    <row r="345" spans="1:58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</row>
    <row r="346" spans="1:58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</row>
    <row r="347" spans="1:58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</row>
    <row r="348" spans="1:5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</row>
    <row r="349" spans="1:58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</row>
    <row r="350" spans="1:58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</row>
    <row r="351" spans="1:58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</row>
    <row r="352" spans="1:58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</row>
    <row r="353" spans="1:58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</row>
    <row r="354" spans="1:58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</row>
    <row r="355" spans="1:58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</row>
    <row r="356" spans="1:58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</row>
    <row r="357" spans="1:58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</row>
    <row r="358" spans="1: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</row>
    <row r="359" spans="1:58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</row>
    <row r="360" spans="1:58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</row>
    <row r="361" spans="1:58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</row>
    <row r="362" spans="1:58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</row>
    <row r="363" spans="1:58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</row>
    <row r="364" spans="1:58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</row>
    <row r="365" spans="1:58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</row>
    <row r="366" spans="1:58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</row>
    <row r="367" spans="1:58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</row>
    <row r="368" spans="1:5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</row>
    <row r="369" spans="1:58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</row>
    <row r="370" spans="1:58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</row>
    <row r="371" spans="1:58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</row>
    <row r="372" spans="1:58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</row>
    <row r="373" spans="1:58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</row>
    <row r="374" spans="1:58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</row>
    <row r="375" spans="1:58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</row>
    <row r="376" spans="1:58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</row>
    <row r="377" spans="1:58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</row>
    <row r="378" spans="1:5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</row>
    <row r="379" spans="1:58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</row>
    <row r="380" spans="1:58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</row>
    <row r="381" spans="1:58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</row>
    <row r="382" spans="1:58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</row>
    <row r="383" spans="1:58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</row>
    <row r="384" spans="1:58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</row>
    <row r="385" spans="1:58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</row>
    <row r="386" spans="1:58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</row>
    <row r="387" spans="1:58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</row>
    <row r="388" spans="1:5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</row>
    <row r="389" spans="1:58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</row>
    <row r="390" spans="1:58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</row>
    <row r="391" spans="1:58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</row>
    <row r="392" spans="1:58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</row>
    <row r="393" spans="1:58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</row>
    <row r="394" spans="1:58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</row>
    <row r="395" spans="1:58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</row>
    <row r="396" spans="1:58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</row>
    <row r="397" spans="1:58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</row>
    <row r="398" spans="1:5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</row>
    <row r="399" spans="1:58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</row>
    <row r="400" spans="1:58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</row>
    <row r="401" spans="1:58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</row>
    <row r="402" spans="1:58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</row>
    <row r="403" spans="1:58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</row>
    <row r="404" spans="1:58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</row>
    <row r="405" spans="1:58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</row>
    <row r="406" spans="1:58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</row>
    <row r="407" spans="1:58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</row>
    <row r="408" spans="1:5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</row>
    <row r="409" spans="1:58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</row>
    <row r="410" spans="1:58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</row>
    <row r="411" spans="1:58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</row>
    <row r="412" spans="1:58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</row>
    <row r="413" spans="1:58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</row>
    <row r="414" spans="1:58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</row>
    <row r="415" spans="1:58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</row>
    <row r="416" spans="1:58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</row>
    <row r="417" spans="1:58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</row>
    <row r="418" spans="1:5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</row>
    <row r="419" spans="1:58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</row>
    <row r="420" spans="1:58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</row>
    <row r="421" spans="1:58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</row>
    <row r="422" spans="1:58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</row>
    <row r="423" spans="1:58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</row>
    <row r="424" spans="1:58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</row>
    <row r="425" spans="1:58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</row>
    <row r="426" spans="1:58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</row>
    <row r="427" spans="1:58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</row>
    <row r="428" spans="1:5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</row>
    <row r="429" spans="1:58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</row>
    <row r="430" spans="1:58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</row>
    <row r="431" spans="1:58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</row>
    <row r="432" spans="1:58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</row>
    <row r="433" spans="1:58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</row>
    <row r="434" spans="1:58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</row>
    <row r="435" spans="1:58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</row>
    <row r="436" spans="1:58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</row>
    <row r="437" spans="1:58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</row>
    <row r="438" spans="1:5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</row>
    <row r="439" spans="1:58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</row>
    <row r="440" spans="1:58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</row>
    <row r="441" spans="1:58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</row>
    <row r="442" spans="1:58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</row>
    <row r="443" spans="1:58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</row>
    <row r="444" spans="1:58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</row>
    <row r="445" spans="1:58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</row>
    <row r="446" spans="1:58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</row>
    <row r="447" spans="1:58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</row>
    <row r="448" spans="1:5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</row>
    <row r="449" spans="1:58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</row>
    <row r="450" spans="1:58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</row>
    <row r="451" spans="1:58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</row>
    <row r="452" spans="1:58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</row>
    <row r="453" spans="1:58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</row>
    <row r="454" spans="1:58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</row>
    <row r="455" spans="1:58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</row>
    <row r="456" spans="1:58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</row>
    <row r="457" spans="1:58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</row>
    <row r="458" spans="1: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</row>
    <row r="459" spans="1:58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</row>
    <row r="460" spans="1:58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</row>
    <row r="461" spans="1:58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</row>
    <row r="462" spans="1:58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</row>
    <row r="463" spans="1:58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</row>
    <row r="464" spans="1:58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</row>
    <row r="465" spans="1:58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</row>
    <row r="466" spans="1:58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</row>
    <row r="467" spans="1:58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</row>
    <row r="468" spans="1:5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</row>
    <row r="469" spans="1:58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</row>
    <row r="470" spans="1:58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</row>
    <row r="471" spans="1:58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</row>
    <row r="472" spans="1:58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</row>
    <row r="473" spans="1:58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</row>
    <row r="474" spans="1:58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</row>
    <row r="475" spans="1:58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</row>
    <row r="476" spans="1:58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</row>
    <row r="477" spans="1:58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</row>
    <row r="478" spans="1:5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</row>
    <row r="479" spans="1:58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</row>
    <row r="480" spans="1:58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</row>
    <row r="481" spans="1:58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</row>
    <row r="482" spans="1:58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</row>
    <row r="483" spans="1:58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</row>
    <row r="484" spans="1:58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</row>
    <row r="485" spans="1:58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</row>
    <row r="486" spans="1:58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</row>
    <row r="487" spans="1:58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</row>
    <row r="488" spans="1:5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</row>
    <row r="489" spans="1:58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</row>
    <row r="490" spans="1:58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</row>
    <row r="491" spans="1:58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</row>
    <row r="492" spans="1:58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</row>
    <row r="493" spans="1:58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</row>
    <row r="494" spans="1:58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</row>
    <row r="495" spans="1:58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</row>
    <row r="496" spans="1:58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</row>
    <row r="497" spans="1:58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</row>
    <row r="498" spans="1:5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</row>
    <row r="499" spans="1:58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</row>
    <row r="500" spans="1:58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</row>
    <row r="501" spans="1:58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</row>
    <row r="502" spans="1:58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</row>
    <row r="503" spans="1:58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</row>
    <row r="504" spans="1:58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</row>
    <row r="505" spans="1:58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</row>
    <row r="506" spans="1:58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</row>
    <row r="507" spans="1:58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</row>
    <row r="508" spans="1:5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</row>
    <row r="509" spans="1:58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</row>
    <row r="510" spans="1:58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</row>
    <row r="511" spans="1:58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</row>
    <row r="512" spans="1:58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</row>
    <row r="513" spans="1:58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</row>
    <row r="514" spans="1:58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</row>
    <row r="515" spans="1:58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</row>
    <row r="516" spans="1:58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</row>
    <row r="517" spans="1:58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</row>
    <row r="518" spans="1:5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</row>
    <row r="519" spans="1:58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</row>
    <row r="520" spans="1:58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</row>
    <row r="521" spans="1:58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</row>
    <row r="522" spans="1:58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</row>
    <row r="523" spans="1:58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</row>
    <row r="524" spans="1:58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</row>
    <row r="525" spans="1:58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</row>
    <row r="526" spans="1:58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</row>
    <row r="527" spans="1:58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</row>
    <row r="528" spans="1:5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</row>
    <row r="529" spans="1:58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</row>
    <row r="530" spans="1:58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</row>
    <row r="531" spans="1:58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</row>
    <row r="532" spans="1:58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</row>
    <row r="533" spans="1:58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</row>
    <row r="534" spans="1:58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</row>
    <row r="535" spans="1:58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</row>
    <row r="536" spans="1:58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</row>
    <row r="537" spans="1:58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</row>
    <row r="538" spans="1:5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</row>
    <row r="539" spans="1:58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</row>
    <row r="540" spans="1:58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</row>
    <row r="541" spans="1:58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</row>
    <row r="542" spans="1:58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</row>
    <row r="543" spans="1:58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</row>
    <row r="544" spans="1:58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</row>
    <row r="545" spans="1:58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</row>
    <row r="546" spans="1:58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</row>
    <row r="547" spans="1:58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</row>
    <row r="548" spans="1:5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</row>
    <row r="549" spans="1:58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</row>
    <row r="550" spans="1:58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</row>
    <row r="551" spans="1:58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</row>
    <row r="552" spans="1:58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</row>
    <row r="553" spans="1:58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</row>
    <row r="554" spans="1:58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</row>
    <row r="555" spans="1:58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</row>
    <row r="556" spans="1:58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</row>
    <row r="557" spans="1:58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</row>
    <row r="558" spans="1: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</row>
    <row r="559" spans="1:58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</row>
    <row r="560" spans="1:58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</row>
    <row r="561" spans="1:58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</row>
    <row r="562" spans="1:58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</row>
    <row r="563" spans="1:58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</row>
    <row r="564" spans="1:58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</row>
    <row r="565" spans="1:58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</row>
    <row r="566" spans="1:58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</row>
    <row r="567" spans="1:58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</row>
    <row r="568" spans="1:5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</row>
    <row r="569" spans="1:58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</row>
    <row r="570" spans="1:58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</row>
    <row r="571" spans="1:58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</row>
    <row r="572" spans="1:58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</row>
    <row r="573" spans="1:58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</row>
    <row r="574" spans="1:58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</row>
    <row r="575" spans="1:58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</row>
    <row r="576" spans="1:58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</row>
    <row r="577" spans="1:58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</row>
    <row r="578" spans="1:5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</row>
    <row r="579" spans="1:58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</row>
    <row r="580" spans="1:58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</row>
    <row r="581" spans="1:58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</row>
    <row r="582" spans="1:58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</row>
    <row r="583" spans="1:58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</row>
    <row r="584" spans="1:58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</row>
    <row r="585" spans="1:58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</row>
    <row r="586" spans="1:58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</row>
    <row r="587" spans="1:58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</row>
    <row r="588" spans="1:5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</row>
    <row r="589" spans="1:58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</row>
    <row r="590" spans="1:58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</row>
    <row r="591" spans="1:58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</row>
    <row r="592" spans="1:58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</row>
    <row r="593" spans="1:58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</row>
    <row r="594" spans="1:58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</row>
    <row r="595" spans="1:58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</row>
    <row r="596" spans="1:58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</row>
    <row r="597" spans="1:58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</row>
    <row r="598" spans="1:5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</row>
    <row r="599" spans="1:58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</row>
    <row r="600" spans="1:58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</row>
    <row r="601" spans="1:58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</row>
    <row r="602" spans="1:58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</row>
    <row r="603" spans="1:58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</row>
    <row r="604" spans="1:58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</row>
    <row r="605" spans="1:58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</row>
    <row r="606" spans="1:58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</row>
    <row r="607" spans="1:58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</row>
    <row r="608" spans="1:5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</row>
    <row r="609" spans="1:58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</row>
    <row r="610" spans="1:58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</row>
    <row r="611" spans="1:58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</row>
    <row r="612" spans="1:58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</row>
    <row r="613" spans="1:58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</row>
    <row r="614" spans="1:58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</row>
    <row r="615" spans="1:58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</row>
    <row r="616" spans="1:58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</row>
    <row r="617" spans="1:58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</row>
    <row r="618" spans="1:5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</row>
    <row r="619" spans="1:58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</row>
    <row r="620" spans="1:58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</row>
    <row r="621" spans="1:58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</row>
    <row r="622" spans="1:58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</row>
    <row r="623" spans="1:58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</row>
    <row r="624" spans="1:58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</row>
    <row r="625" spans="1:58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</row>
    <row r="626" spans="1:58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</row>
    <row r="627" spans="1:58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</row>
    <row r="628" spans="1:5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</row>
    <row r="629" spans="1:58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</row>
    <row r="630" spans="1:58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</row>
    <row r="631" spans="1:58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</row>
    <row r="632" spans="1:58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</row>
    <row r="633" spans="1:58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</row>
    <row r="634" spans="1:58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</row>
    <row r="635" spans="1:58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</row>
    <row r="636" spans="1:58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</row>
    <row r="637" spans="1:58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</row>
    <row r="638" spans="1:5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</row>
    <row r="639" spans="1:58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</row>
    <row r="640" spans="1:58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</row>
    <row r="641" spans="1:58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</row>
    <row r="642" spans="1:58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</row>
    <row r="643" spans="1:58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</row>
    <row r="644" spans="1:58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</row>
    <row r="645" spans="1:58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</row>
    <row r="646" spans="1:58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</row>
    <row r="647" spans="1:58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</row>
    <row r="648" spans="1:5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</row>
    <row r="649" spans="1:58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</row>
    <row r="650" spans="1:58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</row>
    <row r="651" spans="1:58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</row>
    <row r="652" spans="1:58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</row>
    <row r="653" spans="1:58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</row>
    <row r="654" spans="1:58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</row>
    <row r="655" spans="1:58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</row>
    <row r="656" spans="1:58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</row>
    <row r="657" spans="1:58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</row>
    <row r="658" spans="1: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</row>
    <row r="659" spans="1:58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</row>
    <row r="660" spans="1:58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</row>
    <row r="661" spans="1:58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</row>
    <row r="662" spans="1:58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</row>
    <row r="663" spans="1:58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</row>
    <row r="664" spans="1:58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</row>
    <row r="665" spans="1:58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</row>
    <row r="666" spans="1:58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</row>
    <row r="667" spans="1:58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</row>
    <row r="668" spans="1:5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</row>
    <row r="669" spans="1:58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</row>
    <row r="670" spans="1:58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</row>
    <row r="671" spans="1:58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</row>
    <row r="672" spans="1:58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</row>
    <row r="673" spans="1:58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</row>
    <row r="674" spans="1:58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</row>
    <row r="675" spans="1:58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</row>
    <row r="676" spans="1:58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</row>
    <row r="677" spans="1:58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</row>
    <row r="678" spans="1:5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</row>
    <row r="679" spans="1:58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</row>
    <row r="680" spans="1:58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</row>
    <row r="681" spans="1:58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</row>
    <row r="682" spans="1:58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</row>
    <row r="683" spans="1:58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</row>
    <row r="684" spans="1:58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</row>
    <row r="685" spans="1:58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</row>
    <row r="686" spans="1:58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</row>
    <row r="687" spans="1:58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</row>
    <row r="688" spans="1:5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</row>
    <row r="689" spans="1:58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</row>
    <row r="690" spans="1:58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</row>
    <row r="691" spans="1:58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</row>
    <row r="692" spans="1:58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</row>
    <row r="693" spans="1:58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</row>
    <row r="694" spans="1:58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</row>
    <row r="695" spans="1:58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</row>
    <row r="696" spans="1:58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</row>
    <row r="697" spans="1:58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</row>
    <row r="698" spans="1:5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</row>
    <row r="699" spans="1:58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</row>
    <row r="700" spans="1:58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</row>
    <row r="701" spans="1:58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</row>
    <row r="702" spans="1:58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</row>
    <row r="703" spans="1:58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</row>
    <row r="704" spans="1:58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</row>
    <row r="705" spans="1:58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</row>
    <row r="706" spans="1:58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</row>
    <row r="707" spans="1:58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</row>
    <row r="708" spans="1:5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</row>
    <row r="709" spans="1:58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</row>
    <row r="710" spans="1:58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</row>
    <row r="711" spans="1:58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</row>
    <row r="712" spans="1:58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</row>
    <row r="713" spans="1:58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</row>
    <row r="714" spans="1:58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</row>
    <row r="715" spans="1:58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</row>
    <row r="716" spans="1:58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</row>
    <row r="717" spans="1:58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</row>
    <row r="718" spans="1:5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</row>
    <row r="719" spans="1:58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</row>
    <row r="720" spans="1:58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</row>
    <row r="721" spans="1:58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</row>
    <row r="722" spans="1:58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</row>
    <row r="723" spans="1:58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</row>
    <row r="724" spans="1:58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</row>
    <row r="725" spans="1:58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</row>
    <row r="726" spans="1:58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</row>
    <row r="727" spans="1:58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</row>
    <row r="728" spans="1:5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</row>
    <row r="729" spans="1:58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</row>
    <row r="730" spans="1:58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</row>
    <row r="731" spans="1:58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</row>
    <row r="732" spans="1:58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</row>
    <row r="733" spans="1:58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</row>
    <row r="734" spans="1:58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</row>
    <row r="735" spans="1:58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</row>
    <row r="736" spans="1:58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</row>
    <row r="737" spans="1:58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</row>
    <row r="738" spans="1:5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</row>
    <row r="739" spans="1:58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</row>
    <row r="740" spans="1:58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</row>
    <row r="741" spans="1:58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</row>
    <row r="742" spans="1:58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</row>
    <row r="743" spans="1:58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</row>
    <row r="744" spans="1:58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</row>
    <row r="745" spans="1:58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</row>
    <row r="746" spans="1:58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</row>
    <row r="747" spans="1:58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</row>
    <row r="748" spans="1:5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</row>
    <row r="749" spans="1:58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</row>
    <row r="750" spans="1:58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</row>
    <row r="751" spans="1:58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</row>
    <row r="752" spans="1:58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</row>
    <row r="753" spans="1:58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</row>
    <row r="754" spans="1:58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</row>
    <row r="755" spans="1:58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</row>
    <row r="756" spans="1:58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</row>
    <row r="757" spans="1:58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</row>
    <row r="758" spans="1: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</row>
    <row r="759" spans="1:58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</row>
    <row r="760" spans="1:58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</row>
    <row r="761" spans="1:58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</row>
    <row r="762" spans="1:58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</row>
    <row r="763" spans="1:58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</row>
    <row r="764" spans="1:58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</row>
    <row r="765" spans="1:58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</row>
    <row r="766" spans="1:58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</row>
    <row r="767" spans="1:58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</row>
    <row r="768" spans="1:5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</row>
    <row r="769" spans="1:58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</row>
    <row r="770" spans="1:58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</row>
    <row r="771" spans="1:58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</row>
    <row r="772" spans="1:58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</row>
    <row r="773" spans="1:58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</row>
    <row r="774" spans="1:58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</row>
    <row r="775" spans="1:58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</row>
    <row r="776" spans="1:58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</row>
    <row r="777" spans="1:58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</row>
    <row r="778" spans="1:5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</row>
    <row r="779" spans="1:58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</row>
    <row r="780" spans="1:58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</row>
    <row r="781" spans="1:58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</row>
    <row r="782" spans="1:58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</row>
    <row r="783" spans="1:58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</row>
    <row r="784" spans="1:58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</row>
    <row r="785" spans="1:58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</row>
    <row r="786" spans="1:58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</row>
    <row r="787" spans="1:58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</row>
    <row r="788" spans="1:5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</row>
    <row r="789" spans="1:58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</row>
    <row r="790" spans="1:58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</row>
    <row r="791" spans="1:58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</row>
    <row r="792" spans="1:58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</row>
    <row r="793" spans="1:58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</row>
    <row r="794" spans="1:58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</row>
    <row r="795" spans="1:58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</row>
    <row r="796" spans="1:58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</row>
    <row r="797" spans="1:58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</row>
    <row r="798" spans="1:5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</row>
    <row r="799" spans="1:58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</row>
    <row r="800" spans="1:58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</row>
    <row r="801" spans="1:58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</row>
    <row r="802" spans="1:58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</row>
    <row r="803" spans="1:58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</row>
    <row r="804" spans="1:58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</row>
    <row r="805" spans="1:58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</row>
    <row r="806" spans="1:58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</row>
    <row r="807" spans="1:58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</row>
    <row r="808" spans="1:5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</row>
    <row r="809" spans="1:58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</row>
    <row r="810" spans="1:58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</row>
    <row r="811" spans="1:58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</row>
    <row r="812" spans="1:58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</row>
    <row r="813" spans="1:58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</row>
    <row r="814" spans="1:58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</row>
    <row r="815" spans="1:58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</row>
    <row r="816" spans="1:58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</row>
    <row r="817" spans="1:58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</row>
    <row r="818" spans="1:5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</row>
    <row r="819" spans="1:58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</row>
    <row r="820" spans="1:58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</row>
    <row r="821" spans="1:58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</row>
    <row r="822" spans="1:58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</row>
    <row r="823" spans="1:58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</row>
    <row r="824" spans="1:58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</row>
    <row r="825" spans="1:58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</row>
    <row r="826" spans="1:58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</row>
    <row r="827" spans="1:58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</row>
    <row r="828" spans="1:5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</row>
    <row r="829" spans="1:58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</row>
    <row r="830" spans="1:58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</row>
    <row r="831" spans="1:58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</row>
    <row r="832" spans="1:58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</row>
    <row r="833" spans="1:58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</row>
    <row r="834" spans="1:58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</row>
    <row r="835" spans="1:58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</row>
    <row r="836" spans="1:58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</row>
    <row r="837" spans="1:58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</row>
    <row r="838" spans="1:5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</row>
    <row r="839" spans="1:58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</row>
    <row r="840" spans="1:58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</row>
    <row r="841" spans="1:58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</row>
    <row r="842" spans="1:58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</row>
    <row r="843" spans="1:58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</row>
    <row r="844" spans="1:58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</row>
    <row r="845" spans="1:58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</row>
    <row r="846" spans="1:58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</row>
    <row r="847" spans="1:58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</row>
    <row r="848" spans="1:5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</row>
    <row r="849" spans="1:58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</row>
    <row r="850" spans="1:58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</row>
    <row r="851" spans="1:58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</row>
    <row r="852" spans="1:58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</row>
    <row r="853" spans="1:58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</row>
    <row r="854" spans="1:58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</row>
    <row r="855" spans="1:58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</row>
    <row r="856" spans="1:58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</row>
    <row r="857" spans="1:58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</row>
    <row r="858" spans="1: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</row>
    <row r="859" spans="1:58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</row>
    <row r="860" spans="1:58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</row>
    <row r="861" spans="1:58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</row>
    <row r="862" spans="1:58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</row>
    <row r="863" spans="1:58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</row>
    <row r="864" spans="1:58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</row>
    <row r="865" spans="1:58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</row>
    <row r="866" spans="1:58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</row>
    <row r="867" spans="1:58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</row>
    <row r="868" spans="1:5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</row>
    <row r="869" spans="1:58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</row>
    <row r="870" spans="1:58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</row>
    <row r="871" spans="1:58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</row>
    <row r="872" spans="1:58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</row>
    <row r="873" spans="1:58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</row>
    <row r="874" spans="1:58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</row>
    <row r="875" spans="1:58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</row>
    <row r="876" spans="1:58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</row>
    <row r="877" spans="1:58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</row>
    <row r="878" spans="1:5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</row>
    <row r="879" spans="1:58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</row>
    <row r="880" spans="1:58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</row>
    <row r="881" spans="1:58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</row>
    <row r="882" spans="1:58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</row>
    <row r="883" spans="1:58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</row>
    <row r="884" spans="1:58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</row>
    <row r="885" spans="1:58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</row>
    <row r="886" spans="1:58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</row>
    <row r="887" spans="1:58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</row>
    <row r="888" spans="1:5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</row>
    <row r="889" spans="1:58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</row>
    <row r="890" spans="1:58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</row>
    <row r="891" spans="1:58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</row>
    <row r="892" spans="1:58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</row>
    <row r="893" spans="1:58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</row>
    <row r="894" spans="1:58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</row>
    <row r="895" spans="1:58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</row>
    <row r="896" spans="1:58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</row>
    <row r="897" spans="1:58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</row>
    <row r="898" spans="1:5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</row>
    <row r="899" spans="1:58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</row>
    <row r="900" spans="1:58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</row>
    <row r="901" spans="1:58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</row>
    <row r="902" spans="1:58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</row>
    <row r="903" spans="1:58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</row>
    <row r="904" spans="1:58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</row>
    <row r="905" spans="1:58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</row>
    <row r="906" spans="1:58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</row>
    <row r="907" spans="1:58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</row>
    <row r="908" spans="1:5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</row>
    <row r="909" spans="1:58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</row>
    <row r="910" spans="1:58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</row>
    <row r="911" spans="1:58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</row>
    <row r="912" spans="1:58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</row>
    <row r="913" spans="1:58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</row>
    <row r="914" spans="1:58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</row>
    <row r="915" spans="1:58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</row>
    <row r="916" spans="1:58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</row>
    <row r="917" spans="1:58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</row>
    <row r="918" spans="1:5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</row>
    <row r="919" spans="1:58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</row>
    <row r="920" spans="1:58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</row>
    <row r="921" spans="1:58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</row>
    <row r="922" spans="1:58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</row>
    <row r="923" spans="1:58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</row>
    <row r="924" spans="1:58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</row>
    <row r="925" spans="1:58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</row>
    <row r="926" spans="1:58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</row>
    <row r="927" spans="1:58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</row>
    <row r="928" spans="1:5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</row>
    <row r="929" spans="1:58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</row>
    <row r="930" spans="1:58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</row>
    <row r="931" spans="1:58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</row>
    <row r="932" spans="1:58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</row>
    <row r="933" spans="1:58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</row>
    <row r="934" spans="1:58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</row>
    <row r="935" spans="1:58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</row>
    <row r="936" spans="1:58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</row>
    <row r="937" spans="1:58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</row>
    <row r="938" spans="1:5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</row>
    <row r="939" spans="1:58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</row>
    <row r="940" spans="1:58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</row>
    <row r="941" spans="1:58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</row>
    <row r="942" spans="1:58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</row>
    <row r="943" spans="1:58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</row>
    <row r="944" spans="1:58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</row>
    <row r="945" spans="1:58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</row>
    <row r="946" spans="1:58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</row>
    <row r="947" spans="1:58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</row>
    <row r="948" spans="1:5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</row>
    <row r="949" spans="1:58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</row>
    <row r="950" spans="1:58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</row>
    <row r="951" spans="1:58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</row>
    <row r="952" spans="1:58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</row>
    <row r="953" spans="1:58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</row>
    <row r="954" spans="1:58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</row>
    <row r="955" spans="1:58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</row>
    <row r="956" spans="1:58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</row>
    <row r="957" spans="1:58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</row>
    <row r="958" spans="1: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</row>
    <row r="959" spans="1:58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</row>
    <row r="960" spans="1:58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</row>
    <row r="961" spans="1:58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</row>
    <row r="962" spans="1:58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</row>
    <row r="963" spans="1:58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</row>
    <row r="964" spans="1:58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</row>
    <row r="965" spans="1:58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</row>
    <row r="966" spans="1:58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</row>
    <row r="967" spans="1:58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</row>
    <row r="968" spans="1:5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</row>
    <row r="969" spans="1:58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</row>
    <row r="970" spans="1:58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</row>
    <row r="971" spans="1:58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</row>
    <row r="972" spans="1:58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</row>
    <row r="973" spans="1:58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</row>
    <row r="974" spans="1:58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</row>
    <row r="975" spans="1:58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</row>
    <row r="976" spans="1:58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</row>
    <row r="977" spans="1:58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</row>
    <row r="978" spans="1:5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</row>
    <row r="979" spans="1:58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</row>
    <row r="980" spans="1:58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</row>
    <row r="981" spans="1:58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</row>
    <row r="982" spans="1:58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</row>
    <row r="983" spans="1:58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</row>
    <row r="984" spans="1:58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</row>
    <row r="985" spans="1:58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</row>
    <row r="986" spans="1:58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</row>
    <row r="987" spans="1:58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</row>
    <row r="988" spans="1:5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</row>
    <row r="989" spans="1:58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</row>
    <row r="990" spans="1:58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</row>
    <row r="991" spans="1:58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</row>
    <row r="992" spans="1:58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</row>
    <row r="993" spans="1:58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</row>
    <row r="994" spans="1:58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</row>
    <row r="995" spans="1:58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</row>
    <row r="996" spans="1:58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</row>
    <row r="997" spans="1:58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</row>
  </sheetData>
  <customSheetViews>
    <customSheetView guid="{D2735B29-27DD-44D8-AE34-5B2E622A73A6}" filter="1" showAutoFilter="1">
      <pageMargins left="0.7" right="0.7" top="0.75" bottom="0.75" header="0.3" footer="0.3"/>
      <autoFilter ref="B1:AH61" xr:uid="{00000000-0000-0000-0000-000000000000}"/>
    </customSheetView>
  </customSheetViews>
  <hyperlinks>
    <hyperlink ref="C2" r:id="rId1" xr:uid="{00000000-0004-0000-1200-000000000000}"/>
    <hyperlink ref="D2" r:id="rId2" xr:uid="{00000000-0004-0000-1200-000001000000}"/>
    <hyperlink ref="C3" r:id="rId3" xr:uid="{00000000-0004-0000-1200-000002000000}"/>
    <hyperlink ref="D3" r:id="rId4" xr:uid="{00000000-0004-0000-1200-000003000000}"/>
    <hyperlink ref="C4" r:id="rId5" xr:uid="{00000000-0004-0000-1200-000004000000}"/>
    <hyperlink ref="D4" r:id="rId6" xr:uid="{00000000-0004-0000-1200-000005000000}"/>
    <hyperlink ref="C5" r:id="rId7" xr:uid="{00000000-0004-0000-1200-000006000000}"/>
    <hyperlink ref="D5" r:id="rId8" xr:uid="{00000000-0004-0000-1200-000007000000}"/>
    <hyperlink ref="C6" r:id="rId9" xr:uid="{00000000-0004-0000-1200-000008000000}"/>
    <hyperlink ref="D6" r:id="rId10" xr:uid="{00000000-0004-0000-1200-000009000000}"/>
    <hyperlink ref="C7" r:id="rId11" xr:uid="{00000000-0004-0000-1200-00000A000000}"/>
    <hyperlink ref="D7" r:id="rId12" xr:uid="{00000000-0004-0000-1200-00000B000000}"/>
    <hyperlink ref="C8" r:id="rId13" xr:uid="{00000000-0004-0000-1200-00000C000000}"/>
    <hyperlink ref="D8" r:id="rId14" xr:uid="{00000000-0004-0000-1200-00000D000000}"/>
    <hyperlink ref="C10" r:id="rId15" xr:uid="{00000000-0004-0000-1200-00000E000000}"/>
    <hyperlink ref="D10" r:id="rId16" xr:uid="{00000000-0004-0000-1200-00000F000000}"/>
    <hyperlink ref="C19" r:id="rId17" xr:uid="{00000000-0004-0000-1200-000010000000}"/>
    <hyperlink ref="D19" r:id="rId18" xr:uid="{00000000-0004-0000-1200-000011000000}"/>
    <hyperlink ref="C20" r:id="rId19" xr:uid="{00000000-0004-0000-1200-000012000000}"/>
    <hyperlink ref="D20" r:id="rId20" xr:uid="{00000000-0004-0000-1200-000013000000}"/>
    <hyperlink ref="C21" r:id="rId21" xr:uid="{00000000-0004-0000-1200-000014000000}"/>
    <hyperlink ref="D21" r:id="rId22" xr:uid="{00000000-0004-0000-1200-000015000000}"/>
    <hyperlink ref="C22" r:id="rId23" xr:uid="{00000000-0004-0000-1200-000016000000}"/>
    <hyperlink ref="D22" r:id="rId24" xr:uid="{00000000-0004-0000-1200-000017000000}"/>
    <hyperlink ref="C23" r:id="rId25" xr:uid="{00000000-0004-0000-1200-000018000000}"/>
    <hyperlink ref="D23" r:id="rId26" xr:uid="{00000000-0004-0000-1200-000019000000}"/>
    <hyperlink ref="C24" r:id="rId27" xr:uid="{00000000-0004-0000-1200-00001A000000}"/>
    <hyperlink ref="D24" r:id="rId28" xr:uid="{00000000-0004-0000-1200-00001B000000}"/>
    <hyperlink ref="C25" r:id="rId29" xr:uid="{00000000-0004-0000-1200-00001C000000}"/>
    <hyperlink ref="D25" r:id="rId30" xr:uid="{00000000-0004-0000-1200-00001D000000}"/>
    <hyperlink ref="C26" r:id="rId31" xr:uid="{00000000-0004-0000-1200-00001E000000}"/>
    <hyperlink ref="D26" r:id="rId32" xr:uid="{00000000-0004-0000-1200-00001F000000}"/>
    <hyperlink ref="C27" r:id="rId33" xr:uid="{00000000-0004-0000-1200-000020000000}"/>
    <hyperlink ref="D27" r:id="rId34" xr:uid="{00000000-0004-0000-1200-000021000000}"/>
    <hyperlink ref="C28" r:id="rId35" xr:uid="{00000000-0004-0000-1200-000022000000}"/>
    <hyperlink ref="D28" r:id="rId36" xr:uid="{00000000-0004-0000-1200-000023000000}"/>
    <hyperlink ref="C29" r:id="rId37" xr:uid="{00000000-0004-0000-1200-000024000000}"/>
    <hyperlink ref="D29" r:id="rId38" xr:uid="{00000000-0004-0000-1200-000025000000}"/>
    <hyperlink ref="C30" r:id="rId39" xr:uid="{00000000-0004-0000-1200-000026000000}"/>
    <hyperlink ref="D30" r:id="rId40" xr:uid="{00000000-0004-0000-1200-000027000000}"/>
    <hyperlink ref="C31" r:id="rId41" xr:uid="{00000000-0004-0000-1200-000028000000}"/>
    <hyperlink ref="D31" r:id="rId42" xr:uid="{00000000-0004-0000-1200-000029000000}"/>
    <hyperlink ref="C32" r:id="rId43" xr:uid="{00000000-0004-0000-1200-00002A000000}"/>
    <hyperlink ref="D32" r:id="rId44" xr:uid="{00000000-0004-0000-1200-00002B000000}"/>
    <hyperlink ref="C33" r:id="rId45" xr:uid="{00000000-0004-0000-1200-00002C000000}"/>
    <hyperlink ref="D33" r:id="rId46" xr:uid="{00000000-0004-0000-1200-00002D000000}"/>
    <hyperlink ref="C34" r:id="rId47" xr:uid="{00000000-0004-0000-1200-00002E000000}"/>
    <hyperlink ref="D34" r:id="rId48" xr:uid="{00000000-0004-0000-1200-00002F000000}"/>
    <hyperlink ref="C35" r:id="rId49" xr:uid="{00000000-0004-0000-1200-000030000000}"/>
    <hyperlink ref="D35" r:id="rId50" xr:uid="{00000000-0004-0000-1200-000031000000}"/>
    <hyperlink ref="C36" r:id="rId51" xr:uid="{00000000-0004-0000-1200-000032000000}"/>
    <hyperlink ref="D36" r:id="rId52" xr:uid="{00000000-0004-0000-1200-000033000000}"/>
    <hyperlink ref="C37" r:id="rId53" xr:uid="{00000000-0004-0000-1200-000034000000}"/>
    <hyperlink ref="D37" r:id="rId54" xr:uid="{00000000-0004-0000-1200-000035000000}"/>
    <hyperlink ref="C38" r:id="rId55" xr:uid="{00000000-0004-0000-1200-000036000000}"/>
    <hyperlink ref="D38" r:id="rId56" xr:uid="{00000000-0004-0000-1200-000037000000}"/>
    <hyperlink ref="C39" r:id="rId57" xr:uid="{00000000-0004-0000-1200-000038000000}"/>
    <hyperlink ref="D39" r:id="rId58" xr:uid="{00000000-0004-0000-1200-000039000000}"/>
    <hyperlink ref="C40" r:id="rId59" xr:uid="{00000000-0004-0000-1200-00003A000000}"/>
    <hyperlink ref="D40" r:id="rId60" xr:uid="{00000000-0004-0000-1200-00003B000000}"/>
    <hyperlink ref="C41" r:id="rId61" xr:uid="{00000000-0004-0000-1200-00003C000000}"/>
    <hyperlink ref="D41" r:id="rId62" xr:uid="{00000000-0004-0000-1200-00003D000000}"/>
    <hyperlink ref="C42" r:id="rId63" xr:uid="{00000000-0004-0000-1200-00003E000000}"/>
    <hyperlink ref="D42" r:id="rId64" xr:uid="{00000000-0004-0000-1200-00003F000000}"/>
    <hyperlink ref="C43" r:id="rId65" xr:uid="{00000000-0004-0000-1200-000040000000}"/>
    <hyperlink ref="D43" r:id="rId66" xr:uid="{00000000-0004-0000-1200-000041000000}"/>
    <hyperlink ref="C44" r:id="rId67" xr:uid="{00000000-0004-0000-1200-000042000000}"/>
    <hyperlink ref="D44" r:id="rId68" xr:uid="{00000000-0004-0000-1200-000043000000}"/>
    <hyperlink ref="C45" r:id="rId69" xr:uid="{00000000-0004-0000-1200-000044000000}"/>
    <hyperlink ref="D45" r:id="rId70" xr:uid="{00000000-0004-0000-1200-000045000000}"/>
    <hyperlink ref="C46" r:id="rId71" xr:uid="{00000000-0004-0000-1200-000046000000}"/>
    <hyperlink ref="D46" r:id="rId72" xr:uid="{00000000-0004-0000-1200-000047000000}"/>
    <hyperlink ref="C47" r:id="rId73" xr:uid="{00000000-0004-0000-1200-000048000000}"/>
    <hyperlink ref="D47" r:id="rId74" xr:uid="{00000000-0004-0000-1200-000049000000}"/>
    <hyperlink ref="C48" r:id="rId75" xr:uid="{00000000-0004-0000-1200-00004A000000}"/>
    <hyperlink ref="D48" r:id="rId76" xr:uid="{00000000-0004-0000-1200-00004B000000}"/>
    <hyperlink ref="C49" r:id="rId77" xr:uid="{00000000-0004-0000-1200-00004C000000}"/>
    <hyperlink ref="D49" r:id="rId78" xr:uid="{00000000-0004-0000-1200-00004D000000}"/>
    <hyperlink ref="C50" r:id="rId79" xr:uid="{00000000-0004-0000-1200-00004E000000}"/>
    <hyperlink ref="D50" r:id="rId80" xr:uid="{00000000-0004-0000-1200-00004F000000}"/>
    <hyperlink ref="C51" r:id="rId81" xr:uid="{00000000-0004-0000-1200-000050000000}"/>
    <hyperlink ref="D51" r:id="rId82" xr:uid="{00000000-0004-0000-1200-000051000000}"/>
    <hyperlink ref="C52" r:id="rId83" xr:uid="{00000000-0004-0000-1200-000052000000}"/>
    <hyperlink ref="D52" r:id="rId84" xr:uid="{00000000-0004-0000-1200-000053000000}"/>
    <hyperlink ref="C53" r:id="rId85" xr:uid="{00000000-0004-0000-1200-000054000000}"/>
    <hyperlink ref="D53" r:id="rId86" xr:uid="{00000000-0004-0000-1200-000055000000}"/>
    <hyperlink ref="C54" r:id="rId87" xr:uid="{00000000-0004-0000-1200-000056000000}"/>
    <hyperlink ref="D54" r:id="rId88" xr:uid="{00000000-0004-0000-1200-000057000000}"/>
    <hyperlink ref="C55" r:id="rId89" xr:uid="{00000000-0004-0000-1200-000058000000}"/>
    <hyperlink ref="D55" r:id="rId90" xr:uid="{00000000-0004-0000-1200-000059000000}"/>
    <hyperlink ref="C56" r:id="rId91" xr:uid="{00000000-0004-0000-1200-00005A000000}"/>
    <hyperlink ref="D56" r:id="rId92" xr:uid="{00000000-0004-0000-1200-00005B000000}"/>
    <hyperlink ref="C57" r:id="rId93" xr:uid="{00000000-0004-0000-1200-00005C000000}"/>
    <hyperlink ref="D57" r:id="rId94" xr:uid="{00000000-0004-0000-1200-00005D000000}"/>
    <hyperlink ref="C58" r:id="rId95" xr:uid="{00000000-0004-0000-1200-00005E000000}"/>
    <hyperlink ref="D58" r:id="rId96" xr:uid="{00000000-0004-0000-1200-00005F000000}"/>
    <hyperlink ref="C59" r:id="rId97" xr:uid="{00000000-0004-0000-1200-000060000000}"/>
    <hyperlink ref="D59" r:id="rId98" xr:uid="{00000000-0004-0000-1200-000061000000}"/>
    <hyperlink ref="C60" r:id="rId99" xr:uid="{00000000-0004-0000-1200-000062000000}"/>
    <hyperlink ref="D60" r:id="rId100" xr:uid="{00000000-0004-0000-1200-000063000000}"/>
    <hyperlink ref="C61" r:id="rId101" xr:uid="{00000000-0004-0000-1200-000064000000}"/>
    <hyperlink ref="D61" r:id="rId102" xr:uid="{00000000-0004-0000-1200-000065000000}"/>
  </hyperlinks>
  <pageMargins left="0.7" right="0.7" top="0.75" bottom="0.75" header="0.3" footer="0.3"/>
  <tableParts count="1">
    <tablePart r:id="rId10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Y79"/>
  <sheetViews>
    <sheetView workbookViewId="0"/>
  </sheetViews>
  <sheetFormatPr baseColWidth="10" defaultColWidth="14.5" defaultRowHeight="15.75" customHeight="1"/>
  <sheetData>
    <row r="1" spans="1:25" ht="13">
      <c r="A1" s="26" t="str">
        <f ca="1">IFERROR(__xludf.DUMMYFUNCTION("{UNIQUE(NYV!A2:Y7);UNIQUE(SAS!A2:Y9);UNIQUE(VAN!A4:Y19);UNIQUE(PRO!A3:Y5);UNIQUE(DVS!A2:Y13);UNIQUE(OBX!A2:Y9);UNIQUE(FA!A87:Y112)}"),"http://probaseballexperience.jcink.net/index.php?showtopic=2154")</f>
        <v>http://probaseballexperience.jcink.net/index.php?showtopic=2154</v>
      </c>
      <c r="B1" t="str">
        <f ca="1">IFERROR(__xludf.DUMMYFUNCTION("""COMPUTED_VALUE"""),"NYV")</f>
        <v>NYV</v>
      </c>
      <c r="C1" s="26" t="str">
        <f ca="1">IFERROR(__xludf.DUMMYFUNCTION("""COMPUTED_VALUE"""),"pazuzu")</f>
        <v>pazuzu</v>
      </c>
      <c r="D1" s="26" t="str">
        <f ca="1">IFERROR(__xludf.DUMMYFUNCTION("""COMPUTED_VALUE"""),"Phillip J Fry - RF")</f>
        <v>Phillip J Fry - RF</v>
      </c>
      <c r="E1" t="str">
        <f ca="1">IFERROR(__xludf.DUMMYFUNCTION("""COMPUTED_VALUE"""),"Phillip J Fry")</f>
        <v>Phillip J Fry</v>
      </c>
      <c r="F1" t="str">
        <f ca="1">IFERROR(__xludf.DUMMYFUNCTION("""COMPUTED_VALUE"""),"RF")</f>
        <v>RF</v>
      </c>
      <c r="G1" t="str">
        <f ca="1">IFERROR(__xludf.DUMMYFUNCTION("""COMPUTED_VALUE"""),"Balanced/Arm")</f>
        <v>Balanced/Arm</v>
      </c>
      <c r="H1">
        <f ca="1">IFERROR(__xludf.DUMMYFUNCTION("""COMPUTED_VALUE"""),1414)</f>
        <v>1414</v>
      </c>
      <c r="I1" s="99">
        <f ca="1">IFERROR(__xludf.DUMMYFUNCTION("""COMPUTED_VALUE"""),9.25)</f>
        <v>9.25</v>
      </c>
      <c r="J1" s="99">
        <f ca="1">IFERROR(__xludf.DUMMYFUNCTION("""COMPUTED_VALUE"""),9.5)</f>
        <v>9.5</v>
      </c>
      <c r="K1" s="99">
        <f ca="1">IFERROR(__xludf.DUMMYFUNCTION("""COMPUTED_VALUE"""),10)</f>
        <v>10</v>
      </c>
      <c r="L1" s="99" t="str">
        <f ca="1">IFERROR(__xludf.DUMMYFUNCTION("""COMPUTED_VALUE"""),"")</f>
        <v/>
      </c>
      <c r="M1" s="99" t="str">
        <f ca="1">IFERROR(__xludf.DUMMYFUNCTION("""COMPUTED_VALUE"""),"")</f>
        <v/>
      </c>
      <c r="N1" t="str">
        <f ca="1">IFERROR(__xludf.DUMMYFUNCTION("""COMPUTED_VALUE"""),"")</f>
        <v/>
      </c>
      <c r="O1" t="str">
        <f ca="1">IFERROR(__xludf.DUMMYFUNCTION("""COMPUTED_VALUE"""),"S4")</f>
        <v>S4</v>
      </c>
      <c r="P1">
        <f ca="1">IFERROR(__xludf.DUMMYFUNCTION("""COMPUTED_VALUE"""),9)</f>
        <v>9</v>
      </c>
      <c r="Q1" t="str">
        <f ca="1">IFERROR(__xludf.DUMMYFUNCTION("""COMPUTED_VALUE"""),"S4")</f>
        <v>S4</v>
      </c>
      <c r="R1" t="str">
        <f ca="1">IFERROR(__xludf.DUMMYFUNCTION("""COMPUTED_VALUE"""),"")</f>
        <v/>
      </c>
      <c r="S1" t="str">
        <f ca="1">IFERROR(__xludf.DUMMYFUNCTION("""COMPUTED_VALUE"""),"")</f>
        <v/>
      </c>
      <c r="T1" t="str">
        <f ca="1">IFERROR(__xludf.DUMMYFUNCTION("""COMPUTED_VALUE"""),"")</f>
        <v/>
      </c>
      <c r="U1" t="str">
        <f ca="1">IFERROR(__xludf.DUMMYFUNCTION("""COMPUTED_VALUE"""),"")</f>
        <v/>
      </c>
      <c r="V1" t="str">
        <f ca="1">IFERROR(__xludf.DUMMYFUNCTION("""COMPUTED_VALUE"""),"")</f>
        <v/>
      </c>
      <c r="W1" t="str">
        <f ca="1">IFERROR(__xludf.DUMMYFUNCTION("""COMPUTED_VALUE"""),"")</f>
        <v/>
      </c>
      <c r="X1">
        <f ca="1">IFERROR(__xludf.DUMMYFUNCTION("""COMPUTED_VALUE"""),5)</f>
        <v>5</v>
      </c>
      <c r="Y1">
        <f ca="1">IFERROR(__xludf.DUMMYFUNCTION("""COMPUTED_VALUE"""),5)</f>
        <v>5</v>
      </c>
    </row>
    <row r="2" spans="1:25" ht="6.75" customHeight="1">
      <c r="A2" s="26" t="str">
        <f ca="1">IFERROR(__xludf.DUMMYFUNCTION("""COMPUTED_VALUE"""),"http://probaseballexperience.jcink.net/index.php?showtopic=2455")</f>
        <v>http://probaseballexperience.jcink.net/index.php?showtopic=2455</v>
      </c>
      <c r="B2" t="str">
        <f ca="1">IFERROR(__xludf.DUMMYFUNCTION("""COMPUTED_VALUE"""),"NYV")</f>
        <v>NYV</v>
      </c>
      <c r="C2" s="26" t="str">
        <f ca="1">IFERROR(__xludf.DUMMYFUNCTION("""COMPUTED_VALUE"""),"BWIII")</f>
        <v>BWIII</v>
      </c>
      <c r="D2" s="26" t="str">
        <f ca="1">IFERROR(__xludf.DUMMYFUNCTION("""COMPUTED_VALUE"""),"Weldon Borthwell - 3B")</f>
        <v>Weldon Borthwell - 3B</v>
      </c>
      <c r="E2" t="str">
        <f ca="1">IFERROR(__xludf.DUMMYFUNCTION("""COMPUTED_VALUE"""),"Weldon Borthwell")</f>
        <v>Weldon Borthwell</v>
      </c>
      <c r="F2" t="str">
        <f ca="1">IFERROR(__xludf.DUMMYFUNCTION("""COMPUTED_VALUE"""),"3B")</f>
        <v>3B</v>
      </c>
      <c r="G2" t="str">
        <f ca="1">IFERROR(__xludf.DUMMYFUNCTION("""COMPUTED_VALUE"""),"Balanced/Balanced")</f>
        <v>Balanced/Balanced</v>
      </c>
      <c r="H2">
        <f ca="1">IFERROR(__xludf.DUMMYFUNCTION("""COMPUTED_VALUE"""),1396)</f>
        <v>1396</v>
      </c>
      <c r="I2" s="99">
        <f ca="1">IFERROR(__xludf.DUMMYFUNCTION("""COMPUTED_VALUE"""),9.25)</f>
        <v>9.25</v>
      </c>
      <c r="J2" s="99">
        <f ca="1">IFERROR(__xludf.DUMMYFUNCTION("""COMPUTED_VALUE"""),10)</f>
        <v>10</v>
      </c>
      <c r="K2" s="99">
        <f ca="1">IFERROR(__xludf.DUMMYFUNCTION("""COMPUTED_VALUE"""),10)</f>
        <v>10</v>
      </c>
      <c r="L2" s="99" t="str">
        <f ca="1">IFERROR(__xludf.DUMMYFUNCTION("""COMPUTED_VALUE"""),"")</f>
        <v/>
      </c>
      <c r="M2" s="99" t="str">
        <f ca="1">IFERROR(__xludf.DUMMYFUNCTION("""COMPUTED_VALUE"""),"")</f>
        <v/>
      </c>
      <c r="N2" t="str">
        <f ca="1">IFERROR(__xludf.DUMMYFUNCTION("""COMPUTED_VALUE"""),"")</f>
        <v/>
      </c>
      <c r="O2" t="str">
        <f ca="1">IFERROR(__xludf.DUMMYFUNCTION("""COMPUTED_VALUE"""),"S5")</f>
        <v>S5</v>
      </c>
      <c r="P2">
        <f ca="1">IFERROR(__xludf.DUMMYFUNCTION("""COMPUTED_VALUE"""),1)</f>
        <v>1</v>
      </c>
      <c r="Q2" t="str">
        <f ca="1">IFERROR(__xludf.DUMMYFUNCTION("""COMPUTED_VALUE"""),"S4")</f>
        <v>S4</v>
      </c>
      <c r="R2" t="str">
        <f ca="1">IFERROR(__xludf.DUMMYFUNCTION("""COMPUTED_VALUE"""),"")</f>
        <v/>
      </c>
      <c r="S2" t="str">
        <f ca="1">IFERROR(__xludf.DUMMYFUNCTION("""COMPUTED_VALUE"""),"")</f>
        <v/>
      </c>
      <c r="T2" t="str">
        <f ca="1">IFERROR(__xludf.DUMMYFUNCTION("""COMPUTED_VALUE"""),"")</f>
        <v/>
      </c>
      <c r="U2" t="str">
        <f ca="1">IFERROR(__xludf.DUMMYFUNCTION("""COMPUTED_VALUE"""),"")</f>
        <v/>
      </c>
      <c r="V2" t="str">
        <f ca="1">IFERROR(__xludf.DUMMYFUNCTION("""COMPUTED_VALUE"""),"")</f>
        <v/>
      </c>
      <c r="W2" t="str">
        <f ca="1">IFERROR(__xludf.DUMMYFUNCTION("""COMPUTED_VALUE"""),"")</f>
        <v/>
      </c>
      <c r="X2">
        <f ca="1">IFERROR(__xludf.DUMMYFUNCTION("""COMPUTED_VALUE"""),1)</f>
        <v>1</v>
      </c>
      <c r="Y2">
        <f ca="1">IFERROR(__xludf.DUMMYFUNCTION("""COMPUTED_VALUE"""),5)</f>
        <v>5</v>
      </c>
    </row>
    <row r="3" spans="1:25" ht="13">
      <c r="A3" s="26" t="str">
        <f ca="1">IFERROR(__xludf.DUMMYFUNCTION("""COMPUTED_VALUE"""),"http://probaseballexperience.jcink.net/index.php?showtopic=2590")</f>
        <v>http://probaseballexperience.jcink.net/index.php?showtopic=2590</v>
      </c>
      <c r="B3" t="str">
        <f ca="1">IFERROR(__xludf.DUMMYFUNCTION("""COMPUTED_VALUE"""),"NYV")</f>
        <v>NYV</v>
      </c>
      <c r="C3" s="26" t="str">
        <f ca="1">IFERROR(__xludf.DUMMYFUNCTION("""COMPUTED_VALUE"""),"Ryan0413")</f>
        <v>Ryan0413</v>
      </c>
      <c r="D3" s="26" t="str">
        <f ca="1">IFERROR(__xludf.DUMMYFUNCTION("""COMPUTED_VALUE"""),"Ryan Stryker - SP")</f>
        <v>Ryan Stryker - SP</v>
      </c>
      <c r="E3" t="str">
        <f ca="1">IFERROR(__xludf.DUMMYFUNCTION("""COMPUTED_VALUE"""),"Ryan Stryker")</f>
        <v>Ryan Stryker</v>
      </c>
      <c r="F3" t="str">
        <f ca="1">IFERROR(__xludf.DUMMYFUNCTION("""COMPUTED_VALUE"""),"SP")</f>
        <v>SP</v>
      </c>
      <c r="G3" t="str">
        <f ca="1">IFERROR(__xludf.DUMMYFUNCTION("""COMPUTED_VALUE"""),"Power")</f>
        <v>Power</v>
      </c>
      <c r="H3">
        <f ca="1">IFERROR(__xludf.DUMMYFUNCTION("""COMPUTED_VALUE"""),1081)</f>
        <v>1081</v>
      </c>
      <c r="I3" s="99">
        <f ca="1">IFERROR(__xludf.DUMMYFUNCTION("""COMPUTED_VALUE"""),8)</f>
        <v>8</v>
      </c>
      <c r="J3" s="99">
        <f ca="1">IFERROR(__xludf.DUMMYFUNCTION("""COMPUTED_VALUE"""),9.25)</f>
        <v>9.25</v>
      </c>
      <c r="K3" s="99">
        <f ca="1">IFERROR(__xludf.DUMMYFUNCTION("""COMPUTED_VALUE"""),9.25)</f>
        <v>9.25</v>
      </c>
      <c r="L3" s="99">
        <f ca="1">IFERROR(__xludf.DUMMYFUNCTION("""COMPUTED_VALUE"""),9.75)</f>
        <v>9.75</v>
      </c>
      <c r="M3" s="99">
        <f ca="1">IFERROR(__xludf.DUMMYFUNCTION("""COMPUTED_VALUE"""),9.75)</f>
        <v>9.75</v>
      </c>
      <c r="N3" t="str">
        <f ca="1">IFERROR(__xludf.DUMMYFUNCTION("""COMPUTED_VALUE"""),"")</f>
        <v/>
      </c>
      <c r="O3" t="str">
        <f ca="1">IFERROR(__xludf.DUMMYFUNCTION("""COMPUTED_VALUE"""),"S5")</f>
        <v>S5</v>
      </c>
      <c r="P3">
        <f ca="1">IFERROR(__xludf.DUMMYFUNCTION("""COMPUTED_VALUE"""),7)</f>
        <v>7</v>
      </c>
      <c r="Q3" t="str">
        <f ca="1">IFERROR(__xludf.DUMMYFUNCTION("""COMPUTED_VALUE"""),"S5")</f>
        <v>S5</v>
      </c>
      <c r="R3" t="str">
        <f ca="1">IFERROR(__xludf.DUMMYFUNCTION("""COMPUTED_VALUE"""),"")</f>
        <v/>
      </c>
      <c r="S3" t="str">
        <f ca="1">IFERROR(__xludf.DUMMYFUNCTION("""COMPUTED_VALUE"""),"")</f>
        <v/>
      </c>
      <c r="T3" t="str">
        <f ca="1">IFERROR(__xludf.DUMMYFUNCTION("""COMPUTED_VALUE"""),"")</f>
        <v/>
      </c>
      <c r="U3" t="str">
        <f ca="1">IFERROR(__xludf.DUMMYFUNCTION("""COMPUTED_VALUE"""),"")</f>
        <v/>
      </c>
      <c r="V3" t="str">
        <f ca="1">IFERROR(__xludf.DUMMYFUNCTION("""COMPUTED_VALUE"""),"")</f>
        <v/>
      </c>
      <c r="W3" t="str">
        <f ca="1">IFERROR(__xludf.DUMMYFUNCTION("""COMPUTED_VALUE"""),"")</f>
        <v/>
      </c>
      <c r="X3" t="str">
        <f ca="1">IFERROR(__xludf.DUMMYFUNCTION("""COMPUTED_VALUE"""),"")</f>
        <v/>
      </c>
      <c r="Y3">
        <f ca="1">IFERROR(__xludf.DUMMYFUNCTION("""COMPUTED_VALUE"""),5)</f>
        <v>5</v>
      </c>
    </row>
    <row r="4" spans="1:25" ht="13">
      <c r="A4" s="26" t="str">
        <f ca="1">IFERROR(__xludf.DUMMYFUNCTION("""COMPUTED_VALUE"""),"http://probaseballexperience.jcink.net/index.php?showtopic=3087")</f>
        <v>http://probaseballexperience.jcink.net/index.php?showtopic=3087</v>
      </c>
      <c r="B4" t="str">
        <f ca="1">IFERROR(__xludf.DUMMYFUNCTION("""COMPUTED_VALUE"""),"NYV")</f>
        <v>NYV</v>
      </c>
      <c r="C4" s="26" t="str">
        <f ca="1">IFERROR(__xludf.DUMMYFUNCTION("""COMPUTED_VALUE"""),"StormZ_23")</f>
        <v>StormZ_23</v>
      </c>
      <c r="D4" s="26" t="str">
        <f ca="1">IFERROR(__xludf.DUMMYFUNCTION("""COMPUTED_VALUE"""),"Louis Storm - 2B")</f>
        <v>Louis Storm - 2B</v>
      </c>
      <c r="E4" t="str">
        <f ca="1">IFERROR(__xludf.DUMMYFUNCTION("""COMPUTED_VALUE"""),"Louis Storm")</f>
        <v>Louis Storm</v>
      </c>
      <c r="F4" t="str">
        <f ca="1">IFERROR(__xludf.DUMMYFUNCTION("""COMPUTED_VALUE"""),"2B")</f>
        <v>2B</v>
      </c>
      <c r="G4" t="str">
        <f ca="1">IFERROR(__xludf.DUMMYFUNCTION("""COMPUTED_VALUE"""),"Contact/Quick")</f>
        <v>Contact/Quick</v>
      </c>
      <c r="H4">
        <f ca="1">IFERROR(__xludf.DUMMYFUNCTION("""COMPUTED_VALUE"""),912)</f>
        <v>912</v>
      </c>
      <c r="I4" s="99">
        <f ca="1">IFERROR(__xludf.DUMMYFUNCTION("""COMPUTED_VALUE"""),5)</f>
        <v>5</v>
      </c>
      <c r="J4" s="99">
        <f ca="1">IFERROR(__xludf.DUMMYFUNCTION("""COMPUTED_VALUE"""),4)</f>
        <v>4</v>
      </c>
      <c r="K4" s="99" t="str">
        <f ca="1">IFERROR(__xludf.DUMMYFUNCTION("""COMPUTED_VALUE"""),"")</f>
        <v/>
      </c>
      <c r="L4" s="99" t="str">
        <f ca="1">IFERROR(__xludf.DUMMYFUNCTION("""COMPUTED_VALUE"""),"")</f>
        <v/>
      </c>
      <c r="M4" s="99" t="str">
        <f ca="1">IFERROR(__xludf.DUMMYFUNCTION("""COMPUTED_VALUE"""),"")</f>
        <v/>
      </c>
      <c r="N4" t="str">
        <f ca="1">IFERROR(__xludf.DUMMYFUNCTION("""COMPUTED_VALUE"""),"S12 MO")</f>
        <v>S12 MO</v>
      </c>
      <c r="O4" t="str">
        <f ca="1">IFERROR(__xludf.DUMMYFUNCTION("""COMPUTED_VALUE"""),"S6")</f>
        <v>S6</v>
      </c>
      <c r="P4">
        <f ca="1">IFERROR(__xludf.DUMMYFUNCTION("""COMPUTED_VALUE"""),16)</f>
        <v>16</v>
      </c>
      <c r="Q4" t="str">
        <f ca="1">IFERROR(__xludf.DUMMYFUNCTION("""COMPUTED_VALUE"""),"S6")</f>
        <v>S6</v>
      </c>
      <c r="R4" t="str">
        <f ca="1">IFERROR(__xludf.DUMMYFUNCTION("""COMPUTED_VALUE"""),"SCS")</f>
        <v>SCS</v>
      </c>
      <c r="S4">
        <f ca="1">IFERROR(__xludf.DUMMYFUNCTION("""COMPUTED_VALUE"""),6)</f>
        <v>6</v>
      </c>
      <c r="T4">
        <f ca="1">IFERROR(__xludf.DUMMYFUNCTION("""COMPUTED_VALUE"""),12)</f>
        <v>12</v>
      </c>
      <c r="U4" t="str">
        <f ca="1">IFERROR(__xludf.DUMMYFUNCTION("""COMPUTED_VALUE"""),"Y")</f>
        <v>Y</v>
      </c>
      <c r="V4" t="str">
        <f ca="1">IFERROR(__xludf.DUMMYFUNCTION("""COMPUTED_VALUE"""),"")</f>
        <v/>
      </c>
      <c r="W4" t="str">
        <f ca="1">IFERROR(__xludf.DUMMYFUNCTION("""COMPUTED_VALUE"""),"")</f>
        <v/>
      </c>
      <c r="X4" t="str">
        <f ca="1">IFERROR(__xludf.DUMMYFUNCTION("""COMPUTED_VALUE"""),"")</f>
        <v/>
      </c>
      <c r="Y4" t="str">
        <f ca="1">IFERROR(__xludf.DUMMYFUNCTION("""COMPUTED_VALUE"""),"")</f>
        <v/>
      </c>
    </row>
    <row r="5" spans="1:25" ht="13">
      <c r="A5" s="26" t="str">
        <f ca="1">IFERROR(__xludf.DUMMYFUNCTION("""COMPUTED_VALUE"""),"http://probaseballexperience.jcink.net/index.php?showtopic=256")</f>
        <v>http://probaseballexperience.jcink.net/index.php?showtopic=256</v>
      </c>
      <c r="B5" t="str">
        <f ca="1">IFERROR(__xludf.DUMMYFUNCTION("""COMPUTED_VALUE"""),"NYV")</f>
        <v>NYV</v>
      </c>
      <c r="C5" s="26" t="str">
        <f ca="1">IFERROR(__xludf.DUMMYFUNCTION("""COMPUTED_VALUE"""),"FTR")</f>
        <v>FTR</v>
      </c>
      <c r="D5" s="26" t="str">
        <f ca="1">IFERROR(__xludf.DUMMYFUNCTION("""COMPUTED_VALUE"""),"Pepe Alazar - LF")</f>
        <v>Pepe Alazar - LF</v>
      </c>
      <c r="E5" t="str">
        <f ca="1">IFERROR(__xludf.DUMMYFUNCTION("""COMPUTED_VALUE"""),"Pepe Alazar")</f>
        <v>Pepe Alazar</v>
      </c>
      <c r="F5" t="str">
        <f ca="1">IFERROR(__xludf.DUMMYFUNCTION("""COMPUTED_VALUE"""),"CF")</f>
        <v>CF</v>
      </c>
      <c r="G5" t="str">
        <f ca="1">IFERROR(__xludf.DUMMYFUNCTION("""COMPUTED_VALUE"""),"Contact/Speed")</f>
        <v>Contact/Speed</v>
      </c>
      <c r="H5">
        <f ca="1">IFERROR(__xludf.DUMMYFUNCTION("""COMPUTED_VALUE"""),775)</f>
        <v>775</v>
      </c>
      <c r="I5" s="99">
        <f ca="1">IFERROR(__xludf.DUMMYFUNCTION("""COMPUTED_VALUE"""),6.5)</f>
        <v>6.5</v>
      </c>
      <c r="J5" s="99" t="str">
        <f ca="1">IFERROR(__xludf.DUMMYFUNCTION("""COMPUTED_VALUE"""),"")</f>
        <v/>
      </c>
      <c r="K5" s="99" t="str">
        <f ca="1">IFERROR(__xludf.DUMMYFUNCTION("""COMPUTED_VALUE"""),"")</f>
        <v/>
      </c>
      <c r="L5" s="99" t="str">
        <f ca="1">IFERROR(__xludf.DUMMYFUNCTION("""COMPUTED_VALUE"""),"")</f>
        <v/>
      </c>
      <c r="M5" s="99" t="str">
        <f ca="1">IFERROR(__xludf.DUMMYFUNCTION("""COMPUTED_VALUE"""),"")</f>
        <v/>
      </c>
      <c r="N5" t="str">
        <f ca="1">IFERROR(__xludf.DUMMYFUNCTION("""COMPUTED_VALUE"""),"")</f>
        <v/>
      </c>
      <c r="O5" t="str">
        <f ca="1">IFERROR(__xludf.DUMMYFUNCTION("""COMPUTED_VALUE"""),"S1")</f>
        <v>S1</v>
      </c>
      <c r="P5">
        <f ca="1">IFERROR(__xludf.DUMMYFUNCTION("""COMPUTED_VALUE"""),49)</f>
        <v>49</v>
      </c>
      <c r="Q5" t="str">
        <f ca="1">IFERROR(__xludf.DUMMYFUNCTION("""COMPUTED_VALUE"""),"S1")</f>
        <v>S1</v>
      </c>
      <c r="R5" t="str">
        <f ca="1">IFERROR(__xludf.DUMMYFUNCTION("""COMPUTED_VALUE"""),"")</f>
        <v/>
      </c>
      <c r="S5" t="str">
        <f ca="1">IFERROR(__xludf.DUMMYFUNCTION("""COMPUTED_VALUE"""),"")</f>
        <v/>
      </c>
      <c r="T5" t="str">
        <f ca="1">IFERROR(__xludf.DUMMYFUNCTION("""COMPUTED_VALUE"""),"")</f>
        <v/>
      </c>
      <c r="U5" t="str">
        <f ca="1">IFERROR(__xludf.DUMMYFUNCTION("""COMPUTED_VALUE"""),"")</f>
        <v/>
      </c>
      <c r="V5" t="str">
        <f ca="1">IFERROR(__xludf.DUMMYFUNCTION("""COMPUTED_VALUE"""),"")</f>
        <v/>
      </c>
      <c r="W5">
        <f ca="1">IFERROR(__xludf.DUMMYFUNCTION("""COMPUTED_VALUE"""),14)</f>
        <v>14</v>
      </c>
      <c r="X5">
        <f ca="1">IFERROR(__xludf.DUMMYFUNCTION("""COMPUTED_VALUE"""),4)</f>
        <v>4</v>
      </c>
      <c r="Y5">
        <f ca="1">IFERROR(__xludf.DUMMYFUNCTION("""COMPUTED_VALUE"""),6.5)</f>
        <v>6.5</v>
      </c>
    </row>
    <row r="6" spans="1:25" ht="13">
      <c r="A6" s="26" t="str">
        <f ca="1">IFERROR(__xludf.DUMMYFUNCTION("""COMPUTED_VALUE"""),"http://probaseballexperience.jcink.net/index.php?showtopic=3967")</f>
        <v>http://probaseballexperience.jcink.net/index.php?showtopic=3967</v>
      </c>
      <c r="B6" t="str">
        <f ca="1">IFERROR(__xludf.DUMMYFUNCTION("""COMPUTED_VALUE"""),"NYV")</f>
        <v>NYV</v>
      </c>
      <c r="C6" s="26" t="str">
        <f ca="1">IFERROR(__xludf.DUMMYFUNCTION("""COMPUTED_VALUE"""),"Yurt6")</f>
        <v>Yurt6</v>
      </c>
      <c r="D6" s="26" t="str">
        <f ca="1">IFERROR(__xludf.DUMMYFUNCTION("""COMPUTED_VALUE"""),"Ulysses Rove - SS")</f>
        <v>Ulysses Rove - SS</v>
      </c>
      <c r="E6" t="str">
        <f ca="1">IFERROR(__xludf.DUMMYFUNCTION("""COMPUTED_VALUE"""),"Ulysses Rove")</f>
        <v>Ulysses Rove</v>
      </c>
      <c r="F6" t="str">
        <f ca="1">IFERROR(__xludf.DUMMYFUNCTION("""COMPUTED_VALUE"""),"SS")</f>
        <v>SS</v>
      </c>
      <c r="G6" t="str">
        <f ca="1">IFERROR(__xludf.DUMMYFUNCTION("""COMPUTED_VALUE"""),"Power/Speedy")</f>
        <v>Power/Speedy</v>
      </c>
      <c r="H6">
        <f ca="1">IFERROR(__xludf.DUMMYFUNCTION("""COMPUTED_VALUE"""),535)</f>
        <v>535</v>
      </c>
      <c r="I6" s="99">
        <f ca="1">IFERROR(__xludf.DUMMYFUNCTION("""COMPUTED_VALUE"""),3)</f>
        <v>3</v>
      </c>
      <c r="J6" s="99">
        <f ca="1">IFERROR(__xludf.DUMMYFUNCTION("""COMPUTED_VALUE"""),8)</f>
        <v>8</v>
      </c>
      <c r="K6" s="99">
        <f ca="1">IFERROR(__xludf.DUMMYFUNCTION("""COMPUTED_VALUE"""),8)</f>
        <v>8</v>
      </c>
      <c r="L6" s="99">
        <f ca="1">IFERROR(__xludf.DUMMYFUNCTION("""COMPUTED_VALUE"""),8.5)</f>
        <v>8.5</v>
      </c>
      <c r="M6" s="99" t="str">
        <f ca="1">IFERROR(__xludf.DUMMYFUNCTION("""COMPUTED_VALUE"""),"")</f>
        <v/>
      </c>
      <c r="N6" t="str">
        <f ca="1">IFERROR(__xludf.DUMMYFUNCTION("""COMPUTED_VALUE"""),"S14 MO")</f>
        <v>S14 MO</v>
      </c>
      <c r="O6" t="str">
        <f ca="1">IFERROR(__xludf.DUMMYFUNCTION("""COMPUTED_VALUE"""),"S8")</f>
        <v>S8</v>
      </c>
      <c r="P6">
        <f ca="1">IFERROR(__xludf.DUMMYFUNCTION("""COMPUTED_VALUE"""),5)</f>
        <v>5</v>
      </c>
      <c r="Q6" t="str">
        <f ca="1">IFERROR(__xludf.DUMMYFUNCTION("""COMPUTED_VALUE"""),"S8")</f>
        <v>S8</v>
      </c>
      <c r="R6" t="str">
        <f ca="1">IFERROR(__xludf.DUMMYFUNCTION("""COMPUTED_VALUE"""),"")</f>
        <v/>
      </c>
      <c r="S6" t="str">
        <f ca="1">IFERROR(__xludf.DUMMYFUNCTION("""COMPUTED_VALUE"""),"")</f>
        <v/>
      </c>
      <c r="T6" t="str">
        <f ca="1">IFERROR(__xludf.DUMMYFUNCTION("""COMPUTED_VALUE"""),"")</f>
        <v/>
      </c>
      <c r="U6" t="str">
        <f ca="1">IFERROR(__xludf.DUMMYFUNCTION("""COMPUTED_VALUE"""),"")</f>
        <v/>
      </c>
      <c r="V6" t="str">
        <f ca="1">IFERROR(__xludf.DUMMYFUNCTION("""COMPUTED_VALUE"""),"")</f>
        <v/>
      </c>
      <c r="W6" t="str">
        <f ca="1">IFERROR(__xludf.DUMMYFUNCTION("""COMPUTED_VALUE"""),"")</f>
        <v/>
      </c>
      <c r="X6" t="str">
        <f ca="1">IFERROR(__xludf.DUMMYFUNCTION("""COMPUTED_VALUE"""),"")</f>
        <v/>
      </c>
      <c r="Y6" t="str">
        <f ca="1">IFERROR(__xludf.DUMMYFUNCTION("""COMPUTED_VALUE"""),"")</f>
        <v/>
      </c>
    </row>
    <row r="7" spans="1:25" ht="13">
      <c r="A7" s="26" t="str">
        <f ca="1">IFERROR(__xludf.DUMMYFUNCTION("""COMPUTED_VALUE"""),"http://probaseballexperience.jcink.net/index.php?showtopic=180")</f>
        <v>http://probaseballexperience.jcink.net/index.php?showtopic=180</v>
      </c>
      <c r="B7" t="str">
        <f ca="1">IFERROR(__xludf.DUMMYFUNCTION("""COMPUTED_VALUE"""),"SAS")</f>
        <v>SAS</v>
      </c>
      <c r="C7" s="26" t="str">
        <f ca="1">IFERROR(__xludf.DUMMYFUNCTION("""COMPUTED_VALUE"""),"JuOSu")</f>
        <v>JuOSu</v>
      </c>
      <c r="D7" s="26" t="str">
        <f ca="1">IFERROR(__xludf.DUMMYFUNCTION("""COMPUTED_VALUE"""),"Julian O'Sullivan - C")</f>
        <v>Julian O'Sullivan - C</v>
      </c>
      <c r="E7" t="str">
        <f ca="1">IFERROR(__xludf.DUMMYFUNCTION("""COMPUTED_VALUE"""),"Julian O'Sullivan")</f>
        <v>Julian O'Sullivan</v>
      </c>
      <c r="F7" t="str">
        <f ca="1">IFERROR(__xludf.DUMMYFUNCTION("""COMPUTED_VALUE"""),"C")</f>
        <v>C</v>
      </c>
      <c r="G7" t="str">
        <f ca="1">IFERROR(__xludf.DUMMYFUNCTION("""COMPUTED_VALUE"""),"Power/Quick")</f>
        <v>Power/Quick</v>
      </c>
      <c r="H7">
        <f ca="1">IFERROR(__xludf.DUMMYFUNCTION("""COMPUTED_VALUE"""),1572)</f>
        <v>1572</v>
      </c>
      <c r="I7" s="99">
        <f ca="1">IFERROR(__xludf.DUMMYFUNCTION("""COMPUTED_VALUE"""),10)</f>
        <v>10</v>
      </c>
      <c r="J7" s="99" t="str">
        <f ca="1">IFERROR(__xludf.DUMMYFUNCTION("""COMPUTED_VALUE"""),"")</f>
        <v/>
      </c>
      <c r="K7" s="99" t="str">
        <f ca="1">IFERROR(__xludf.DUMMYFUNCTION("""COMPUTED_VALUE"""),"")</f>
        <v/>
      </c>
      <c r="L7" s="99" t="str">
        <f ca="1">IFERROR(__xludf.DUMMYFUNCTION("""COMPUTED_VALUE"""),"")</f>
        <v/>
      </c>
      <c r="M7" s="99" t="str">
        <f ca="1">IFERROR(__xludf.DUMMYFUNCTION("""COMPUTED_VALUE"""),"")</f>
        <v/>
      </c>
      <c r="N7" t="str">
        <f ca="1">IFERROR(__xludf.DUMMYFUNCTION("""COMPUTED_VALUE"""),"S5-S10 MO")</f>
        <v>S5-S10 MO</v>
      </c>
      <c r="O7" t="str">
        <f ca="1">IFERROR(__xludf.DUMMYFUNCTION("""COMPUTED_VALUE"""),"S1")</f>
        <v>S1</v>
      </c>
      <c r="P7">
        <f ca="1">IFERROR(__xludf.DUMMYFUNCTION("""COMPUTED_VALUE"""),2)</f>
        <v>2</v>
      </c>
      <c r="Q7" t="str">
        <f ca="1">IFERROR(__xludf.DUMMYFUNCTION("""COMPUTED_VALUE"""),"S1")</f>
        <v>S1</v>
      </c>
      <c r="R7" t="str">
        <f ca="1">IFERROR(__xludf.DUMMYFUNCTION("""COMPUTED_VALUE"""),"")</f>
        <v/>
      </c>
      <c r="S7" t="str">
        <f ca="1">IFERROR(__xludf.DUMMYFUNCTION("""COMPUTED_VALUE"""),"")</f>
        <v/>
      </c>
      <c r="T7" t="str">
        <f ca="1">IFERROR(__xludf.DUMMYFUNCTION("""COMPUTED_VALUE"""),"")</f>
        <v/>
      </c>
      <c r="U7" t="str">
        <f ca="1">IFERROR(__xludf.DUMMYFUNCTION("""COMPUTED_VALUE"""),"")</f>
        <v/>
      </c>
      <c r="V7" t="str">
        <f ca="1">IFERROR(__xludf.DUMMYFUNCTION("""COMPUTED_VALUE"""),"")</f>
        <v/>
      </c>
      <c r="W7">
        <f ca="1">IFERROR(__xludf.DUMMYFUNCTION("""COMPUTED_VALUE"""),3)</f>
        <v>3</v>
      </c>
      <c r="X7">
        <f ca="1">IFERROR(__xludf.DUMMYFUNCTION("""COMPUTED_VALUE"""),5)</f>
        <v>5</v>
      </c>
      <c r="Y7">
        <f ca="1">IFERROR(__xludf.DUMMYFUNCTION("""COMPUTED_VALUE"""),6.5)</f>
        <v>6.5</v>
      </c>
    </row>
    <row r="8" spans="1:25" ht="13">
      <c r="A8" s="26" t="str">
        <f ca="1">IFERROR(__xludf.DUMMYFUNCTION("""COMPUTED_VALUE"""),"http://probaseballexperience.jcink.net/index.php?showtopic=191")</f>
        <v>http://probaseballexperience.jcink.net/index.php?showtopic=191</v>
      </c>
      <c r="B8" t="str">
        <f ca="1">IFERROR(__xludf.DUMMYFUNCTION("""COMPUTED_VALUE"""),"SAS")</f>
        <v>SAS</v>
      </c>
      <c r="C8" s="26" t="str">
        <f ca="1">IFERROR(__xludf.DUMMYFUNCTION("""COMPUTED_VALUE"""),"goilers")</f>
        <v>goilers</v>
      </c>
      <c r="D8" s="26" t="str">
        <f ca="1">IFERROR(__xludf.DUMMYFUNCTION("""COMPUTED_VALUE"""),"Sophia Bennett - RF")</f>
        <v>Sophia Bennett - RF</v>
      </c>
      <c r="E8" t="str">
        <f ca="1">IFERROR(__xludf.DUMMYFUNCTION("""COMPUTED_VALUE"""),"Sophia Bennett")</f>
        <v>Sophia Bennett</v>
      </c>
      <c r="F8" t="str">
        <f ca="1">IFERROR(__xludf.DUMMYFUNCTION("""COMPUTED_VALUE"""),"RF")</f>
        <v>RF</v>
      </c>
      <c r="G8" t="str">
        <f ca="1">IFERROR(__xludf.DUMMYFUNCTION("""COMPUTED_VALUE"""),"Contact/Speed")</f>
        <v>Contact/Speed</v>
      </c>
      <c r="H8">
        <f ca="1">IFERROR(__xludf.DUMMYFUNCTION("""COMPUTED_VALUE"""),1426)</f>
        <v>1426</v>
      </c>
      <c r="I8" s="99">
        <f ca="1">IFERROR(__xludf.DUMMYFUNCTION("""COMPUTED_VALUE"""),10)</f>
        <v>10</v>
      </c>
      <c r="J8" s="99">
        <f ca="1">IFERROR(__xludf.DUMMYFUNCTION("""COMPUTED_VALUE"""),9.75)</f>
        <v>9.75</v>
      </c>
      <c r="K8" s="99" t="str">
        <f ca="1">IFERROR(__xludf.DUMMYFUNCTION("""COMPUTED_VALUE"""),"")</f>
        <v/>
      </c>
      <c r="L8" s="99" t="str">
        <f ca="1">IFERROR(__xludf.DUMMYFUNCTION("""COMPUTED_VALUE"""),"")</f>
        <v/>
      </c>
      <c r="M8" s="99" t="str">
        <f ca="1">IFERROR(__xludf.DUMMYFUNCTION("""COMPUTED_VALUE"""),"")</f>
        <v/>
      </c>
      <c r="N8" t="str">
        <f ca="1">IFERROR(__xludf.DUMMYFUNCTION("""COMPUTED_VALUE"""),"S10-11 PO")</f>
        <v>S10-11 PO</v>
      </c>
      <c r="O8" t="str">
        <f ca="1">IFERROR(__xludf.DUMMYFUNCTION("""COMPUTED_VALUE"""),"S1")</f>
        <v>S1</v>
      </c>
      <c r="P8">
        <f ca="1">IFERROR(__xludf.DUMMYFUNCTION("""COMPUTED_VALUE"""),16)</f>
        <v>16</v>
      </c>
      <c r="Q8" t="str">
        <f ca="1">IFERROR(__xludf.DUMMYFUNCTION("""COMPUTED_VALUE"""),"S1")</f>
        <v>S1</v>
      </c>
      <c r="R8" t="str">
        <f ca="1">IFERROR(__xludf.DUMMYFUNCTION("""COMPUTED_VALUE"""),"")</f>
        <v/>
      </c>
      <c r="S8" t="str">
        <f ca="1">IFERROR(__xludf.DUMMYFUNCTION("""COMPUTED_VALUE"""),"")</f>
        <v/>
      </c>
      <c r="T8" t="str">
        <f ca="1">IFERROR(__xludf.DUMMYFUNCTION("""COMPUTED_VALUE"""),"")</f>
        <v/>
      </c>
      <c r="U8" t="str">
        <f ca="1">IFERROR(__xludf.DUMMYFUNCTION("""COMPUTED_VALUE"""),"")</f>
        <v/>
      </c>
      <c r="V8" t="str">
        <f ca="1">IFERROR(__xludf.DUMMYFUNCTION("""COMPUTED_VALUE"""),"")</f>
        <v/>
      </c>
      <c r="W8">
        <f ca="1">IFERROR(__xludf.DUMMYFUNCTION("""COMPUTED_VALUE"""),4)</f>
        <v>4</v>
      </c>
      <c r="X8">
        <f ca="1">IFERROR(__xludf.DUMMYFUNCTION("""COMPUTED_VALUE"""),6)</f>
        <v>6</v>
      </c>
      <c r="Y8">
        <f ca="1">IFERROR(__xludf.DUMMYFUNCTION("""COMPUTED_VALUE"""),6)</f>
        <v>6</v>
      </c>
    </row>
    <row r="9" spans="1:25" ht="13">
      <c r="A9" s="26" t="str">
        <f ca="1">IFERROR(__xludf.DUMMYFUNCTION("""COMPUTED_VALUE"""),"http://probaseballexperience.jcink.net/index.php?showtopic=153")</f>
        <v>http://probaseballexperience.jcink.net/index.php?showtopic=153</v>
      </c>
      <c r="B9" t="str">
        <f ca="1">IFERROR(__xludf.DUMMYFUNCTION("""COMPUTED_VALUE"""),"SAS")</f>
        <v>SAS</v>
      </c>
      <c r="C9" s="26" t="str">
        <f ca="1">IFERROR(__xludf.DUMMYFUNCTION("""COMPUTED_VALUE"""),"PigSnout")</f>
        <v>PigSnout</v>
      </c>
      <c r="D9" s="26" t="str">
        <f ca="1">IFERROR(__xludf.DUMMYFUNCTION("""COMPUTED_VALUE"""),"Vick Thunder - LF")</f>
        <v>Vick Thunder - LF</v>
      </c>
      <c r="E9" t="str">
        <f ca="1">IFERROR(__xludf.DUMMYFUNCTION("""COMPUTED_VALUE"""),"Vick Thunder")</f>
        <v>Vick Thunder</v>
      </c>
      <c r="F9" t="str">
        <f ca="1">IFERROR(__xludf.DUMMYFUNCTION("""COMPUTED_VALUE"""),"LF")</f>
        <v>LF</v>
      </c>
      <c r="G9" t="str">
        <f ca="1">IFERROR(__xludf.DUMMYFUNCTION("""COMPUTED_VALUE"""),"Power/Speed")</f>
        <v>Power/Speed</v>
      </c>
      <c r="H9">
        <f ca="1">IFERROR(__xludf.DUMMYFUNCTION("""COMPUTED_VALUE"""),1590)</f>
        <v>1590</v>
      </c>
      <c r="I9" s="99">
        <f ca="1">IFERROR(__xludf.DUMMYFUNCTION("""COMPUTED_VALUE"""),10)</f>
        <v>10</v>
      </c>
      <c r="J9" s="99">
        <f ca="1">IFERROR(__xludf.DUMMYFUNCTION("""COMPUTED_VALUE"""),10)</f>
        <v>10</v>
      </c>
      <c r="K9" s="99">
        <f ca="1">IFERROR(__xludf.DUMMYFUNCTION("""COMPUTED_VALUE"""),10)</f>
        <v>10</v>
      </c>
      <c r="L9" s="99">
        <f ca="1">IFERROR(__xludf.DUMMYFUNCTION("""COMPUTED_VALUE"""),10)</f>
        <v>10</v>
      </c>
      <c r="M9" s="99" t="str">
        <f ca="1">IFERROR(__xludf.DUMMYFUNCTION("""COMPUTED_VALUE"""),"")</f>
        <v/>
      </c>
      <c r="N9" t="str">
        <f ca="1">IFERROR(__xludf.DUMMYFUNCTION("""COMPUTED_VALUE"""),"S7-S14 TO")</f>
        <v>S7-S14 TO</v>
      </c>
      <c r="O9" t="str">
        <f ca="1">IFERROR(__xludf.DUMMYFUNCTION("""COMPUTED_VALUE"""),"S1")</f>
        <v>S1</v>
      </c>
      <c r="P9">
        <f ca="1">IFERROR(__xludf.DUMMYFUNCTION("""COMPUTED_VALUE"""),15)</f>
        <v>15</v>
      </c>
      <c r="Q9" t="str">
        <f ca="1">IFERROR(__xludf.DUMMYFUNCTION("""COMPUTED_VALUE"""),"S1")</f>
        <v>S1</v>
      </c>
      <c r="R9" t="str">
        <f ca="1">IFERROR(__xludf.DUMMYFUNCTION("""COMPUTED_VALUE"""),"")</f>
        <v/>
      </c>
      <c r="S9" t="str">
        <f ca="1">IFERROR(__xludf.DUMMYFUNCTION("""COMPUTED_VALUE"""),"")</f>
        <v/>
      </c>
      <c r="T9" t="str">
        <f ca="1">IFERROR(__xludf.DUMMYFUNCTION("""COMPUTED_VALUE"""),"")</f>
        <v/>
      </c>
      <c r="U9" t="str">
        <f ca="1">IFERROR(__xludf.DUMMYFUNCTION("""COMPUTED_VALUE"""),"")</f>
        <v/>
      </c>
      <c r="V9">
        <f ca="1">IFERROR(__xludf.DUMMYFUNCTION("""COMPUTED_VALUE"""),1.5)</f>
        <v>1.5</v>
      </c>
      <c r="W9">
        <f ca="1">IFERROR(__xludf.DUMMYFUNCTION("""COMPUTED_VALUE"""),8)</f>
        <v>8</v>
      </c>
      <c r="X9">
        <f ca="1">IFERROR(__xludf.DUMMYFUNCTION("""COMPUTED_VALUE"""),3.5)</f>
        <v>3.5</v>
      </c>
      <c r="Y9">
        <f ca="1">IFERROR(__xludf.DUMMYFUNCTION("""COMPUTED_VALUE"""),7.25)</f>
        <v>7.25</v>
      </c>
    </row>
    <row r="10" spans="1:25" ht="13">
      <c r="A10" s="26" t="str">
        <f ca="1">IFERROR(__xludf.DUMMYFUNCTION("""COMPUTED_VALUE"""),"http://probaseballexperience.jcink.net/index.php?showtopic=120")</f>
        <v>http://probaseballexperience.jcink.net/index.php?showtopic=120</v>
      </c>
      <c r="B10" t="str">
        <f ca="1">IFERROR(__xludf.DUMMYFUNCTION("""COMPUTED_VALUE"""),"SAS")</f>
        <v>SAS</v>
      </c>
      <c r="C10" s="26" t="str">
        <f ca="1">IFERROR(__xludf.DUMMYFUNCTION("""COMPUTED_VALUE"""),"manicmav36")</f>
        <v>manicmav36</v>
      </c>
      <c r="D10" s="26" t="str">
        <f ca="1">IFERROR(__xludf.DUMMYFUNCTION("""COMPUTED_VALUE"""),"Shooty McLish - 1B")</f>
        <v>Shooty McLish - 1B</v>
      </c>
      <c r="E10" t="str">
        <f ca="1">IFERROR(__xludf.DUMMYFUNCTION("""COMPUTED_VALUE"""),"Shooty McLish")</f>
        <v>Shooty McLish</v>
      </c>
      <c r="F10" t="str">
        <f ca="1">IFERROR(__xludf.DUMMYFUNCTION("""COMPUTED_VALUE"""),"1B")</f>
        <v>1B</v>
      </c>
      <c r="G10" t="str">
        <f ca="1">IFERROR(__xludf.DUMMYFUNCTION("""COMPUTED_VALUE"""),"Contact/Quick")</f>
        <v>Contact/Quick</v>
      </c>
      <c r="H10">
        <f ca="1">IFERROR(__xludf.DUMMYFUNCTION("""COMPUTED_VALUE"""),1319)</f>
        <v>1319</v>
      </c>
      <c r="I10" s="99">
        <f ca="1">IFERROR(__xludf.DUMMYFUNCTION("""COMPUTED_VALUE"""),9.5)</f>
        <v>9.5</v>
      </c>
      <c r="J10" s="99" t="str">
        <f ca="1">IFERROR(__xludf.DUMMYFUNCTION("""COMPUTED_VALUE"""),"")</f>
        <v/>
      </c>
      <c r="K10" s="99" t="str">
        <f ca="1">IFERROR(__xludf.DUMMYFUNCTION("""COMPUTED_VALUE"""),"")</f>
        <v/>
      </c>
      <c r="L10" s="99" t="str">
        <f ca="1">IFERROR(__xludf.DUMMYFUNCTION("""COMPUTED_VALUE"""),"")</f>
        <v/>
      </c>
      <c r="M10" s="99" t="str">
        <f ca="1">IFERROR(__xludf.DUMMYFUNCTION("""COMPUTED_VALUE"""),"")</f>
        <v/>
      </c>
      <c r="N10" t="str">
        <f ca="1">IFERROR(__xludf.DUMMYFUNCTION("""COMPUTED_VALUE"""),"")</f>
        <v/>
      </c>
      <c r="O10" t="str">
        <f ca="1">IFERROR(__xludf.DUMMYFUNCTION("""COMPUTED_VALUE"""),"S1")</f>
        <v>S1</v>
      </c>
      <c r="P10">
        <f ca="1">IFERROR(__xludf.DUMMYFUNCTION("""COMPUTED_VALUE"""),72)</f>
        <v>72</v>
      </c>
      <c r="Q10" t="str">
        <f ca="1">IFERROR(__xludf.DUMMYFUNCTION("""COMPUTED_VALUE"""),"S1")</f>
        <v>S1</v>
      </c>
      <c r="R10" t="str">
        <f ca="1">IFERROR(__xludf.DUMMYFUNCTION("""COMPUTED_VALUE"""),"")</f>
        <v/>
      </c>
      <c r="S10" t="str">
        <f ca="1">IFERROR(__xludf.DUMMYFUNCTION("""COMPUTED_VALUE"""),"")</f>
        <v/>
      </c>
      <c r="T10" t="str">
        <f ca="1">IFERROR(__xludf.DUMMYFUNCTION("""COMPUTED_VALUE"""),"")</f>
        <v/>
      </c>
      <c r="U10" t="str">
        <f ca="1">IFERROR(__xludf.DUMMYFUNCTION("""COMPUTED_VALUE"""),"")</f>
        <v/>
      </c>
      <c r="V10" t="str">
        <f ca="1">IFERROR(__xludf.DUMMYFUNCTION("""COMPUTED_VALUE"""),"")</f>
        <v/>
      </c>
      <c r="W10">
        <f ca="1">IFERROR(__xludf.DUMMYFUNCTION("""COMPUTED_VALUE"""),2)</f>
        <v>2</v>
      </c>
      <c r="X10">
        <f ca="1">IFERROR(__xludf.DUMMYFUNCTION("""COMPUTED_VALUE"""),12)</f>
        <v>12</v>
      </c>
      <c r="Y10">
        <f ca="1">IFERROR(__xludf.DUMMYFUNCTION("""COMPUTED_VALUE"""),13.5)</f>
        <v>13.5</v>
      </c>
    </row>
    <row r="11" spans="1:25" ht="13">
      <c r="A11" s="26" t="str">
        <f ca="1">IFERROR(__xludf.DUMMYFUNCTION("""COMPUTED_VALUE"""),"http://probaseballexperience.jcink.net/index.php?showtopic=1042")</f>
        <v>http://probaseballexperience.jcink.net/index.php?showtopic=1042</v>
      </c>
      <c r="B11" t="str">
        <f ca="1">IFERROR(__xludf.DUMMYFUNCTION("""COMPUTED_VALUE"""),"SAS")</f>
        <v>SAS</v>
      </c>
      <c r="C11" s="26" t="str">
        <f ca="1">IFERROR(__xludf.DUMMYFUNCTION("""COMPUTED_VALUE"""),"vasolinetigers")</f>
        <v>vasolinetigers</v>
      </c>
      <c r="D11" s="26" t="str">
        <f ca="1">IFERROR(__xludf.DUMMYFUNCTION("""COMPUTED_VALUE"""),"Simon Hans - SS")</f>
        <v>Simon Hans - SS</v>
      </c>
      <c r="E11" t="str">
        <f ca="1">IFERROR(__xludf.DUMMYFUNCTION("""COMPUTED_VALUE"""),"Simon Hans")</f>
        <v>Simon Hans</v>
      </c>
      <c r="F11" t="str">
        <f ca="1">IFERROR(__xludf.DUMMYFUNCTION("""COMPUTED_VALUE"""),"3B")</f>
        <v>3B</v>
      </c>
      <c r="G11" t="str">
        <f ca="1">IFERROR(__xludf.DUMMYFUNCTION("""COMPUTED_VALUE"""),"Balanced/Balanced")</f>
        <v>Balanced/Balanced</v>
      </c>
      <c r="H11">
        <f ca="1">IFERROR(__xludf.DUMMYFUNCTION("""COMPUTED_VALUE"""),1351)</f>
        <v>1351</v>
      </c>
      <c r="I11" s="99">
        <f ca="1">IFERROR(__xludf.DUMMYFUNCTION("""COMPUTED_VALUE"""),9.75)</f>
        <v>9.75</v>
      </c>
      <c r="J11" s="99">
        <f ca="1">IFERROR(__xludf.DUMMYFUNCTION("""COMPUTED_VALUE"""),10)</f>
        <v>10</v>
      </c>
      <c r="K11" s="99" t="str">
        <f ca="1">IFERROR(__xludf.DUMMYFUNCTION("""COMPUTED_VALUE"""),"")</f>
        <v/>
      </c>
      <c r="L11" s="99" t="str">
        <f ca="1">IFERROR(__xludf.DUMMYFUNCTION("""COMPUTED_VALUE"""),"")</f>
        <v/>
      </c>
      <c r="M11" s="99" t="str">
        <f ca="1">IFERROR(__xludf.DUMMYFUNCTION("""COMPUTED_VALUE"""),"")</f>
        <v/>
      </c>
      <c r="N11" t="str">
        <f ca="1">IFERROR(__xludf.DUMMYFUNCTION("""COMPUTED_VALUE"""),"S12 MO NTC")</f>
        <v>S12 MO NTC</v>
      </c>
      <c r="O11" t="str">
        <f ca="1">IFERROR(__xludf.DUMMYFUNCTION("""COMPUTED_VALUE"""),"S2")</f>
        <v>S2</v>
      </c>
      <c r="P11">
        <f ca="1">IFERROR(__xludf.DUMMYFUNCTION("""COMPUTED_VALUE"""),38)</f>
        <v>38</v>
      </c>
      <c r="Q11" t="str">
        <f ca="1">IFERROR(__xludf.DUMMYFUNCTION("""COMPUTED_VALUE"""),"S2")</f>
        <v>S2</v>
      </c>
      <c r="R11" t="str">
        <f ca="1">IFERROR(__xludf.DUMMYFUNCTION("""COMPUTED_VALUE"""),"")</f>
        <v/>
      </c>
      <c r="S11" t="str">
        <f ca="1">IFERROR(__xludf.DUMMYFUNCTION("""COMPUTED_VALUE"""),"")</f>
        <v/>
      </c>
      <c r="T11" t="str">
        <f ca="1">IFERROR(__xludf.DUMMYFUNCTION("""COMPUTED_VALUE"""),"")</f>
        <v/>
      </c>
      <c r="U11" t="str">
        <f ca="1">IFERROR(__xludf.DUMMYFUNCTION("""COMPUTED_VALUE"""),"")</f>
        <v/>
      </c>
      <c r="V11" t="str">
        <f ca="1">IFERROR(__xludf.DUMMYFUNCTION("""COMPUTED_VALUE"""),"")</f>
        <v/>
      </c>
      <c r="W11">
        <f ca="1">IFERROR(__xludf.DUMMYFUNCTION("""COMPUTED_VALUE"""),3)</f>
        <v>3</v>
      </c>
      <c r="X11">
        <f ca="1">IFERROR(__xludf.DUMMYFUNCTION("""COMPUTED_VALUE"""),3.5)</f>
        <v>3.5</v>
      </c>
      <c r="Y11">
        <f ca="1">IFERROR(__xludf.DUMMYFUNCTION("""COMPUTED_VALUE"""),5)</f>
        <v>5</v>
      </c>
    </row>
    <row r="12" spans="1:25" ht="13">
      <c r="A12" s="26" t="str">
        <f ca="1">IFERROR(__xludf.DUMMYFUNCTION("""COMPUTED_VALUE"""),"http://probaseballexperience.jcink.net/index.php?showtopic=2155")</f>
        <v>http://probaseballexperience.jcink.net/index.php?showtopic=2155</v>
      </c>
      <c r="B12" t="str">
        <f ca="1">IFERROR(__xludf.DUMMYFUNCTION("""COMPUTED_VALUE"""),"SAS")</f>
        <v>SAS</v>
      </c>
      <c r="C12" s="26" t="str">
        <f ca="1">IFERROR(__xludf.DUMMYFUNCTION("""COMPUTED_VALUE"""),"Moosecop")</f>
        <v>Moosecop</v>
      </c>
      <c r="D12" s="26" t="str">
        <f ca="1">IFERROR(__xludf.DUMMYFUNCTION("""COMPUTED_VALUE"""),"Clem Johnson - 2B")</f>
        <v>Clem Johnson - 2B</v>
      </c>
      <c r="E12" t="str">
        <f ca="1">IFERROR(__xludf.DUMMYFUNCTION("""COMPUTED_VALUE"""),"Clem Johnson")</f>
        <v>Clem Johnson</v>
      </c>
      <c r="F12" t="str">
        <f ca="1">IFERROR(__xludf.DUMMYFUNCTION("""COMPUTED_VALUE"""),"SS")</f>
        <v>SS</v>
      </c>
      <c r="G12" t="str">
        <f ca="1">IFERROR(__xludf.DUMMYFUNCTION("""COMPUTED_VALUE"""),"Contact/Quick")</f>
        <v>Contact/Quick</v>
      </c>
      <c r="H12">
        <f ca="1">IFERROR(__xludf.DUMMYFUNCTION("""COMPUTED_VALUE"""),1277)</f>
        <v>1277</v>
      </c>
      <c r="I12" s="99">
        <f ca="1">IFERROR(__xludf.DUMMYFUNCTION("""COMPUTED_VALUE"""),6.75)</f>
        <v>6.75</v>
      </c>
      <c r="J12" s="99">
        <f ca="1">IFERROR(__xludf.DUMMYFUNCTION("""COMPUTED_VALUE"""),9.5)</f>
        <v>9.5</v>
      </c>
      <c r="K12" s="99" t="str">
        <f ca="1">IFERROR(__xludf.DUMMYFUNCTION("""COMPUTED_VALUE"""),"")</f>
        <v/>
      </c>
      <c r="L12" s="99" t="str">
        <f ca="1">IFERROR(__xludf.DUMMYFUNCTION("""COMPUTED_VALUE"""),"")</f>
        <v/>
      </c>
      <c r="M12" s="99" t="str">
        <f ca="1">IFERROR(__xludf.DUMMYFUNCTION("""COMPUTED_VALUE"""),"")</f>
        <v/>
      </c>
      <c r="N12" t="str">
        <f ca="1">IFERROR(__xludf.DUMMYFUNCTION("""COMPUTED_VALUE"""),"S9-12 MO")</f>
        <v>S9-12 MO</v>
      </c>
      <c r="O12" t="str">
        <f ca="1">IFERROR(__xludf.DUMMYFUNCTION("""COMPUTED_VALUE"""),"S4")</f>
        <v>S4</v>
      </c>
      <c r="P12">
        <f ca="1">IFERROR(__xludf.DUMMYFUNCTION("""COMPUTED_VALUE"""),3)</f>
        <v>3</v>
      </c>
      <c r="Q12" t="str">
        <f ca="1">IFERROR(__xludf.DUMMYFUNCTION("""COMPUTED_VALUE"""),"S4")</f>
        <v>S4</v>
      </c>
      <c r="R12" t="str">
        <f ca="1">IFERROR(__xludf.DUMMYFUNCTION("""COMPUTED_VALUE"""),"")</f>
        <v/>
      </c>
      <c r="S12" t="str">
        <f ca="1">IFERROR(__xludf.DUMMYFUNCTION("""COMPUTED_VALUE"""),"")</f>
        <v/>
      </c>
      <c r="T12" t="str">
        <f ca="1">IFERROR(__xludf.DUMMYFUNCTION("""COMPUTED_VALUE"""),"")</f>
        <v/>
      </c>
      <c r="U12" t="str">
        <f ca="1">IFERROR(__xludf.DUMMYFUNCTION("""COMPUTED_VALUE"""),"")</f>
        <v/>
      </c>
      <c r="V12" t="str">
        <f ca="1">IFERROR(__xludf.DUMMYFUNCTION("""COMPUTED_VALUE"""),"")</f>
        <v/>
      </c>
      <c r="W12" t="str">
        <f ca="1">IFERROR(__xludf.DUMMYFUNCTION("""COMPUTED_VALUE"""),"")</f>
        <v/>
      </c>
      <c r="X12">
        <f ca="1">IFERROR(__xludf.DUMMYFUNCTION("""COMPUTED_VALUE"""),5)</f>
        <v>5</v>
      </c>
      <c r="Y12">
        <f ca="1">IFERROR(__xludf.DUMMYFUNCTION("""COMPUTED_VALUE"""),5)</f>
        <v>5</v>
      </c>
    </row>
    <row r="13" spans="1:25" ht="13">
      <c r="A13" s="26" t="str">
        <f ca="1">IFERROR(__xludf.DUMMYFUNCTION("""COMPUTED_VALUE"""),"http://probaseballexperience.jcink.net/index.php?showtopic=1209")</f>
        <v>http://probaseballexperience.jcink.net/index.php?showtopic=1209</v>
      </c>
      <c r="B13" t="str">
        <f ca="1">IFERROR(__xludf.DUMMYFUNCTION("""COMPUTED_VALUE"""),"SAS")</f>
        <v>SAS</v>
      </c>
      <c r="C13" s="26" t="str">
        <f ca="1">IFERROR(__xludf.DUMMYFUNCTION("""COMPUTED_VALUE"""),"yoye")</f>
        <v>yoye</v>
      </c>
      <c r="D13" s="26" t="str">
        <f ca="1">IFERROR(__xludf.DUMMYFUNCTION("""COMPUTED_VALUE"""),"Roger Baton - 2B")</f>
        <v>Roger Baton - 2B</v>
      </c>
      <c r="E13" t="str">
        <f ca="1">IFERROR(__xludf.DUMMYFUNCTION("""COMPUTED_VALUE"""),"Roger Baton")</f>
        <v>Roger Baton</v>
      </c>
      <c r="F13" t="str">
        <f ca="1">IFERROR(__xludf.DUMMYFUNCTION("""COMPUTED_VALUE"""),"2B")</f>
        <v>2B</v>
      </c>
      <c r="G13" t="str">
        <f ca="1">IFERROR(__xludf.DUMMYFUNCTION("""COMPUTED_VALUE"""),"Balanced/Balanced")</f>
        <v>Balanced/Balanced</v>
      </c>
      <c r="H13">
        <f ca="1">IFERROR(__xludf.DUMMYFUNCTION("""COMPUTED_VALUE"""),1087)</f>
        <v>1087</v>
      </c>
      <c r="I13" s="99">
        <f ca="1">IFERROR(__xludf.DUMMYFUNCTION("""COMPUTED_VALUE"""),9.25)</f>
        <v>9.25</v>
      </c>
      <c r="J13" s="99">
        <f ca="1">IFERROR(__xludf.DUMMYFUNCTION("""COMPUTED_VALUE"""),9.5)</f>
        <v>9.5</v>
      </c>
      <c r="K13" s="99" t="str">
        <f ca="1">IFERROR(__xludf.DUMMYFUNCTION("""COMPUTED_VALUE"""),"")</f>
        <v/>
      </c>
      <c r="L13" s="99" t="str">
        <f ca="1">IFERROR(__xludf.DUMMYFUNCTION("""COMPUTED_VALUE"""),"")</f>
        <v/>
      </c>
      <c r="M13" s="99" t="str">
        <f ca="1">IFERROR(__xludf.DUMMYFUNCTION("""COMPUTED_VALUE"""),"")</f>
        <v/>
      </c>
      <c r="N13" t="str">
        <f ca="1">IFERROR(__xludf.DUMMYFUNCTION("""COMPUTED_VALUE"""),"")</f>
        <v/>
      </c>
      <c r="O13" t="str">
        <f ca="1">IFERROR(__xludf.DUMMYFUNCTION("""COMPUTED_VALUE"""),"S2")</f>
        <v>S2</v>
      </c>
      <c r="P13">
        <f ca="1">IFERROR(__xludf.DUMMYFUNCTION("""COMPUTED_VALUE"""),32)</f>
        <v>32</v>
      </c>
      <c r="Q13" t="str">
        <f ca="1">IFERROR(__xludf.DUMMYFUNCTION("""COMPUTED_VALUE"""),"S2")</f>
        <v>S2</v>
      </c>
      <c r="R13" t="str">
        <f ca="1">IFERROR(__xludf.DUMMYFUNCTION("""COMPUTED_VALUE"""),"")</f>
        <v/>
      </c>
      <c r="S13" t="str">
        <f ca="1">IFERROR(__xludf.DUMMYFUNCTION("""COMPUTED_VALUE"""),"")</f>
        <v/>
      </c>
      <c r="T13" t="str">
        <f ca="1">IFERROR(__xludf.DUMMYFUNCTION("""COMPUTED_VALUE"""),"")</f>
        <v/>
      </c>
      <c r="U13" t="str">
        <f ca="1">IFERROR(__xludf.DUMMYFUNCTION("""COMPUTED_VALUE"""),"")</f>
        <v/>
      </c>
      <c r="V13" t="str">
        <f ca="1">IFERROR(__xludf.DUMMYFUNCTION("""COMPUTED_VALUE"""),"")</f>
        <v/>
      </c>
      <c r="W13">
        <f ca="1">IFERROR(__xludf.DUMMYFUNCTION("""COMPUTED_VALUE"""),3)</f>
        <v>3</v>
      </c>
      <c r="X13">
        <f ca="1">IFERROR(__xludf.DUMMYFUNCTION("""COMPUTED_VALUE"""),4)</f>
        <v>4</v>
      </c>
      <c r="Y13">
        <f ca="1">IFERROR(__xludf.DUMMYFUNCTION("""COMPUTED_VALUE"""),5)</f>
        <v>5</v>
      </c>
    </row>
    <row r="14" spans="1:25" ht="13">
      <c r="A14" s="26" t="str">
        <f ca="1">IFERROR(__xludf.DUMMYFUNCTION("""COMPUTED_VALUE"""),"http://probaseballexperience.jcink.net/index.php?showtopic=1232")</f>
        <v>http://probaseballexperience.jcink.net/index.php?showtopic=1232</v>
      </c>
      <c r="B14" t="str">
        <f ca="1">IFERROR(__xludf.DUMMYFUNCTION("""COMPUTED_VALUE"""),"SAS")</f>
        <v>SAS</v>
      </c>
      <c r="C14" s="26" t="str">
        <f ca="1">IFERROR(__xludf.DUMMYFUNCTION("""COMPUTED_VALUE"""),"Kahn")</f>
        <v>Kahn</v>
      </c>
      <c r="D14" s="26" t="str">
        <f ca="1">IFERROR(__xludf.DUMMYFUNCTION("""COMPUTED_VALUE"""),"Khamati Kahn - SP")</f>
        <v>Khamati Kahn - SP</v>
      </c>
      <c r="E14" t="str">
        <f ca="1">IFERROR(__xludf.DUMMYFUNCTION("""COMPUTED_VALUE"""),"Khamati Kahn")</f>
        <v>Khamati Kahn</v>
      </c>
      <c r="F14" t="str">
        <f ca="1">IFERROR(__xludf.DUMMYFUNCTION("""COMPUTED_VALUE"""),"SP")</f>
        <v>SP</v>
      </c>
      <c r="G14" t="str">
        <f ca="1">IFERROR(__xludf.DUMMYFUNCTION("""COMPUTED_VALUE"""),"Finesse")</f>
        <v>Finesse</v>
      </c>
      <c r="H14">
        <f ca="1">IFERROR(__xludf.DUMMYFUNCTION("""COMPUTED_VALUE"""),891)</f>
        <v>891</v>
      </c>
      <c r="I14" s="99">
        <f ca="1">IFERROR(__xludf.DUMMYFUNCTION("""COMPUTED_VALUE"""),8)</f>
        <v>8</v>
      </c>
      <c r="J14" s="99">
        <f ca="1">IFERROR(__xludf.DUMMYFUNCTION("""COMPUTED_VALUE"""),7.25)</f>
        <v>7.25</v>
      </c>
      <c r="K14" s="99" t="str">
        <f ca="1">IFERROR(__xludf.DUMMYFUNCTION("""COMPUTED_VALUE"""),"")</f>
        <v/>
      </c>
      <c r="L14" s="99" t="str">
        <f ca="1">IFERROR(__xludf.DUMMYFUNCTION("""COMPUTED_VALUE"""),"")</f>
        <v/>
      </c>
      <c r="M14" s="99" t="str">
        <f ca="1">IFERROR(__xludf.DUMMYFUNCTION("""COMPUTED_VALUE"""),"")</f>
        <v/>
      </c>
      <c r="N14" t="str">
        <f ca="1">IFERROR(__xludf.DUMMYFUNCTION("""COMPUTED_VALUE"""),"")</f>
        <v/>
      </c>
      <c r="O14" t="str">
        <f ca="1">IFERROR(__xludf.DUMMYFUNCTION("""COMPUTED_VALUE"""),"S2")</f>
        <v>S2</v>
      </c>
      <c r="P14">
        <f ca="1">IFERROR(__xludf.DUMMYFUNCTION("""COMPUTED_VALUE"""),21)</f>
        <v>21</v>
      </c>
      <c r="Q14" t="str">
        <f ca="1">IFERROR(__xludf.DUMMYFUNCTION("""COMPUTED_VALUE"""),"S2")</f>
        <v>S2</v>
      </c>
      <c r="R14" t="str">
        <f ca="1">IFERROR(__xludf.DUMMYFUNCTION("""COMPUTED_VALUE"""),"")</f>
        <v/>
      </c>
      <c r="S14" t="str">
        <f ca="1">IFERROR(__xludf.DUMMYFUNCTION("""COMPUTED_VALUE"""),"")</f>
        <v/>
      </c>
      <c r="T14" t="str">
        <f ca="1">IFERROR(__xludf.DUMMYFUNCTION("""COMPUTED_VALUE"""),"")</f>
        <v/>
      </c>
      <c r="U14" t="str">
        <f ca="1">IFERROR(__xludf.DUMMYFUNCTION("""COMPUTED_VALUE"""),"")</f>
        <v/>
      </c>
      <c r="V14" t="str">
        <f ca="1">IFERROR(__xludf.DUMMYFUNCTION("""COMPUTED_VALUE"""),"")</f>
        <v/>
      </c>
      <c r="W14">
        <f ca="1">IFERROR(__xludf.DUMMYFUNCTION("""COMPUTED_VALUE"""),3)</f>
        <v>3</v>
      </c>
      <c r="X14">
        <f ca="1">IFERROR(__xludf.DUMMYFUNCTION("""COMPUTED_VALUE"""),3)</f>
        <v>3</v>
      </c>
      <c r="Y14">
        <f ca="1">IFERROR(__xludf.DUMMYFUNCTION("""COMPUTED_VALUE"""),3)</f>
        <v>3</v>
      </c>
    </row>
    <row r="15" spans="1:25" ht="13">
      <c r="A15" s="26" t="str">
        <f ca="1">IFERROR(__xludf.DUMMYFUNCTION("""COMPUTED_VALUE"""),"http://probaseballexperience.jcink.net/index.php?showtopic=2614")</f>
        <v>http://probaseballexperience.jcink.net/index.php?showtopic=2614</v>
      </c>
      <c r="B15" t="str">
        <f ca="1">IFERROR(__xludf.DUMMYFUNCTION("""COMPUTED_VALUE"""),"VAN")</f>
        <v>VAN</v>
      </c>
      <c r="C15" s="26" t="str">
        <f ca="1">IFERROR(__xludf.DUMMYFUNCTION("""COMPUTED_VALUE"""),"Frozen Rope")</f>
        <v>Frozen Rope</v>
      </c>
      <c r="D15" s="26" t="str">
        <f ca="1">IFERROR(__xludf.DUMMYFUNCTION("""COMPUTED_VALUE"""),"Godfrey Bowman - RF")</f>
        <v>Godfrey Bowman - RF</v>
      </c>
      <c r="E15" t="str">
        <f ca="1">IFERROR(__xludf.DUMMYFUNCTION("""COMPUTED_VALUE"""),"Godfrey Bowman")</f>
        <v>Godfrey Bowman</v>
      </c>
      <c r="F15" t="str">
        <f ca="1">IFERROR(__xludf.DUMMYFUNCTION("""COMPUTED_VALUE"""),"RF")</f>
        <v>RF</v>
      </c>
      <c r="G15" t="str">
        <f ca="1">IFERROR(__xludf.DUMMYFUNCTION("""COMPUTED_VALUE"""),"Contact/Speed")</f>
        <v>Contact/Speed</v>
      </c>
      <c r="H15">
        <f ca="1">IFERROR(__xludf.DUMMYFUNCTION("""COMPUTED_VALUE"""),1026)</f>
        <v>1026</v>
      </c>
      <c r="I15" s="99">
        <f ca="1">IFERROR(__xludf.DUMMYFUNCTION("""COMPUTED_VALUE"""),9)</f>
        <v>9</v>
      </c>
      <c r="J15" s="99">
        <f ca="1">IFERROR(__xludf.DUMMYFUNCTION("""COMPUTED_VALUE"""),8.5)</f>
        <v>8.5</v>
      </c>
      <c r="K15" s="99">
        <f ca="1">IFERROR(__xludf.DUMMYFUNCTION("""COMPUTED_VALUE"""),9)</f>
        <v>9</v>
      </c>
      <c r="L15" s="99" t="str">
        <f ca="1">IFERROR(__xludf.DUMMYFUNCTION("""COMPUTED_VALUE"""),"")</f>
        <v/>
      </c>
      <c r="M15" s="99" t="str">
        <f ca="1">IFERROR(__xludf.DUMMYFUNCTION("""COMPUTED_VALUE"""),"")</f>
        <v/>
      </c>
      <c r="N15" t="str">
        <f ca="1">IFERROR(__xludf.DUMMYFUNCTION("""COMPUTED_VALUE"""),"S11 TO")</f>
        <v>S11 TO</v>
      </c>
      <c r="O15" t="str">
        <f ca="1">IFERROR(__xludf.DUMMYFUNCTION("""COMPUTED_VALUE"""),"S5")</f>
        <v>S5</v>
      </c>
      <c r="P15">
        <f ca="1">IFERROR(__xludf.DUMMYFUNCTION("""COMPUTED_VALUE"""),12)</f>
        <v>12</v>
      </c>
      <c r="Q15" t="str">
        <f ca="1">IFERROR(__xludf.DUMMYFUNCTION("""COMPUTED_VALUE"""),"S5")</f>
        <v>S5</v>
      </c>
      <c r="R15" t="str">
        <f ca="1">IFERROR(__xludf.DUMMYFUNCTION("""COMPUTED_VALUE"""),"")</f>
        <v/>
      </c>
      <c r="S15" t="str">
        <f ca="1">IFERROR(__xludf.DUMMYFUNCTION("""COMPUTED_VALUE"""),"")</f>
        <v/>
      </c>
      <c r="T15" t="str">
        <f ca="1">IFERROR(__xludf.DUMMYFUNCTION("""COMPUTED_VALUE"""),"")</f>
        <v/>
      </c>
      <c r="U15" t="str">
        <f ca="1">IFERROR(__xludf.DUMMYFUNCTION("""COMPUTED_VALUE"""),"")</f>
        <v/>
      </c>
      <c r="V15" t="str">
        <f ca="1">IFERROR(__xludf.DUMMYFUNCTION("""COMPUTED_VALUE"""),"")</f>
        <v/>
      </c>
      <c r="W15" t="str">
        <f ca="1">IFERROR(__xludf.DUMMYFUNCTION("""COMPUTED_VALUE"""),"")</f>
        <v/>
      </c>
      <c r="X15">
        <f ca="1">IFERROR(__xludf.DUMMYFUNCTION("""COMPUTED_VALUE"""),2)</f>
        <v>2</v>
      </c>
      <c r="Y15">
        <f ca="1">IFERROR(__xludf.DUMMYFUNCTION("""COMPUTED_VALUE"""),2)</f>
        <v>2</v>
      </c>
    </row>
    <row r="16" spans="1:25" ht="13">
      <c r="A16" s="26" t="str">
        <f ca="1">IFERROR(__xludf.DUMMYFUNCTION("""COMPUTED_VALUE"""),"http://probaseballexperience.jcink.net/index.php?showtopic=3108")</f>
        <v>http://probaseballexperience.jcink.net/index.php?showtopic=3108</v>
      </c>
      <c r="B16" t="str">
        <f ca="1">IFERROR(__xludf.DUMMYFUNCTION("""COMPUTED_VALUE"""),"VAN")</f>
        <v>VAN</v>
      </c>
      <c r="C16" s="26" t="str">
        <f ca="1">IFERROR(__xludf.DUMMYFUNCTION("""COMPUTED_VALUE"""),"rog")</f>
        <v>rog</v>
      </c>
      <c r="D16" s="26" t="str">
        <f ca="1">IFERROR(__xludf.DUMMYFUNCTION("""COMPUTED_VALUE"""),"Huki Hawaii - C")</f>
        <v>Huki Hawaii - C</v>
      </c>
      <c r="E16" t="str">
        <f ca="1">IFERROR(__xludf.DUMMYFUNCTION("""COMPUTED_VALUE"""),"Huki Hawaii")</f>
        <v>Huki Hawaii</v>
      </c>
      <c r="F16" t="str">
        <f ca="1">IFERROR(__xludf.DUMMYFUNCTION("""COMPUTED_VALUE"""),"C")</f>
        <v>C</v>
      </c>
      <c r="G16" t="str">
        <f ca="1">IFERROR(__xludf.DUMMYFUNCTION("""COMPUTED_VALUE"""),"Balanced/Arm")</f>
        <v>Balanced/Arm</v>
      </c>
      <c r="H16">
        <f ca="1">IFERROR(__xludf.DUMMYFUNCTION("""COMPUTED_VALUE"""),844)</f>
        <v>844</v>
      </c>
      <c r="I16" s="99">
        <f ca="1">IFERROR(__xludf.DUMMYFUNCTION("""COMPUTED_VALUE"""),15)</f>
        <v>15</v>
      </c>
      <c r="J16" s="99">
        <f ca="1">IFERROR(__xludf.DUMMYFUNCTION("""COMPUTED_VALUE"""),10)</f>
        <v>10</v>
      </c>
      <c r="K16" s="99">
        <f ca="1">IFERROR(__xludf.DUMMYFUNCTION("""COMPUTED_VALUE"""),10)</f>
        <v>10</v>
      </c>
      <c r="L16" s="99" t="str">
        <f ca="1">IFERROR(__xludf.DUMMYFUNCTION("""COMPUTED_VALUE"""),"")</f>
        <v/>
      </c>
      <c r="M16" s="99" t="str">
        <f ca="1">IFERROR(__xludf.DUMMYFUNCTION("""COMPUTED_VALUE"""),"")</f>
        <v/>
      </c>
      <c r="N16" t="str">
        <f ca="1">IFERROR(__xludf.DUMMYFUNCTION("""COMPUTED_VALUE"""),"")</f>
        <v/>
      </c>
      <c r="O16" t="str">
        <f ca="1">IFERROR(__xludf.DUMMYFUNCTION("""COMPUTED_VALUE"""),"S6")</f>
        <v>S6</v>
      </c>
      <c r="P16">
        <f ca="1">IFERROR(__xludf.DUMMYFUNCTION("""COMPUTED_VALUE"""),2)</f>
        <v>2</v>
      </c>
      <c r="Q16" t="str">
        <f ca="1">IFERROR(__xludf.DUMMYFUNCTION("""COMPUTED_VALUE"""),"S6")</f>
        <v>S6</v>
      </c>
      <c r="R16" t="str">
        <f ca="1">IFERROR(__xludf.DUMMYFUNCTION("""COMPUTED_VALUE"""),"SCS")</f>
        <v>SCS</v>
      </c>
      <c r="S16">
        <f ca="1">IFERROR(__xludf.DUMMYFUNCTION("""COMPUTED_VALUE"""),6)</f>
        <v>6</v>
      </c>
      <c r="T16">
        <f ca="1">IFERROR(__xludf.DUMMYFUNCTION("""COMPUTED_VALUE"""),6)</f>
        <v>6</v>
      </c>
      <c r="U16" t="str">
        <f ca="1">IFERROR(__xludf.DUMMYFUNCTION("""COMPUTED_VALUE"""),"")</f>
        <v/>
      </c>
      <c r="V16" t="str">
        <f ca="1">IFERROR(__xludf.DUMMYFUNCTION("""COMPUTED_VALUE"""),"")</f>
        <v/>
      </c>
      <c r="W16" t="str">
        <f ca="1">IFERROR(__xludf.DUMMYFUNCTION("""COMPUTED_VALUE"""),"")</f>
        <v/>
      </c>
      <c r="X16" t="str">
        <f ca="1">IFERROR(__xludf.DUMMYFUNCTION("""COMPUTED_VALUE"""),"")</f>
        <v/>
      </c>
      <c r="Y16">
        <f ca="1">IFERROR(__xludf.DUMMYFUNCTION("""COMPUTED_VALUE"""),3)</f>
        <v>3</v>
      </c>
    </row>
    <row r="17" spans="1:25" ht="13">
      <c r="A17" s="26" t="str">
        <f ca="1">IFERROR(__xludf.DUMMYFUNCTION("""COMPUTED_VALUE"""),"http://probaseballexperience.jcink.net/index.php?showtopic=1740")</f>
        <v>http://probaseballexperience.jcink.net/index.php?showtopic=1740</v>
      </c>
      <c r="B17" t="str">
        <f ca="1">IFERROR(__xludf.DUMMYFUNCTION("""COMPUTED_VALUE"""),"OBX")</f>
        <v>OBX</v>
      </c>
      <c r="C17" s="26" t="str">
        <f ca="1">IFERROR(__xludf.DUMMYFUNCTION("""COMPUTED_VALUE"""),"ATRDCI")</f>
        <v>ATRDCI</v>
      </c>
      <c r="D17" s="26" t="str">
        <f ca="1">IFERROR(__xludf.DUMMYFUNCTION("""COMPUTED_VALUE"""),"Alvin Enax - CP")</f>
        <v>Alvin Enax - CP</v>
      </c>
      <c r="E17" t="str">
        <f ca="1">IFERROR(__xludf.DUMMYFUNCTION("""COMPUTED_VALUE"""),"Alvin Enax")</f>
        <v>Alvin Enax</v>
      </c>
      <c r="F17" t="str">
        <f ca="1">IFERROR(__xludf.DUMMYFUNCTION("""COMPUTED_VALUE"""),"CL")</f>
        <v>CL</v>
      </c>
      <c r="G17" t="str">
        <f ca="1">IFERROR(__xludf.DUMMYFUNCTION("""COMPUTED_VALUE"""),"Balanced")</f>
        <v>Balanced</v>
      </c>
      <c r="H17">
        <f ca="1">IFERROR(__xludf.DUMMYFUNCTION("""COMPUTED_VALUE"""),336)</f>
        <v>336</v>
      </c>
      <c r="I17" s="99">
        <f ca="1">IFERROR(__xludf.DUMMYFUNCTION("""COMPUTED_VALUE"""),3)</f>
        <v>3</v>
      </c>
      <c r="J17" s="99" t="str">
        <f ca="1">IFERROR(__xludf.DUMMYFUNCTION("""COMPUTED_VALUE"""),"")</f>
        <v/>
      </c>
      <c r="K17" s="99" t="str">
        <f ca="1">IFERROR(__xludf.DUMMYFUNCTION("""COMPUTED_VALUE"""),"")</f>
        <v/>
      </c>
      <c r="L17" s="99" t="str">
        <f ca="1">IFERROR(__xludf.DUMMYFUNCTION("""COMPUTED_VALUE"""),"")</f>
        <v/>
      </c>
      <c r="M17" s="99" t="str">
        <f ca="1">IFERROR(__xludf.DUMMYFUNCTION("""COMPUTED_VALUE"""),"")</f>
        <v/>
      </c>
      <c r="N17" t="str">
        <f ca="1">IFERROR(__xludf.DUMMYFUNCTION("""COMPUTED_VALUE"""),"")</f>
        <v/>
      </c>
      <c r="O17" t="str">
        <f ca="1">IFERROR(__xludf.DUMMYFUNCTION("""COMPUTED_VALUE"""),"S3")</f>
        <v>S3</v>
      </c>
      <c r="P17">
        <f ca="1">IFERROR(__xludf.DUMMYFUNCTION("""COMPUTED_VALUE"""),12)</f>
        <v>12</v>
      </c>
      <c r="Q17" t="str">
        <f ca="1">IFERROR(__xludf.DUMMYFUNCTION("""COMPUTED_VALUE"""),"S3")</f>
        <v>S3</v>
      </c>
      <c r="R17" t="str">
        <f ca="1">IFERROR(__xludf.DUMMYFUNCTION("""COMPUTED_VALUE"""),"")</f>
        <v/>
      </c>
      <c r="S17" t="str">
        <f ca="1">IFERROR(__xludf.DUMMYFUNCTION("""COMPUTED_VALUE"""),"")</f>
        <v/>
      </c>
      <c r="T17" t="str">
        <f ca="1">IFERROR(__xludf.DUMMYFUNCTION("""COMPUTED_VALUE"""),"")</f>
        <v/>
      </c>
      <c r="U17" t="str">
        <f ca="1">IFERROR(__xludf.DUMMYFUNCTION("""COMPUTED_VALUE"""),"")</f>
        <v/>
      </c>
      <c r="V17" t="str">
        <f ca="1">IFERROR(__xludf.DUMMYFUNCTION("""COMPUTED_VALUE"""),"")</f>
        <v/>
      </c>
      <c r="W17">
        <f ca="1">IFERROR(__xludf.DUMMYFUNCTION("""COMPUTED_VALUE"""),8)</f>
        <v>8</v>
      </c>
      <c r="X17">
        <f ca="1">IFERROR(__xludf.DUMMYFUNCTION("""COMPUTED_VALUE"""),2.5)</f>
        <v>2.5</v>
      </c>
      <c r="Y17">
        <f ca="1">IFERROR(__xludf.DUMMYFUNCTION("""COMPUTED_VALUE"""),2.5)</f>
        <v>2.5</v>
      </c>
    </row>
    <row r="18" spans="1:25" ht="13">
      <c r="A18" s="26" t="str">
        <f ca="1">IFERROR(__xludf.DUMMYFUNCTION("""COMPUTED_VALUE"""),"http://probaseballexperience.jcink.net/index.php?showtopic=3764")</f>
        <v>http://probaseballexperience.jcink.net/index.php?showtopic=3764</v>
      </c>
      <c r="B18" t="str">
        <f ca="1">IFERROR(__xludf.DUMMYFUNCTION("""COMPUTED_VALUE"""),"VAN")</f>
        <v>VAN</v>
      </c>
      <c r="C18" s="26" t="str">
        <f ca="1">IFERROR(__xludf.DUMMYFUNCTION("""COMPUTED_VALUE"""),"DeathOnReddit")</f>
        <v>DeathOnReddit</v>
      </c>
      <c r="D18" s="26" t="str">
        <f ca="1">IFERROR(__xludf.DUMMYFUNCTION("""COMPUTED_VALUE"""),"Arbin Asipi Jr - SS")</f>
        <v>Arbin Asipi Jr - SS</v>
      </c>
      <c r="E18" t="str">
        <f ca="1">IFERROR(__xludf.DUMMYFUNCTION("""COMPUTED_VALUE"""),"Arbin Asipi Jr")</f>
        <v>Arbin Asipi Jr</v>
      </c>
      <c r="F18" t="str">
        <f ca="1">IFERROR(__xludf.DUMMYFUNCTION("""COMPUTED_VALUE"""),"SS")</f>
        <v>SS</v>
      </c>
      <c r="G18" t="str">
        <f ca="1">IFERROR(__xludf.DUMMYFUNCTION("""COMPUTED_VALUE"""),"Contact/Quick")</f>
        <v>Contact/Quick</v>
      </c>
      <c r="H18">
        <f ca="1">IFERROR(__xludf.DUMMYFUNCTION("""COMPUTED_VALUE"""),706)</f>
        <v>706</v>
      </c>
      <c r="I18" s="99">
        <f ca="1">IFERROR(__xludf.DUMMYFUNCTION("""COMPUTED_VALUE"""),6)</f>
        <v>6</v>
      </c>
      <c r="J18" s="99">
        <f ca="1">IFERROR(__xludf.DUMMYFUNCTION("""COMPUTED_VALUE"""),11)</f>
        <v>11</v>
      </c>
      <c r="K18" s="99">
        <f ca="1">IFERROR(__xludf.DUMMYFUNCTION("""COMPUTED_VALUE"""),3)</f>
        <v>3</v>
      </c>
      <c r="L18" s="99" t="str">
        <f ca="1">IFERROR(__xludf.DUMMYFUNCTION("""COMPUTED_VALUE"""),"")</f>
        <v/>
      </c>
      <c r="M18" s="99" t="str">
        <f ca="1">IFERROR(__xludf.DUMMYFUNCTION("""COMPUTED_VALUE"""),"")</f>
        <v/>
      </c>
      <c r="N18" t="str">
        <f ca="1">IFERROR(__xludf.DUMMYFUNCTION("""COMPUTED_VALUE"""),"S11 MO")</f>
        <v>S11 MO</v>
      </c>
      <c r="O18" t="str">
        <f ca="1">IFERROR(__xludf.DUMMYFUNCTION("""COMPUTED_VALUE"""),"S8")</f>
        <v>S8</v>
      </c>
      <c r="P18">
        <f ca="1">IFERROR(__xludf.DUMMYFUNCTION("""COMPUTED_VALUE"""),9)</f>
        <v>9</v>
      </c>
      <c r="Q18" t="str">
        <f ca="1">IFERROR(__xludf.DUMMYFUNCTION("""COMPUTED_VALUE"""),"S7")</f>
        <v>S7</v>
      </c>
      <c r="R18" t="str">
        <f ca="1">IFERROR(__xludf.DUMMYFUNCTION("""COMPUTED_VALUE"""),"")</f>
        <v/>
      </c>
      <c r="S18" t="str">
        <f ca="1">IFERROR(__xludf.DUMMYFUNCTION("""COMPUTED_VALUE"""),"")</f>
        <v/>
      </c>
      <c r="T18" t="str">
        <f ca="1">IFERROR(__xludf.DUMMYFUNCTION("""COMPUTED_VALUE"""),"")</f>
        <v/>
      </c>
      <c r="U18" t="str">
        <f ca="1">IFERROR(__xludf.DUMMYFUNCTION("""COMPUTED_VALUE"""),"")</f>
        <v/>
      </c>
      <c r="V18" t="str">
        <f ca="1">IFERROR(__xludf.DUMMYFUNCTION("""COMPUTED_VALUE"""),"")</f>
        <v/>
      </c>
      <c r="W18" t="str">
        <f ca="1">IFERROR(__xludf.DUMMYFUNCTION("""COMPUTED_VALUE"""),"")</f>
        <v/>
      </c>
      <c r="X18" t="str">
        <f ca="1">IFERROR(__xludf.DUMMYFUNCTION("""COMPUTED_VALUE"""),"")</f>
        <v/>
      </c>
      <c r="Y18" t="str">
        <f ca="1">IFERROR(__xludf.DUMMYFUNCTION("""COMPUTED_VALUE"""),"")</f>
        <v/>
      </c>
    </row>
    <row r="19" spans="1:25" ht="13">
      <c r="A19" s="26" t="str">
        <f ca="1">IFERROR(__xludf.DUMMYFUNCTION("""COMPUTED_VALUE"""),"http://probaseballexperience.jcink.net/index.php?showtopic=4072")</f>
        <v>http://probaseballexperience.jcink.net/index.php?showtopic=4072</v>
      </c>
      <c r="B19" t="str">
        <f ca="1">IFERROR(__xludf.DUMMYFUNCTION("""COMPUTED_VALUE"""),"VAN")</f>
        <v>VAN</v>
      </c>
      <c r="C19" s="26" t="str">
        <f ca="1">IFERROR(__xludf.DUMMYFUNCTION("""COMPUTED_VALUE"""),"speculadora")</f>
        <v>speculadora</v>
      </c>
      <c r="D19" t="str">
        <f ca="1">IFERROR(__xludf.DUMMYFUNCTION("""COMPUTED_VALUE"""),"Hunter Harrison - 3B")</f>
        <v>Hunter Harrison - 3B</v>
      </c>
      <c r="E19" t="str">
        <f ca="1">IFERROR(__xludf.DUMMYFUNCTION("""COMPUTED_VALUE"""),"Hunter Harrison")</f>
        <v>Hunter Harrison</v>
      </c>
      <c r="F19" t="str">
        <f ca="1">IFERROR(__xludf.DUMMYFUNCTION("""COMPUTED_VALUE"""),"3B")</f>
        <v>3B</v>
      </c>
      <c r="G19" t="str">
        <f ca="1">IFERROR(__xludf.DUMMYFUNCTION("""COMPUTED_VALUE"""),"Contact/Arm")</f>
        <v>Contact/Arm</v>
      </c>
      <c r="H19">
        <f ca="1">IFERROR(__xludf.DUMMYFUNCTION("""COMPUTED_VALUE"""),780)</f>
        <v>780</v>
      </c>
      <c r="I19" s="99">
        <f ca="1">IFERROR(__xludf.DUMMYFUNCTION("""COMPUTED_VALUE"""),7)</f>
        <v>7</v>
      </c>
      <c r="J19" s="99">
        <f ca="1">IFERROR(__xludf.DUMMYFUNCTION("""COMPUTED_VALUE"""),7.25)</f>
        <v>7.25</v>
      </c>
      <c r="K19" s="99">
        <f ca="1">IFERROR(__xludf.DUMMYFUNCTION("""COMPUTED_VALUE"""),8)</f>
        <v>8</v>
      </c>
      <c r="L19" s="99" t="str">
        <f ca="1">IFERROR(__xludf.DUMMYFUNCTION("""COMPUTED_VALUE"""),"")</f>
        <v/>
      </c>
      <c r="M19" s="99" t="str">
        <f ca="1">IFERROR(__xludf.DUMMYFUNCTION("""COMPUTED_VALUE"""),"")</f>
        <v/>
      </c>
      <c r="N19" t="str">
        <f ca="1">IFERROR(__xludf.DUMMYFUNCTION("""COMPUTED_VALUE"""),"S11 TO")</f>
        <v>S11 TO</v>
      </c>
      <c r="O19" t="str">
        <f ca="1">IFERROR(__xludf.DUMMYFUNCTION("""COMPUTED_VALUE"""),"S8")</f>
        <v>S8</v>
      </c>
      <c r="P19">
        <f ca="1">IFERROR(__xludf.DUMMYFUNCTION("""COMPUTED_VALUE"""),8)</f>
        <v>8</v>
      </c>
      <c r="Q19" t="str">
        <f ca="1">IFERROR(__xludf.DUMMYFUNCTION("""COMPUTED_VALUE"""),"S8")</f>
        <v>S8</v>
      </c>
      <c r="R19" t="str">
        <f ca="1">IFERROR(__xludf.DUMMYFUNCTION("""COMPUTED_VALUE"""),"")</f>
        <v/>
      </c>
      <c r="S19" t="str">
        <f ca="1">IFERROR(__xludf.DUMMYFUNCTION("""COMPUTED_VALUE"""),"")</f>
        <v/>
      </c>
      <c r="T19" t="str">
        <f ca="1">IFERROR(__xludf.DUMMYFUNCTION("""COMPUTED_VALUE"""),"")</f>
        <v/>
      </c>
      <c r="U19" t="str">
        <f ca="1">IFERROR(__xludf.DUMMYFUNCTION("""COMPUTED_VALUE"""),"")</f>
        <v/>
      </c>
      <c r="V19" t="str">
        <f ca="1">IFERROR(__xludf.DUMMYFUNCTION("""COMPUTED_VALUE"""),"")</f>
        <v/>
      </c>
      <c r="W19" t="str">
        <f ca="1">IFERROR(__xludf.DUMMYFUNCTION("""COMPUTED_VALUE"""),"")</f>
        <v/>
      </c>
      <c r="X19" t="str">
        <f ca="1">IFERROR(__xludf.DUMMYFUNCTION("""COMPUTED_VALUE"""),"")</f>
        <v/>
      </c>
      <c r="Y19" t="str">
        <f ca="1">IFERROR(__xludf.DUMMYFUNCTION("""COMPUTED_VALUE"""),"")</f>
        <v/>
      </c>
    </row>
    <row r="20" spans="1:25" ht="13">
      <c r="A20" s="26" t="str">
        <f ca="1">IFERROR(__xludf.DUMMYFUNCTION("""COMPUTED_VALUE"""),"http://probaseballexperience.jcink.net/index.php?showtopic=3539")</f>
        <v>http://probaseballexperience.jcink.net/index.php?showtopic=3539</v>
      </c>
      <c r="B20" t="str">
        <f ca="1">IFERROR(__xludf.DUMMYFUNCTION("""COMPUTED_VALUE"""),"VAN")</f>
        <v>VAN</v>
      </c>
      <c r="C20" s="26" t="str">
        <f ca="1">IFERROR(__xludf.DUMMYFUNCTION("""COMPUTED_VALUE"""),"J.G.10")</f>
        <v>J.G.10</v>
      </c>
      <c r="D20" s="26" t="str">
        <f ca="1">IFERROR(__xludf.DUMMYFUNCTION("""COMPUTED_VALUE"""),"Coreys Brother - SP")</f>
        <v>Coreys Brother - SP</v>
      </c>
      <c r="E20" t="str">
        <f ca="1">IFERROR(__xludf.DUMMYFUNCTION("""COMPUTED_VALUE"""),"Coreys Brother")</f>
        <v>Coreys Brother</v>
      </c>
      <c r="F20" t="str">
        <f ca="1">IFERROR(__xludf.DUMMYFUNCTION("""COMPUTED_VALUE"""),"SP")</f>
        <v>SP</v>
      </c>
      <c r="G20" t="str">
        <f ca="1">IFERROR(__xludf.DUMMYFUNCTION("""COMPUTED_VALUE"""),"Power")</f>
        <v>Power</v>
      </c>
      <c r="H20">
        <f ca="1">IFERROR(__xludf.DUMMYFUNCTION("""COMPUTED_VALUE"""),607)</f>
        <v>607</v>
      </c>
      <c r="I20" s="99">
        <f ca="1">IFERROR(__xludf.DUMMYFUNCTION("""COMPUTED_VALUE"""),5.75)</f>
        <v>5.75</v>
      </c>
      <c r="J20" s="99">
        <f ca="1">IFERROR(__xludf.DUMMYFUNCTION("""COMPUTED_VALUE"""),7.25)</f>
        <v>7.25</v>
      </c>
      <c r="K20" s="99">
        <f ca="1">IFERROR(__xludf.DUMMYFUNCTION("""COMPUTED_VALUE"""),8)</f>
        <v>8</v>
      </c>
      <c r="L20" s="99">
        <f ca="1">IFERROR(__xludf.DUMMYFUNCTION("""COMPUTED_VALUE"""),8.5)</f>
        <v>8.5</v>
      </c>
      <c r="M20" s="99" t="str">
        <f ca="1">IFERROR(__xludf.DUMMYFUNCTION("""COMPUTED_VALUE"""),"")</f>
        <v/>
      </c>
      <c r="N20" s="26" t="str">
        <f ca="1">IFERROR(__xludf.DUMMYFUNCTION("""COMPUTED_VALUE"""),"http://probaseballexperience.jcink.net/index.php?showtopic=5540&amp;st=0&amp;#entry66298")</f>
        <v>http://probaseballexperience.jcink.net/index.php?showtopic=5540&amp;st=0&amp;#entry66298</v>
      </c>
      <c r="O20" t="str">
        <f ca="1">IFERROR(__xludf.DUMMYFUNCTION("""COMPUTED_VALUE"""),"S7")</f>
        <v>S7</v>
      </c>
      <c r="P20">
        <f ca="1">IFERROR(__xludf.DUMMYFUNCTION("""COMPUTED_VALUE"""),3)</f>
        <v>3</v>
      </c>
      <c r="Q20" t="str">
        <f ca="1">IFERROR(__xludf.DUMMYFUNCTION("""COMPUTED_VALUE"""),"S7")</f>
        <v>S7</v>
      </c>
      <c r="R20" t="str">
        <f ca="1">IFERROR(__xludf.DUMMYFUNCTION("""COMPUTED_VALUE"""),"")</f>
        <v/>
      </c>
      <c r="S20" t="str">
        <f ca="1">IFERROR(__xludf.DUMMYFUNCTION("""COMPUTED_VALUE"""),"")</f>
        <v/>
      </c>
      <c r="T20" t="str">
        <f ca="1">IFERROR(__xludf.DUMMYFUNCTION("""COMPUTED_VALUE"""),"")</f>
        <v/>
      </c>
      <c r="U20" t="str">
        <f ca="1">IFERROR(__xludf.DUMMYFUNCTION("""COMPUTED_VALUE"""),"")</f>
        <v/>
      </c>
      <c r="V20" t="str">
        <f ca="1">IFERROR(__xludf.DUMMYFUNCTION("""COMPUTED_VALUE"""),"")</f>
        <v/>
      </c>
      <c r="W20" t="str">
        <f ca="1">IFERROR(__xludf.DUMMYFUNCTION("""COMPUTED_VALUE"""),"")</f>
        <v/>
      </c>
      <c r="X20" t="str">
        <f ca="1">IFERROR(__xludf.DUMMYFUNCTION("""COMPUTED_VALUE"""),"")</f>
        <v/>
      </c>
      <c r="Y20" t="str">
        <f ca="1">IFERROR(__xludf.DUMMYFUNCTION("""COMPUTED_VALUE"""),"")</f>
        <v/>
      </c>
    </row>
    <row r="21" spans="1:25" ht="13">
      <c r="A21" s="26" t="str">
        <f ca="1">IFERROR(__xludf.DUMMYFUNCTION("""COMPUTED_VALUE"""),"http://probaseballexperience.jcink.net/index.php?showtopic=3980")</f>
        <v>http://probaseballexperience.jcink.net/index.php?showtopic=3980</v>
      </c>
      <c r="B21" t="str">
        <f ca="1">IFERROR(__xludf.DUMMYFUNCTION("""COMPUTED_VALUE"""),"VAN")</f>
        <v>VAN</v>
      </c>
      <c r="C21" s="26" t="str">
        <f ca="1">IFERROR(__xludf.DUMMYFUNCTION("""COMPUTED_VALUE"""),"McWolf")</f>
        <v>McWolf</v>
      </c>
      <c r="D21" s="26" t="str">
        <f ca="1">IFERROR(__xludf.DUMMYFUNCTION("""COMPUTED_VALUE"""),"Isidore Fox - CF")</f>
        <v>Isidore Fox - CF</v>
      </c>
      <c r="E21" t="str">
        <f ca="1">IFERROR(__xludf.DUMMYFUNCTION("""COMPUTED_VALUE"""),"Isidore Fox")</f>
        <v>Isidore Fox</v>
      </c>
      <c r="F21" t="str">
        <f ca="1">IFERROR(__xludf.DUMMYFUNCTION("""COMPUTED_VALUE"""),"CF")</f>
        <v>CF</v>
      </c>
      <c r="G21" t="str">
        <f ca="1">IFERROR(__xludf.DUMMYFUNCTION("""COMPUTED_VALUE"""),"Contact/Speedy")</f>
        <v>Contact/Speedy</v>
      </c>
      <c r="H21">
        <f ca="1">IFERROR(__xludf.DUMMYFUNCTION("""COMPUTED_VALUE"""),590)</f>
        <v>590</v>
      </c>
      <c r="I21" s="99">
        <f ca="1">IFERROR(__xludf.DUMMYFUNCTION("""COMPUTED_VALUE"""),5.75)</f>
        <v>5.75</v>
      </c>
      <c r="J21" s="99" t="str">
        <f ca="1">IFERROR(__xludf.DUMMYFUNCTION("""COMPUTED_VALUE"""),"")</f>
        <v/>
      </c>
      <c r="K21" s="99" t="str">
        <f ca="1">IFERROR(__xludf.DUMMYFUNCTION("""COMPUTED_VALUE"""),"")</f>
        <v/>
      </c>
      <c r="L21" s="99" t="str">
        <f ca="1">IFERROR(__xludf.DUMMYFUNCTION("""COMPUTED_VALUE"""),"")</f>
        <v/>
      </c>
      <c r="M21" s="99" t="str">
        <f ca="1">IFERROR(__xludf.DUMMYFUNCTION("""COMPUTED_VALUE"""),"")</f>
        <v/>
      </c>
      <c r="N21" t="str">
        <f ca="1">IFERROR(__xludf.DUMMYFUNCTION("""COMPUTED_VALUE"""),"S10 MO http://probaseballexperience.jcink.net/index.php?showtopic=4215")</f>
        <v>S10 MO http://probaseballexperience.jcink.net/index.php?showtopic=4215</v>
      </c>
      <c r="O21" t="str">
        <f ca="1">IFERROR(__xludf.DUMMYFUNCTION("""COMPUTED_VALUE"""),"S8")</f>
        <v>S8</v>
      </c>
      <c r="P21">
        <f ca="1">IFERROR(__xludf.DUMMYFUNCTION("""COMPUTED_VALUE"""),10)</f>
        <v>10</v>
      </c>
      <c r="Q21" t="str">
        <f ca="1">IFERROR(__xludf.DUMMYFUNCTION("""COMPUTED_VALUE"""),"S8")</f>
        <v>S8</v>
      </c>
      <c r="R21" t="str">
        <f ca="1">IFERROR(__xludf.DUMMYFUNCTION("""COMPUTED_VALUE"""),"")</f>
        <v/>
      </c>
      <c r="S21" t="str">
        <f ca="1">IFERROR(__xludf.DUMMYFUNCTION("""COMPUTED_VALUE"""),"")</f>
        <v/>
      </c>
      <c r="T21" t="str">
        <f ca="1">IFERROR(__xludf.DUMMYFUNCTION("""COMPUTED_VALUE"""),"")</f>
        <v/>
      </c>
      <c r="U21" t="str">
        <f ca="1">IFERROR(__xludf.DUMMYFUNCTION("""COMPUTED_VALUE"""),"")</f>
        <v/>
      </c>
      <c r="V21" t="str">
        <f ca="1">IFERROR(__xludf.DUMMYFUNCTION("""COMPUTED_VALUE"""),"")</f>
        <v/>
      </c>
      <c r="W21" t="str">
        <f ca="1">IFERROR(__xludf.DUMMYFUNCTION("""COMPUTED_VALUE"""),"")</f>
        <v/>
      </c>
      <c r="X21" t="str">
        <f ca="1">IFERROR(__xludf.DUMMYFUNCTION("""COMPUTED_VALUE"""),"")</f>
        <v/>
      </c>
      <c r="Y21" t="str">
        <f ca="1">IFERROR(__xludf.DUMMYFUNCTION("""COMPUTED_VALUE"""),"")</f>
        <v/>
      </c>
    </row>
    <row r="22" spans="1:25" ht="13">
      <c r="A22" t="str">
        <f ca="1">IFERROR(__xludf.DUMMYFUNCTION("""COMPUTED_VALUE"""),"")</f>
        <v/>
      </c>
      <c r="B22" t="str">
        <f ca="1">IFERROR(__xludf.DUMMYFUNCTION("""COMPUTED_VALUE"""),"VAN")</f>
        <v>VAN</v>
      </c>
      <c r="C22" s="26" t="str">
        <f ca="1">IFERROR(__xludf.DUMMYFUNCTION("""COMPUTED_VALUE"""),"maxcrazy")</f>
        <v>maxcrazy</v>
      </c>
      <c r="D22" s="26" t="str">
        <f ca="1">IFERROR(__xludf.DUMMYFUNCTION("""COMPUTED_VALUE"""),"Kyle Bellinger - 2B")</f>
        <v>Kyle Bellinger - 2B</v>
      </c>
      <c r="E22" t="str">
        <f ca="1">IFERROR(__xludf.DUMMYFUNCTION("""COMPUTED_VALUE"""),"Kyle Bellinger")</f>
        <v>Kyle Bellinger</v>
      </c>
      <c r="F22" t="str">
        <f ca="1">IFERROR(__xludf.DUMMYFUNCTION("""COMPUTED_VALUE"""),"2B")</f>
        <v>2B</v>
      </c>
      <c r="G22" t="str">
        <f ca="1">IFERROR(__xludf.DUMMYFUNCTION("""COMPUTED_VALUE"""),"Power/Speedy")</f>
        <v>Power/Speedy</v>
      </c>
      <c r="H22">
        <f ca="1">IFERROR(__xludf.DUMMYFUNCTION("""COMPUTED_VALUE"""),422)</f>
        <v>422</v>
      </c>
      <c r="I22" s="99">
        <f ca="1">IFERROR(__xludf.DUMMYFUNCTION("""COMPUTED_VALUE"""),3)</f>
        <v>3</v>
      </c>
      <c r="J22" s="99">
        <f ca="1">IFERROR(__xludf.DUMMYFUNCTION("""COMPUTED_VALUE"""),3)</f>
        <v>3</v>
      </c>
      <c r="K22" s="99" t="str">
        <f ca="1">IFERROR(__xludf.DUMMYFUNCTION("""COMPUTED_VALUE"""),"")</f>
        <v/>
      </c>
      <c r="L22" s="99" t="str">
        <f ca="1">IFERROR(__xludf.DUMMYFUNCTION("""COMPUTED_VALUE"""),"")</f>
        <v/>
      </c>
      <c r="M22" s="99" t="str">
        <f ca="1">IFERROR(__xludf.DUMMYFUNCTION("""COMPUTED_VALUE"""),"")</f>
        <v/>
      </c>
      <c r="N22" t="str">
        <f ca="1">IFERROR(__xludf.DUMMYFUNCTION("""COMPUTED_VALUE"""),"S12 TO")</f>
        <v>S12 TO</v>
      </c>
      <c r="O22" t="str">
        <f ca="1">IFERROR(__xludf.DUMMYFUNCTION("""COMPUTED_VALUE"""),"S9")</f>
        <v>S9</v>
      </c>
      <c r="P22">
        <f ca="1">IFERROR(__xludf.DUMMYFUNCTION("""COMPUTED_VALUE"""),5)</f>
        <v>5</v>
      </c>
      <c r="Q22" t="str">
        <f ca="1">IFERROR(__xludf.DUMMYFUNCTION("""COMPUTED_VALUE"""),"S9")</f>
        <v>S9</v>
      </c>
      <c r="R22" t="str">
        <f ca="1">IFERROR(__xludf.DUMMYFUNCTION("""COMPUTED_VALUE"""),"")</f>
        <v/>
      </c>
      <c r="S22" t="str">
        <f ca="1">IFERROR(__xludf.DUMMYFUNCTION("""COMPUTED_VALUE"""),"")</f>
        <v/>
      </c>
      <c r="T22" t="str">
        <f ca="1">IFERROR(__xludf.DUMMYFUNCTION("""COMPUTED_VALUE"""),"")</f>
        <v/>
      </c>
      <c r="U22" t="str">
        <f ca="1">IFERROR(__xludf.DUMMYFUNCTION("""COMPUTED_VALUE"""),"")</f>
        <v/>
      </c>
      <c r="V22" t="str">
        <f ca="1">IFERROR(__xludf.DUMMYFUNCTION("""COMPUTED_VALUE"""),"")</f>
        <v/>
      </c>
      <c r="W22" t="str">
        <f ca="1">IFERROR(__xludf.DUMMYFUNCTION("""COMPUTED_VALUE"""),"")</f>
        <v/>
      </c>
      <c r="X22" t="str">
        <f ca="1">IFERROR(__xludf.DUMMYFUNCTION("""COMPUTED_VALUE"""),"")</f>
        <v/>
      </c>
      <c r="Y22" t="str">
        <f ca="1">IFERROR(__xludf.DUMMYFUNCTION("""COMPUTED_VALUE"""),"")</f>
        <v/>
      </c>
    </row>
    <row r="23" spans="1:25" ht="13">
      <c r="A23" t="str">
        <f ca="1">IFERROR(__xludf.DUMMYFUNCTION("""COMPUTED_VALUE"""),"")</f>
        <v/>
      </c>
      <c r="B23" t="str">
        <f ca="1">IFERROR(__xludf.DUMMYFUNCTION("""COMPUTED_VALUE"""),"VAN")</f>
        <v>VAN</v>
      </c>
      <c r="C23" s="26" t="str">
        <f ca="1">IFERROR(__xludf.DUMMYFUNCTION("""COMPUTED_VALUE"""),"dieselj123")</f>
        <v>dieselj123</v>
      </c>
      <c r="D23" s="26" t="str">
        <f ca="1">IFERROR(__xludf.DUMMYFUNCTION("""COMPUTED_VALUE"""),"Peter Dawson - SP")</f>
        <v>Peter Dawson - SP</v>
      </c>
      <c r="E23" t="str">
        <f ca="1">IFERROR(__xludf.DUMMYFUNCTION("""COMPUTED_VALUE"""),"Peter Dawson")</f>
        <v>Peter Dawson</v>
      </c>
      <c r="F23" t="str">
        <f ca="1">IFERROR(__xludf.DUMMYFUNCTION("""COMPUTED_VALUE"""),"SP")</f>
        <v>SP</v>
      </c>
      <c r="G23" t="str">
        <f ca="1">IFERROR(__xludf.DUMMYFUNCTION("""COMPUTED_VALUE"""),"Balanced")</f>
        <v>Balanced</v>
      </c>
      <c r="H23">
        <f ca="1">IFERROR(__xludf.DUMMYFUNCTION("""COMPUTED_VALUE"""),505)</f>
        <v>505</v>
      </c>
      <c r="I23" s="99">
        <f ca="1">IFERROR(__xludf.DUMMYFUNCTION("""COMPUTED_VALUE"""),3)</f>
        <v>3</v>
      </c>
      <c r="J23" s="99">
        <f ca="1">IFERROR(__xludf.DUMMYFUNCTION("""COMPUTED_VALUE"""),5.75)</f>
        <v>5.75</v>
      </c>
      <c r="K23" s="99">
        <f ca="1">IFERROR(__xludf.DUMMYFUNCTION("""COMPUTED_VALUE"""),6.5)</f>
        <v>6.5</v>
      </c>
      <c r="L23" s="99" t="str">
        <f ca="1">IFERROR(__xludf.DUMMYFUNCTION("""COMPUTED_VALUE"""),"")</f>
        <v/>
      </c>
      <c r="M23" s="99" t="str">
        <f ca="1">IFERROR(__xludf.DUMMYFUNCTION("""COMPUTED_VALUE"""),"")</f>
        <v/>
      </c>
      <c r="N23" t="str">
        <f ca="1">IFERROR(__xludf.DUMMYFUNCTION("""COMPUTED_VALUE"""),"S11 TO")</f>
        <v>S11 TO</v>
      </c>
      <c r="O23" t="str">
        <f ca="1">IFERROR(__xludf.DUMMYFUNCTION("""COMPUTED_VALUE"""),"S9")</f>
        <v>S9</v>
      </c>
      <c r="P23">
        <f ca="1">IFERROR(__xludf.DUMMYFUNCTION("""COMPUTED_VALUE"""),6)</f>
        <v>6</v>
      </c>
      <c r="Q23" t="str">
        <f ca="1">IFERROR(__xludf.DUMMYFUNCTION("""COMPUTED_VALUE"""),"S9")</f>
        <v>S9</v>
      </c>
      <c r="R23" t="str">
        <f ca="1">IFERROR(__xludf.DUMMYFUNCTION("""COMPUTED_VALUE"""),"")</f>
        <v/>
      </c>
      <c r="S23" t="str">
        <f ca="1">IFERROR(__xludf.DUMMYFUNCTION("""COMPUTED_VALUE"""),"")</f>
        <v/>
      </c>
      <c r="T23" t="str">
        <f ca="1">IFERROR(__xludf.DUMMYFUNCTION("""COMPUTED_VALUE"""),"")</f>
        <v/>
      </c>
      <c r="U23" t="str">
        <f ca="1">IFERROR(__xludf.DUMMYFUNCTION("""COMPUTED_VALUE"""),"")</f>
        <v/>
      </c>
      <c r="V23" t="str">
        <f ca="1">IFERROR(__xludf.DUMMYFUNCTION("""COMPUTED_VALUE"""),"")</f>
        <v/>
      </c>
      <c r="W23" t="str">
        <f ca="1">IFERROR(__xludf.DUMMYFUNCTION("""COMPUTED_VALUE"""),"")</f>
        <v/>
      </c>
      <c r="X23" t="str">
        <f ca="1">IFERROR(__xludf.DUMMYFUNCTION("""COMPUTED_VALUE"""),"")</f>
        <v/>
      </c>
      <c r="Y23" t="str">
        <f ca="1">IFERROR(__xludf.DUMMYFUNCTION("""COMPUTED_VALUE"""),"")</f>
        <v/>
      </c>
    </row>
    <row r="24" spans="1:25" ht="13">
      <c r="A24" t="str">
        <f ca="1">IFERROR(__xludf.DUMMYFUNCTION("""COMPUTED_VALUE"""),"")</f>
        <v/>
      </c>
      <c r="B24" t="str">
        <f ca="1">IFERROR(__xludf.DUMMYFUNCTION("""COMPUTED_VALUE"""),"VAN")</f>
        <v>VAN</v>
      </c>
      <c r="C24" s="26" t="str">
        <f ca="1">IFERROR(__xludf.DUMMYFUNCTION("""COMPUTED_VALUE"""),"Wkdfire53")</f>
        <v>Wkdfire53</v>
      </c>
      <c r="D24" s="26" t="str">
        <f ca="1">IFERROR(__xludf.DUMMYFUNCTION("""COMPUTED_VALUE"""),"Hendrix Lamar - C")</f>
        <v>Hendrix Lamar - C</v>
      </c>
      <c r="E24" t="str">
        <f ca="1">IFERROR(__xludf.DUMMYFUNCTION("""COMPUTED_VALUE"""),"Hendrix Lamar")</f>
        <v>Hendrix Lamar</v>
      </c>
      <c r="F24" t="str">
        <f ca="1">IFERROR(__xludf.DUMMYFUNCTION("""COMPUTED_VALUE"""),"C")</f>
        <v>C</v>
      </c>
      <c r="G24" t="str">
        <f ca="1">IFERROR(__xludf.DUMMYFUNCTION("""COMPUTED_VALUE"""),"Contact/Arm")</f>
        <v>Contact/Arm</v>
      </c>
      <c r="H24">
        <f ca="1">IFERROR(__xludf.DUMMYFUNCTION("""COMPUTED_VALUE"""),474)</f>
        <v>474</v>
      </c>
      <c r="I24" s="99">
        <f ca="1">IFERROR(__xludf.DUMMYFUNCTION("""COMPUTED_VALUE"""),2)</f>
        <v>2</v>
      </c>
      <c r="J24" s="99">
        <f ca="1">IFERROR(__xludf.DUMMYFUNCTION("""COMPUTED_VALUE"""),2)</f>
        <v>2</v>
      </c>
      <c r="K24" s="99" t="str">
        <f ca="1">IFERROR(__xludf.DUMMYFUNCTION("""COMPUTED_VALUE"""),"")</f>
        <v/>
      </c>
      <c r="L24" s="99" t="str">
        <f ca="1">IFERROR(__xludf.DUMMYFUNCTION("""COMPUTED_VALUE"""),"")</f>
        <v/>
      </c>
      <c r="M24" s="99" t="str">
        <f ca="1">IFERROR(__xludf.DUMMYFUNCTION("""COMPUTED_VALUE"""),"")</f>
        <v/>
      </c>
      <c r="N24" t="str">
        <f ca="1">IFERROR(__xludf.DUMMYFUNCTION("""COMPUTED_VALUE"""),"S12 TO")</f>
        <v>S12 TO</v>
      </c>
      <c r="O24" t="str">
        <f ca="1">IFERROR(__xludf.DUMMYFUNCTION("""COMPUTED_VALUE"""),"S9")</f>
        <v>S9</v>
      </c>
      <c r="P24">
        <f ca="1">IFERROR(__xludf.DUMMYFUNCTION("""COMPUTED_VALUE"""),27)</f>
        <v>27</v>
      </c>
      <c r="Q24" t="str">
        <f ca="1">IFERROR(__xludf.DUMMYFUNCTION("""COMPUTED_VALUE"""),"S9")</f>
        <v>S9</v>
      </c>
      <c r="R24" t="str">
        <f ca="1">IFERROR(__xludf.DUMMYFUNCTION("""COMPUTED_VALUE"""),"")</f>
        <v/>
      </c>
      <c r="S24" t="str">
        <f ca="1">IFERROR(__xludf.DUMMYFUNCTION("""COMPUTED_VALUE"""),"")</f>
        <v/>
      </c>
      <c r="T24" t="str">
        <f ca="1">IFERROR(__xludf.DUMMYFUNCTION("""COMPUTED_VALUE"""),"")</f>
        <v/>
      </c>
      <c r="U24" t="str">
        <f ca="1">IFERROR(__xludf.DUMMYFUNCTION("""COMPUTED_VALUE"""),"")</f>
        <v/>
      </c>
      <c r="V24" t="str">
        <f ca="1">IFERROR(__xludf.DUMMYFUNCTION("""COMPUTED_VALUE"""),"")</f>
        <v/>
      </c>
      <c r="W24" t="str">
        <f ca="1">IFERROR(__xludf.DUMMYFUNCTION("""COMPUTED_VALUE"""),"")</f>
        <v/>
      </c>
      <c r="X24" t="str">
        <f ca="1">IFERROR(__xludf.DUMMYFUNCTION("""COMPUTED_VALUE"""),"")</f>
        <v/>
      </c>
      <c r="Y24" t="str">
        <f ca="1">IFERROR(__xludf.DUMMYFUNCTION("""COMPUTED_VALUE"""),"")</f>
        <v/>
      </c>
    </row>
    <row r="25" spans="1:25" ht="13">
      <c r="A25" t="str">
        <f ca="1">IFERROR(__xludf.DUMMYFUNCTION("""COMPUTED_VALUE"""),"")</f>
        <v/>
      </c>
      <c r="B25" t="str">
        <f ca="1">IFERROR(__xludf.DUMMYFUNCTION("""COMPUTED_VALUE"""),"VAN")</f>
        <v>VAN</v>
      </c>
      <c r="C25" s="26" t="str">
        <f ca="1">IFERROR(__xludf.DUMMYFUNCTION("""COMPUTED_VALUE"""),"uncleleo'skomrade")</f>
        <v>uncleleo'skomrade</v>
      </c>
      <c r="D25" s="26" t="str">
        <f ca="1">IFERROR(__xludf.DUMMYFUNCTION("""COMPUTED_VALUE"""),"Leo Komarov - CL")</f>
        <v>Leo Komarov - CL</v>
      </c>
      <c r="E25" t="str">
        <f ca="1">IFERROR(__xludf.DUMMYFUNCTION("""COMPUTED_VALUE"""),"Leo Komarov")</f>
        <v>Leo Komarov</v>
      </c>
      <c r="F25" t="str">
        <f ca="1">IFERROR(__xludf.DUMMYFUNCTION("""COMPUTED_VALUE"""),"CL")</f>
        <v>CL</v>
      </c>
      <c r="G25" t="str">
        <f ca="1">IFERROR(__xludf.DUMMYFUNCTION("""COMPUTED_VALUE"""),"MR/LR")</f>
        <v>MR/LR</v>
      </c>
      <c r="H25">
        <f ca="1">IFERROR(__xludf.DUMMYFUNCTION("""COMPUTED_VALUE"""),348)</f>
        <v>348</v>
      </c>
      <c r="I25" s="99">
        <f ca="1">IFERROR(__xludf.DUMMYFUNCTION("""COMPUTED_VALUE"""),2)</f>
        <v>2</v>
      </c>
      <c r="J25" s="99">
        <f ca="1">IFERROR(__xludf.DUMMYFUNCTION("""COMPUTED_VALUE"""),2)</f>
        <v>2</v>
      </c>
      <c r="K25" s="99" t="str">
        <f ca="1">IFERROR(__xludf.DUMMYFUNCTION("""COMPUTED_VALUE"""),"")</f>
        <v/>
      </c>
      <c r="L25" s="99" t="str">
        <f ca="1">IFERROR(__xludf.DUMMYFUNCTION("""COMPUTED_VALUE"""),"")</f>
        <v/>
      </c>
      <c r="M25" s="99" t="str">
        <f ca="1">IFERROR(__xludf.DUMMYFUNCTION("""COMPUTED_VALUE"""),"")</f>
        <v/>
      </c>
      <c r="N25" t="str">
        <f ca="1">IFERROR(__xludf.DUMMYFUNCTION("""COMPUTED_VALUE"""),"S12 TO")</f>
        <v>S12 TO</v>
      </c>
      <c r="O25" t="str">
        <f ca="1">IFERROR(__xludf.DUMMYFUNCTION("""COMPUTED_VALUE"""),"S9")</f>
        <v>S9</v>
      </c>
      <c r="P25">
        <f ca="1">IFERROR(__xludf.DUMMYFUNCTION("""COMPUTED_VALUE"""),16)</f>
        <v>16</v>
      </c>
      <c r="Q25" t="str">
        <f ca="1">IFERROR(__xludf.DUMMYFUNCTION("""COMPUTED_VALUE"""),"S9")</f>
        <v>S9</v>
      </c>
      <c r="R25" t="str">
        <f ca="1">IFERROR(__xludf.DUMMYFUNCTION("""COMPUTED_VALUE"""),"")</f>
        <v/>
      </c>
      <c r="S25" t="str">
        <f ca="1">IFERROR(__xludf.DUMMYFUNCTION("""COMPUTED_VALUE"""),"")</f>
        <v/>
      </c>
      <c r="T25" t="str">
        <f ca="1">IFERROR(__xludf.DUMMYFUNCTION("""COMPUTED_VALUE"""),"")</f>
        <v/>
      </c>
      <c r="U25" t="str">
        <f ca="1">IFERROR(__xludf.DUMMYFUNCTION("""COMPUTED_VALUE"""),"")</f>
        <v/>
      </c>
      <c r="V25" t="str">
        <f ca="1">IFERROR(__xludf.DUMMYFUNCTION("""COMPUTED_VALUE"""),"")</f>
        <v/>
      </c>
      <c r="W25" t="str">
        <f ca="1">IFERROR(__xludf.DUMMYFUNCTION("""COMPUTED_VALUE"""),"")</f>
        <v/>
      </c>
      <c r="X25" t="str">
        <f ca="1">IFERROR(__xludf.DUMMYFUNCTION("""COMPUTED_VALUE"""),"")</f>
        <v/>
      </c>
      <c r="Y25" t="str">
        <f ca="1">IFERROR(__xludf.DUMMYFUNCTION("""COMPUTED_VALUE"""),"")</f>
        <v/>
      </c>
    </row>
    <row r="26" spans="1:25" ht="13">
      <c r="A26" t="str">
        <f ca="1">IFERROR(__xludf.DUMMYFUNCTION("""COMPUTED_VALUE"""),"")</f>
        <v/>
      </c>
      <c r="B26" t="str">
        <f ca="1">IFERROR(__xludf.DUMMYFUNCTION("""COMPUTED_VALUE"""),"VAN")</f>
        <v>VAN</v>
      </c>
      <c r="C26" s="26" t="str">
        <f ca="1">IFERROR(__xludf.DUMMYFUNCTION("""COMPUTED_VALUE"""),"HubDogg")</f>
        <v>HubDogg</v>
      </c>
      <c r="D26" s="26" t="str">
        <f ca="1">IFERROR(__xludf.DUMMYFUNCTION("""COMPUTED_VALUE"""),"Dafydd Davies - SP")</f>
        <v>Dafydd Davies - SP</v>
      </c>
      <c r="E26" t="str">
        <f ca="1">IFERROR(__xludf.DUMMYFUNCTION("""COMPUTED_VALUE"""),"Dafydd Davies")</f>
        <v>Dafydd Davies</v>
      </c>
      <c r="F26" t="str">
        <f ca="1">IFERROR(__xludf.DUMMYFUNCTION("""COMPUTED_VALUE"""),"SP")</f>
        <v>SP</v>
      </c>
      <c r="G26" t="str">
        <f ca="1">IFERROR(__xludf.DUMMYFUNCTION("""COMPUTED_VALUE"""),"Balanced")</f>
        <v>Balanced</v>
      </c>
      <c r="H26">
        <f ca="1">IFERROR(__xludf.DUMMYFUNCTION("""COMPUTED_VALUE"""),298)</f>
        <v>298</v>
      </c>
      <c r="I26" s="99">
        <f ca="1">IFERROR(__xludf.DUMMYFUNCTION("""COMPUTED_VALUE"""),3)</f>
        <v>3</v>
      </c>
      <c r="J26" s="99">
        <f ca="1">IFERROR(__xludf.DUMMYFUNCTION("""COMPUTED_VALUE"""),3)</f>
        <v>3</v>
      </c>
      <c r="K26" s="99" t="str">
        <f ca="1">IFERROR(__xludf.DUMMYFUNCTION("""COMPUTED_VALUE"""),"")</f>
        <v/>
      </c>
      <c r="L26" s="99" t="str">
        <f ca="1">IFERROR(__xludf.DUMMYFUNCTION("""COMPUTED_VALUE"""),"")</f>
        <v/>
      </c>
      <c r="M26" s="99" t="str">
        <f ca="1">IFERROR(__xludf.DUMMYFUNCTION("""COMPUTED_VALUE"""),"")</f>
        <v/>
      </c>
      <c r="N26" t="str">
        <f ca="1">IFERROR(__xludf.DUMMYFUNCTION("""COMPUTED_VALUE"""),"S12 TO")</f>
        <v>S12 TO</v>
      </c>
      <c r="O26" t="str">
        <f ca="1">IFERROR(__xludf.DUMMYFUNCTION("""COMPUTED_VALUE"""),"S9")</f>
        <v>S9</v>
      </c>
      <c r="P26">
        <f ca="1">IFERROR(__xludf.DUMMYFUNCTION("""COMPUTED_VALUE"""),10)</f>
        <v>10</v>
      </c>
      <c r="Q26" t="str">
        <f ca="1">IFERROR(__xludf.DUMMYFUNCTION("""COMPUTED_VALUE"""),"S9")</f>
        <v>S9</v>
      </c>
      <c r="R26" t="str">
        <f ca="1">IFERROR(__xludf.DUMMYFUNCTION("""COMPUTED_VALUE"""),"")</f>
        <v/>
      </c>
      <c r="S26" t="str">
        <f ca="1">IFERROR(__xludf.DUMMYFUNCTION("""COMPUTED_VALUE"""),"")</f>
        <v/>
      </c>
      <c r="T26" t="str">
        <f ca="1">IFERROR(__xludf.DUMMYFUNCTION("""COMPUTED_VALUE"""),"")</f>
        <v/>
      </c>
      <c r="U26" t="str">
        <f ca="1">IFERROR(__xludf.DUMMYFUNCTION("""COMPUTED_VALUE"""),"")</f>
        <v/>
      </c>
      <c r="V26" t="str">
        <f ca="1">IFERROR(__xludf.DUMMYFUNCTION("""COMPUTED_VALUE"""),"")</f>
        <v/>
      </c>
      <c r="W26" t="str">
        <f ca="1">IFERROR(__xludf.DUMMYFUNCTION("""COMPUTED_VALUE"""),"")</f>
        <v/>
      </c>
      <c r="X26" t="str">
        <f ca="1">IFERROR(__xludf.DUMMYFUNCTION("""COMPUTED_VALUE"""),"")</f>
        <v/>
      </c>
      <c r="Y26" t="str">
        <f ca="1">IFERROR(__xludf.DUMMYFUNCTION("""COMPUTED_VALUE"""),"")</f>
        <v/>
      </c>
    </row>
    <row r="27" spans="1:25" ht="13">
      <c r="A27" s="26" t="str">
        <f ca="1">IFERROR(__xludf.DUMMYFUNCTION("""COMPUTED_VALUE"""),"http://probaseballexperience.jcink.net/index.php?showtopic=3601")</f>
        <v>http://probaseballexperience.jcink.net/index.php?showtopic=3601</v>
      </c>
      <c r="B27" t="str">
        <f ca="1">IFERROR(__xludf.DUMMYFUNCTION("""COMPUTED_VALUE"""),"VAN")</f>
        <v>VAN</v>
      </c>
      <c r="C27" s="26" t="str">
        <f ca="1">IFERROR(__xludf.DUMMYFUNCTION("""COMPUTED_VALUE"""),"enigmatic")</f>
        <v>enigmatic</v>
      </c>
      <c r="D27" s="26" t="str">
        <f ca="1">IFERROR(__xludf.DUMMYFUNCTION("""COMPUTED_VALUE"""),"Kosuke Yamauchi - SP")</f>
        <v>Kosuke Yamauchi - SP</v>
      </c>
      <c r="E27" t="str">
        <f ca="1">IFERROR(__xludf.DUMMYFUNCTION("""COMPUTED_VALUE"""),"Kosuke Yamauchi")</f>
        <v>Kosuke Yamauchi</v>
      </c>
      <c r="F27" t="str">
        <f ca="1">IFERROR(__xludf.DUMMYFUNCTION("""COMPUTED_VALUE"""),"SP")</f>
        <v>SP</v>
      </c>
      <c r="G27" t="str">
        <f ca="1">IFERROR(__xludf.DUMMYFUNCTION("""COMPUTED_VALUE"""),"Power")</f>
        <v>Power</v>
      </c>
      <c r="H27">
        <f ca="1">IFERROR(__xludf.DUMMYFUNCTION("""COMPUTED_VALUE"""),272)</f>
        <v>272</v>
      </c>
      <c r="I27" s="99">
        <f ca="1">IFERROR(__xludf.DUMMYFUNCTION("""COMPUTED_VALUE"""),2)</f>
        <v>2</v>
      </c>
      <c r="J27" s="99">
        <f ca="1">IFERROR(__xludf.DUMMYFUNCTION("""COMPUTED_VALUE"""),2)</f>
        <v>2</v>
      </c>
      <c r="K27" s="99" t="str">
        <f ca="1">IFERROR(__xludf.DUMMYFUNCTION("""COMPUTED_VALUE"""),"")</f>
        <v/>
      </c>
      <c r="L27" s="99" t="str">
        <f ca="1">IFERROR(__xludf.DUMMYFUNCTION("""COMPUTED_VALUE"""),"")</f>
        <v/>
      </c>
      <c r="M27" s="99" t="str">
        <f ca="1">IFERROR(__xludf.DUMMYFUNCTION("""COMPUTED_VALUE"""),"")</f>
        <v/>
      </c>
      <c r="N27" t="str">
        <f ca="1">IFERROR(__xludf.DUMMYFUNCTION("""COMPUTED_VALUE"""),"S10 MO")</f>
        <v>S10 MO</v>
      </c>
      <c r="O27" t="str">
        <f ca="1">IFERROR(__xludf.DUMMYFUNCTION("""COMPUTED_VALUE"""),"S7")</f>
        <v>S7</v>
      </c>
      <c r="P27">
        <f ca="1">IFERROR(__xludf.DUMMYFUNCTION("""COMPUTED_VALUE"""),8)</f>
        <v>8</v>
      </c>
      <c r="Q27" t="str">
        <f ca="1">IFERROR(__xludf.DUMMYFUNCTION("""COMPUTED_VALUE"""),"S7")</f>
        <v>S7</v>
      </c>
      <c r="R27" t="str">
        <f ca="1">IFERROR(__xludf.DUMMYFUNCTION("""COMPUTED_VALUE"""),"")</f>
        <v/>
      </c>
      <c r="S27" t="str">
        <f ca="1">IFERROR(__xludf.DUMMYFUNCTION("""COMPUTED_VALUE"""),"")</f>
        <v/>
      </c>
      <c r="T27" t="str">
        <f ca="1">IFERROR(__xludf.DUMMYFUNCTION("""COMPUTED_VALUE"""),"")</f>
        <v/>
      </c>
      <c r="U27" t="str">
        <f ca="1">IFERROR(__xludf.DUMMYFUNCTION("""COMPUTED_VALUE"""),"")</f>
        <v/>
      </c>
      <c r="V27" t="str">
        <f ca="1">IFERROR(__xludf.DUMMYFUNCTION("""COMPUTED_VALUE"""),"")</f>
        <v/>
      </c>
      <c r="W27" t="str">
        <f ca="1">IFERROR(__xludf.DUMMYFUNCTION("""COMPUTED_VALUE"""),"")</f>
        <v/>
      </c>
      <c r="X27" t="str">
        <f ca="1">IFERROR(__xludf.DUMMYFUNCTION("""COMPUTED_VALUE"""),"")</f>
        <v/>
      </c>
      <c r="Y27" t="str">
        <f ca="1">IFERROR(__xludf.DUMMYFUNCTION("""COMPUTED_VALUE"""),"")</f>
        <v/>
      </c>
    </row>
    <row r="28" spans="1:25" ht="13">
      <c r="A28" t="str">
        <f ca="1">IFERROR(__xludf.DUMMYFUNCTION("""COMPUTED_VALUE"""),"")</f>
        <v/>
      </c>
      <c r="B28" t="str">
        <f ca="1">IFERROR(__xludf.DUMMYFUNCTION("""COMPUTED_VALUE"""),"VAN")</f>
        <v>VAN</v>
      </c>
      <c r="C28" s="26" t="str">
        <f ca="1">IFERROR(__xludf.DUMMYFUNCTION("""COMPUTED_VALUE"""),"Mashtaters")</f>
        <v>Mashtaters</v>
      </c>
      <c r="D28" s="26" t="str">
        <f ca="1">IFERROR(__xludf.DUMMYFUNCTION("""COMPUTED_VALUE"""),"Theodore Crunkleton - SS")</f>
        <v>Theodore Crunkleton - SS</v>
      </c>
      <c r="E28" t="str">
        <f ca="1">IFERROR(__xludf.DUMMYFUNCTION("""COMPUTED_VALUE"""),"Theodore Crunkleton")</f>
        <v>Theodore Crunkleton</v>
      </c>
      <c r="F28" t="str">
        <f ca="1">IFERROR(__xludf.DUMMYFUNCTION("""COMPUTED_VALUE"""),"SS")</f>
        <v>SS</v>
      </c>
      <c r="G28" t="str">
        <f ca="1">IFERROR(__xludf.DUMMYFUNCTION("""COMPUTED_VALUE"""),"Balanced/Speedy")</f>
        <v>Balanced/Speedy</v>
      </c>
      <c r="H28">
        <f ca="1">IFERROR(__xludf.DUMMYFUNCTION("""COMPUTED_VALUE"""),371)</f>
        <v>371</v>
      </c>
      <c r="I28" s="99">
        <f ca="1">IFERROR(__xludf.DUMMYFUNCTION("""COMPUTED_VALUE"""),5)</f>
        <v>5</v>
      </c>
      <c r="J28" s="99">
        <f ca="1">IFERROR(__xludf.DUMMYFUNCTION("""COMPUTED_VALUE"""),5)</f>
        <v>5</v>
      </c>
      <c r="K28" s="99">
        <f ca="1">IFERROR(__xludf.DUMMYFUNCTION("""COMPUTED_VALUE"""),5)</f>
        <v>5</v>
      </c>
      <c r="L28" t="str">
        <f ca="1">IFERROR(__xludf.DUMMYFUNCTION("""COMPUTED_VALUE"""),"")</f>
        <v/>
      </c>
      <c r="M28" t="str">
        <f ca="1">IFERROR(__xludf.DUMMYFUNCTION("""COMPUTED_VALUE"""),"")</f>
        <v/>
      </c>
      <c r="N28" t="str">
        <f ca="1">IFERROR(__xludf.DUMMYFUNCTION("""COMPUTED_VALUE"""),"")</f>
        <v/>
      </c>
      <c r="O28" t="str">
        <f ca="1">IFERROR(__xludf.DUMMYFUNCTION("""COMPUTED_VALUE"""),"S10")</f>
        <v>S10</v>
      </c>
      <c r="P28">
        <f ca="1">IFERROR(__xludf.DUMMYFUNCTION("""COMPUTED_VALUE"""),8)</f>
        <v>8</v>
      </c>
      <c r="Q28" t="str">
        <f ca="1">IFERROR(__xludf.DUMMYFUNCTION("""COMPUTED_VALUE"""),"S9")</f>
        <v>S9</v>
      </c>
      <c r="R28" t="str">
        <f ca="1">IFERROR(__xludf.DUMMYFUNCTION("""COMPUTED_VALUE"""),"")</f>
        <v/>
      </c>
      <c r="S28" t="str">
        <f ca="1">IFERROR(__xludf.DUMMYFUNCTION("""COMPUTED_VALUE"""),"")</f>
        <v/>
      </c>
      <c r="T28" t="str">
        <f ca="1">IFERROR(__xludf.DUMMYFUNCTION("""COMPUTED_VALUE"""),"")</f>
        <v/>
      </c>
      <c r="U28" t="str">
        <f ca="1">IFERROR(__xludf.DUMMYFUNCTION("""COMPUTED_VALUE"""),"")</f>
        <v/>
      </c>
      <c r="V28" t="str">
        <f ca="1">IFERROR(__xludf.DUMMYFUNCTION("""COMPUTED_VALUE"""),"")</f>
        <v/>
      </c>
      <c r="W28" t="str">
        <f ca="1">IFERROR(__xludf.DUMMYFUNCTION("""COMPUTED_VALUE"""),"")</f>
        <v/>
      </c>
      <c r="X28" t="str">
        <f ca="1">IFERROR(__xludf.DUMMYFUNCTION("""COMPUTED_VALUE"""),"")</f>
        <v/>
      </c>
      <c r="Y28" t="str">
        <f ca="1">IFERROR(__xludf.DUMMYFUNCTION("""COMPUTED_VALUE"""),"")</f>
        <v/>
      </c>
    </row>
    <row r="29" spans="1:25" ht="13">
      <c r="A29" t="str">
        <f ca="1">IFERROR(__xludf.DUMMYFUNCTION("""COMPUTED_VALUE"""),"")</f>
        <v/>
      </c>
      <c r="B29" t="str">
        <f ca="1">IFERROR(__xludf.DUMMYFUNCTION("""COMPUTED_VALUE"""),"VAN")</f>
        <v>VAN</v>
      </c>
      <c r="C29" s="26" t="str">
        <f ca="1">IFERROR(__xludf.DUMMYFUNCTION("""COMPUTED_VALUE"""),"Blueline Naptime")</f>
        <v>Blueline Naptime</v>
      </c>
      <c r="D29" s="26" t="str">
        <f ca="1">IFERROR(__xludf.DUMMYFUNCTION("""COMPUTED_VALUE"""),"Blu Line - CL")</f>
        <v>Blu Line - CL</v>
      </c>
      <c r="E29" t="str">
        <f ca="1">IFERROR(__xludf.DUMMYFUNCTION("""COMPUTED_VALUE"""),"Blu Line")</f>
        <v>Blu Line</v>
      </c>
      <c r="F29" t="str">
        <f ca="1">IFERROR(__xludf.DUMMYFUNCTION("""COMPUTED_VALUE"""),"CL")</f>
        <v>CL</v>
      </c>
      <c r="G29" t="str">
        <f ca="1">IFERROR(__xludf.DUMMYFUNCTION("""COMPUTED_VALUE"""),"Balanced")</f>
        <v>Balanced</v>
      </c>
      <c r="H29">
        <f ca="1">IFERROR(__xludf.DUMMYFUNCTION("""COMPUTED_VALUE"""),380)</f>
        <v>380</v>
      </c>
      <c r="I29" s="99">
        <f ca="1">IFERROR(__xludf.DUMMYFUNCTION("""COMPUTED_VALUE"""),5)</f>
        <v>5</v>
      </c>
      <c r="J29" s="99">
        <f ca="1">IFERROR(__xludf.DUMMYFUNCTION("""COMPUTED_VALUE"""),5)</f>
        <v>5</v>
      </c>
      <c r="K29" s="99">
        <f ca="1">IFERROR(__xludf.DUMMYFUNCTION("""COMPUTED_VALUE"""),5)</f>
        <v>5</v>
      </c>
      <c r="L29" t="str">
        <f ca="1">IFERROR(__xludf.DUMMYFUNCTION("""COMPUTED_VALUE"""),"")</f>
        <v/>
      </c>
      <c r="M29" t="str">
        <f ca="1">IFERROR(__xludf.DUMMYFUNCTION("""COMPUTED_VALUE"""),"")</f>
        <v/>
      </c>
      <c r="N29" t="str">
        <f ca="1">IFERROR(__xludf.DUMMYFUNCTION("""COMPUTED_VALUE"""),"")</f>
        <v/>
      </c>
      <c r="O29" t="str">
        <f ca="1">IFERROR(__xludf.DUMMYFUNCTION("""COMPUTED_VALUE"""),"S10")</f>
        <v>S10</v>
      </c>
      <c r="P29">
        <f ca="1">IFERROR(__xludf.DUMMYFUNCTION("""COMPUTED_VALUE"""),1)</f>
        <v>1</v>
      </c>
      <c r="Q29" t="str">
        <f ca="1">IFERROR(__xludf.DUMMYFUNCTION("""COMPUTED_VALUE"""),"S9")</f>
        <v>S9</v>
      </c>
      <c r="R29" t="str">
        <f ca="1">IFERROR(__xludf.DUMMYFUNCTION("""COMPUTED_VALUE"""),"")</f>
        <v/>
      </c>
      <c r="S29" t="str">
        <f ca="1">IFERROR(__xludf.DUMMYFUNCTION("""COMPUTED_VALUE"""),"")</f>
        <v/>
      </c>
      <c r="T29" t="str">
        <f ca="1">IFERROR(__xludf.DUMMYFUNCTION("""COMPUTED_VALUE"""),"")</f>
        <v/>
      </c>
      <c r="U29" t="str">
        <f ca="1">IFERROR(__xludf.DUMMYFUNCTION("""COMPUTED_VALUE"""),"")</f>
        <v/>
      </c>
      <c r="V29" t="str">
        <f ca="1">IFERROR(__xludf.DUMMYFUNCTION("""COMPUTED_VALUE"""),"")</f>
        <v/>
      </c>
      <c r="W29" t="str">
        <f ca="1">IFERROR(__xludf.DUMMYFUNCTION("""COMPUTED_VALUE"""),"")</f>
        <v/>
      </c>
      <c r="X29" t="str">
        <f ca="1">IFERROR(__xludf.DUMMYFUNCTION("""COMPUTED_VALUE"""),"")</f>
        <v/>
      </c>
      <c r="Y29" t="str">
        <f ca="1">IFERROR(__xludf.DUMMYFUNCTION("""COMPUTED_VALUE"""),"")</f>
        <v/>
      </c>
    </row>
    <row r="30" spans="1:25" ht="13">
      <c r="A30" t="str">
        <f ca="1">IFERROR(__xludf.DUMMYFUNCTION("""COMPUTED_VALUE"""),"")</f>
        <v/>
      </c>
      <c r="B30" t="str">
        <f ca="1">IFERROR(__xludf.DUMMYFUNCTION("""COMPUTED_VALUE"""),"VAN")</f>
        <v>VAN</v>
      </c>
      <c r="C30" s="26" t="str">
        <f ca="1">IFERROR(__xludf.DUMMYFUNCTION("""COMPUTED_VALUE"""),"Sir Earl")</f>
        <v>Sir Earl</v>
      </c>
      <c r="D30" s="26" t="str">
        <f ca="1">IFERROR(__xludf.DUMMYFUNCTION("""COMPUTED_VALUE"""),"Mamoru Okonomi - CL")</f>
        <v>Mamoru Okonomi - CL</v>
      </c>
      <c r="E30" t="str">
        <f ca="1">IFERROR(__xludf.DUMMYFUNCTION("""COMPUTED_VALUE"""),"Mamoru Okonomi")</f>
        <v>Mamoru Okonomi</v>
      </c>
      <c r="F30" t="str">
        <f ca="1">IFERROR(__xludf.DUMMYFUNCTION("""COMPUTED_VALUE"""),"CL")</f>
        <v>CL</v>
      </c>
      <c r="G30" t="str">
        <f ca="1">IFERROR(__xludf.DUMMYFUNCTION("""COMPUTED_VALUE"""),"Power")</f>
        <v>Power</v>
      </c>
      <c r="H30">
        <f ca="1">IFERROR(__xludf.DUMMYFUNCTION("""COMPUTED_VALUE"""),351)</f>
        <v>351</v>
      </c>
      <c r="I30" s="99">
        <f ca="1">IFERROR(__xludf.DUMMYFUNCTION("""COMPUTED_VALUE"""),2)</f>
        <v>2</v>
      </c>
      <c r="J30" s="99">
        <f ca="1">IFERROR(__xludf.DUMMYFUNCTION("""COMPUTED_VALUE"""),2)</f>
        <v>2</v>
      </c>
      <c r="K30" s="99">
        <f ca="1">IFERROR(__xludf.DUMMYFUNCTION("""COMPUTED_VALUE"""),2)</f>
        <v>2</v>
      </c>
      <c r="L30" t="str">
        <f ca="1">IFERROR(__xludf.DUMMYFUNCTION("""COMPUTED_VALUE"""),"")</f>
        <v/>
      </c>
      <c r="M30" t="str">
        <f ca="1">IFERROR(__xludf.DUMMYFUNCTION("""COMPUTED_VALUE"""),"")</f>
        <v/>
      </c>
      <c r="N30" t="str">
        <f ca="1">IFERROR(__xludf.DUMMYFUNCTION("""COMPUTED_VALUE"""),"")</f>
        <v/>
      </c>
      <c r="O30" t="str">
        <f ca="1">IFERROR(__xludf.DUMMYFUNCTION("""COMPUTED_VALUE"""),"S10")</f>
        <v>S10</v>
      </c>
      <c r="P30">
        <f ca="1">IFERROR(__xludf.DUMMYFUNCTION("""COMPUTED_VALUE"""),10)</f>
        <v>10</v>
      </c>
      <c r="Q30" t="str">
        <f ca="1">IFERROR(__xludf.DUMMYFUNCTION("""COMPUTED_VALUE"""),"S10")</f>
        <v>S10</v>
      </c>
      <c r="R30" t="str">
        <f ca="1">IFERROR(__xludf.DUMMYFUNCTION("""COMPUTED_VALUE"""),"")</f>
        <v/>
      </c>
      <c r="S30" t="str">
        <f ca="1">IFERROR(__xludf.DUMMYFUNCTION("""COMPUTED_VALUE"""),"")</f>
        <v/>
      </c>
      <c r="T30" t="str">
        <f ca="1">IFERROR(__xludf.DUMMYFUNCTION("""COMPUTED_VALUE"""),"")</f>
        <v/>
      </c>
      <c r="U30" t="str">
        <f ca="1">IFERROR(__xludf.DUMMYFUNCTION("""COMPUTED_VALUE"""),"")</f>
        <v/>
      </c>
      <c r="V30" t="str">
        <f ca="1">IFERROR(__xludf.DUMMYFUNCTION("""COMPUTED_VALUE"""),"")</f>
        <v/>
      </c>
      <c r="W30" t="str">
        <f ca="1">IFERROR(__xludf.DUMMYFUNCTION("""COMPUTED_VALUE"""),"")</f>
        <v/>
      </c>
      <c r="X30" t="str">
        <f ca="1">IFERROR(__xludf.DUMMYFUNCTION("""COMPUTED_VALUE"""),"")</f>
        <v/>
      </c>
      <c r="Y30" t="str">
        <f ca="1">IFERROR(__xludf.DUMMYFUNCTION("""COMPUTED_VALUE"""),"")</f>
        <v/>
      </c>
    </row>
    <row r="31" spans="1:25" ht="13">
      <c r="A31" s="26" t="str">
        <f ca="1">IFERROR(__xludf.DUMMYFUNCTION("""COMPUTED_VALUE"""),"http://probaseballexperience.jcink.net/index.php?showtopic=1114")</f>
        <v>http://probaseballexperience.jcink.net/index.php?showtopic=1114</v>
      </c>
      <c r="B31" t="str">
        <f ca="1">IFERROR(__xludf.DUMMYFUNCTION("""COMPUTED_VALUE"""),"PRO")</f>
        <v>PRO</v>
      </c>
      <c r="C31" s="26" t="str">
        <f ca="1">IFERROR(__xludf.DUMMYFUNCTION("""COMPUTED_VALUE"""),"timeconsumer")</f>
        <v>timeconsumer</v>
      </c>
      <c r="D31" s="26" t="str">
        <f ca="1">IFERROR(__xludf.DUMMYFUNCTION("""COMPUTED_VALUE"""),"Eduardo Dinero - SS")</f>
        <v>Eduardo Dinero - SS</v>
      </c>
      <c r="E31" t="str">
        <f ca="1">IFERROR(__xludf.DUMMYFUNCTION("""COMPUTED_VALUE"""),"Eduardo Dinero")</f>
        <v>Eduardo Dinero</v>
      </c>
      <c r="F31" t="str">
        <f ca="1">IFERROR(__xludf.DUMMYFUNCTION("""COMPUTED_VALUE"""),"SS")</f>
        <v>SS</v>
      </c>
      <c r="G31" t="str">
        <f ca="1">IFERROR(__xludf.DUMMYFUNCTION("""COMPUTED_VALUE"""),"Balanced/Balanced ")</f>
        <v xml:space="preserve">Balanced/Balanced </v>
      </c>
      <c r="H31">
        <f ca="1">IFERROR(__xludf.DUMMYFUNCTION("""COMPUTED_VALUE"""),1696)</f>
        <v>1696</v>
      </c>
      <c r="I31" s="99">
        <f ca="1">IFERROR(__xludf.DUMMYFUNCTION("""COMPUTED_VALUE"""),10)</f>
        <v>10</v>
      </c>
      <c r="J31" s="99" t="str">
        <f ca="1">IFERROR(__xludf.DUMMYFUNCTION("""COMPUTED_VALUE"""),"")</f>
        <v/>
      </c>
      <c r="K31" s="99" t="str">
        <f ca="1">IFERROR(__xludf.DUMMYFUNCTION("""COMPUTED_VALUE"""),"")</f>
        <v/>
      </c>
      <c r="L31" s="99" t="str">
        <f ca="1">IFERROR(__xludf.DUMMYFUNCTION("""COMPUTED_VALUE"""),"")</f>
        <v/>
      </c>
      <c r="M31" s="99" t="str">
        <f ca="1">IFERROR(__xludf.DUMMYFUNCTION("""COMPUTED_VALUE"""),"")</f>
        <v/>
      </c>
      <c r="N31" s="26" t="str">
        <f ca="1">IFERROR(__xludf.DUMMYFUNCTION("""COMPUTED_VALUE"""),"http://probaseballexperience.jcink.net/index.php?showtopic=4883")</f>
        <v>http://probaseballexperience.jcink.net/index.php?showtopic=4883</v>
      </c>
      <c r="O31" t="str">
        <f ca="1">IFERROR(__xludf.DUMMYFUNCTION("""COMPUTED_VALUE"""),"S2")</f>
        <v>S2</v>
      </c>
      <c r="P31">
        <f ca="1">IFERROR(__xludf.DUMMYFUNCTION("""COMPUTED_VALUE"""),15)</f>
        <v>15</v>
      </c>
      <c r="Q31" t="str">
        <f ca="1">IFERROR(__xludf.DUMMYFUNCTION("""COMPUTED_VALUE"""),"S2")</f>
        <v>S2</v>
      </c>
      <c r="R31" t="str">
        <f ca="1">IFERROR(__xludf.DUMMYFUNCTION("""COMPUTED_VALUE"""),"")</f>
        <v/>
      </c>
      <c r="S31" t="str">
        <f ca="1">IFERROR(__xludf.DUMMYFUNCTION("""COMPUTED_VALUE"""),"")</f>
        <v/>
      </c>
      <c r="T31" t="str">
        <f ca="1">IFERROR(__xludf.DUMMYFUNCTION("""COMPUTED_VALUE"""),"")</f>
        <v/>
      </c>
      <c r="U31" t="str">
        <f ca="1">IFERROR(__xludf.DUMMYFUNCTION("""COMPUTED_VALUE"""),"")</f>
        <v/>
      </c>
      <c r="V31">
        <f ca="1">IFERROR(__xludf.DUMMYFUNCTION("""COMPUTED_VALUE"""),3)</f>
        <v>3</v>
      </c>
      <c r="W31">
        <f ca="1">IFERROR(__xludf.DUMMYFUNCTION("""COMPUTED_VALUE"""),3)</f>
        <v>3</v>
      </c>
      <c r="X31">
        <f ca="1">IFERROR(__xludf.DUMMYFUNCTION("""COMPUTED_VALUE"""),13)</f>
        <v>13</v>
      </c>
      <c r="Y31">
        <f ca="1">IFERROR(__xludf.DUMMYFUNCTION("""COMPUTED_VALUE"""),13)</f>
        <v>13</v>
      </c>
    </row>
    <row r="32" spans="1:25" ht="13">
      <c r="A32" t="str">
        <f ca="1">IFERROR(__xludf.DUMMYFUNCTION("""COMPUTED_VALUE"""),"")</f>
        <v/>
      </c>
      <c r="B32" t="str">
        <f ca="1">IFERROR(__xludf.DUMMYFUNCTION("""COMPUTED_VALUE"""),"PRO")</f>
        <v>PRO</v>
      </c>
      <c r="C32" s="26" t="str">
        <f ca="1">IFERROR(__xludf.DUMMYFUNCTION("""COMPUTED_VALUE"""),"yahuckleberry")</f>
        <v>yahuckleberry</v>
      </c>
      <c r="D32" s="26" t="str">
        <f ca="1">IFERROR(__xludf.DUMMYFUNCTION("""COMPUTED_VALUE"""),"Chip Bowman - SP")</f>
        <v>Chip Bowman - SP</v>
      </c>
      <c r="E32" t="str">
        <f ca="1">IFERROR(__xludf.DUMMYFUNCTION("""COMPUTED_VALUE"""),"Chip Bowman")</f>
        <v>Chip Bowman</v>
      </c>
      <c r="F32" t="str">
        <f ca="1">IFERROR(__xludf.DUMMYFUNCTION("""COMPUTED_VALUE"""),"SP")</f>
        <v>SP</v>
      </c>
      <c r="G32" t="str">
        <f ca="1">IFERROR(__xludf.DUMMYFUNCTION("""COMPUTED_VALUE"""),"Balanced")</f>
        <v>Balanced</v>
      </c>
      <c r="H32">
        <f ca="1">IFERROR(__xludf.DUMMYFUNCTION("""COMPUTED_VALUE"""),157)</f>
        <v>157</v>
      </c>
      <c r="I32" s="99">
        <f ca="1">IFERROR(__xludf.DUMMYFUNCTION("""COMPUTED_VALUE"""),4)</f>
        <v>4</v>
      </c>
      <c r="J32" s="99">
        <f ca="1">IFERROR(__xludf.DUMMYFUNCTION("""COMPUTED_VALUE"""),4)</f>
        <v>4</v>
      </c>
      <c r="K32" t="str">
        <f ca="1">IFERROR(__xludf.DUMMYFUNCTION("""COMPUTED_VALUE"""),"")</f>
        <v/>
      </c>
      <c r="L32" t="str">
        <f ca="1">IFERROR(__xludf.DUMMYFUNCTION("""COMPUTED_VALUE"""),"")</f>
        <v/>
      </c>
      <c r="M32" t="str">
        <f ca="1">IFERROR(__xludf.DUMMYFUNCTION("""COMPUTED_VALUE"""),"")</f>
        <v/>
      </c>
      <c r="N32" s="26" t="str">
        <f ca="1">IFERROR(__xludf.DUMMYFUNCTION("""COMPUTED_VALUE"""),"http://probaseballexperience.jcink.net/index.php?showtopic=5319")</f>
        <v>http://probaseballexperience.jcink.net/index.php?showtopic=5319</v>
      </c>
      <c r="O32" t="str">
        <f ca="1">IFERROR(__xludf.DUMMYFUNCTION("""COMPUTED_VALUE"""),"S10")</f>
        <v>S10</v>
      </c>
      <c r="P32">
        <f ca="1">IFERROR(__xludf.DUMMYFUNCTION("""COMPUTED_VALUE"""),6)</f>
        <v>6</v>
      </c>
      <c r="Q32" t="str">
        <f ca="1">IFERROR(__xludf.DUMMYFUNCTION("""COMPUTED_VALUE"""),"S10")</f>
        <v>S10</v>
      </c>
      <c r="R32" t="str">
        <f ca="1">IFERROR(__xludf.DUMMYFUNCTION("""COMPUTED_VALUE"""),"")</f>
        <v/>
      </c>
      <c r="S32" t="str">
        <f ca="1">IFERROR(__xludf.DUMMYFUNCTION("""COMPUTED_VALUE"""),"")</f>
        <v/>
      </c>
      <c r="T32" t="str">
        <f ca="1">IFERROR(__xludf.DUMMYFUNCTION("""COMPUTED_VALUE"""),"")</f>
        <v/>
      </c>
      <c r="U32" t="str">
        <f ca="1">IFERROR(__xludf.DUMMYFUNCTION("""COMPUTED_VALUE"""),"")</f>
        <v/>
      </c>
      <c r="V32" t="str">
        <f ca="1">IFERROR(__xludf.DUMMYFUNCTION("""COMPUTED_VALUE"""),"")</f>
        <v/>
      </c>
      <c r="W32" t="str">
        <f ca="1">IFERROR(__xludf.DUMMYFUNCTION("""COMPUTED_VALUE"""),"")</f>
        <v/>
      </c>
      <c r="X32" t="str">
        <f ca="1">IFERROR(__xludf.DUMMYFUNCTION("""COMPUTED_VALUE"""),"")</f>
        <v/>
      </c>
      <c r="Y32" t="str">
        <f ca="1">IFERROR(__xludf.DUMMYFUNCTION("""COMPUTED_VALUE"""),"")</f>
        <v/>
      </c>
    </row>
    <row r="33" spans="1:25" ht="13">
      <c r="A33" s="26" t="str">
        <f ca="1">IFERROR(__xludf.DUMMYFUNCTION("""COMPUTED_VALUE"""),"http://probaseballexperience.jcink.net/index.php?showtopic=72")</f>
        <v>http://probaseballexperience.jcink.net/index.php?showtopic=72</v>
      </c>
      <c r="B33" t="str">
        <f ca="1">IFERROR(__xludf.DUMMYFUNCTION("""COMPUTED_VALUE"""),"PRO")</f>
        <v>PRO</v>
      </c>
      <c r="C33" s="26" t="str">
        <f ca="1">IFERROR(__xludf.DUMMYFUNCTION("""COMPUTED_VALUE"""),"4D Chess")</f>
        <v>4D Chess</v>
      </c>
      <c r="D33" s="26" t="str">
        <f ca="1">IFERROR(__xludf.DUMMYFUNCTION("""COMPUTED_VALUE"""),"Jackson Jackson - C")</f>
        <v>Jackson Jackson - C</v>
      </c>
      <c r="E33" t="str">
        <f ca="1">IFERROR(__xludf.DUMMYFUNCTION("""COMPUTED_VALUE"""),"Jackson Jackson")</f>
        <v>Jackson Jackson</v>
      </c>
      <c r="F33" t="str">
        <f ca="1">IFERROR(__xludf.DUMMYFUNCTION("""COMPUTED_VALUE"""),"C")</f>
        <v>C</v>
      </c>
      <c r="G33" t="str">
        <f ca="1">IFERROR(__xludf.DUMMYFUNCTION("""COMPUTED_VALUE"""),"Balanced/Arm")</f>
        <v>Balanced/Arm</v>
      </c>
      <c r="H33">
        <f ca="1">IFERROR(__xludf.DUMMYFUNCTION("""COMPUTED_VALUE"""),631)</f>
        <v>631</v>
      </c>
      <c r="I33" s="99">
        <f ca="1">IFERROR(__xludf.DUMMYFUNCTION("""COMPUTED_VALUE"""),6.5)</f>
        <v>6.5</v>
      </c>
      <c r="J33" s="99" t="str">
        <f ca="1">IFERROR(__xludf.DUMMYFUNCTION("""COMPUTED_VALUE"""),"")</f>
        <v/>
      </c>
      <c r="K33" s="99" t="str">
        <f ca="1">IFERROR(__xludf.DUMMYFUNCTION("""COMPUTED_VALUE"""),"")</f>
        <v/>
      </c>
      <c r="L33" s="99" t="str">
        <f ca="1">IFERROR(__xludf.DUMMYFUNCTION("""COMPUTED_VALUE"""),"")</f>
        <v/>
      </c>
      <c r="M33" s="99" t="str">
        <f ca="1">IFERROR(__xludf.DUMMYFUNCTION("""COMPUTED_VALUE"""),"")</f>
        <v/>
      </c>
      <c r="N33" t="str">
        <f ca="1">IFERROR(__xludf.DUMMYFUNCTION("""COMPUTED_VALUE"""),"S8-10 MO")</f>
        <v>S8-10 MO</v>
      </c>
      <c r="O33" t="str">
        <f ca="1">IFERROR(__xludf.DUMMYFUNCTION("""COMPUTED_VALUE"""),"S1")</f>
        <v>S1</v>
      </c>
      <c r="P33" t="str">
        <f ca="1">IFERROR(__xludf.DUMMYFUNCTION("""COMPUTED_VALUE"""),"as GM")</f>
        <v>as GM</v>
      </c>
      <c r="Q33" t="str">
        <f ca="1">IFERROR(__xludf.DUMMYFUNCTION("""COMPUTED_VALUE"""),"S1")</f>
        <v>S1</v>
      </c>
      <c r="R33" t="str">
        <f ca="1">IFERROR(__xludf.DUMMYFUNCTION("""COMPUTED_VALUE"""),"")</f>
        <v/>
      </c>
      <c r="S33" t="str">
        <f ca="1">IFERROR(__xludf.DUMMYFUNCTION("""COMPUTED_VALUE"""),"")</f>
        <v/>
      </c>
      <c r="T33" t="str">
        <f ca="1">IFERROR(__xludf.DUMMYFUNCTION("""COMPUTED_VALUE"""),"")</f>
        <v/>
      </c>
      <c r="U33" t="str">
        <f ca="1">IFERROR(__xludf.DUMMYFUNCTION("""COMPUTED_VALUE"""),"")</f>
        <v/>
      </c>
      <c r="V33">
        <f ca="1">IFERROR(__xludf.DUMMYFUNCTION("""COMPUTED_VALUE"""),2)</f>
        <v>2</v>
      </c>
      <c r="W33">
        <f ca="1">IFERROR(__xludf.DUMMYFUNCTION("""COMPUTED_VALUE"""),3)</f>
        <v>3</v>
      </c>
      <c r="X33">
        <f ca="1">IFERROR(__xludf.DUMMYFUNCTION("""COMPUTED_VALUE"""),3)</f>
        <v>3</v>
      </c>
      <c r="Y33">
        <f ca="1">IFERROR(__xludf.DUMMYFUNCTION("""COMPUTED_VALUE"""),3)</f>
        <v>3</v>
      </c>
    </row>
    <row r="34" spans="1:25" ht="13">
      <c r="A34" s="26" t="str">
        <f ca="1">IFERROR(__xludf.DUMMYFUNCTION("""COMPUTED_VALUE"""),"http://probaseballexperience.jcink.net/index.php?showtopic=345")</f>
        <v>http://probaseballexperience.jcink.net/index.php?showtopic=345</v>
      </c>
      <c r="B34" t="str">
        <f ca="1">IFERROR(__xludf.DUMMYFUNCTION("""COMPUTED_VALUE"""),"DVS")</f>
        <v>DVS</v>
      </c>
      <c r="C34" s="26" t="str">
        <f ca="1">IFERROR(__xludf.DUMMYFUNCTION("""COMPUTED_VALUE"""),"Mavfatha")</f>
        <v>Mavfatha</v>
      </c>
      <c r="D34" s="26" t="str">
        <f ca="1">IFERROR(__xludf.DUMMYFUNCTION("""COMPUTED_VALUE"""),"Ozamataz Buckshank - SS")</f>
        <v>Ozamataz Buckshank - SS</v>
      </c>
      <c r="E34" t="str">
        <f ca="1">IFERROR(__xludf.DUMMYFUNCTION("""COMPUTED_VALUE"""),"Ozamataz Buckshank")</f>
        <v>Ozamataz Buckshank</v>
      </c>
      <c r="F34" t="str">
        <f ca="1">IFERROR(__xludf.DUMMYFUNCTION("""COMPUTED_VALUE"""),"SS")</f>
        <v>SS</v>
      </c>
      <c r="G34" t="str">
        <f ca="1">IFERROR(__xludf.DUMMYFUNCTION("""COMPUTED_VALUE"""),"Balanced/Balanced")</f>
        <v>Balanced/Balanced</v>
      </c>
      <c r="H34">
        <f ca="1">IFERROR(__xludf.DUMMYFUNCTION("""COMPUTED_VALUE"""),1557)</f>
        <v>1557</v>
      </c>
      <c r="I34" s="99">
        <f ca="1">IFERROR(__xludf.DUMMYFUNCTION("""COMPUTED_VALUE"""),10)</f>
        <v>10</v>
      </c>
      <c r="J34" s="99" t="str">
        <f ca="1">IFERROR(__xludf.DUMMYFUNCTION("""COMPUTED_VALUE"""),"")</f>
        <v/>
      </c>
      <c r="K34" s="99" t="str">
        <f ca="1">IFERROR(__xludf.DUMMYFUNCTION("""COMPUTED_VALUE"""),"")</f>
        <v/>
      </c>
      <c r="L34" s="99" t="str">
        <f ca="1">IFERROR(__xludf.DUMMYFUNCTION("""COMPUTED_VALUE"""),"")</f>
        <v/>
      </c>
      <c r="M34" s="99" t="str">
        <f ca="1">IFERROR(__xludf.DUMMYFUNCTION("""COMPUTED_VALUE"""),"")</f>
        <v/>
      </c>
      <c r="N34" t="str">
        <f ca="1">IFERROR(__xludf.DUMMYFUNCTION("""COMPUTED_VALUE"""),"S5-S10 MO")</f>
        <v>S5-S10 MO</v>
      </c>
      <c r="O34" t="str">
        <f ca="1">IFERROR(__xludf.DUMMYFUNCTION("""COMPUTED_VALUE"""),"S1")</f>
        <v>S1</v>
      </c>
      <c r="P34">
        <f ca="1">IFERROR(__xludf.DUMMYFUNCTION("""COMPUTED_VALUE"""),40)</f>
        <v>40</v>
      </c>
      <c r="Q34" t="str">
        <f ca="1">IFERROR(__xludf.DUMMYFUNCTION("""COMPUTED_VALUE"""),"S1")</f>
        <v>S1</v>
      </c>
      <c r="R34" t="str">
        <f ca="1">IFERROR(__xludf.DUMMYFUNCTION("""COMPUTED_VALUE"""),"")</f>
        <v/>
      </c>
      <c r="S34" t="str">
        <f ca="1">IFERROR(__xludf.DUMMYFUNCTION("""COMPUTED_VALUE"""),"")</f>
        <v/>
      </c>
      <c r="T34" t="str">
        <f ca="1">IFERROR(__xludf.DUMMYFUNCTION("""COMPUTED_VALUE"""),"")</f>
        <v/>
      </c>
      <c r="U34" t="str">
        <f ca="1">IFERROR(__xludf.DUMMYFUNCTION("""COMPUTED_VALUE"""),"")</f>
        <v/>
      </c>
      <c r="V34">
        <f ca="1">IFERROR(__xludf.DUMMYFUNCTION("""COMPUTED_VALUE"""),3.5)</f>
        <v>3.5</v>
      </c>
      <c r="W34">
        <f ca="1">IFERROR(__xludf.DUMMYFUNCTION("""COMPUTED_VALUE"""),5)</f>
        <v>5</v>
      </c>
      <c r="X34">
        <f ca="1">IFERROR(__xludf.DUMMYFUNCTION("""COMPUTED_VALUE"""),5.75)</f>
        <v>5.75</v>
      </c>
      <c r="Y34">
        <f ca="1">IFERROR(__xludf.DUMMYFUNCTION("""COMPUTED_VALUE"""),7.25)</f>
        <v>7.25</v>
      </c>
    </row>
    <row r="35" spans="1:25" ht="13">
      <c r="A35" s="26" t="str">
        <f ca="1">IFERROR(__xludf.DUMMYFUNCTION("""COMPUTED_VALUE"""),"http://probaseballexperience.jcink.net/index.php?showtopic=156")</f>
        <v>http://probaseballexperience.jcink.net/index.php?showtopic=156</v>
      </c>
      <c r="B35" t="str">
        <f ca="1">IFERROR(__xludf.DUMMYFUNCTION("""COMPUTED_VALUE"""),"DVS")</f>
        <v>DVS</v>
      </c>
      <c r="C35" s="26" t="str">
        <f ca="1">IFERROR(__xludf.DUMMYFUNCTION("""COMPUTED_VALUE"""),"Evok")</f>
        <v>Evok</v>
      </c>
      <c r="D35" s="26" t="str">
        <f ca="1">IFERROR(__xludf.DUMMYFUNCTION("""COMPUTED_VALUE"""),"Victoria Secret - SP")</f>
        <v>Victoria Secret - SP</v>
      </c>
      <c r="E35" t="str">
        <f ca="1">IFERROR(__xludf.DUMMYFUNCTION("""COMPUTED_VALUE"""),"Victoria Secret")</f>
        <v>Victoria Secret</v>
      </c>
      <c r="F35" t="str">
        <f ca="1">IFERROR(__xludf.DUMMYFUNCTION("""COMPUTED_VALUE"""),"SP")</f>
        <v>SP</v>
      </c>
      <c r="G35" t="str">
        <f ca="1">IFERROR(__xludf.DUMMYFUNCTION("""COMPUTED_VALUE"""),"Finesse")</f>
        <v>Finesse</v>
      </c>
      <c r="H35">
        <f ca="1">IFERROR(__xludf.DUMMYFUNCTION("""COMPUTED_VALUE"""),1512)</f>
        <v>1512</v>
      </c>
      <c r="I35" s="99">
        <f ca="1">IFERROR(__xludf.DUMMYFUNCTION("""COMPUTED_VALUE"""),10)</f>
        <v>10</v>
      </c>
      <c r="J35" s="99" t="str">
        <f ca="1">IFERROR(__xludf.DUMMYFUNCTION("""COMPUTED_VALUE"""),"")</f>
        <v/>
      </c>
      <c r="K35" s="99" t="str">
        <f ca="1">IFERROR(__xludf.DUMMYFUNCTION("""COMPUTED_VALUE"""),"")</f>
        <v/>
      </c>
      <c r="L35" s="99" t="str">
        <f ca="1">IFERROR(__xludf.DUMMYFUNCTION("""COMPUTED_VALUE"""),"")</f>
        <v/>
      </c>
      <c r="M35" s="99" t="str">
        <f ca="1">IFERROR(__xludf.DUMMYFUNCTION("""COMPUTED_VALUE"""),"")</f>
        <v/>
      </c>
      <c r="N35" t="str">
        <f ca="1">IFERROR(__xludf.DUMMYFUNCTION("""COMPUTED_VALUE"""),"S10-11 PO")</f>
        <v>S10-11 PO</v>
      </c>
      <c r="O35" t="str">
        <f ca="1">IFERROR(__xludf.DUMMYFUNCTION("""COMPUTED_VALUE"""),"S1")</f>
        <v>S1</v>
      </c>
      <c r="P35">
        <f ca="1">IFERROR(__xludf.DUMMYFUNCTION("""COMPUTED_VALUE"""),3)</f>
        <v>3</v>
      </c>
      <c r="Q35" t="str">
        <f ca="1">IFERROR(__xludf.DUMMYFUNCTION("""COMPUTED_VALUE"""),"S1")</f>
        <v>S1</v>
      </c>
      <c r="R35" t="str">
        <f ca="1">IFERROR(__xludf.DUMMYFUNCTION("""COMPUTED_VALUE"""),"")</f>
        <v/>
      </c>
      <c r="S35" t="str">
        <f ca="1">IFERROR(__xludf.DUMMYFUNCTION("""COMPUTED_VALUE"""),"")</f>
        <v/>
      </c>
      <c r="T35" t="str">
        <f ca="1">IFERROR(__xludf.DUMMYFUNCTION("""COMPUTED_VALUE"""),"")</f>
        <v/>
      </c>
      <c r="U35" t="str">
        <f ca="1">IFERROR(__xludf.DUMMYFUNCTION("""COMPUTED_VALUE"""),"")</f>
        <v/>
      </c>
      <c r="V35">
        <f ca="1">IFERROR(__xludf.DUMMYFUNCTION("""COMPUTED_VALUE"""),3)</f>
        <v>3</v>
      </c>
      <c r="W35">
        <f ca="1">IFERROR(__xludf.DUMMYFUNCTION("""COMPUTED_VALUE"""),8)</f>
        <v>8</v>
      </c>
      <c r="X35">
        <f ca="1">IFERROR(__xludf.DUMMYFUNCTION("""COMPUTED_VALUE"""),7)</f>
        <v>7</v>
      </c>
      <c r="Y35">
        <f ca="1">IFERROR(__xludf.DUMMYFUNCTION("""COMPUTED_VALUE"""),3.75)</f>
        <v>3.75</v>
      </c>
    </row>
    <row r="36" spans="1:25" ht="13">
      <c r="A36" s="26" t="str">
        <f ca="1">IFERROR(__xludf.DUMMYFUNCTION("""COMPUTED_VALUE"""),"http://probaseballexperience.jcink.net/index.php?showtopic=1732")</f>
        <v>http://probaseballexperience.jcink.net/index.php?showtopic=1732</v>
      </c>
      <c r="B36" t="str">
        <f ca="1">IFERROR(__xludf.DUMMYFUNCTION("""COMPUTED_VALUE"""),"DVS")</f>
        <v>DVS</v>
      </c>
      <c r="C36" s="26" t="str">
        <f ca="1">IFERROR(__xludf.DUMMYFUNCTION("""COMPUTED_VALUE"""),"majesiu")</f>
        <v>majesiu</v>
      </c>
      <c r="D36" s="26" t="str">
        <f ca="1">IFERROR(__xludf.DUMMYFUNCTION("""COMPUTED_VALUE"""),"Paulo Di Stephano - RF")</f>
        <v>Paulo Di Stephano - RF</v>
      </c>
      <c r="E36" t="str">
        <f ca="1">IFERROR(__xludf.DUMMYFUNCTION("""COMPUTED_VALUE"""),"Paulo Di Stephano")</f>
        <v>Paulo Di Stephano</v>
      </c>
      <c r="F36" t="str">
        <f ca="1">IFERROR(__xludf.DUMMYFUNCTION("""COMPUTED_VALUE"""),"RF")</f>
        <v>RF</v>
      </c>
      <c r="G36" t="str">
        <f ca="1">IFERROR(__xludf.DUMMYFUNCTION("""COMPUTED_VALUE"""),"Power/Arm")</f>
        <v>Power/Arm</v>
      </c>
      <c r="H36">
        <f ca="1">IFERROR(__xludf.DUMMYFUNCTION("""COMPUTED_VALUE"""),1772)</f>
        <v>1772</v>
      </c>
      <c r="I36" s="99">
        <f ca="1">IFERROR(__xludf.DUMMYFUNCTION("""COMPUTED_VALUE"""),9.5)</f>
        <v>9.5</v>
      </c>
      <c r="J36" s="99">
        <f ca="1">IFERROR(__xludf.DUMMYFUNCTION("""COMPUTED_VALUE"""),10)</f>
        <v>10</v>
      </c>
      <c r="K36" s="99">
        <f ca="1">IFERROR(__xludf.DUMMYFUNCTION("""COMPUTED_VALUE"""),10)</f>
        <v>10</v>
      </c>
      <c r="L36" s="99">
        <f ca="1">IFERROR(__xludf.DUMMYFUNCTION("""COMPUTED_VALUE"""),10)</f>
        <v>10</v>
      </c>
      <c r="M36" s="99" t="str">
        <f ca="1">IFERROR(__xludf.DUMMYFUNCTION("""COMPUTED_VALUE"""),"")</f>
        <v/>
      </c>
      <c r="N36" t="str">
        <f ca="1">IFERROR(__xludf.DUMMYFUNCTION("""COMPUTED_VALUE"""),"S6-S14 MO")</f>
        <v>S6-S14 MO</v>
      </c>
      <c r="O36" t="str">
        <f ca="1">IFERROR(__xludf.DUMMYFUNCTION("""COMPUTED_VALUE"""),"S3")</f>
        <v>S3</v>
      </c>
      <c r="P36">
        <f ca="1">IFERROR(__xludf.DUMMYFUNCTION("""COMPUTED_VALUE"""),5)</f>
        <v>5</v>
      </c>
      <c r="Q36" t="str">
        <f ca="1">IFERROR(__xludf.DUMMYFUNCTION("""COMPUTED_VALUE"""),"S3")</f>
        <v>S3</v>
      </c>
      <c r="R36" t="str">
        <f ca="1">IFERROR(__xludf.DUMMYFUNCTION("""COMPUTED_VALUE"""),"")</f>
        <v/>
      </c>
      <c r="S36" t="str">
        <f ca="1">IFERROR(__xludf.DUMMYFUNCTION("""COMPUTED_VALUE"""),"")</f>
        <v/>
      </c>
      <c r="T36" t="str">
        <f ca="1">IFERROR(__xludf.DUMMYFUNCTION("""COMPUTED_VALUE"""),"")</f>
        <v/>
      </c>
      <c r="U36" t="str">
        <f ca="1">IFERROR(__xludf.DUMMYFUNCTION("""COMPUTED_VALUE"""),"")</f>
        <v/>
      </c>
      <c r="V36">
        <f ca="1">IFERROR(__xludf.DUMMYFUNCTION("""COMPUTED_VALUE"""),3)</f>
        <v>3</v>
      </c>
      <c r="W36">
        <f ca="1">IFERROR(__xludf.DUMMYFUNCTION("""COMPUTED_VALUE"""),4)</f>
        <v>4</v>
      </c>
      <c r="X36">
        <f ca="1">IFERROR(__xludf.DUMMYFUNCTION("""COMPUTED_VALUE"""),8.75)</f>
        <v>8.75</v>
      </c>
      <c r="Y36">
        <f ca="1">IFERROR(__xludf.DUMMYFUNCTION("""COMPUTED_VALUE"""),1)</f>
        <v>1</v>
      </c>
    </row>
    <row r="37" spans="1:25" ht="13">
      <c r="A37" s="26" t="str">
        <f ca="1">IFERROR(__xludf.DUMMYFUNCTION("""COMPUTED_VALUE"""),"http://probaseballexperience.jcink.net/index.php?showtopic=101")</f>
        <v>http://probaseballexperience.jcink.net/index.php?showtopic=101</v>
      </c>
      <c r="B37" t="str">
        <f ca="1">IFERROR(__xludf.DUMMYFUNCTION("""COMPUTED_VALUE"""),"DVS")</f>
        <v>DVS</v>
      </c>
      <c r="C37" s="26" t="str">
        <f ca="1">IFERROR(__xludf.DUMMYFUNCTION("""COMPUTED_VALUE"""),"Beaver")</f>
        <v>Beaver</v>
      </c>
      <c r="D37" s="26" t="str">
        <f ca="1">IFERROR(__xludf.DUMMYFUNCTION("""COMPUTED_VALUE"""),"Do Min-joon - 1B")</f>
        <v>Do Min-joon - 1B</v>
      </c>
      <c r="E37" t="str">
        <f ca="1">IFERROR(__xludf.DUMMYFUNCTION("""COMPUTED_VALUE"""),"Do Min-joon")</f>
        <v>Do Min-joon</v>
      </c>
      <c r="F37" t="str">
        <f ca="1">IFERROR(__xludf.DUMMYFUNCTION("""COMPUTED_VALUE"""),"2B")</f>
        <v>2B</v>
      </c>
      <c r="G37" t="str">
        <f ca="1">IFERROR(__xludf.DUMMYFUNCTION("""COMPUTED_VALUE"""),"Power/Balanced")</f>
        <v>Power/Balanced</v>
      </c>
      <c r="H37">
        <f ca="1">IFERROR(__xludf.DUMMYFUNCTION("""COMPUTED_VALUE"""),1311)</f>
        <v>1311</v>
      </c>
      <c r="I37" s="99">
        <f ca="1">IFERROR(__xludf.DUMMYFUNCTION("""COMPUTED_VALUE"""),10)</f>
        <v>10</v>
      </c>
      <c r="J37" s="99">
        <f ca="1">IFERROR(__xludf.DUMMYFUNCTION("""COMPUTED_VALUE"""),10)</f>
        <v>10</v>
      </c>
      <c r="K37" s="99" t="str">
        <f ca="1">IFERROR(__xludf.DUMMYFUNCTION("""COMPUTED_VALUE"""),"")</f>
        <v/>
      </c>
      <c r="L37" s="99" t="str">
        <f ca="1">IFERROR(__xludf.DUMMYFUNCTION("""COMPUTED_VALUE"""),"")</f>
        <v/>
      </c>
      <c r="M37" s="99" t="str">
        <f ca="1">IFERROR(__xludf.DUMMYFUNCTION("""COMPUTED_VALUE"""),"")</f>
        <v/>
      </c>
      <c r="N37" t="str">
        <f ca="1">IFERROR(__xludf.DUMMYFUNCTION("""COMPUTED_VALUE"""),"S9-S12 MO")</f>
        <v>S9-S12 MO</v>
      </c>
      <c r="O37" t="str">
        <f ca="1">IFERROR(__xludf.DUMMYFUNCTION("""COMPUTED_VALUE"""),"S1")</f>
        <v>S1</v>
      </c>
      <c r="P37">
        <f ca="1">IFERROR(__xludf.DUMMYFUNCTION("""COMPUTED_VALUE"""),33)</f>
        <v>33</v>
      </c>
      <c r="Q37" t="str">
        <f ca="1">IFERROR(__xludf.DUMMYFUNCTION("""COMPUTED_VALUE"""),"S1")</f>
        <v>S1</v>
      </c>
      <c r="R37" t="str">
        <f ca="1">IFERROR(__xludf.DUMMYFUNCTION("""COMPUTED_VALUE"""),"")</f>
        <v/>
      </c>
      <c r="S37" t="str">
        <f ca="1">IFERROR(__xludf.DUMMYFUNCTION("""COMPUTED_VALUE"""),"")</f>
        <v/>
      </c>
      <c r="T37" t="str">
        <f ca="1">IFERROR(__xludf.DUMMYFUNCTION("""COMPUTED_VALUE"""),"")</f>
        <v/>
      </c>
      <c r="U37" t="str">
        <f ca="1">IFERROR(__xludf.DUMMYFUNCTION("""COMPUTED_VALUE"""),"")</f>
        <v/>
      </c>
      <c r="V37">
        <f ca="1">IFERROR(__xludf.DUMMYFUNCTION("""COMPUTED_VALUE"""),3.5)</f>
        <v>3.5</v>
      </c>
      <c r="W37">
        <f ca="1">IFERROR(__xludf.DUMMYFUNCTION("""COMPUTED_VALUE"""),5)</f>
        <v>5</v>
      </c>
      <c r="X37">
        <f ca="1">IFERROR(__xludf.DUMMYFUNCTION("""COMPUTED_VALUE"""),5)</f>
        <v>5</v>
      </c>
      <c r="Y37">
        <f ca="1">IFERROR(__xludf.DUMMYFUNCTION("""COMPUTED_VALUE"""),458)</f>
        <v>458</v>
      </c>
    </row>
    <row r="38" spans="1:25" ht="13">
      <c r="A38" s="26" t="str">
        <f ca="1">IFERROR(__xludf.DUMMYFUNCTION("""COMPUTED_VALUE"""),"http://probaseballexperience.jcink.net/index.php?showtopic=792")</f>
        <v>http://probaseballexperience.jcink.net/index.php?showtopic=792</v>
      </c>
      <c r="B38" t="str">
        <f ca="1">IFERROR(__xludf.DUMMYFUNCTION("""COMPUTED_VALUE"""),"DVS")</f>
        <v>DVS</v>
      </c>
      <c r="C38" s="26" t="str">
        <f ca="1">IFERROR(__xludf.DUMMYFUNCTION("""COMPUTED_VALUE"""),"CDub2")</f>
        <v>CDub2</v>
      </c>
      <c r="D38" s="26" t="str">
        <f ca="1">IFERROR(__xludf.DUMMYFUNCTION("""COMPUTED_VALUE"""),"Ziggy Coffey - SS")</f>
        <v>Ziggy Coffey - SS</v>
      </c>
      <c r="E38" t="str">
        <f ca="1">IFERROR(__xludf.DUMMYFUNCTION("""COMPUTED_VALUE"""),"Ziggy Coffey")</f>
        <v>Ziggy Coffey</v>
      </c>
      <c r="F38" t="str">
        <f ca="1">IFERROR(__xludf.DUMMYFUNCTION("""COMPUTED_VALUE"""),"1B")</f>
        <v>1B</v>
      </c>
      <c r="G38" t="str">
        <f ca="1">IFERROR(__xludf.DUMMYFUNCTION("""COMPUTED_VALUE"""),"Speed/Quick")</f>
        <v>Speed/Quick</v>
      </c>
      <c r="H38">
        <f ca="1">IFERROR(__xludf.DUMMYFUNCTION("""COMPUTED_VALUE"""),1149)</f>
        <v>1149</v>
      </c>
      <c r="I38" s="99">
        <f ca="1">IFERROR(__xludf.DUMMYFUNCTION("""COMPUTED_VALUE"""),9.25)</f>
        <v>9.25</v>
      </c>
      <c r="J38" s="99">
        <f ca="1">IFERROR(__xludf.DUMMYFUNCTION("""COMPUTED_VALUE"""),9.25)</f>
        <v>9.25</v>
      </c>
      <c r="K38" s="99" t="str">
        <f ca="1">IFERROR(__xludf.DUMMYFUNCTION("""COMPUTED_VALUE"""),"")</f>
        <v/>
      </c>
      <c r="L38" s="99" t="str">
        <f ca="1">IFERROR(__xludf.DUMMYFUNCTION("""COMPUTED_VALUE"""),"")</f>
        <v/>
      </c>
      <c r="M38" s="99" t="str">
        <f ca="1">IFERROR(__xludf.DUMMYFUNCTION("""COMPUTED_VALUE"""),"")</f>
        <v/>
      </c>
      <c r="N38" t="str">
        <f ca="1">IFERROR(__xludf.DUMMYFUNCTION("""COMPUTED_VALUE"""),"S8-9 MO")</f>
        <v>S8-9 MO</v>
      </c>
      <c r="O38" t="str">
        <f ca="1">IFERROR(__xludf.DUMMYFUNCTION("""COMPUTED_VALUE"""),"S2")</f>
        <v>S2</v>
      </c>
      <c r="P38">
        <f ca="1">IFERROR(__xludf.DUMMYFUNCTION("""COMPUTED_VALUE"""),9)</f>
        <v>9</v>
      </c>
      <c r="Q38" t="str">
        <f ca="1">IFERROR(__xludf.DUMMYFUNCTION("""COMPUTED_VALUE"""),"S1")</f>
        <v>S1</v>
      </c>
      <c r="R38" t="str">
        <f ca="1">IFERROR(__xludf.DUMMYFUNCTION("""COMPUTED_VALUE"""),"")</f>
        <v/>
      </c>
      <c r="S38" t="str">
        <f ca="1">IFERROR(__xludf.DUMMYFUNCTION("""COMPUTED_VALUE"""),"")</f>
        <v/>
      </c>
      <c r="T38" t="str">
        <f ca="1">IFERROR(__xludf.DUMMYFUNCTION("""COMPUTED_VALUE"""),"")</f>
        <v/>
      </c>
      <c r="U38" t="str">
        <f ca="1">IFERROR(__xludf.DUMMYFUNCTION("""COMPUTED_VALUE"""),"")</f>
        <v/>
      </c>
      <c r="V38">
        <f ca="1">IFERROR(__xludf.DUMMYFUNCTION("""COMPUTED_VALUE"""),3.5)</f>
        <v>3.5</v>
      </c>
      <c r="W38">
        <f ca="1">IFERROR(__xludf.DUMMYFUNCTION("""COMPUTED_VALUE"""),3.5)</f>
        <v>3.5</v>
      </c>
      <c r="X38">
        <f ca="1">IFERROR(__xludf.DUMMYFUNCTION("""COMPUTED_VALUE"""),7)</f>
        <v>7</v>
      </c>
      <c r="Y38">
        <f ca="1">IFERROR(__xludf.DUMMYFUNCTION("""COMPUTED_VALUE"""),7)</f>
        <v>7</v>
      </c>
    </row>
    <row r="39" spans="1:25" ht="13">
      <c r="A39" s="26" t="str">
        <f ca="1">IFERROR(__xludf.DUMMYFUNCTION("""COMPUTED_VALUE"""),"http://probaseballexperience.jcink.net/index.php?showtopic=2598")</f>
        <v>http://probaseballexperience.jcink.net/index.php?showtopic=2598</v>
      </c>
      <c r="B39" t="str">
        <f ca="1">IFERROR(__xludf.DUMMYFUNCTION("""COMPUTED_VALUE"""),"DVS")</f>
        <v>DVS</v>
      </c>
      <c r="C39" s="26" t="str">
        <f ca="1">IFERROR(__xludf.DUMMYFUNCTION("""COMPUTED_VALUE"""),"Trautner")</f>
        <v>Trautner</v>
      </c>
      <c r="D39" s="26" t="str">
        <f ca="1">IFERROR(__xludf.DUMMYFUNCTION("""COMPUTED_VALUE"""),"Jimmy Dong - CF")</f>
        <v>Jimmy Dong - CF</v>
      </c>
      <c r="E39" t="str">
        <f ca="1">IFERROR(__xludf.DUMMYFUNCTION("""COMPUTED_VALUE"""),"Jimmy Dong")</f>
        <v>Jimmy Dong</v>
      </c>
      <c r="F39" t="str">
        <f ca="1">IFERROR(__xludf.DUMMYFUNCTION("""COMPUTED_VALUE"""),"CF")</f>
        <v>CF</v>
      </c>
      <c r="G39" t="str">
        <f ca="1">IFERROR(__xludf.DUMMYFUNCTION("""COMPUTED_VALUE"""),"Balanced/Balanced")</f>
        <v>Balanced/Balanced</v>
      </c>
      <c r="H39">
        <f ca="1">IFERROR(__xludf.DUMMYFUNCTION("""COMPUTED_VALUE"""),1374)</f>
        <v>1374</v>
      </c>
      <c r="I39" s="99">
        <f ca="1">IFERROR(__xludf.DUMMYFUNCTION("""COMPUTED_VALUE"""),8.5)</f>
        <v>8.5</v>
      </c>
      <c r="J39" s="99" t="str">
        <f ca="1">IFERROR(__xludf.DUMMYFUNCTION("""COMPUTED_VALUE"""),"")</f>
        <v/>
      </c>
      <c r="K39" s="99" t="str">
        <f ca="1">IFERROR(__xludf.DUMMYFUNCTION("""COMPUTED_VALUE"""),"")</f>
        <v/>
      </c>
      <c r="L39" s="99" t="str">
        <f ca="1">IFERROR(__xludf.DUMMYFUNCTION("""COMPUTED_VALUE"""),"")</f>
        <v/>
      </c>
      <c r="M39" s="99" t="str">
        <f ca="1">IFERROR(__xludf.DUMMYFUNCTION("""COMPUTED_VALUE"""),"")</f>
        <v/>
      </c>
      <c r="N39" t="str">
        <f ca="1">IFERROR(__xludf.DUMMYFUNCTION("""COMPUTED_VALUE"""),"S7-S11 MO")</f>
        <v>S7-S11 MO</v>
      </c>
      <c r="O39" t="str">
        <f ca="1">IFERROR(__xludf.DUMMYFUNCTION("""COMPUTED_VALUE"""),"S5")</f>
        <v>S5</v>
      </c>
      <c r="P39">
        <f ca="1">IFERROR(__xludf.DUMMYFUNCTION("""COMPUTED_VALUE"""),9)</f>
        <v>9</v>
      </c>
      <c r="Q39" t="str">
        <f ca="1">IFERROR(__xludf.DUMMYFUNCTION("""COMPUTED_VALUE"""),"S5")</f>
        <v>S5</v>
      </c>
      <c r="R39" t="str">
        <f ca="1">IFERROR(__xludf.DUMMYFUNCTION("""COMPUTED_VALUE"""),"")</f>
        <v/>
      </c>
      <c r="S39" t="str">
        <f ca="1">IFERROR(__xludf.DUMMYFUNCTION("""COMPUTED_VALUE"""),"")</f>
        <v/>
      </c>
      <c r="T39" t="str">
        <f ca="1">IFERROR(__xludf.DUMMYFUNCTION("""COMPUTED_VALUE"""),"")</f>
        <v/>
      </c>
      <c r="U39" t="str">
        <f ca="1">IFERROR(__xludf.DUMMYFUNCTION("""COMPUTED_VALUE"""),"")</f>
        <v/>
      </c>
      <c r="V39" t="str">
        <f ca="1">IFERROR(__xludf.DUMMYFUNCTION("""COMPUTED_VALUE"""),"")</f>
        <v/>
      </c>
      <c r="W39" t="str">
        <f ca="1">IFERROR(__xludf.DUMMYFUNCTION("""COMPUTED_VALUE"""),"")</f>
        <v/>
      </c>
      <c r="X39">
        <f ca="1">IFERROR(__xludf.DUMMYFUNCTION("""COMPUTED_VALUE"""),4)</f>
        <v>4</v>
      </c>
      <c r="Y39">
        <f ca="1">IFERROR(__xludf.DUMMYFUNCTION("""COMPUTED_VALUE"""),4)</f>
        <v>4</v>
      </c>
    </row>
    <row r="40" spans="1:25" ht="13">
      <c r="A40" s="26" t="str">
        <f ca="1">IFERROR(__xludf.DUMMYFUNCTION("""COMPUTED_VALUE"""),"http://probaseballexperience.jcink.net/index.php?showtopic=2604")</f>
        <v>http://probaseballexperience.jcink.net/index.php?showtopic=2604</v>
      </c>
      <c r="B40" t="str">
        <f ca="1">IFERROR(__xludf.DUMMYFUNCTION("""COMPUTED_VALUE"""),"DVS")</f>
        <v>DVS</v>
      </c>
      <c r="C40" s="26" t="str">
        <f ca="1">IFERROR(__xludf.DUMMYFUNCTION("""COMPUTED_VALUE"""),"Halfygar")</f>
        <v>Halfygar</v>
      </c>
      <c r="D40" s="26" t="str">
        <f ca="1">IFERROR(__xludf.DUMMYFUNCTION("""COMPUTED_VALUE"""),"Guy Walker - CL")</f>
        <v>Guy Walker - CL</v>
      </c>
      <c r="E40" t="str">
        <f ca="1">IFERROR(__xludf.DUMMYFUNCTION("""COMPUTED_VALUE"""),"Guy Walker")</f>
        <v>Guy Walker</v>
      </c>
      <c r="F40" t="str">
        <f ca="1">IFERROR(__xludf.DUMMYFUNCTION("""COMPUTED_VALUE"""),"SP")</f>
        <v>SP</v>
      </c>
      <c r="G40" t="str">
        <f ca="1">IFERROR(__xludf.DUMMYFUNCTION("""COMPUTED_VALUE"""),"Power")</f>
        <v>Power</v>
      </c>
      <c r="H40">
        <f ca="1">IFERROR(__xludf.DUMMYFUNCTION("""COMPUTED_VALUE"""),1180)</f>
        <v>1180</v>
      </c>
      <c r="I40" s="99">
        <f ca="1">IFERROR(__xludf.DUMMYFUNCTION("""COMPUTED_VALUE"""),8)</f>
        <v>8</v>
      </c>
      <c r="J40" s="99">
        <f ca="1">IFERROR(__xludf.DUMMYFUNCTION("""COMPUTED_VALUE"""),8.25)</f>
        <v>8.25</v>
      </c>
      <c r="K40" s="99" t="str">
        <f ca="1">IFERROR(__xludf.DUMMYFUNCTION("""COMPUTED_VALUE"""),"")</f>
        <v/>
      </c>
      <c r="L40" s="99" t="str">
        <f ca="1">IFERROR(__xludf.DUMMYFUNCTION("""COMPUTED_VALUE"""),"")</f>
        <v/>
      </c>
      <c r="M40" s="99" t="str">
        <f ca="1">IFERROR(__xludf.DUMMYFUNCTION("""COMPUTED_VALUE"""),"")</f>
        <v/>
      </c>
      <c r="N40" t="str">
        <f ca="1">IFERROR(__xludf.DUMMYFUNCTION("""COMPUTED_VALUE"""),"")</f>
        <v/>
      </c>
      <c r="O40" t="str">
        <f ca="1">IFERROR(__xludf.DUMMYFUNCTION("""COMPUTED_VALUE"""),"S5")</f>
        <v>S5</v>
      </c>
      <c r="P40">
        <f ca="1">IFERROR(__xludf.DUMMYFUNCTION("""COMPUTED_VALUE"""),21)</f>
        <v>21</v>
      </c>
      <c r="Q40" t="str">
        <f ca="1">IFERROR(__xludf.DUMMYFUNCTION("""COMPUTED_VALUE"""),"S5")</f>
        <v>S5</v>
      </c>
      <c r="R40" t="str">
        <f ca="1">IFERROR(__xludf.DUMMYFUNCTION("""COMPUTED_VALUE"""),"")</f>
        <v/>
      </c>
      <c r="S40" t="str">
        <f ca="1">IFERROR(__xludf.DUMMYFUNCTION("""COMPUTED_VALUE"""),"")</f>
        <v/>
      </c>
      <c r="T40" t="str">
        <f ca="1">IFERROR(__xludf.DUMMYFUNCTION("""COMPUTED_VALUE"""),"")</f>
        <v/>
      </c>
      <c r="U40" t="str">
        <f ca="1">IFERROR(__xludf.DUMMYFUNCTION("""COMPUTED_VALUE"""),"")</f>
        <v/>
      </c>
      <c r="V40" t="str">
        <f ca="1">IFERROR(__xludf.DUMMYFUNCTION("""COMPUTED_VALUE"""),"")</f>
        <v/>
      </c>
      <c r="W40" t="str">
        <f ca="1">IFERROR(__xludf.DUMMYFUNCTION("""COMPUTED_VALUE"""),"")</f>
        <v/>
      </c>
      <c r="X40">
        <f ca="1">IFERROR(__xludf.DUMMYFUNCTION("""COMPUTED_VALUE"""),4)</f>
        <v>4</v>
      </c>
      <c r="Y40">
        <f ca="1">IFERROR(__xludf.DUMMYFUNCTION("""COMPUTED_VALUE"""),4)</f>
        <v>4</v>
      </c>
    </row>
    <row r="41" spans="1:25" ht="13">
      <c r="A41" s="26" t="str">
        <f ca="1">IFERROR(__xludf.DUMMYFUNCTION("""COMPUTED_VALUE"""),"http://probaseballexperience.jcink.net/index.php?showtopic=2906")</f>
        <v>http://probaseballexperience.jcink.net/index.php?showtopic=2906</v>
      </c>
      <c r="B41" t="str">
        <f ca="1">IFERROR(__xludf.DUMMYFUNCTION("""COMPUTED_VALUE"""),"DVS")</f>
        <v>DVS</v>
      </c>
      <c r="C41" s="26" t="str">
        <f ca="1">IFERROR(__xludf.DUMMYFUNCTION("""COMPUTED_VALUE"""),"caltroit_red_flames")</f>
        <v>caltroit_red_flames</v>
      </c>
      <c r="D41" s="26" t="str">
        <f ca="1">IFERROR(__xludf.DUMMYFUNCTION("""COMPUTED_VALUE"""),"Speedy Boi - CF")</f>
        <v>Speedy Boi - CF</v>
      </c>
      <c r="E41" t="str">
        <f ca="1">IFERROR(__xludf.DUMMYFUNCTION("""COMPUTED_VALUE"""),"Speedy Boi")</f>
        <v>Speedy Boi</v>
      </c>
      <c r="F41" t="str">
        <f ca="1">IFERROR(__xludf.DUMMYFUNCTION("""COMPUTED_VALUE"""),"LF")</f>
        <v>LF</v>
      </c>
      <c r="G41" t="str">
        <f ca="1">IFERROR(__xludf.DUMMYFUNCTION("""COMPUTED_VALUE"""),"Speed/Speed")</f>
        <v>Speed/Speed</v>
      </c>
      <c r="H41">
        <f ca="1">IFERROR(__xludf.DUMMYFUNCTION("""COMPUTED_VALUE"""),1005)</f>
        <v>1005</v>
      </c>
      <c r="I41" s="99">
        <f ca="1">IFERROR(__xludf.DUMMYFUNCTION("""COMPUTED_VALUE"""),7.75)</f>
        <v>7.75</v>
      </c>
      <c r="J41" s="99" t="str">
        <f ca="1">IFERROR(__xludf.DUMMYFUNCTION("""COMPUTED_VALUE"""),"")</f>
        <v/>
      </c>
      <c r="K41" s="99" t="str">
        <f ca="1">IFERROR(__xludf.DUMMYFUNCTION("""COMPUTED_VALUE"""),"")</f>
        <v/>
      </c>
      <c r="L41" s="99" t="str">
        <f ca="1">IFERROR(__xludf.DUMMYFUNCTION("""COMPUTED_VALUE"""),"")</f>
        <v/>
      </c>
      <c r="M41" s="99" t="str">
        <f ca="1">IFERROR(__xludf.DUMMYFUNCTION("""COMPUTED_VALUE"""),"")</f>
        <v/>
      </c>
      <c r="N41" t="str">
        <f ca="1">IFERROR(__xludf.DUMMYFUNCTION("""COMPUTED_VALUE"""),"")</f>
        <v/>
      </c>
      <c r="O41" t="str">
        <f ca="1">IFERROR(__xludf.DUMMYFUNCTION("""COMPUTED_VALUE"""),"S6")</f>
        <v>S6</v>
      </c>
      <c r="P41">
        <f ca="1">IFERROR(__xludf.DUMMYFUNCTION("""COMPUTED_VALUE"""),1)</f>
        <v>1</v>
      </c>
      <c r="Q41" t="str">
        <f ca="1">IFERROR(__xludf.DUMMYFUNCTION("""COMPUTED_VALUE"""),"S5")</f>
        <v>S5</v>
      </c>
      <c r="R41" t="str">
        <f ca="1">IFERROR(__xludf.DUMMYFUNCTION("""COMPUTED_VALUE"""),"")</f>
        <v/>
      </c>
      <c r="S41" t="str">
        <f ca="1">IFERROR(__xludf.DUMMYFUNCTION("""COMPUTED_VALUE"""),"")</f>
        <v/>
      </c>
      <c r="T41" t="str">
        <f ca="1">IFERROR(__xludf.DUMMYFUNCTION("""COMPUTED_VALUE"""),"")</f>
        <v/>
      </c>
      <c r="U41" t="str">
        <f ca="1">IFERROR(__xludf.DUMMYFUNCTION("""COMPUTED_VALUE"""),"")</f>
        <v/>
      </c>
      <c r="V41" t="str">
        <f ca="1">IFERROR(__xludf.DUMMYFUNCTION("""COMPUTED_VALUE"""),"")</f>
        <v/>
      </c>
      <c r="W41" t="str">
        <f ca="1">IFERROR(__xludf.DUMMYFUNCTION("""COMPUTED_VALUE"""),"")</f>
        <v/>
      </c>
      <c r="X41" t="str">
        <f ca="1">IFERROR(__xludf.DUMMYFUNCTION("""COMPUTED_VALUE"""),"")</f>
        <v/>
      </c>
      <c r="Y41">
        <f ca="1">IFERROR(__xludf.DUMMYFUNCTION("""COMPUTED_VALUE"""),7)</f>
        <v>7</v>
      </c>
    </row>
    <row r="42" spans="1:25" ht="13">
      <c r="A42" s="26" t="str">
        <f ca="1">IFERROR(__xludf.DUMMYFUNCTION("""COMPUTED_VALUE"""),"http://probaseballexperience.jcink.net/index.php?showtopic=2591")</f>
        <v>http://probaseballexperience.jcink.net/index.php?showtopic=2591</v>
      </c>
      <c r="B42" t="str">
        <f ca="1">IFERROR(__xludf.DUMMYFUNCTION("""COMPUTED_VALUE"""),"DVS")</f>
        <v>DVS</v>
      </c>
      <c r="C42" s="26" t="str">
        <f ca="1">IFERROR(__xludf.DUMMYFUNCTION("""COMPUTED_VALUE"""),"Anderson Pooper")</f>
        <v>Anderson Pooper</v>
      </c>
      <c r="D42" s="26" t="str">
        <f ca="1">IFERROR(__xludf.DUMMYFUNCTION("""COMPUTED_VALUE"""),"Anderson Pooper - SP")</f>
        <v>Anderson Pooper - SP</v>
      </c>
      <c r="E42" t="str">
        <f ca="1">IFERROR(__xludf.DUMMYFUNCTION("""COMPUTED_VALUE"""),"Anderson Pooper")</f>
        <v>Anderson Pooper</v>
      </c>
      <c r="F42" t="str">
        <f ca="1">IFERROR(__xludf.DUMMYFUNCTION("""COMPUTED_VALUE"""),"SP")</f>
        <v>SP</v>
      </c>
      <c r="G42" t="str">
        <f ca="1">IFERROR(__xludf.DUMMYFUNCTION("""COMPUTED_VALUE"""),"Balanced")</f>
        <v>Balanced</v>
      </c>
      <c r="H42">
        <f ca="1">IFERROR(__xludf.DUMMYFUNCTION("""COMPUTED_VALUE"""),787)</f>
        <v>787</v>
      </c>
      <c r="I42" s="99">
        <f ca="1">IFERROR(__xludf.DUMMYFUNCTION("""COMPUTED_VALUE"""),5)</f>
        <v>5</v>
      </c>
      <c r="J42" s="99" t="str">
        <f ca="1">IFERROR(__xludf.DUMMYFUNCTION("""COMPUTED_VALUE"""),"")</f>
        <v/>
      </c>
      <c r="K42" s="99" t="str">
        <f ca="1">IFERROR(__xludf.DUMMYFUNCTION("""COMPUTED_VALUE"""),"")</f>
        <v/>
      </c>
      <c r="L42" s="99" t="str">
        <f ca="1">IFERROR(__xludf.DUMMYFUNCTION("""COMPUTED_VALUE"""),"")</f>
        <v/>
      </c>
      <c r="M42" s="99" t="str">
        <f ca="1">IFERROR(__xludf.DUMMYFUNCTION("""COMPUTED_VALUE"""),"")</f>
        <v/>
      </c>
      <c r="N42" t="str">
        <f ca="1">IFERROR(__xludf.DUMMYFUNCTION("""COMPUTED_VALUE"""),"")</f>
        <v/>
      </c>
      <c r="O42" t="str">
        <f ca="1">IFERROR(__xludf.DUMMYFUNCTION("""COMPUTED_VALUE"""),"S5")</f>
        <v>S5</v>
      </c>
      <c r="P42">
        <f ca="1">IFERROR(__xludf.DUMMYFUNCTION("""COMPUTED_VALUE"""),29)</f>
        <v>29</v>
      </c>
      <c r="Q42" t="str">
        <f ca="1">IFERROR(__xludf.DUMMYFUNCTION("""COMPUTED_VALUE"""),"S5")</f>
        <v>S5</v>
      </c>
      <c r="R42" t="str">
        <f ca="1">IFERROR(__xludf.DUMMYFUNCTION("""COMPUTED_VALUE"""),"")</f>
        <v/>
      </c>
      <c r="S42" t="str">
        <f ca="1">IFERROR(__xludf.DUMMYFUNCTION("""COMPUTED_VALUE"""),"")</f>
        <v/>
      </c>
      <c r="T42" t="str">
        <f ca="1">IFERROR(__xludf.DUMMYFUNCTION("""COMPUTED_VALUE"""),"")</f>
        <v/>
      </c>
      <c r="U42" t="str">
        <f ca="1">IFERROR(__xludf.DUMMYFUNCTION("""COMPUTED_VALUE"""),"")</f>
        <v/>
      </c>
      <c r="V42" t="str">
        <f ca="1">IFERROR(__xludf.DUMMYFUNCTION("""COMPUTED_VALUE"""),"")</f>
        <v/>
      </c>
      <c r="W42" t="str">
        <f ca="1">IFERROR(__xludf.DUMMYFUNCTION("""COMPUTED_VALUE"""),"")</f>
        <v/>
      </c>
      <c r="X42" t="str">
        <f ca="1">IFERROR(__xludf.DUMMYFUNCTION("""COMPUTED_VALUE"""),"")</f>
        <v/>
      </c>
      <c r="Y42">
        <f ca="1">IFERROR(__xludf.DUMMYFUNCTION("""COMPUTED_VALUE"""),2)</f>
        <v>2</v>
      </c>
    </row>
    <row r="43" spans="1:25" ht="13">
      <c r="A43" s="26" t="str">
        <f ca="1">IFERROR(__xludf.DUMMYFUNCTION("""COMPUTED_VALUE"""),"http://probaseballexperience.jcink.net/index.php?showtopic=3476")</f>
        <v>http://probaseballexperience.jcink.net/index.php?showtopic=3476</v>
      </c>
      <c r="B43" t="str">
        <f ca="1">IFERROR(__xludf.DUMMYFUNCTION("""COMPUTED_VALUE"""),"DVS")</f>
        <v>DVS</v>
      </c>
      <c r="C43" s="26" t="str">
        <f ca="1">IFERROR(__xludf.DUMMYFUNCTION("""COMPUTED_VALUE"""),"Blastmeaway")</f>
        <v>Blastmeaway</v>
      </c>
      <c r="D43" s="26" t="str">
        <f ca="1">IFERROR(__xludf.DUMMYFUNCTION("""COMPUTED_VALUE"""),"Amp Bogart - RF")</f>
        <v>Amp Bogart - RF</v>
      </c>
      <c r="E43" t="str">
        <f ca="1">IFERROR(__xludf.DUMMYFUNCTION("""COMPUTED_VALUE"""),"Amp Bogart")</f>
        <v>Amp Bogart</v>
      </c>
      <c r="F43" t="str">
        <f ca="1">IFERROR(__xludf.DUMMYFUNCTION("""COMPUTED_VALUE"""),"RF")</f>
        <v>RF</v>
      </c>
      <c r="G43" t="str">
        <f ca="1">IFERROR(__xludf.DUMMYFUNCTION("""COMPUTED_VALUE"""),"Power/Arm")</f>
        <v>Power/Arm</v>
      </c>
      <c r="H43">
        <f ca="1">IFERROR(__xludf.DUMMYFUNCTION("""COMPUTED_VALUE"""),651)</f>
        <v>651</v>
      </c>
      <c r="I43" s="99">
        <f ca="1">IFERROR(__xludf.DUMMYFUNCTION("""COMPUTED_VALUE"""),5)</f>
        <v>5</v>
      </c>
      <c r="J43" s="99">
        <f ca="1">IFERROR(__xludf.DUMMYFUNCTION("""COMPUTED_VALUE"""),6.5)</f>
        <v>6.5</v>
      </c>
      <c r="K43" s="99">
        <f ca="1">IFERROR(__xludf.DUMMYFUNCTION("""COMPUTED_VALUE"""),7.25)</f>
        <v>7.25</v>
      </c>
      <c r="L43" s="99">
        <f ca="1">IFERROR(__xludf.DUMMYFUNCTION("""COMPUTED_VALUE"""),8.5)</f>
        <v>8.5</v>
      </c>
      <c r="M43" s="99">
        <f ca="1">IFERROR(__xludf.DUMMYFUNCTION("""COMPUTED_VALUE"""),9)</f>
        <v>9</v>
      </c>
      <c r="N43" s="26" t="str">
        <f ca="1">IFERROR(__xludf.DUMMYFUNCTION("""COMPUTED_VALUE"""),"http://probaseballexperience.jcink.net/index.php?showtopic=5553")</f>
        <v>http://probaseballexperience.jcink.net/index.php?showtopic=5553</v>
      </c>
      <c r="O43" t="str">
        <f ca="1">IFERROR(__xludf.DUMMYFUNCTION("""COMPUTED_VALUE"""),"S7")</f>
        <v>S7</v>
      </c>
      <c r="P43">
        <f ca="1">IFERROR(__xludf.DUMMYFUNCTION("""COMPUTED_VALUE"""),1)</f>
        <v>1</v>
      </c>
      <c r="Q43" t="str">
        <f ca="1">IFERROR(__xludf.DUMMYFUNCTION("""COMPUTED_VALUE"""),"S7")</f>
        <v>S7</v>
      </c>
      <c r="R43" t="str">
        <f ca="1">IFERROR(__xludf.DUMMYFUNCTION("""COMPUTED_VALUE"""),"")</f>
        <v/>
      </c>
      <c r="S43" t="str">
        <f ca="1">IFERROR(__xludf.DUMMYFUNCTION("""COMPUTED_VALUE"""),"")</f>
        <v/>
      </c>
      <c r="T43" t="str">
        <f ca="1">IFERROR(__xludf.DUMMYFUNCTION("""COMPUTED_VALUE"""),"")</f>
        <v/>
      </c>
      <c r="U43" t="str">
        <f ca="1">IFERROR(__xludf.DUMMYFUNCTION("""COMPUTED_VALUE"""),"")</f>
        <v/>
      </c>
      <c r="V43" t="str">
        <f ca="1">IFERROR(__xludf.DUMMYFUNCTION("""COMPUTED_VALUE"""),"")</f>
        <v/>
      </c>
      <c r="W43" t="str">
        <f ca="1">IFERROR(__xludf.DUMMYFUNCTION("""COMPUTED_VALUE"""),"")</f>
        <v/>
      </c>
      <c r="X43" t="str">
        <f ca="1">IFERROR(__xludf.DUMMYFUNCTION("""COMPUTED_VALUE"""),"")</f>
        <v/>
      </c>
      <c r="Y43" t="str">
        <f ca="1">IFERROR(__xludf.DUMMYFUNCTION("""COMPUTED_VALUE"""),"")</f>
        <v/>
      </c>
    </row>
    <row r="44" spans="1:25" ht="13">
      <c r="A44" s="26" t="str">
        <f ca="1">IFERROR(__xludf.DUMMYFUNCTION("""COMPUTED_VALUE"""),"http://probaseballexperience.jcink.net/index.php?showtopic=4032")</f>
        <v>http://probaseballexperience.jcink.net/index.php?showtopic=4032</v>
      </c>
      <c r="B44" t="str">
        <f ca="1">IFERROR(__xludf.DUMMYFUNCTION("""COMPUTED_VALUE"""),"DVS")</f>
        <v>DVS</v>
      </c>
      <c r="C44" s="26" t="str">
        <f ca="1">IFERROR(__xludf.DUMMYFUNCTION("""COMPUTED_VALUE"""),"kentuckycolonel")</f>
        <v>kentuckycolonel</v>
      </c>
      <c r="D44" s="26" t="str">
        <f ca="1">IFERROR(__xludf.DUMMYFUNCTION("""COMPUTED_VALUE"""),"Frederick Birdington - SP")</f>
        <v>Frederick Birdington - SP</v>
      </c>
      <c r="E44" t="str">
        <f ca="1">IFERROR(__xludf.DUMMYFUNCTION("""COMPUTED_VALUE"""),"Frederick Birdington")</f>
        <v>Frederick Birdington</v>
      </c>
      <c r="F44" t="str">
        <f ca="1">IFERROR(__xludf.DUMMYFUNCTION("""COMPUTED_VALUE"""),"SP")</f>
        <v>SP</v>
      </c>
      <c r="G44" t="str">
        <f ca="1">IFERROR(__xludf.DUMMYFUNCTION("""COMPUTED_VALUE"""),"Balanced")</f>
        <v>Balanced</v>
      </c>
      <c r="H44">
        <f ca="1">IFERROR(__xludf.DUMMYFUNCTION("""COMPUTED_VALUE"""),711)</f>
        <v>711</v>
      </c>
      <c r="I44" s="99">
        <f ca="1">IFERROR(__xludf.DUMMYFUNCTION("""COMPUTED_VALUE"""),5)</f>
        <v>5</v>
      </c>
      <c r="J44" s="99">
        <f ca="1">IFERROR(__xludf.DUMMYFUNCTION("""COMPUTED_VALUE"""),6.5)</f>
        <v>6.5</v>
      </c>
      <c r="K44" s="99">
        <f ca="1">IFERROR(__xludf.DUMMYFUNCTION("""COMPUTED_VALUE"""),7.25)</f>
        <v>7.25</v>
      </c>
      <c r="L44" s="99">
        <f ca="1">IFERROR(__xludf.DUMMYFUNCTION("""COMPUTED_VALUE"""),8.5)</f>
        <v>8.5</v>
      </c>
      <c r="M44" s="99">
        <f ca="1">IFERROR(__xludf.DUMMYFUNCTION("""COMPUTED_VALUE"""),9)</f>
        <v>9</v>
      </c>
      <c r="N44" s="26" t="str">
        <f ca="1">IFERROR(__xludf.DUMMYFUNCTION("""COMPUTED_VALUE"""),"http://probaseballexperience.jcink.net/index.php?showtopic=5553")</f>
        <v>http://probaseballexperience.jcink.net/index.php?showtopic=5553</v>
      </c>
      <c r="O44" t="str">
        <f ca="1">IFERROR(__xludf.DUMMYFUNCTION("""COMPUTED_VALUE"""),"S8")</f>
        <v>S8</v>
      </c>
      <c r="P44">
        <f ca="1">IFERROR(__xludf.DUMMYFUNCTION("""COMPUTED_VALUE"""),4)</f>
        <v>4</v>
      </c>
      <c r="Q44" t="str">
        <f ca="1">IFERROR(__xludf.DUMMYFUNCTION("""COMPUTED_VALUE"""),"S8")</f>
        <v>S8</v>
      </c>
      <c r="R44" t="str">
        <f ca="1">IFERROR(__xludf.DUMMYFUNCTION("""COMPUTED_VALUE"""),"")</f>
        <v/>
      </c>
      <c r="S44" t="str">
        <f ca="1">IFERROR(__xludf.DUMMYFUNCTION("""COMPUTED_VALUE"""),"")</f>
        <v/>
      </c>
      <c r="T44" t="str">
        <f ca="1">IFERROR(__xludf.DUMMYFUNCTION("""COMPUTED_VALUE"""),"")</f>
        <v/>
      </c>
      <c r="U44" t="str">
        <f ca="1">IFERROR(__xludf.DUMMYFUNCTION("""COMPUTED_VALUE"""),"")</f>
        <v/>
      </c>
      <c r="V44" t="str">
        <f ca="1">IFERROR(__xludf.DUMMYFUNCTION("""COMPUTED_VALUE"""),"")</f>
        <v/>
      </c>
      <c r="W44" t="str">
        <f ca="1">IFERROR(__xludf.DUMMYFUNCTION("""COMPUTED_VALUE"""),"")</f>
        <v/>
      </c>
      <c r="X44" t="str">
        <f ca="1">IFERROR(__xludf.DUMMYFUNCTION("""COMPUTED_VALUE"""),"")</f>
        <v/>
      </c>
      <c r="Y44" t="str">
        <f ca="1">IFERROR(__xludf.DUMMYFUNCTION("""COMPUTED_VALUE"""),"")</f>
        <v/>
      </c>
    </row>
    <row r="45" spans="1:25" ht="13">
      <c r="A45" s="26" t="str">
        <f ca="1">IFERROR(__xludf.DUMMYFUNCTION("""COMPUTED_VALUE"""),"http://probaseballexperience.jcink.net/index.php?showtopic=3104")</f>
        <v>http://probaseballexperience.jcink.net/index.php?showtopic=3104</v>
      </c>
      <c r="B45" t="str">
        <f ca="1">IFERROR(__xludf.DUMMYFUNCTION("""COMPUTED_VALUE"""),"DVS")</f>
        <v>DVS</v>
      </c>
      <c r="C45" s="26" t="str">
        <f ca="1">IFERROR(__xludf.DUMMYFUNCTION("""COMPUTED_VALUE"""),"andybj")</f>
        <v>andybj</v>
      </c>
      <c r="D45" s="26" t="str">
        <f ca="1">IFERROR(__xludf.DUMMYFUNCTION("""COMPUTED_VALUE"""),"Catolo Kittone - C")</f>
        <v>Catolo Kittone - C</v>
      </c>
      <c r="E45" t="str">
        <f ca="1">IFERROR(__xludf.DUMMYFUNCTION("""COMPUTED_VALUE"""),"Catolo Kittone")</f>
        <v>Catolo Kittone</v>
      </c>
      <c r="F45" t="str">
        <f ca="1">IFERROR(__xludf.DUMMYFUNCTION("""COMPUTED_VALUE"""),"C")</f>
        <v>C</v>
      </c>
      <c r="G45" t="str">
        <f ca="1">IFERROR(__xludf.DUMMYFUNCTION("""COMPUTED_VALUE"""),"Contact/React")</f>
        <v>Contact/React</v>
      </c>
      <c r="H45">
        <f ca="1">IFERROR(__xludf.DUMMYFUNCTION("""COMPUTED_VALUE"""),629)</f>
        <v>629</v>
      </c>
      <c r="I45" s="99">
        <f ca="1">IFERROR(__xludf.DUMMYFUNCTION("""COMPUTED_VALUE"""),5)</f>
        <v>5</v>
      </c>
      <c r="J45" s="99" t="str">
        <f ca="1">IFERROR(__xludf.DUMMYFUNCTION("""COMPUTED_VALUE"""),"")</f>
        <v/>
      </c>
      <c r="K45" s="99" t="str">
        <f ca="1">IFERROR(__xludf.DUMMYFUNCTION("""COMPUTED_VALUE"""),"")</f>
        <v/>
      </c>
      <c r="L45" s="99" t="str">
        <f ca="1">IFERROR(__xludf.DUMMYFUNCTION("""COMPUTED_VALUE"""),"")</f>
        <v/>
      </c>
      <c r="M45" s="99" t="str">
        <f ca="1">IFERROR(__xludf.DUMMYFUNCTION("""COMPUTED_VALUE"""),"")</f>
        <v/>
      </c>
      <c r="N45" t="str">
        <f ca="1">IFERROR(__xludf.DUMMYFUNCTION("""COMPUTED_VALUE"""),"")</f>
        <v/>
      </c>
      <c r="O45" t="str">
        <f ca="1">IFERROR(__xludf.DUMMYFUNCTION("""COMPUTED_VALUE"""),"S6")</f>
        <v>S6</v>
      </c>
      <c r="P45">
        <f ca="1">IFERROR(__xludf.DUMMYFUNCTION("""COMPUTED_VALUE"""),11)</f>
        <v>11</v>
      </c>
      <c r="Q45" t="str">
        <f ca="1">IFERROR(__xludf.DUMMYFUNCTION("""COMPUTED_VALUE"""),"S6")</f>
        <v>S6</v>
      </c>
      <c r="R45" t="str">
        <f ca="1">IFERROR(__xludf.DUMMYFUNCTION("""COMPUTED_VALUE"""),"ASE")</f>
        <v>ASE</v>
      </c>
      <c r="S45">
        <f ca="1">IFERROR(__xludf.DUMMYFUNCTION("""COMPUTED_VALUE"""),6)</f>
        <v>6</v>
      </c>
      <c r="T45">
        <f ca="1">IFERROR(__xludf.DUMMYFUNCTION("""COMPUTED_VALUE"""),4)</f>
        <v>4</v>
      </c>
      <c r="U45" t="str">
        <f ca="1">IFERROR(__xludf.DUMMYFUNCTION("""COMPUTED_VALUE"""),"")</f>
        <v/>
      </c>
      <c r="V45" t="str">
        <f ca="1">IFERROR(__xludf.DUMMYFUNCTION("""COMPUTED_VALUE"""),"")</f>
        <v/>
      </c>
      <c r="W45" t="str">
        <f ca="1">IFERROR(__xludf.DUMMYFUNCTION("""COMPUTED_VALUE"""),"")</f>
        <v/>
      </c>
      <c r="X45" t="str">
        <f ca="1">IFERROR(__xludf.DUMMYFUNCTION("""COMPUTED_VALUE"""),"")</f>
        <v/>
      </c>
      <c r="Y45">
        <f ca="1">IFERROR(__xludf.DUMMYFUNCTION("""COMPUTED_VALUE"""),2)</f>
        <v>2</v>
      </c>
    </row>
    <row r="46" spans="1:25" ht="13">
      <c r="A46" s="26" t="str">
        <f ca="1">IFERROR(__xludf.DUMMYFUNCTION("""COMPUTED_VALUE"""),"http://probaseballexperience.jcink.net/index.php?showtopic=1161")</f>
        <v>http://probaseballexperience.jcink.net/index.php?showtopic=1161</v>
      </c>
      <c r="B46" t="str">
        <f ca="1">IFERROR(__xludf.DUMMYFUNCTION("""COMPUTED_VALUE"""),"OBX")</f>
        <v>OBX</v>
      </c>
      <c r="C46" s="26" t="str">
        <f ca="1">IFERROR(__xludf.DUMMYFUNCTION("""COMPUTED_VALUE"""),"LGM2018")</f>
        <v>LGM2018</v>
      </c>
      <c r="D46" s="26" t="str">
        <f ca="1">IFERROR(__xludf.DUMMYFUNCTION("""COMPUTED_VALUE"""),"Phillip Thompson - SP")</f>
        <v>Phillip Thompson - SP</v>
      </c>
      <c r="E46" t="str">
        <f ca="1">IFERROR(__xludf.DUMMYFUNCTION("""COMPUTED_VALUE"""),"Phillip Thompson")</f>
        <v>Phillip Thompson</v>
      </c>
      <c r="F46" t="str">
        <f ca="1">IFERROR(__xludf.DUMMYFUNCTION("""COMPUTED_VALUE"""),"SP")</f>
        <v>SP</v>
      </c>
      <c r="G46" t="str">
        <f ca="1">IFERROR(__xludf.DUMMYFUNCTION("""COMPUTED_VALUE"""),"Knuckleball")</f>
        <v>Knuckleball</v>
      </c>
      <c r="H46">
        <f ca="1">IFERROR(__xludf.DUMMYFUNCTION("""COMPUTED_VALUE"""),1438)</f>
        <v>1438</v>
      </c>
      <c r="I46" s="99">
        <f ca="1">IFERROR(__xludf.DUMMYFUNCTION("""COMPUTED_VALUE"""),9.5)</f>
        <v>9.5</v>
      </c>
      <c r="J46" s="99">
        <f ca="1">IFERROR(__xludf.DUMMYFUNCTION("""COMPUTED_VALUE"""),9.75)</f>
        <v>9.75</v>
      </c>
      <c r="K46" s="99">
        <f ca="1">IFERROR(__xludf.DUMMYFUNCTION("""COMPUTED_VALUE"""),10)</f>
        <v>10</v>
      </c>
      <c r="L46" s="99">
        <f ca="1">IFERROR(__xludf.DUMMYFUNCTION("""COMPUTED_VALUE"""),10)</f>
        <v>10</v>
      </c>
      <c r="M46" s="99" t="str">
        <f ca="1">IFERROR(__xludf.DUMMYFUNCTION("""COMPUTED_VALUE"""),"")</f>
        <v/>
      </c>
      <c r="N46" t="str">
        <f ca="1">IFERROR(__xludf.DUMMYFUNCTION("""COMPUTED_VALUE"""),"S9/12/14 TO")</f>
        <v>S9/12/14 TO</v>
      </c>
      <c r="O46" t="str">
        <f ca="1">IFERROR(__xludf.DUMMYFUNCTION("""COMPUTED_VALUE"""),"S2")</f>
        <v>S2</v>
      </c>
      <c r="P46">
        <f ca="1">IFERROR(__xludf.DUMMYFUNCTION("""COMPUTED_VALUE"""),16)</f>
        <v>16</v>
      </c>
      <c r="Q46" t="str">
        <f ca="1">IFERROR(__xludf.DUMMYFUNCTION("""COMPUTED_VALUE"""),"S2")</f>
        <v>S2</v>
      </c>
      <c r="R46" t="str">
        <f ca="1">IFERROR(__xludf.DUMMYFUNCTION("""COMPUTED_VALUE"""),"")</f>
        <v/>
      </c>
      <c r="S46" t="str">
        <f ca="1">IFERROR(__xludf.DUMMYFUNCTION("""COMPUTED_VALUE"""),"")</f>
        <v/>
      </c>
      <c r="T46" t="str">
        <f ca="1">IFERROR(__xludf.DUMMYFUNCTION("""COMPUTED_VALUE"""),"")</f>
        <v/>
      </c>
      <c r="U46" t="str">
        <f ca="1">IFERROR(__xludf.DUMMYFUNCTION("""COMPUTED_VALUE"""),"")</f>
        <v/>
      </c>
      <c r="V46">
        <f ca="1">IFERROR(__xludf.DUMMYFUNCTION("""COMPUTED_VALUE"""),2)</f>
        <v>2</v>
      </c>
      <c r="W46">
        <f ca="1">IFERROR(__xludf.DUMMYFUNCTION("""COMPUTED_VALUE"""),2)</f>
        <v>2</v>
      </c>
      <c r="X46">
        <f ca="1">IFERROR(__xludf.DUMMYFUNCTION("""COMPUTED_VALUE"""),6.5)</f>
        <v>6.5</v>
      </c>
      <c r="Y46">
        <f ca="1">IFERROR(__xludf.DUMMYFUNCTION("""COMPUTED_VALUE"""),7.25)</f>
        <v>7.25</v>
      </c>
    </row>
    <row r="47" spans="1:25" ht="13">
      <c r="A47" s="26" t="str">
        <f ca="1">IFERROR(__xludf.DUMMYFUNCTION("""COMPUTED_VALUE"""),"http://probaseballexperience.jcink.net/index.php?showtopic=1045")</f>
        <v>http://probaseballexperience.jcink.net/index.php?showtopic=1045</v>
      </c>
      <c r="B47" t="str">
        <f ca="1">IFERROR(__xludf.DUMMYFUNCTION("""COMPUTED_VALUE"""),"OBX")</f>
        <v>OBX</v>
      </c>
      <c r="C47" s="26" t="str">
        <f ca="1">IFERROR(__xludf.DUMMYFUNCTION("""COMPUTED_VALUE"""),"MrStennett")</f>
        <v>MrStennett</v>
      </c>
      <c r="D47" s="26" t="str">
        <f ca="1">IFERROR(__xludf.DUMMYFUNCTION("""COMPUTED_VALUE"""),"Jake Stennett - RF")</f>
        <v>Jake Stennett - RF</v>
      </c>
      <c r="E47" t="str">
        <f ca="1">IFERROR(__xludf.DUMMYFUNCTION("""COMPUTED_VALUE"""),"Jake Stennett")</f>
        <v>Jake Stennett</v>
      </c>
      <c r="F47" t="str">
        <f ca="1">IFERROR(__xludf.DUMMYFUNCTION("""COMPUTED_VALUE"""),"RF")</f>
        <v>RF</v>
      </c>
      <c r="G47" t="str">
        <f ca="1">IFERROR(__xludf.DUMMYFUNCTION("""COMPUTED_VALUE"""),"Balanced/Arm")</f>
        <v>Balanced/Arm</v>
      </c>
      <c r="H47">
        <f ca="1">IFERROR(__xludf.DUMMYFUNCTION("""COMPUTED_VALUE"""),1504)</f>
        <v>1504</v>
      </c>
      <c r="I47" s="99">
        <f ca="1">IFERROR(__xludf.DUMMYFUNCTION("""COMPUTED_VALUE"""),9.5)</f>
        <v>9.5</v>
      </c>
      <c r="J47" s="99" t="str">
        <f ca="1">IFERROR(__xludf.DUMMYFUNCTION("""COMPUTED_VALUE"""),"")</f>
        <v/>
      </c>
      <c r="K47" s="99" t="str">
        <f ca="1">IFERROR(__xludf.DUMMYFUNCTION("""COMPUTED_VALUE"""),"")</f>
        <v/>
      </c>
      <c r="L47" s="99" t="str">
        <f ca="1">IFERROR(__xludf.DUMMYFUNCTION("""COMPUTED_VALUE"""),"")</f>
        <v/>
      </c>
      <c r="M47" s="99" t="str">
        <f ca="1">IFERROR(__xludf.DUMMYFUNCTION("""COMPUTED_VALUE"""),"")</f>
        <v/>
      </c>
      <c r="N47" t="str">
        <f ca="1">IFERROR(__xludf.DUMMYFUNCTION("""COMPUTED_VALUE"""),"")</f>
        <v/>
      </c>
      <c r="O47" t="str">
        <f ca="1">IFERROR(__xludf.DUMMYFUNCTION("""COMPUTED_VALUE"""),"S2")</f>
        <v>S2</v>
      </c>
      <c r="P47">
        <f ca="1">IFERROR(__xludf.DUMMYFUNCTION("""COMPUTED_VALUE"""),17)</f>
        <v>17</v>
      </c>
      <c r="Q47" t="str">
        <f ca="1">IFERROR(__xludf.DUMMYFUNCTION("""COMPUTED_VALUE"""),"S2")</f>
        <v>S2</v>
      </c>
      <c r="R47" t="str">
        <f ca="1">IFERROR(__xludf.DUMMYFUNCTION("""COMPUTED_VALUE"""),"")</f>
        <v/>
      </c>
      <c r="S47" t="str">
        <f ca="1">IFERROR(__xludf.DUMMYFUNCTION("""COMPUTED_VALUE"""),"")</f>
        <v/>
      </c>
      <c r="T47" t="str">
        <f ca="1">IFERROR(__xludf.DUMMYFUNCTION("""COMPUTED_VALUE"""),"")</f>
        <v/>
      </c>
      <c r="U47" t="str">
        <f ca="1">IFERROR(__xludf.DUMMYFUNCTION("""COMPUTED_VALUE"""),"")</f>
        <v/>
      </c>
      <c r="V47" t="str">
        <f ca="1">IFERROR(__xludf.DUMMYFUNCTION("""COMPUTED_VALUE"""),"")</f>
        <v/>
      </c>
      <c r="W47">
        <f ca="1">IFERROR(__xludf.DUMMYFUNCTION("""COMPUTED_VALUE"""),3)</f>
        <v>3</v>
      </c>
      <c r="X47">
        <f ca="1">IFERROR(__xludf.DUMMYFUNCTION("""COMPUTED_VALUE"""),3)</f>
        <v>3</v>
      </c>
      <c r="Y47">
        <f ca="1">IFERROR(__xludf.DUMMYFUNCTION("""COMPUTED_VALUE"""),7)</f>
        <v>7</v>
      </c>
    </row>
    <row r="48" spans="1:25" ht="13">
      <c r="A48" s="26" t="str">
        <f ca="1">IFERROR(__xludf.DUMMYFUNCTION("""COMPUTED_VALUE"""),"http://probaseballexperience.jcink.net/index.php?showtopic=66")</f>
        <v>http://probaseballexperience.jcink.net/index.php?showtopic=66</v>
      </c>
      <c r="B48" t="str">
        <f ca="1">IFERROR(__xludf.DUMMYFUNCTION("""COMPUTED_VALUE"""),"OBX")</f>
        <v>OBX</v>
      </c>
      <c r="C48" s="26" t="str">
        <f ca="1">IFERROR(__xludf.DUMMYFUNCTION("""COMPUTED_VALUE"""),"ckroyal92")</f>
        <v>ckroyal92</v>
      </c>
      <c r="D48" s="26" t="str">
        <f ca="1">IFERROR(__xludf.DUMMYFUNCTION("""COMPUTED_VALUE"""),"Kenny McCormick - 2B")</f>
        <v>Kenny McCormick - 2B</v>
      </c>
      <c r="E48" t="str">
        <f ca="1">IFERROR(__xludf.DUMMYFUNCTION("""COMPUTED_VALUE"""),"Kenny McCormick")</f>
        <v>Kenny McCormick</v>
      </c>
      <c r="F48" t="str">
        <f ca="1">IFERROR(__xludf.DUMMYFUNCTION("""COMPUTED_VALUE"""),"2B")</f>
        <v>2B</v>
      </c>
      <c r="G48" t="str">
        <f ca="1">IFERROR(__xludf.DUMMYFUNCTION("""COMPUTED_VALUE"""),"Contact/Quick")</f>
        <v>Contact/Quick</v>
      </c>
      <c r="H48">
        <f ca="1">IFERROR(__xludf.DUMMYFUNCTION("""COMPUTED_VALUE"""),1239)</f>
        <v>1239</v>
      </c>
      <c r="I48" s="99">
        <f ca="1">IFERROR(__xludf.DUMMYFUNCTION("""COMPUTED_VALUE"""),9)</f>
        <v>9</v>
      </c>
      <c r="J48" s="99" t="str">
        <f ca="1">IFERROR(__xludf.DUMMYFUNCTION("""COMPUTED_VALUE"""),"")</f>
        <v/>
      </c>
      <c r="K48" s="99" t="str">
        <f ca="1">IFERROR(__xludf.DUMMYFUNCTION("""COMPUTED_VALUE"""),"")</f>
        <v/>
      </c>
      <c r="L48" s="99" t="str">
        <f ca="1">IFERROR(__xludf.DUMMYFUNCTION("""COMPUTED_VALUE"""),"")</f>
        <v/>
      </c>
      <c r="M48" s="99" t="str">
        <f ca="1">IFERROR(__xludf.DUMMYFUNCTION("""COMPUTED_VALUE"""),"")</f>
        <v/>
      </c>
      <c r="N48" t="str">
        <f ca="1">IFERROR(__xludf.DUMMYFUNCTION("""COMPUTED_VALUE"""),"")</f>
        <v/>
      </c>
      <c r="O48" t="str">
        <f ca="1">IFERROR(__xludf.DUMMYFUNCTION("""COMPUTED_VALUE"""),"S1")</f>
        <v>S1</v>
      </c>
      <c r="P48" t="str">
        <f ca="1">IFERROR(__xludf.DUMMYFUNCTION("""COMPUTED_VALUE"""),"")</f>
        <v/>
      </c>
      <c r="Q48" t="str">
        <f ca="1">IFERROR(__xludf.DUMMYFUNCTION("""COMPUTED_VALUE"""),"S1")</f>
        <v>S1</v>
      </c>
      <c r="R48" t="str">
        <f ca="1">IFERROR(__xludf.DUMMYFUNCTION("""COMPUTED_VALUE"""),"")</f>
        <v/>
      </c>
      <c r="S48" t="str">
        <f ca="1">IFERROR(__xludf.DUMMYFUNCTION("""COMPUTED_VALUE"""),"")</f>
        <v/>
      </c>
      <c r="T48" t="str">
        <f ca="1">IFERROR(__xludf.DUMMYFUNCTION("""COMPUTED_VALUE"""),"")</f>
        <v/>
      </c>
      <c r="U48" t="str">
        <f ca="1">IFERROR(__xludf.DUMMYFUNCTION("""COMPUTED_VALUE"""),"")</f>
        <v/>
      </c>
      <c r="V48" t="str">
        <f ca="1">IFERROR(__xludf.DUMMYFUNCTION("""COMPUTED_VALUE"""),"")</f>
        <v/>
      </c>
      <c r="W48">
        <f ca="1">IFERROR(__xludf.DUMMYFUNCTION("""COMPUTED_VALUE"""),2)</f>
        <v>2</v>
      </c>
      <c r="X48">
        <f ca="1">IFERROR(__xludf.DUMMYFUNCTION("""COMPUTED_VALUE"""),4)</f>
        <v>4</v>
      </c>
      <c r="Y48">
        <f ca="1">IFERROR(__xludf.DUMMYFUNCTION("""COMPUTED_VALUE"""),8.25)</f>
        <v>8.25</v>
      </c>
    </row>
    <row r="49" spans="1:25" ht="13">
      <c r="A49" s="26" t="str">
        <f ca="1">IFERROR(__xludf.DUMMYFUNCTION("""COMPUTED_VALUE"""),"http://probaseballexperience.jcink.net/index.php?showtopic=3586")</f>
        <v>http://probaseballexperience.jcink.net/index.php?showtopic=3586</v>
      </c>
      <c r="B49" t="str">
        <f ca="1">IFERROR(__xludf.DUMMYFUNCTION("""COMPUTED_VALUE"""),"OBX")</f>
        <v>OBX</v>
      </c>
      <c r="C49" s="26" t="str">
        <f ca="1">IFERROR(__xludf.DUMMYFUNCTION("""COMPUTED_VALUE"""),"PSanchez55")</f>
        <v>PSanchez55</v>
      </c>
      <c r="D49" s="26" t="str">
        <f ca="1">IFERROR(__xludf.DUMMYFUNCTION("""COMPUTED_VALUE"""),"Johnathon Livingston - CL")</f>
        <v>Johnathon Livingston - CL</v>
      </c>
      <c r="E49" t="str">
        <f ca="1">IFERROR(__xludf.DUMMYFUNCTION("""COMPUTED_VALUE"""),"Johnathon Livingston")</f>
        <v>Johnathon Livingston</v>
      </c>
      <c r="F49" t="str">
        <f ca="1">IFERROR(__xludf.DUMMYFUNCTION("""COMPUTED_VALUE"""),"CL")</f>
        <v>CL</v>
      </c>
      <c r="G49" t="str">
        <f ca="1">IFERROR(__xludf.DUMMYFUNCTION("""COMPUTED_VALUE"""),"Power")</f>
        <v>Power</v>
      </c>
      <c r="H49">
        <f ca="1">IFERROR(__xludf.DUMMYFUNCTION("""COMPUTED_VALUE"""),858)</f>
        <v>858</v>
      </c>
      <c r="I49" s="99">
        <f ca="1">IFERROR(__xludf.DUMMYFUNCTION("""COMPUTED_VALUE"""),8)</f>
        <v>8</v>
      </c>
      <c r="J49" s="99">
        <f ca="1">IFERROR(__xludf.DUMMYFUNCTION("""COMPUTED_VALUE"""),8)</f>
        <v>8</v>
      </c>
      <c r="K49" s="99">
        <f ca="1">IFERROR(__xludf.DUMMYFUNCTION("""COMPUTED_VALUE"""),8)</f>
        <v>8</v>
      </c>
      <c r="L49" s="99" t="str">
        <f ca="1">IFERROR(__xludf.DUMMYFUNCTION("""COMPUTED_VALUE"""),"")</f>
        <v/>
      </c>
      <c r="M49" s="99" t="str">
        <f ca="1">IFERROR(__xludf.DUMMYFUNCTION("""COMPUTED_VALUE"""),"")</f>
        <v/>
      </c>
      <c r="N49" t="str">
        <f ca="1">IFERROR(__xludf.DUMMYFUNCTION("""COMPUTED_VALUE"""),"S10 TO")</f>
        <v>S10 TO</v>
      </c>
      <c r="O49" t="str">
        <f ca="1">IFERROR(__xludf.DUMMYFUNCTION("""COMPUTED_VALUE"""),"S7")</f>
        <v>S7</v>
      </c>
      <c r="P49">
        <f ca="1">IFERROR(__xludf.DUMMYFUNCTION("""COMPUTED_VALUE"""),9)</f>
        <v>9</v>
      </c>
      <c r="Q49" t="str">
        <f ca="1">IFERROR(__xludf.DUMMYFUNCTION("""COMPUTED_VALUE"""),"S7")</f>
        <v>S7</v>
      </c>
      <c r="R49" t="str">
        <f ca="1">IFERROR(__xludf.DUMMYFUNCTION("""COMPUTED_VALUE"""),"")</f>
        <v/>
      </c>
      <c r="S49" t="str">
        <f ca="1">IFERROR(__xludf.DUMMYFUNCTION("""COMPUTED_VALUE"""),"")</f>
        <v/>
      </c>
      <c r="T49" t="str">
        <f ca="1">IFERROR(__xludf.DUMMYFUNCTION("""COMPUTED_VALUE"""),"")</f>
        <v/>
      </c>
      <c r="U49" t="str">
        <f ca="1">IFERROR(__xludf.DUMMYFUNCTION("""COMPUTED_VALUE"""),"")</f>
        <v/>
      </c>
      <c r="V49" t="str">
        <f ca="1">IFERROR(__xludf.DUMMYFUNCTION("""COMPUTED_VALUE"""),"")</f>
        <v/>
      </c>
      <c r="W49" t="str">
        <f ca="1">IFERROR(__xludf.DUMMYFUNCTION("""COMPUTED_VALUE"""),"")</f>
        <v/>
      </c>
      <c r="X49" t="str">
        <f ca="1">IFERROR(__xludf.DUMMYFUNCTION("""COMPUTED_VALUE"""),"")</f>
        <v/>
      </c>
      <c r="Y49" t="str">
        <f ca="1">IFERROR(__xludf.DUMMYFUNCTION("""COMPUTED_VALUE"""),"")</f>
        <v/>
      </c>
    </row>
    <row r="50" spans="1:25" ht="13">
      <c r="A50" s="26" t="str">
        <f ca="1">IFERROR(__xludf.DUMMYFUNCTION("""COMPUTED_VALUE"""),"http://probaseballexperience.jcink.net/index.php?showtopic=2467")</f>
        <v>http://probaseballexperience.jcink.net/index.php?showtopic=2467</v>
      </c>
      <c r="B50" t="str">
        <f ca="1">IFERROR(__xludf.DUMMYFUNCTION("""COMPUTED_VALUE"""),"OBX")</f>
        <v>OBX</v>
      </c>
      <c r="C50" s="26" t="str">
        <f ca="1">IFERROR(__xludf.DUMMYFUNCTION("""COMPUTED_VALUE"""),"Bayley")</f>
        <v>Bayley</v>
      </c>
      <c r="D50" s="26" t="str">
        <f ca="1">IFERROR(__xludf.DUMMYFUNCTION("""COMPUTED_VALUE"""),"Mookie Banks - SP")</f>
        <v>Mookie Banks - SP</v>
      </c>
      <c r="E50" t="str">
        <f ca="1">IFERROR(__xludf.DUMMYFUNCTION("""COMPUTED_VALUE"""),"Mookie Banks")</f>
        <v>Mookie Banks</v>
      </c>
      <c r="F50" t="str">
        <f ca="1">IFERROR(__xludf.DUMMYFUNCTION("""COMPUTED_VALUE"""),"SP")</f>
        <v>SP</v>
      </c>
      <c r="G50" t="str">
        <f ca="1">IFERROR(__xludf.DUMMYFUNCTION("""COMPUTED_VALUE"""),"Power")</f>
        <v>Power</v>
      </c>
      <c r="H50">
        <f ca="1">IFERROR(__xludf.DUMMYFUNCTION("""COMPUTED_VALUE"""),1389)</f>
        <v>1389</v>
      </c>
      <c r="I50" s="99">
        <f ca="1">IFERROR(__xludf.DUMMYFUNCTION("""COMPUTED_VALUE"""),5)</f>
        <v>5</v>
      </c>
      <c r="J50" s="99">
        <f ca="1">IFERROR(__xludf.DUMMYFUNCTION("""COMPUTED_VALUE"""),5)</f>
        <v>5</v>
      </c>
      <c r="K50" s="99" t="str">
        <f ca="1">IFERROR(__xludf.DUMMYFUNCTION("""COMPUTED_VALUE"""),"")</f>
        <v/>
      </c>
      <c r="L50" s="99" t="str">
        <f ca="1">IFERROR(__xludf.DUMMYFUNCTION("""COMPUTED_VALUE"""),"")</f>
        <v/>
      </c>
      <c r="M50" s="99" t="str">
        <f ca="1">IFERROR(__xludf.DUMMYFUNCTION("""COMPUTED_VALUE"""),"")</f>
        <v/>
      </c>
      <c r="N50" t="str">
        <f ca="1">IFERROR(__xludf.DUMMYFUNCTION("""COMPUTED_VALUE"""),"")</f>
        <v/>
      </c>
      <c r="O50" t="str">
        <f ca="1">IFERROR(__xludf.DUMMYFUNCTION("""COMPUTED_VALUE"""),"S5")</f>
        <v>S5</v>
      </c>
      <c r="P50">
        <f ca="1">IFERROR(__xludf.DUMMYFUNCTION("""COMPUTED_VALUE"""),3)</f>
        <v>3</v>
      </c>
      <c r="Q50" t="str">
        <f ca="1">IFERROR(__xludf.DUMMYFUNCTION("""COMPUTED_VALUE"""),"S4")</f>
        <v>S4</v>
      </c>
      <c r="R50" t="str">
        <f ca="1">IFERROR(__xludf.DUMMYFUNCTION("""COMPUTED_VALUE"""),"")</f>
        <v/>
      </c>
      <c r="S50" t="str">
        <f ca="1">IFERROR(__xludf.DUMMYFUNCTION("""COMPUTED_VALUE"""),"")</f>
        <v/>
      </c>
      <c r="T50" t="str">
        <f ca="1">IFERROR(__xludf.DUMMYFUNCTION("""COMPUTED_VALUE"""),"")</f>
        <v/>
      </c>
      <c r="U50" t="str">
        <f ca="1">IFERROR(__xludf.DUMMYFUNCTION("""COMPUTED_VALUE"""),"")</f>
        <v/>
      </c>
      <c r="V50" t="str">
        <f ca="1">IFERROR(__xludf.DUMMYFUNCTION("""COMPUTED_VALUE"""),"")</f>
        <v/>
      </c>
      <c r="W50" t="str">
        <f ca="1">IFERROR(__xludf.DUMMYFUNCTION("""COMPUTED_VALUE"""),"")</f>
        <v/>
      </c>
      <c r="X50">
        <f ca="1">IFERROR(__xludf.DUMMYFUNCTION("""COMPUTED_VALUE"""),3)</f>
        <v>3</v>
      </c>
      <c r="Y50">
        <f ca="1">IFERROR(__xludf.DUMMYFUNCTION("""COMPUTED_VALUE"""),6)</f>
        <v>6</v>
      </c>
    </row>
    <row r="51" spans="1:25" ht="13">
      <c r="A51" s="26" t="str">
        <f ca="1">IFERROR(__xludf.DUMMYFUNCTION("""COMPUTED_VALUE"""),"http://probaseballexperience.jcink.net/index.php?showtopic=2569")</f>
        <v>http://probaseballexperience.jcink.net/index.php?showtopic=2569</v>
      </c>
      <c r="B51" t="str">
        <f ca="1">IFERROR(__xludf.DUMMYFUNCTION("""COMPUTED_VALUE"""),"OBX")</f>
        <v>OBX</v>
      </c>
      <c r="C51" s="26" t="str">
        <f ca="1">IFERROR(__xludf.DUMMYFUNCTION("""COMPUTED_VALUE"""),"cpetrella")</f>
        <v>cpetrella</v>
      </c>
      <c r="D51" s="26" t="str">
        <f ca="1">IFERROR(__xludf.DUMMYFUNCTION("""COMPUTED_VALUE"""),"Billy Benson - C")</f>
        <v>Billy Benson - C</v>
      </c>
      <c r="E51" t="str">
        <f ca="1">IFERROR(__xludf.DUMMYFUNCTION("""COMPUTED_VALUE"""),"Billy Benson")</f>
        <v>Billy Benson</v>
      </c>
      <c r="F51" t="str">
        <f ca="1">IFERROR(__xludf.DUMMYFUNCTION("""COMPUTED_VALUE"""),"C")</f>
        <v>C</v>
      </c>
      <c r="G51" t="str">
        <f ca="1">IFERROR(__xludf.DUMMYFUNCTION("""COMPUTED_VALUE"""),"Balanced/React")</f>
        <v>Balanced/React</v>
      </c>
      <c r="H51">
        <f ca="1">IFERROR(__xludf.DUMMYFUNCTION("""COMPUTED_VALUE"""),1121)</f>
        <v>1121</v>
      </c>
      <c r="I51" s="99">
        <f ca="1">IFERROR(__xludf.DUMMYFUNCTION("""COMPUTED_VALUE"""),9)</f>
        <v>9</v>
      </c>
      <c r="J51" s="99" t="str">
        <f ca="1">IFERROR(__xludf.DUMMYFUNCTION("""COMPUTED_VALUE"""),"")</f>
        <v/>
      </c>
      <c r="K51" s="99" t="str">
        <f ca="1">IFERROR(__xludf.DUMMYFUNCTION("""COMPUTED_VALUE"""),"")</f>
        <v/>
      </c>
      <c r="L51" s="99" t="str">
        <f ca="1">IFERROR(__xludf.DUMMYFUNCTION("""COMPUTED_VALUE"""),"")</f>
        <v/>
      </c>
      <c r="M51" s="99" t="str">
        <f ca="1">IFERROR(__xludf.DUMMYFUNCTION("""COMPUTED_VALUE"""),"")</f>
        <v/>
      </c>
      <c r="N51" t="str">
        <f ca="1">IFERROR(__xludf.DUMMYFUNCTION("""COMPUTED_VALUE"""),"")</f>
        <v/>
      </c>
      <c r="O51" t="str">
        <f ca="1">IFERROR(__xludf.DUMMYFUNCTION("""COMPUTED_VALUE"""),"S5")</f>
        <v>S5</v>
      </c>
      <c r="P51">
        <f ca="1">IFERROR(__xludf.DUMMYFUNCTION("""COMPUTED_VALUE"""),8)</f>
        <v>8</v>
      </c>
      <c r="Q51" t="str">
        <f ca="1">IFERROR(__xludf.DUMMYFUNCTION("""COMPUTED_VALUE"""),"S5")</f>
        <v>S5</v>
      </c>
      <c r="R51" t="str">
        <f ca="1">IFERROR(__xludf.DUMMYFUNCTION("""COMPUTED_VALUE"""),"")</f>
        <v/>
      </c>
      <c r="S51" t="str">
        <f ca="1">IFERROR(__xludf.DUMMYFUNCTION("""COMPUTED_VALUE"""),"")</f>
        <v/>
      </c>
      <c r="T51" t="str">
        <f ca="1">IFERROR(__xludf.DUMMYFUNCTION("""COMPUTED_VALUE"""),"")</f>
        <v/>
      </c>
      <c r="U51" t="str">
        <f ca="1">IFERROR(__xludf.DUMMYFUNCTION("""COMPUTED_VALUE"""),"")</f>
        <v/>
      </c>
      <c r="V51" t="str">
        <f ca="1">IFERROR(__xludf.DUMMYFUNCTION("""COMPUTED_VALUE"""),"")</f>
        <v/>
      </c>
      <c r="W51" t="str">
        <f ca="1">IFERROR(__xludf.DUMMYFUNCTION("""COMPUTED_VALUE"""),"")</f>
        <v/>
      </c>
      <c r="X51" t="str">
        <f ca="1">IFERROR(__xludf.DUMMYFUNCTION("""COMPUTED_VALUE"""),"")</f>
        <v/>
      </c>
      <c r="Y51">
        <f ca="1">IFERROR(__xludf.DUMMYFUNCTION("""COMPUTED_VALUE"""),6)</f>
        <v>6</v>
      </c>
    </row>
    <row r="52" spans="1:25" ht="13">
      <c r="A52" s="26" t="str">
        <f ca="1">IFERROR(__xludf.DUMMYFUNCTION("""COMPUTED_VALUE"""),"http://probaseballexperience.jcink.net/index.php?showtopic=2142")</f>
        <v>http://probaseballexperience.jcink.net/index.php?showtopic=2142</v>
      </c>
      <c r="B52" t="str">
        <f ca="1">IFERROR(__xludf.DUMMYFUNCTION("""COMPUTED_VALUE"""),"OBX")</f>
        <v>OBX</v>
      </c>
      <c r="C52" s="26" t="str">
        <f ca="1">IFERROR(__xludf.DUMMYFUNCTION("""COMPUTED_VALUE"""),"Keygan")</f>
        <v>Keygan</v>
      </c>
      <c r="D52" s="26" t="str">
        <f ca="1">IFERROR(__xludf.DUMMYFUNCTION("""COMPUTED_VALUE"""),"Connor Tanner - 3B")</f>
        <v>Connor Tanner - 3B</v>
      </c>
      <c r="E52" t="str">
        <f ca="1">IFERROR(__xludf.DUMMYFUNCTION("""COMPUTED_VALUE"""),"Connor Tanner")</f>
        <v>Connor Tanner</v>
      </c>
      <c r="F52" t="str">
        <f ca="1">IFERROR(__xludf.DUMMYFUNCTION("""COMPUTED_VALUE"""),"3B")</f>
        <v>3B</v>
      </c>
      <c r="G52" t="str">
        <f ca="1">IFERROR(__xludf.DUMMYFUNCTION("""COMPUTED_VALUE"""),"Power/Balanced")</f>
        <v>Power/Balanced</v>
      </c>
      <c r="H52">
        <f ca="1">IFERROR(__xludf.DUMMYFUNCTION("""COMPUTED_VALUE"""),977)</f>
        <v>977</v>
      </c>
      <c r="I52" s="99">
        <f ca="1">IFERROR(__xludf.DUMMYFUNCTION("""COMPUTED_VALUE"""),4)</f>
        <v>4</v>
      </c>
      <c r="J52" s="99">
        <f ca="1">IFERROR(__xludf.DUMMYFUNCTION("""COMPUTED_VALUE"""),4)</f>
        <v>4</v>
      </c>
      <c r="K52" s="99" t="str">
        <f ca="1">IFERROR(__xludf.DUMMYFUNCTION("""COMPUTED_VALUE"""),"")</f>
        <v/>
      </c>
      <c r="L52" s="99" t="str">
        <f ca="1">IFERROR(__xludf.DUMMYFUNCTION("""COMPUTED_VALUE"""),"")</f>
        <v/>
      </c>
      <c r="M52" s="99" t="str">
        <f ca="1">IFERROR(__xludf.DUMMYFUNCTION("""COMPUTED_VALUE"""),"")</f>
        <v/>
      </c>
      <c r="N52" t="str">
        <f ca="1">IFERROR(__xludf.DUMMYFUNCTION("""COMPUTED_VALUE"""),"")</f>
        <v/>
      </c>
      <c r="O52" t="str">
        <f ca="1">IFERROR(__xludf.DUMMYFUNCTION("""COMPUTED_VALUE"""),"S4")</f>
        <v>S4</v>
      </c>
      <c r="P52">
        <f ca="1">IFERROR(__xludf.DUMMYFUNCTION("""COMPUTED_VALUE"""),2)</f>
        <v>2</v>
      </c>
      <c r="Q52" t="str">
        <f ca="1">IFERROR(__xludf.DUMMYFUNCTION("""COMPUTED_VALUE"""),"S4")</f>
        <v>S4</v>
      </c>
      <c r="R52" t="str">
        <f ca="1">IFERROR(__xludf.DUMMYFUNCTION("""COMPUTED_VALUE"""),"")</f>
        <v/>
      </c>
      <c r="S52" t="str">
        <f ca="1">IFERROR(__xludf.DUMMYFUNCTION("""COMPUTED_VALUE"""),"")</f>
        <v/>
      </c>
      <c r="T52" t="str">
        <f ca="1">IFERROR(__xludf.DUMMYFUNCTION("""COMPUTED_VALUE"""),"")</f>
        <v/>
      </c>
      <c r="U52" t="str">
        <f ca="1">IFERROR(__xludf.DUMMYFUNCTION("""COMPUTED_VALUE"""),"")</f>
        <v/>
      </c>
      <c r="V52" t="str">
        <f ca="1">IFERROR(__xludf.DUMMYFUNCTION("""COMPUTED_VALUE"""),"")</f>
        <v/>
      </c>
      <c r="W52" t="str">
        <f ca="1">IFERROR(__xludf.DUMMYFUNCTION("""COMPUTED_VALUE"""),"")</f>
        <v/>
      </c>
      <c r="X52">
        <f ca="1">IFERROR(__xludf.DUMMYFUNCTION("""COMPUTED_VALUE"""),10)</f>
        <v>10</v>
      </c>
      <c r="Y52">
        <f ca="1">IFERROR(__xludf.DUMMYFUNCTION("""COMPUTED_VALUE"""),1)</f>
        <v>1</v>
      </c>
    </row>
    <row r="53" spans="1:25" ht="13">
      <c r="A53" s="26" t="str">
        <f ca="1">IFERROR(__xludf.DUMMYFUNCTION("""COMPUTED_VALUE"""),"http://probaseballexperience.jcink.net/index.php?showtopic=3123")</f>
        <v>http://probaseballexperience.jcink.net/index.php?showtopic=3123</v>
      </c>
      <c r="B53" t="str">
        <f ca="1">IFERROR(__xludf.DUMMYFUNCTION("""COMPUTED_VALUE"""),"OBX")</f>
        <v>OBX</v>
      </c>
      <c r="C53" s="26" t="str">
        <f ca="1">IFERROR(__xludf.DUMMYFUNCTION("""COMPUTED_VALUE"""),"JVMjrDOT")</f>
        <v>JVMjrDOT</v>
      </c>
      <c r="D53" s="26" t="str">
        <f ca="1">IFERROR(__xludf.DUMMYFUNCTION("""COMPUTED_VALUE"""),"Jordan von Matt - LF")</f>
        <v>Jordan von Matt - LF</v>
      </c>
      <c r="E53" t="str">
        <f ca="1">IFERROR(__xludf.DUMMYFUNCTION("""COMPUTED_VALUE"""),"Jordan von Matt")</f>
        <v>Jordan von Matt</v>
      </c>
      <c r="F53" t="str">
        <f ca="1">IFERROR(__xludf.DUMMYFUNCTION("""COMPUTED_VALUE"""),"LF")</f>
        <v>LF</v>
      </c>
      <c r="G53" t="str">
        <f ca="1">IFERROR(__xludf.DUMMYFUNCTION("""COMPUTED_VALUE"""),"Power/Balanced")</f>
        <v>Power/Balanced</v>
      </c>
      <c r="H53">
        <f ca="1">IFERROR(__xludf.DUMMYFUNCTION("""COMPUTED_VALUE"""),902)</f>
        <v>902</v>
      </c>
      <c r="I53" s="99">
        <f ca="1">IFERROR(__xludf.DUMMYFUNCTION("""COMPUTED_VALUE"""),7)</f>
        <v>7</v>
      </c>
      <c r="J53" s="99" t="str">
        <f ca="1">IFERROR(__xludf.DUMMYFUNCTION("""COMPUTED_VALUE"""),"")</f>
        <v/>
      </c>
      <c r="K53" s="99" t="str">
        <f ca="1">IFERROR(__xludf.DUMMYFUNCTION("""COMPUTED_VALUE"""),"")</f>
        <v/>
      </c>
      <c r="L53" s="99" t="str">
        <f ca="1">IFERROR(__xludf.DUMMYFUNCTION("""COMPUTED_VALUE"""),"")</f>
        <v/>
      </c>
      <c r="M53" s="99" t="str">
        <f ca="1">IFERROR(__xludf.DUMMYFUNCTION("""COMPUTED_VALUE"""),"")</f>
        <v/>
      </c>
      <c r="N53" t="str">
        <f ca="1">IFERROR(__xludf.DUMMYFUNCTION("""COMPUTED_VALUE"""),"")</f>
        <v/>
      </c>
      <c r="O53" t="str">
        <f ca="1">IFERROR(__xludf.DUMMYFUNCTION("""COMPUTED_VALUE"""),"S6")</f>
        <v>S6</v>
      </c>
      <c r="P53">
        <f ca="1">IFERROR(__xludf.DUMMYFUNCTION("""COMPUTED_VALUE"""),19)</f>
        <v>19</v>
      </c>
      <c r="Q53" t="str">
        <f ca="1">IFERROR(__xludf.DUMMYFUNCTION("""COMPUTED_VALUE"""),"S6")</f>
        <v>S6</v>
      </c>
      <c r="R53" t="str">
        <f ca="1">IFERROR(__xludf.DUMMYFUNCTION("""COMPUTED_VALUE"""),"")</f>
        <v/>
      </c>
      <c r="S53" t="str">
        <f ca="1">IFERROR(__xludf.DUMMYFUNCTION("""COMPUTED_VALUE"""),"")</f>
        <v/>
      </c>
      <c r="T53" t="str">
        <f ca="1">IFERROR(__xludf.DUMMYFUNCTION("""COMPUTED_VALUE"""),"")</f>
        <v/>
      </c>
      <c r="U53" t="str">
        <f ca="1">IFERROR(__xludf.DUMMYFUNCTION("""COMPUTED_VALUE"""),"")</f>
        <v/>
      </c>
      <c r="V53" t="str">
        <f ca="1">IFERROR(__xludf.DUMMYFUNCTION("""COMPUTED_VALUE"""),"")</f>
        <v/>
      </c>
      <c r="W53" t="str">
        <f ca="1">IFERROR(__xludf.DUMMYFUNCTION("""COMPUTED_VALUE"""),"")</f>
        <v/>
      </c>
      <c r="X53" t="str">
        <f ca="1">IFERROR(__xludf.DUMMYFUNCTION("""COMPUTED_VALUE"""),"")</f>
        <v/>
      </c>
      <c r="Y53" t="str">
        <f ca="1">IFERROR(__xludf.DUMMYFUNCTION("""COMPUTED_VALUE"""),"")</f>
        <v/>
      </c>
    </row>
    <row r="54" spans="1:25" ht="13">
      <c r="A54" s="26" t="str">
        <f ca="1">IFERROR(__xludf.DUMMYFUNCTION("""COMPUTED_VALUE"""),"http://probaseballexperience.jcink.net/index.php?showtopic=3170")</f>
        <v>http://probaseballexperience.jcink.net/index.php?showtopic=3170</v>
      </c>
      <c r="B54" t="str">
        <f ca="1">IFERROR(__xludf.DUMMYFUNCTION("""COMPUTED_VALUE"""),"FA")</f>
        <v>FA</v>
      </c>
      <c r="C54" s="26" t="str">
        <f ca="1">IFERROR(__xludf.DUMMYFUNCTION("""COMPUTED_VALUE"""),"TYP0")</f>
        <v>TYP0</v>
      </c>
      <c r="D54" s="26" t="str">
        <f ca="1">IFERROR(__xludf.DUMMYFUNCTION("""COMPUTED_VALUE"""),"Michael Oxard- SP")</f>
        <v>Michael Oxard- SP</v>
      </c>
      <c r="E54" t="str">
        <f ca="1">IFERROR(__xludf.DUMMYFUNCTION("""COMPUTED_VALUE"""),"Michael Oxar")</f>
        <v>Michael Oxar</v>
      </c>
      <c r="F54" t="str">
        <f ca="1">IFERROR(__xludf.DUMMYFUNCTION("""COMPUTED_VALUE"""),"SP")</f>
        <v>SP</v>
      </c>
      <c r="G54" t="str">
        <f ca="1">IFERROR(__xludf.DUMMYFUNCTION("""COMPUTED_VALUE"""),"Finnese")</f>
        <v>Finnese</v>
      </c>
      <c r="H54">
        <f ca="1">IFERROR(__xludf.DUMMYFUNCTION("""COMPUTED_VALUE"""),100)</f>
        <v>100</v>
      </c>
      <c r="I54" s="99" t="str">
        <f ca="1">IFERROR(__xludf.DUMMYFUNCTION("""COMPUTED_VALUE"""),"")</f>
        <v/>
      </c>
      <c r="J54" s="99" t="str">
        <f ca="1">IFERROR(__xludf.DUMMYFUNCTION("""COMPUTED_VALUE"""),"")</f>
        <v/>
      </c>
      <c r="K54" s="99" t="str">
        <f ca="1">IFERROR(__xludf.DUMMYFUNCTION("""COMPUTED_VALUE"""),"")</f>
        <v/>
      </c>
      <c r="L54" s="99" t="str">
        <f ca="1">IFERROR(__xludf.DUMMYFUNCTION("""COMPUTED_VALUE"""),"")</f>
        <v/>
      </c>
      <c r="M54" s="99" t="str">
        <f ca="1">IFERROR(__xludf.DUMMYFUNCTION("""COMPUTED_VALUE"""),"")</f>
        <v/>
      </c>
      <c r="N54" t="str">
        <f ca="1">IFERROR(__xludf.DUMMYFUNCTION("""COMPUTED_VALUE"""),"")</f>
        <v/>
      </c>
      <c r="O54" t="str">
        <f ca="1">IFERROR(__xludf.DUMMYFUNCTION("""COMPUTED_VALUE"""),"S6")</f>
        <v>S6</v>
      </c>
      <c r="P54">
        <f ca="1">IFERROR(__xludf.DUMMYFUNCTION("""COMPUTED_VALUE"""),14)</f>
        <v>14</v>
      </c>
      <c r="Q54" t="str">
        <f ca="1">IFERROR(__xludf.DUMMYFUNCTION("""COMPUTED_VALUE"""),"S6")</f>
        <v>S6</v>
      </c>
      <c r="R54" t="str">
        <f ca="1">IFERROR(__xludf.DUMMYFUNCTION("""COMPUTED_VALUE"""),"SCS")</f>
        <v>SCS</v>
      </c>
      <c r="S54">
        <f ca="1">IFERROR(__xludf.DUMMYFUNCTION("""COMPUTED_VALUE"""),6)</f>
        <v>6</v>
      </c>
      <c r="T54">
        <f ca="1">IFERROR(__xludf.DUMMYFUNCTION("""COMPUTED_VALUE"""),13)</f>
        <v>13</v>
      </c>
      <c r="U54" t="str">
        <f ca="1">IFERROR(__xludf.DUMMYFUNCTION("""COMPUTED_VALUE"""),"")</f>
        <v/>
      </c>
      <c r="V54" t="str">
        <f ca="1">IFERROR(__xludf.DUMMYFUNCTION("""COMPUTED_VALUE"""),"")</f>
        <v/>
      </c>
      <c r="W54" t="str">
        <f ca="1">IFERROR(__xludf.DUMMYFUNCTION("""COMPUTED_VALUE"""),"")</f>
        <v/>
      </c>
      <c r="X54" t="str">
        <f ca="1">IFERROR(__xludf.DUMMYFUNCTION("""COMPUTED_VALUE"""),"")</f>
        <v/>
      </c>
      <c r="Y54">
        <f ca="1">IFERROR(__xludf.DUMMYFUNCTION("""COMPUTED_VALUE"""),1.5)</f>
        <v>1.5</v>
      </c>
    </row>
    <row r="55" spans="1:25" ht="13">
      <c r="A55" s="26" t="str">
        <f ca="1">IFERROR(__xludf.DUMMYFUNCTION("""COMPUTED_VALUE"""),"http://probaseballexperience.jcink.net/index.php?showtopic=3097")</f>
        <v>http://probaseballexperience.jcink.net/index.php?showtopic=3097</v>
      </c>
      <c r="B55" t="str">
        <f ca="1">IFERROR(__xludf.DUMMYFUNCTION("""COMPUTED_VALUE"""),"FA")</f>
        <v>FA</v>
      </c>
      <c r="C55" s="26" t="str">
        <f ca="1">IFERROR(__xludf.DUMMYFUNCTION("""COMPUTED_VALUE"""),"aceguy")</f>
        <v>aceguy</v>
      </c>
      <c r="D55" s="26" t="str">
        <f ca="1">IFERROR(__xludf.DUMMYFUNCTION("""COMPUTED_VALUE"""),"Justin Moreland- 3B")</f>
        <v>Justin Moreland- 3B</v>
      </c>
      <c r="E55" t="str">
        <f ca="1">IFERROR(__xludf.DUMMYFUNCTION("""COMPUTED_VALUE"""),"Justin Morelan")</f>
        <v>Justin Morelan</v>
      </c>
      <c r="F55" t="str">
        <f ca="1">IFERROR(__xludf.DUMMYFUNCTION("""COMPUTED_VALUE"""),"3B")</f>
        <v>3B</v>
      </c>
      <c r="G55" t="str">
        <f ca="1">IFERROR(__xludf.DUMMYFUNCTION("""COMPUTED_VALUE"""),"Balanced/Arm")</f>
        <v>Balanced/Arm</v>
      </c>
      <c r="H55">
        <f ca="1">IFERROR(__xludf.DUMMYFUNCTION("""COMPUTED_VALUE"""),100)</f>
        <v>100</v>
      </c>
      <c r="I55" t="str">
        <f ca="1">IFERROR(__xludf.DUMMYFUNCTION("""COMPUTED_VALUE"""),"")</f>
        <v/>
      </c>
      <c r="J55" t="str">
        <f ca="1">IFERROR(__xludf.DUMMYFUNCTION("""COMPUTED_VALUE"""),"")</f>
        <v/>
      </c>
      <c r="K55" t="str">
        <f ca="1">IFERROR(__xludf.DUMMYFUNCTION("""COMPUTED_VALUE"""),"")</f>
        <v/>
      </c>
      <c r="L55" t="str">
        <f ca="1">IFERROR(__xludf.DUMMYFUNCTION("""COMPUTED_VALUE"""),"")</f>
        <v/>
      </c>
      <c r="M55" t="str">
        <f ca="1">IFERROR(__xludf.DUMMYFUNCTION("""COMPUTED_VALUE"""),"")</f>
        <v/>
      </c>
      <c r="N55" t="str">
        <f ca="1">IFERROR(__xludf.DUMMYFUNCTION("""COMPUTED_VALUE"""),"S8 MO")</f>
        <v>S8 MO</v>
      </c>
      <c r="O55" t="str">
        <f ca="1">IFERROR(__xludf.DUMMYFUNCTION("""COMPUTED_VALUE"""),"S6")</f>
        <v>S6</v>
      </c>
      <c r="P55">
        <f ca="1">IFERROR(__xludf.DUMMYFUNCTION("""COMPUTED_VALUE"""),17)</f>
        <v>17</v>
      </c>
      <c r="Q55" t="str">
        <f ca="1">IFERROR(__xludf.DUMMYFUNCTION("""COMPUTED_VALUE"""),"S6")</f>
        <v>S6</v>
      </c>
      <c r="R55" t="str">
        <f ca="1">IFERROR(__xludf.DUMMYFUNCTION("""COMPUTED_VALUE"""),"SCS")</f>
        <v>SCS</v>
      </c>
      <c r="S55">
        <f ca="1">IFERROR(__xludf.DUMMYFUNCTION("""COMPUTED_VALUE"""),6)</f>
        <v>6</v>
      </c>
      <c r="T55">
        <f ca="1">IFERROR(__xludf.DUMMYFUNCTION("""COMPUTED_VALUE"""),10)</f>
        <v>10</v>
      </c>
      <c r="U55" t="str">
        <f ca="1">IFERROR(__xludf.DUMMYFUNCTION("""COMPUTED_VALUE"""),"")</f>
        <v/>
      </c>
      <c r="V55" t="str">
        <f ca="1">IFERROR(__xludf.DUMMYFUNCTION("""COMPUTED_VALUE"""),"")</f>
        <v/>
      </c>
      <c r="W55" t="str">
        <f ca="1">IFERROR(__xludf.DUMMYFUNCTION("""COMPUTED_VALUE"""),"")</f>
        <v/>
      </c>
      <c r="X55" t="str">
        <f ca="1">IFERROR(__xludf.DUMMYFUNCTION("""COMPUTED_VALUE"""),"")</f>
        <v/>
      </c>
      <c r="Y55">
        <f ca="1">IFERROR(__xludf.DUMMYFUNCTION("""COMPUTED_VALUE"""),1.5)</f>
        <v>1.5</v>
      </c>
    </row>
    <row r="56" spans="1:25" ht="13">
      <c r="A56" s="26" t="str">
        <f ca="1">IFERROR(__xludf.DUMMYFUNCTION("""COMPUTED_VALUE"""),"http://probaseballexperience.jcink.net/index.php?showtopic=3186")</f>
        <v>http://probaseballexperience.jcink.net/index.php?showtopic=3186</v>
      </c>
      <c r="B56" t="str">
        <f ca="1">IFERROR(__xludf.DUMMYFUNCTION("""COMPUTED_VALUE"""),"FA")</f>
        <v>FA</v>
      </c>
      <c r="C56" s="26" t="str">
        <f ca="1">IFERROR(__xludf.DUMMYFUNCTION("""COMPUTED_VALUE"""),"qtwillis")</f>
        <v>qtwillis</v>
      </c>
      <c r="D56" s="26" t="str">
        <f ca="1">IFERROR(__xludf.DUMMYFUNCTION("""COMPUTED_VALUE"""),"Martinez Pedro - SP")</f>
        <v>Martinez Pedro - SP</v>
      </c>
      <c r="E56" t="str">
        <f ca="1">IFERROR(__xludf.DUMMYFUNCTION("""COMPUTED_VALUE"""),"Martinez Pedro")</f>
        <v>Martinez Pedro</v>
      </c>
      <c r="F56" t="str">
        <f ca="1">IFERROR(__xludf.DUMMYFUNCTION("""COMPUTED_VALUE"""),"SP")</f>
        <v>SP</v>
      </c>
      <c r="G56" t="str">
        <f ca="1">IFERROR(__xludf.DUMMYFUNCTION("""COMPUTED_VALUE"""),"Balanced")</f>
        <v>Balanced</v>
      </c>
      <c r="H56">
        <f ca="1">IFERROR(__xludf.DUMMYFUNCTION("""COMPUTED_VALUE"""),100)</f>
        <v>100</v>
      </c>
      <c r="I56" t="str">
        <f ca="1">IFERROR(__xludf.DUMMYFUNCTION("""COMPUTED_VALUE"""),"")</f>
        <v/>
      </c>
      <c r="J56" t="str">
        <f ca="1">IFERROR(__xludf.DUMMYFUNCTION("""COMPUTED_VALUE"""),"")</f>
        <v/>
      </c>
      <c r="K56" t="str">
        <f ca="1">IFERROR(__xludf.DUMMYFUNCTION("""COMPUTED_VALUE"""),"")</f>
        <v/>
      </c>
      <c r="L56" t="str">
        <f ca="1">IFERROR(__xludf.DUMMYFUNCTION("""COMPUTED_VALUE"""),"")</f>
        <v/>
      </c>
      <c r="M56" t="str">
        <f ca="1">IFERROR(__xludf.DUMMYFUNCTION("""COMPUTED_VALUE"""),"")</f>
        <v/>
      </c>
      <c r="N56" t="str">
        <f ca="1">IFERROR(__xludf.DUMMYFUNCTION("""COMPUTED_VALUE"""),"S9 TO")</f>
        <v>S9 TO</v>
      </c>
      <c r="O56" t="str">
        <f ca="1">IFERROR(__xludf.DUMMYFUNCTION("""COMPUTED_VALUE"""),"S6")</f>
        <v>S6</v>
      </c>
      <c r="P56">
        <f ca="1">IFERROR(__xludf.DUMMYFUNCTION("""COMPUTED_VALUE"""),27)</f>
        <v>27</v>
      </c>
      <c r="Q56" t="str">
        <f ca="1">IFERROR(__xludf.DUMMYFUNCTION("""COMPUTED_VALUE"""),"S6")</f>
        <v>S6</v>
      </c>
      <c r="R56" t="str">
        <f ca="1">IFERROR(__xludf.DUMMYFUNCTION("""COMPUTED_VALUE"""),"")</f>
        <v/>
      </c>
      <c r="S56" t="str">
        <f ca="1">IFERROR(__xludf.DUMMYFUNCTION("""COMPUTED_VALUE"""),"")</f>
        <v/>
      </c>
      <c r="T56" t="str">
        <f ca="1">IFERROR(__xludf.DUMMYFUNCTION("""COMPUTED_VALUE"""),"")</f>
        <v/>
      </c>
      <c r="U56" t="str">
        <f ca="1">IFERROR(__xludf.DUMMYFUNCTION("""COMPUTED_VALUE"""),"")</f>
        <v/>
      </c>
      <c r="V56" t="str">
        <f ca="1">IFERROR(__xludf.DUMMYFUNCTION("""COMPUTED_VALUE"""),"")</f>
        <v/>
      </c>
      <c r="W56" t="str">
        <f ca="1">IFERROR(__xludf.DUMMYFUNCTION("""COMPUTED_VALUE"""),"")</f>
        <v/>
      </c>
      <c r="X56" t="str">
        <f ca="1">IFERROR(__xludf.DUMMYFUNCTION("""COMPUTED_VALUE"""),"")</f>
        <v/>
      </c>
      <c r="Y56" t="str">
        <f ca="1">IFERROR(__xludf.DUMMYFUNCTION("""COMPUTED_VALUE"""),"")</f>
        <v/>
      </c>
    </row>
    <row r="57" spans="1:25" ht="13">
      <c r="A57" s="26" t="str">
        <f ca="1">IFERROR(__xludf.DUMMYFUNCTION("""COMPUTED_VALUE"""),"http://probaseballexperience.jcink.net/index.php?showtopic=2967")</f>
        <v>http://probaseballexperience.jcink.net/index.php?showtopic=2967</v>
      </c>
      <c r="B57" t="str">
        <f ca="1">IFERROR(__xludf.DUMMYFUNCTION("""COMPUTED_VALUE"""),"FA")</f>
        <v>FA</v>
      </c>
      <c r="C57" s="26" t="str">
        <f ca="1">IFERROR(__xludf.DUMMYFUNCTION("""COMPUTED_VALUE"""),"lordbubbington")</f>
        <v>lordbubbington</v>
      </c>
      <c r="D57" s="26" t="str">
        <f ca="1">IFERROR(__xludf.DUMMYFUNCTION("""COMPUTED_VALUE"""),"Cole Davenport - SP")</f>
        <v>Cole Davenport - SP</v>
      </c>
      <c r="E57" t="str">
        <f ca="1">IFERROR(__xludf.DUMMYFUNCTION("""COMPUTED_VALUE"""),"Cole Davenport")</f>
        <v>Cole Davenport</v>
      </c>
      <c r="F57" t="str">
        <f ca="1">IFERROR(__xludf.DUMMYFUNCTION("""COMPUTED_VALUE"""),"SP")</f>
        <v>SP</v>
      </c>
      <c r="G57" t="str">
        <f ca="1">IFERROR(__xludf.DUMMYFUNCTION("""COMPUTED_VALUE"""),"Balanced")</f>
        <v>Balanced</v>
      </c>
      <c r="H57">
        <f ca="1">IFERROR(__xludf.DUMMYFUNCTION("""COMPUTED_VALUE"""),100)</f>
        <v>100</v>
      </c>
      <c r="I57" t="str">
        <f ca="1">IFERROR(__xludf.DUMMYFUNCTION("""COMPUTED_VALUE"""),"")</f>
        <v/>
      </c>
      <c r="J57" t="str">
        <f ca="1">IFERROR(__xludf.DUMMYFUNCTION("""COMPUTED_VALUE"""),"")</f>
        <v/>
      </c>
      <c r="K57" t="str">
        <f ca="1">IFERROR(__xludf.DUMMYFUNCTION("""COMPUTED_VALUE"""),"")</f>
        <v/>
      </c>
      <c r="L57" t="str">
        <f ca="1">IFERROR(__xludf.DUMMYFUNCTION("""COMPUTED_VALUE"""),"")</f>
        <v/>
      </c>
      <c r="M57" t="str">
        <f ca="1">IFERROR(__xludf.DUMMYFUNCTION("""COMPUTED_VALUE"""),"")</f>
        <v/>
      </c>
      <c r="N57" t="str">
        <f ca="1">IFERROR(__xludf.DUMMYFUNCTION("""COMPUTED_VALUE"""),"")</f>
        <v/>
      </c>
      <c r="O57" t="str">
        <f ca="1">IFERROR(__xludf.DUMMYFUNCTION("""COMPUTED_VALUE"""),"S6")</f>
        <v>S6</v>
      </c>
      <c r="P57">
        <f ca="1">IFERROR(__xludf.DUMMYFUNCTION("""COMPUTED_VALUE"""),39)</f>
        <v>39</v>
      </c>
      <c r="Q57" t="str">
        <f ca="1">IFERROR(__xludf.DUMMYFUNCTION("""COMPUTED_VALUE"""),"S6")</f>
        <v>S6</v>
      </c>
      <c r="R57" t="str">
        <f ca="1">IFERROR(__xludf.DUMMYFUNCTION("""COMPUTED_VALUE"""),"")</f>
        <v/>
      </c>
      <c r="S57" t="str">
        <f ca="1">IFERROR(__xludf.DUMMYFUNCTION("""COMPUTED_VALUE"""),"")</f>
        <v/>
      </c>
      <c r="T57" t="str">
        <f ca="1">IFERROR(__xludf.DUMMYFUNCTION("""COMPUTED_VALUE"""),"")</f>
        <v/>
      </c>
      <c r="U57" t="str">
        <f ca="1">IFERROR(__xludf.DUMMYFUNCTION("""COMPUTED_VALUE"""),"")</f>
        <v/>
      </c>
      <c r="V57" t="str">
        <f ca="1">IFERROR(__xludf.DUMMYFUNCTION("""COMPUTED_VALUE"""),"")</f>
        <v/>
      </c>
      <c r="W57" t="str">
        <f ca="1">IFERROR(__xludf.DUMMYFUNCTION("""COMPUTED_VALUE"""),"")</f>
        <v/>
      </c>
      <c r="X57" t="str">
        <f ca="1">IFERROR(__xludf.DUMMYFUNCTION("""COMPUTED_VALUE"""),"")</f>
        <v/>
      </c>
      <c r="Y57" t="str">
        <f ca="1">IFERROR(__xludf.DUMMYFUNCTION("""COMPUTED_VALUE"""),"")</f>
        <v/>
      </c>
    </row>
    <row r="58" spans="1:25" ht="13">
      <c r="A58" s="26" t="str">
        <f ca="1">IFERROR(__xludf.DUMMYFUNCTION("""COMPUTED_VALUE"""),"http://probaseballexperience.jcink.net/index.php?showtopic=2905")</f>
        <v>http://probaseballexperience.jcink.net/index.php?showtopic=2905</v>
      </c>
      <c r="B58" t="str">
        <f ca="1">IFERROR(__xludf.DUMMYFUNCTION("""COMPUTED_VALUE"""),"FA")</f>
        <v>FA</v>
      </c>
      <c r="C58" s="26" t="str">
        <f ca="1">IFERROR(__xludf.DUMMYFUNCTION("""COMPUTED_VALUE"""),"Clint Eastwood")</f>
        <v>Clint Eastwood</v>
      </c>
      <c r="D58" s="26" t="str">
        <f ca="1">IFERROR(__xludf.DUMMYFUNCTION("""COMPUTED_VALUE"""),"Tiddlywink McTicklestick - SP")</f>
        <v>Tiddlywink McTicklestick - SP</v>
      </c>
      <c r="E58" t="str">
        <f ca="1">IFERROR(__xludf.DUMMYFUNCTION("""COMPUTED_VALUE"""),"Tiddlywink McTicklestick")</f>
        <v>Tiddlywink McTicklestick</v>
      </c>
      <c r="F58" t="str">
        <f ca="1">IFERROR(__xludf.DUMMYFUNCTION("""COMPUTED_VALUE"""),"SP")</f>
        <v>SP</v>
      </c>
      <c r="G58" t="str">
        <f ca="1">IFERROR(__xludf.DUMMYFUNCTION("""COMPUTED_VALUE"""),"Power")</f>
        <v>Power</v>
      </c>
      <c r="H58">
        <f ca="1">IFERROR(__xludf.DUMMYFUNCTION("""COMPUTED_VALUE"""),100)</f>
        <v>100</v>
      </c>
      <c r="I58" t="str">
        <f ca="1">IFERROR(__xludf.DUMMYFUNCTION("""COMPUTED_VALUE"""),"")</f>
        <v/>
      </c>
      <c r="J58" t="str">
        <f ca="1">IFERROR(__xludf.DUMMYFUNCTION("""COMPUTED_VALUE"""),"")</f>
        <v/>
      </c>
      <c r="K58" t="str">
        <f ca="1">IFERROR(__xludf.DUMMYFUNCTION("""COMPUTED_VALUE"""),"")</f>
        <v/>
      </c>
      <c r="L58" t="str">
        <f ca="1">IFERROR(__xludf.DUMMYFUNCTION("""COMPUTED_VALUE"""),"")</f>
        <v/>
      </c>
      <c r="M58" t="str">
        <f ca="1">IFERROR(__xludf.DUMMYFUNCTION("""COMPUTED_VALUE"""),"")</f>
        <v/>
      </c>
      <c r="N58" t="str">
        <f ca="1">IFERROR(__xludf.DUMMYFUNCTION("""COMPUTED_VALUE"""),"")</f>
        <v/>
      </c>
      <c r="O58" t="str">
        <f ca="1">IFERROR(__xludf.DUMMYFUNCTION("""COMPUTED_VALUE"""),"S6")</f>
        <v>S6</v>
      </c>
      <c r="P58">
        <f ca="1">IFERROR(__xludf.DUMMYFUNCTION("""COMPUTED_VALUE"""),28)</f>
        <v>28</v>
      </c>
      <c r="Q58" t="str">
        <f ca="1">IFERROR(__xludf.DUMMYFUNCTION("""COMPUTED_VALUE"""),"S6")</f>
        <v>S6</v>
      </c>
      <c r="R58" t="str">
        <f ca="1">IFERROR(__xludf.DUMMYFUNCTION("""COMPUTED_VALUE"""),"ASE")</f>
        <v>ASE</v>
      </c>
      <c r="S58">
        <f ca="1">IFERROR(__xludf.DUMMYFUNCTION("""COMPUTED_VALUE"""),6)</f>
        <v>6</v>
      </c>
      <c r="T58">
        <f ca="1">IFERROR(__xludf.DUMMYFUNCTION("""COMPUTED_VALUE"""),16)</f>
        <v>16</v>
      </c>
      <c r="U58" t="str">
        <f ca="1">IFERROR(__xludf.DUMMYFUNCTION("""COMPUTED_VALUE"""),"Y")</f>
        <v>Y</v>
      </c>
      <c r="V58" t="str">
        <f ca="1">IFERROR(__xludf.DUMMYFUNCTION("""COMPUTED_VALUE"""),"")</f>
        <v/>
      </c>
      <c r="W58" t="str">
        <f ca="1">IFERROR(__xludf.DUMMYFUNCTION("""COMPUTED_VALUE"""),"")</f>
        <v/>
      </c>
      <c r="X58" t="str">
        <f ca="1">IFERROR(__xludf.DUMMYFUNCTION("""COMPUTED_VALUE"""),"")</f>
        <v/>
      </c>
      <c r="Y58" t="str">
        <f ca="1">IFERROR(__xludf.DUMMYFUNCTION("""COMPUTED_VALUE"""),"")</f>
        <v/>
      </c>
    </row>
    <row r="59" spans="1:25" ht="13">
      <c r="A59" s="26" t="str">
        <f ca="1">IFERROR(__xludf.DUMMYFUNCTION("""COMPUTED_VALUE"""),"http://probaseballexperience.jcink.net/index.php?showtopic=3008")</f>
        <v>http://probaseballexperience.jcink.net/index.php?showtopic=3008</v>
      </c>
      <c r="B59" t="str">
        <f ca="1">IFERROR(__xludf.DUMMYFUNCTION("""COMPUTED_VALUE"""),"FA")</f>
        <v>FA</v>
      </c>
      <c r="C59" s="26" t="str">
        <f ca="1">IFERROR(__xludf.DUMMYFUNCTION("""COMPUTED_VALUE"""),"Preza")</f>
        <v>Preza</v>
      </c>
      <c r="D59" s="26" t="str">
        <f ca="1">IFERROR(__xludf.DUMMYFUNCTION("""COMPUTED_VALUE"""),"Chase Preza - 1B")</f>
        <v>Chase Preza - 1B</v>
      </c>
      <c r="E59" t="str">
        <f ca="1">IFERROR(__xludf.DUMMYFUNCTION("""COMPUTED_VALUE"""),"Chase Preza")</f>
        <v>Chase Preza</v>
      </c>
      <c r="F59" t="str">
        <f ca="1">IFERROR(__xludf.DUMMYFUNCTION("""COMPUTED_VALUE"""),"1B")</f>
        <v>1B</v>
      </c>
      <c r="G59" t="str">
        <f ca="1">IFERROR(__xludf.DUMMYFUNCTION("""COMPUTED_VALUE"""),"Speed/Quick")</f>
        <v>Speed/Quick</v>
      </c>
      <c r="H59">
        <f ca="1">IFERROR(__xludf.DUMMYFUNCTION("""COMPUTED_VALUE"""),100)</f>
        <v>100</v>
      </c>
      <c r="I59" t="str">
        <f ca="1">IFERROR(__xludf.DUMMYFUNCTION("""COMPUTED_VALUE"""),"")</f>
        <v/>
      </c>
      <c r="J59" t="str">
        <f ca="1">IFERROR(__xludf.DUMMYFUNCTION("""COMPUTED_VALUE"""),"")</f>
        <v/>
      </c>
      <c r="K59" t="str">
        <f ca="1">IFERROR(__xludf.DUMMYFUNCTION("""COMPUTED_VALUE"""),"")</f>
        <v/>
      </c>
      <c r="L59" t="str">
        <f ca="1">IFERROR(__xludf.DUMMYFUNCTION("""COMPUTED_VALUE"""),"")</f>
        <v/>
      </c>
      <c r="M59" t="str">
        <f ca="1">IFERROR(__xludf.DUMMYFUNCTION("""COMPUTED_VALUE"""),"")</f>
        <v/>
      </c>
      <c r="N59" t="str">
        <f ca="1">IFERROR(__xludf.DUMMYFUNCTION("""COMPUTED_VALUE"""),"")</f>
        <v/>
      </c>
      <c r="O59" t="str">
        <f ca="1">IFERROR(__xludf.DUMMYFUNCTION("""COMPUTED_VALUE"""),"S6")</f>
        <v>S6</v>
      </c>
      <c r="P59">
        <f ca="1">IFERROR(__xludf.DUMMYFUNCTION("""COMPUTED_VALUE"""),26)</f>
        <v>26</v>
      </c>
      <c r="Q59" t="str">
        <f ca="1">IFERROR(__xludf.DUMMYFUNCTION("""COMPUTED_VALUE"""),"S6")</f>
        <v>S6</v>
      </c>
      <c r="R59" t="str">
        <f ca="1">IFERROR(__xludf.DUMMYFUNCTION("""COMPUTED_VALUE"""),"ASE")</f>
        <v>ASE</v>
      </c>
      <c r="S59">
        <f ca="1">IFERROR(__xludf.DUMMYFUNCTION("""COMPUTED_VALUE"""),6)</f>
        <v>6</v>
      </c>
      <c r="T59">
        <f ca="1">IFERROR(__xludf.DUMMYFUNCTION("""COMPUTED_VALUE"""),12)</f>
        <v>12</v>
      </c>
      <c r="U59" t="str">
        <f ca="1">IFERROR(__xludf.DUMMYFUNCTION("""COMPUTED_VALUE"""),"Y")</f>
        <v>Y</v>
      </c>
      <c r="V59" t="str">
        <f ca="1">IFERROR(__xludf.DUMMYFUNCTION("""COMPUTED_VALUE"""),"")</f>
        <v/>
      </c>
      <c r="W59" t="str">
        <f ca="1">IFERROR(__xludf.DUMMYFUNCTION("""COMPUTED_VALUE"""),"")</f>
        <v/>
      </c>
      <c r="X59" t="str">
        <f ca="1">IFERROR(__xludf.DUMMYFUNCTION("""COMPUTED_VALUE"""),"")</f>
        <v/>
      </c>
      <c r="Y59" t="str">
        <f ca="1">IFERROR(__xludf.DUMMYFUNCTION("""COMPUTED_VALUE"""),"")</f>
        <v/>
      </c>
    </row>
    <row r="60" spans="1:25" ht="13">
      <c r="A60" s="26" t="str">
        <f ca="1">IFERROR(__xludf.DUMMYFUNCTION("""COMPUTED_VALUE"""),"http://probaseballexperience.jcink.net/index.php?showtopic=2966#")</f>
        <v>http://probaseballexperience.jcink.net/index.php?showtopic=2966#</v>
      </c>
      <c r="B60" t="str">
        <f ca="1">IFERROR(__xludf.DUMMYFUNCTION("""COMPUTED_VALUE"""),"FA")</f>
        <v>FA</v>
      </c>
      <c r="C60" s="26" t="str">
        <f ca="1">IFERROR(__xludf.DUMMYFUNCTION("""COMPUTED_VALUE"""),"abrod8")</f>
        <v>abrod8</v>
      </c>
      <c r="D60" s="26" t="str">
        <f ca="1">IFERROR(__xludf.DUMMYFUNCTION("""COMPUTED_VALUE"""),"Aidan Broderick - RF")</f>
        <v>Aidan Broderick - RF</v>
      </c>
      <c r="E60" t="str">
        <f ca="1">IFERROR(__xludf.DUMMYFUNCTION("""COMPUTED_VALUE"""),"Aidan Broderick")</f>
        <v>Aidan Broderick</v>
      </c>
      <c r="F60" t="str">
        <f ca="1">IFERROR(__xludf.DUMMYFUNCTION("""COMPUTED_VALUE"""),"RF")</f>
        <v>RF</v>
      </c>
      <c r="G60" t="str">
        <f ca="1">IFERROR(__xludf.DUMMYFUNCTION("""COMPUTED_VALUE"""),"Balanced/Arm")</f>
        <v>Balanced/Arm</v>
      </c>
      <c r="H60">
        <f ca="1">IFERROR(__xludf.DUMMYFUNCTION("""COMPUTED_VALUE"""),100)</f>
        <v>100</v>
      </c>
      <c r="I60" t="str">
        <f ca="1">IFERROR(__xludf.DUMMYFUNCTION("""COMPUTED_VALUE"""),"")</f>
        <v/>
      </c>
      <c r="J60" t="str">
        <f ca="1">IFERROR(__xludf.DUMMYFUNCTION("""COMPUTED_VALUE"""),"")</f>
        <v/>
      </c>
      <c r="K60" t="str">
        <f ca="1">IFERROR(__xludf.DUMMYFUNCTION("""COMPUTED_VALUE"""),"")</f>
        <v/>
      </c>
      <c r="L60" t="str">
        <f ca="1">IFERROR(__xludf.DUMMYFUNCTION("""COMPUTED_VALUE"""),"")</f>
        <v/>
      </c>
      <c r="M60" t="str">
        <f ca="1">IFERROR(__xludf.DUMMYFUNCTION("""COMPUTED_VALUE"""),"")</f>
        <v/>
      </c>
      <c r="N60" t="str">
        <f ca="1">IFERROR(__xludf.DUMMYFUNCTION("""COMPUTED_VALUE"""),"")</f>
        <v/>
      </c>
      <c r="O60" t="str">
        <f ca="1">IFERROR(__xludf.DUMMYFUNCTION("""COMPUTED_VALUE"""),"S6")</f>
        <v>S6</v>
      </c>
      <c r="P60">
        <f ca="1">IFERROR(__xludf.DUMMYFUNCTION("""COMPUTED_VALUE"""),45)</f>
        <v>45</v>
      </c>
      <c r="Q60" t="str">
        <f ca="1">IFERROR(__xludf.DUMMYFUNCTION("""COMPUTED_VALUE"""),"S6")</f>
        <v>S6</v>
      </c>
      <c r="R60" t="str">
        <f ca="1">IFERROR(__xludf.DUMMYFUNCTION("""COMPUTED_VALUE"""),"")</f>
        <v/>
      </c>
      <c r="S60" t="str">
        <f ca="1">IFERROR(__xludf.DUMMYFUNCTION("""COMPUTED_VALUE"""),"")</f>
        <v/>
      </c>
      <c r="T60" t="str">
        <f ca="1">IFERROR(__xludf.DUMMYFUNCTION("""COMPUTED_VALUE"""),"")</f>
        <v/>
      </c>
      <c r="U60" t="str">
        <f ca="1">IFERROR(__xludf.DUMMYFUNCTION("""COMPUTED_VALUE"""),"")</f>
        <v/>
      </c>
      <c r="V60" t="str">
        <f ca="1">IFERROR(__xludf.DUMMYFUNCTION("""COMPUTED_VALUE"""),"")</f>
        <v/>
      </c>
      <c r="W60" t="str">
        <f ca="1">IFERROR(__xludf.DUMMYFUNCTION("""COMPUTED_VALUE"""),"")</f>
        <v/>
      </c>
      <c r="X60" t="str">
        <f ca="1">IFERROR(__xludf.DUMMYFUNCTION("""COMPUTED_VALUE"""),"")</f>
        <v/>
      </c>
      <c r="Y60" t="str">
        <f ca="1">IFERROR(__xludf.DUMMYFUNCTION("""COMPUTED_VALUE"""),"")</f>
        <v/>
      </c>
    </row>
    <row r="61" spans="1:25" ht="13">
      <c r="A61" s="26" t="str">
        <f ca="1">IFERROR(__xludf.DUMMYFUNCTION("""COMPUTED_VALUE"""),"http://probaseballexperience.jcink.net/index.php?showtopic=3606")</f>
        <v>http://probaseballexperience.jcink.net/index.php?showtopic=3606</v>
      </c>
      <c r="B61" t="str">
        <f ca="1">IFERROR(__xludf.DUMMYFUNCTION("""COMPUTED_VALUE"""),"FA")</f>
        <v>FA</v>
      </c>
      <c r="C61" s="26" t="str">
        <f ca="1">IFERROR(__xludf.DUMMYFUNCTION("""COMPUTED_VALUE"""),"Joester09")</f>
        <v>Joester09</v>
      </c>
      <c r="D61" s="26" t="str">
        <f ca="1">IFERROR(__xludf.DUMMYFUNCTION("""COMPUTED_VALUE"""),"Troy Castlefield-Pfloog - C")</f>
        <v>Troy Castlefield-Pfloog - C</v>
      </c>
      <c r="E61" t="str">
        <f ca="1">IFERROR(__xludf.DUMMYFUNCTION("""COMPUTED_VALUE"""),"Troy Castlefield-Pfloo")</f>
        <v>Troy Castlefield-Pfloo</v>
      </c>
      <c r="F61" t="str">
        <f ca="1">IFERROR(__xludf.DUMMYFUNCTION("""COMPUTED_VALUE"""),"C")</f>
        <v>C</v>
      </c>
      <c r="G61" t="str">
        <f ca="1">IFERROR(__xludf.DUMMYFUNCTION("""COMPUTED_VALUE"""),"Power/Arm")</f>
        <v>Power/Arm</v>
      </c>
      <c r="H61">
        <f ca="1">IFERROR(__xludf.DUMMYFUNCTION("""COMPUTED_VALUE"""),100)</f>
        <v>100</v>
      </c>
      <c r="I61" s="99" t="str">
        <f ca="1">IFERROR(__xludf.DUMMYFUNCTION("""COMPUTED_VALUE"""),"")</f>
        <v/>
      </c>
      <c r="J61" s="99" t="str">
        <f ca="1">IFERROR(__xludf.DUMMYFUNCTION("""COMPUTED_VALUE"""),"")</f>
        <v/>
      </c>
      <c r="K61" s="99" t="str">
        <f ca="1">IFERROR(__xludf.DUMMYFUNCTION("""COMPUTED_VALUE"""),"")</f>
        <v/>
      </c>
      <c r="L61" s="99" t="str">
        <f ca="1">IFERROR(__xludf.DUMMYFUNCTION("""COMPUTED_VALUE"""),"")</f>
        <v/>
      </c>
      <c r="M61" s="99" t="str">
        <f ca="1">IFERROR(__xludf.DUMMYFUNCTION("""COMPUTED_VALUE"""),"")</f>
        <v/>
      </c>
      <c r="N61" t="str">
        <f ca="1">IFERROR(__xludf.DUMMYFUNCTION("""COMPUTED_VALUE"""),"S10 MO")</f>
        <v>S10 MO</v>
      </c>
      <c r="O61" t="str">
        <f ca="1">IFERROR(__xludf.DUMMYFUNCTION("""COMPUTED_VALUE"""),"S7")</f>
        <v>S7</v>
      </c>
      <c r="P61">
        <f ca="1">IFERROR(__xludf.DUMMYFUNCTION("""COMPUTED_VALUE"""),28)</f>
        <v>28</v>
      </c>
      <c r="Q61" t="str">
        <f ca="1">IFERROR(__xludf.DUMMYFUNCTION("""COMPUTED_VALUE"""),"S7")</f>
        <v>S7</v>
      </c>
      <c r="R61" t="str">
        <f ca="1">IFERROR(__xludf.DUMMYFUNCTION("""COMPUTED_VALUE"""),"")</f>
        <v/>
      </c>
      <c r="S61" t="str">
        <f ca="1">IFERROR(__xludf.DUMMYFUNCTION("""COMPUTED_VALUE"""),"")</f>
        <v/>
      </c>
      <c r="T61" t="str">
        <f ca="1">IFERROR(__xludf.DUMMYFUNCTION("""COMPUTED_VALUE"""),"")</f>
        <v/>
      </c>
      <c r="U61" t="str">
        <f ca="1">IFERROR(__xludf.DUMMYFUNCTION("""COMPUTED_VALUE"""),"")</f>
        <v/>
      </c>
      <c r="V61" t="str">
        <f ca="1">IFERROR(__xludf.DUMMYFUNCTION("""COMPUTED_VALUE"""),"")</f>
        <v/>
      </c>
      <c r="W61" t="str">
        <f ca="1">IFERROR(__xludf.DUMMYFUNCTION("""COMPUTED_VALUE"""),"")</f>
        <v/>
      </c>
      <c r="X61" t="str">
        <f ca="1">IFERROR(__xludf.DUMMYFUNCTION("""COMPUTED_VALUE"""),"")</f>
        <v/>
      </c>
      <c r="Y61" t="str">
        <f ca="1">IFERROR(__xludf.DUMMYFUNCTION("""COMPUTED_VALUE"""),"")</f>
        <v/>
      </c>
    </row>
    <row r="62" spans="1:25" ht="13">
      <c r="A62" t="str">
        <f ca="1">IFERROR(__xludf.DUMMYFUNCTION("""COMPUTED_VALUE"""),"")</f>
        <v/>
      </c>
      <c r="B62" t="str">
        <f ca="1">IFERROR(__xludf.DUMMYFUNCTION("""COMPUTED_VALUE"""),"FA")</f>
        <v>FA</v>
      </c>
      <c r="C62" s="26" t="str">
        <f ca="1">IFERROR(__xludf.DUMMYFUNCTION("""COMPUTED_VALUE"""),"SnuggleNugget")</f>
        <v>SnuggleNugget</v>
      </c>
      <c r="D62" s="26" t="str">
        <f ca="1">IFERROR(__xludf.DUMMYFUNCTION("""COMPUTED_VALUE"""),"Bobby Donger - SP")</f>
        <v>Bobby Donger - SP</v>
      </c>
      <c r="E62" t="str">
        <f ca="1">IFERROR(__xludf.DUMMYFUNCTION("""COMPUTED_VALUE"""),"Bobby Donger")</f>
        <v>Bobby Donger</v>
      </c>
      <c r="F62" t="str">
        <f ca="1">IFERROR(__xludf.DUMMYFUNCTION("""COMPUTED_VALUE"""),"SP")</f>
        <v>SP</v>
      </c>
      <c r="G62" t="str">
        <f ca="1">IFERROR(__xludf.DUMMYFUNCTION("""COMPUTED_VALUE"""),"Balanced")</f>
        <v>Balanced</v>
      </c>
      <c r="H62">
        <f ca="1">IFERROR(__xludf.DUMMYFUNCTION("""COMPUTED_VALUE"""),100)</f>
        <v>100</v>
      </c>
      <c r="I62" t="str">
        <f ca="1">IFERROR(__xludf.DUMMYFUNCTION("""COMPUTED_VALUE"""),"")</f>
        <v/>
      </c>
      <c r="J62" t="str">
        <f ca="1">IFERROR(__xludf.DUMMYFUNCTION("""COMPUTED_VALUE"""),"")</f>
        <v/>
      </c>
      <c r="K62" t="str">
        <f ca="1">IFERROR(__xludf.DUMMYFUNCTION("""COMPUTED_VALUE"""),"")</f>
        <v/>
      </c>
      <c r="L62" t="str">
        <f ca="1">IFERROR(__xludf.DUMMYFUNCTION("""COMPUTED_VALUE"""),"")</f>
        <v/>
      </c>
      <c r="M62" t="str">
        <f ca="1">IFERROR(__xludf.DUMMYFUNCTION("""COMPUTED_VALUE"""),"")</f>
        <v/>
      </c>
      <c r="N62" t="str">
        <f ca="1">IFERROR(__xludf.DUMMYFUNCTION("""COMPUTED_VALUE"""),"")</f>
        <v/>
      </c>
      <c r="O62" t="str">
        <f ca="1">IFERROR(__xludf.DUMMYFUNCTION("""COMPUTED_VALUE"""),"S10")</f>
        <v>S10</v>
      </c>
      <c r="P62">
        <f ca="1">IFERROR(__xludf.DUMMYFUNCTION("""COMPUTED_VALUE"""),54)</f>
        <v>54</v>
      </c>
      <c r="Q62" t="str">
        <f ca="1">IFERROR(__xludf.DUMMYFUNCTION("""COMPUTED_VALUE"""),"S9")</f>
        <v>S9</v>
      </c>
      <c r="R62" t="str">
        <f ca="1">IFERROR(__xludf.DUMMYFUNCTION("""COMPUTED_VALUE"""),"")</f>
        <v/>
      </c>
      <c r="S62" t="str">
        <f ca="1">IFERROR(__xludf.DUMMYFUNCTION("""COMPUTED_VALUE"""),"")</f>
        <v/>
      </c>
      <c r="T62" t="str">
        <f ca="1">IFERROR(__xludf.DUMMYFUNCTION("""COMPUTED_VALUE"""),"")</f>
        <v/>
      </c>
      <c r="U62" t="str">
        <f ca="1">IFERROR(__xludf.DUMMYFUNCTION("""COMPUTED_VALUE"""),"")</f>
        <v/>
      </c>
      <c r="V62" t="str">
        <f ca="1">IFERROR(__xludf.DUMMYFUNCTION("""COMPUTED_VALUE"""),"")</f>
        <v/>
      </c>
      <c r="W62" t="str">
        <f ca="1">IFERROR(__xludf.DUMMYFUNCTION("""COMPUTED_VALUE"""),"")</f>
        <v/>
      </c>
      <c r="X62" t="str">
        <f ca="1">IFERROR(__xludf.DUMMYFUNCTION("""COMPUTED_VALUE"""),"")</f>
        <v/>
      </c>
      <c r="Y62" t="str">
        <f ca="1">IFERROR(__xludf.DUMMYFUNCTION("""COMPUTED_VALUE"""),"")</f>
        <v/>
      </c>
    </row>
    <row r="63" spans="1:25" ht="13">
      <c r="A63" t="str">
        <f ca="1">IFERROR(__xludf.DUMMYFUNCTION("""COMPUTED_VALUE"""),"")</f>
        <v/>
      </c>
      <c r="B63" t="str">
        <f ca="1">IFERROR(__xludf.DUMMYFUNCTION("""COMPUTED_VALUE"""),"FA")</f>
        <v>FA</v>
      </c>
      <c r="C63" s="26" t="str">
        <f ca="1">IFERROR(__xludf.DUMMYFUNCTION("""COMPUTED_VALUE"""),"atcovin")</f>
        <v>atcovin</v>
      </c>
      <c r="D63" s="26" t="str">
        <f ca="1">IFERROR(__xludf.DUMMYFUNCTION("""COMPUTED_VALUE"""),"Felix Meier - SP")</f>
        <v>Felix Meier - SP</v>
      </c>
      <c r="E63" t="str">
        <f ca="1">IFERROR(__xludf.DUMMYFUNCTION("""COMPUTED_VALUE"""),"Felix Meier")</f>
        <v>Felix Meier</v>
      </c>
      <c r="F63" t="str">
        <f ca="1">IFERROR(__xludf.DUMMYFUNCTION("""COMPUTED_VALUE"""),"SP")</f>
        <v>SP</v>
      </c>
      <c r="G63" t="str">
        <f ca="1">IFERROR(__xludf.DUMMYFUNCTION("""COMPUTED_VALUE"""),"Balanced")</f>
        <v>Balanced</v>
      </c>
      <c r="H63">
        <f ca="1">IFERROR(__xludf.DUMMYFUNCTION("""COMPUTED_VALUE"""),100)</f>
        <v>100</v>
      </c>
      <c r="I63" t="str">
        <f ca="1">IFERROR(__xludf.DUMMYFUNCTION("""COMPUTED_VALUE"""),"")</f>
        <v/>
      </c>
      <c r="J63" t="str">
        <f ca="1">IFERROR(__xludf.DUMMYFUNCTION("""COMPUTED_VALUE"""),"")</f>
        <v/>
      </c>
      <c r="K63" t="str">
        <f ca="1">IFERROR(__xludf.DUMMYFUNCTION("""COMPUTED_VALUE"""),"")</f>
        <v/>
      </c>
      <c r="L63" t="str">
        <f ca="1">IFERROR(__xludf.DUMMYFUNCTION("""COMPUTED_VALUE"""),"")</f>
        <v/>
      </c>
      <c r="M63" t="str">
        <f ca="1">IFERROR(__xludf.DUMMYFUNCTION("""COMPUTED_VALUE"""),"")</f>
        <v/>
      </c>
      <c r="N63" t="str">
        <f ca="1">IFERROR(__xludf.DUMMYFUNCTION("""COMPUTED_VALUE"""),"")</f>
        <v/>
      </c>
      <c r="O63" t="str">
        <f ca="1">IFERROR(__xludf.DUMMYFUNCTION("""COMPUTED_VALUE"""),"S10")</f>
        <v>S10</v>
      </c>
      <c r="P63">
        <f ca="1">IFERROR(__xludf.DUMMYFUNCTION("""COMPUTED_VALUE"""),62)</f>
        <v>62</v>
      </c>
      <c r="Q63" t="str">
        <f ca="1">IFERROR(__xludf.DUMMYFUNCTION("""COMPUTED_VALUE"""),"S9")</f>
        <v>S9</v>
      </c>
      <c r="R63" t="str">
        <f ca="1">IFERROR(__xludf.DUMMYFUNCTION("""COMPUTED_VALUE"""),"")</f>
        <v/>
      </c>
      <c r="S63" t="str">
        <f ca="1">IFERROR(__xludf.DUMMYFUNCTION("""COMPUTED_VALUE"""),"")</f>
        <v/>
      </c>
      <c r="T63" t="str">
        <f ca="1">IFERROR(__xludf.DUMMYFUNCTION("""COMPUTED_VALUE"""),"")</f>
        <v/>
      </c>
      <c r="U63" t="str">
        <f ca="1">IFERROR(__xludf.DUMMYFUNCTION("""COMPUTED_VALUE"""),"")</f>
        <v/>
      </c>
      <c r="V63" t="str">
        <f ca="1">IFERROR(__xludf.DUMMYFUNCTION("""COMPUTED_VALUE"""),"")</f>
        <v/>
      </c>
      <c r="W63" t="str">
        <f ca="1">IFERROR(__xludf.DUMMYFUNCTION("""COMPUTED_VALUE"""),"")</f>
        <v/>
      </c>
      <c r="X63" t="str">
        <f ca="1">IFERROR(__xludf.DUMMYFUNCTION("""COMPUTED_VALUE"""),"")</f>
        <v/>
      </c>
      <c r="Y63" t="str">
        <f ca="1">IFERROR(__xludf.DUMMYFUNCTION("""COMPUTED_VALUE"""),"")</f>
        <v/>
      </c>
    </row>
    <row r="64" spans="1:25" ht="13">
      <c r="A64" t="str">
        <f ca="1">IFERROR(__xludf.DUMMYFUNCTION("""COMPUTED_VALUE"""),"")</f>
        <v/>
      </c>
      <c r="B64" t="str">
        <f ca="1">IFERROR(__xludf.DUMMYFUNCTION("""COMPUTED_VALUE"""),"FA")</f>
        <v>FA</v>
      </c>
      <c r="C64" s="26" t="str">
        <f ca="1">IFERROR(__xludf.DUMMYFUNCTION("""COMPUTED_VALUE"""),"BradyMac2438")</f>
        <v>BradyMac2438</v>
      </c>
      <c r="D64" s="26" t="str">
        <f ca="1">IFERROR(__xludf.DUMMYFUNCTION("""COMPUTED_VALUE"""),"Brady McKenzie - SP")</f>
        <v>Brady McKenzie - SP</v>
      </c>
      <c r="E64" t="str">
        <f ca="1">IFERROR(__xludf.DUMMYFUNCTION("""COMPUTED_VALUE"""),"Brady McKenzie")</f>
        <v>Brady McKenzie</v>
      </c>
      <c r="F64" t="str">
        <f ca="1">IFERROR(__xludf.DUMMYFUNCTION("""COMPUTED_VALUE"""),"SP")</f>
        <v>SP</v>
      </c>
      <c r="G64" t="str">
        <f ca="1">IFERROR(__xludf.DUMMYFUNCTION("""COMPUTED_VALUE"""),"Balance")</f>
        <v>Balance</v>
      </c>
      <c r="H64">
        <f ca="1">IFERROR(__xludf.DUMMYFUNCTION("""COMPUTED_VALUE"""),100)</f>
        <v>100</v>
      </c>
      <c r="I64" t="str">
        <f ca="1">IFERROR(__xludf.DUMMYFUNCTION("""COMPUTED_VALUE"""),"")</f>
        <v/>
      </c>
      <c r="J64" t="str">
        <f ca="1">IFERROR(__xludf.DUMMYFUNCTION("""COMPUTED_VALUE"""),"")</f>
        <v/>
      </c>
      <c r="K64" t="str">
        <f ca="1">IFERROR(__xludf.DUMMYFUNCTION("""COMPUTED_VALUE"""),"")</f>
        <v/>
      </c>
      <c r="L64" t="str">
        <f ca="1">IFERROR(__xludf.DUMMYFUNCTION("""COMPUTED_VALUE"""),"")</f>
        <v/>
      </c>
      <c r="M64" t="str">
        <f ca="1">IFERROR(__xludf.DUMMYFUNCTION("""COMPUTED_VALUE"""),"")</f>
        <v/>
      </c>
      <c r="N64" t="str">
        <f ca="1">IFERROR(__xludf.DUMMYFUNCTION("""COMPUTED_VALUE"""),"")</f>
        <v/>
      </c>
      <c r="O64" t="str">
        <f ca="1">IFERROR(__xludf.DUMMYFUNCTION("""COMPUTED_VALUE"""),"S10")</f>
        <v>S10</v>
      </c>
      <c r="P64">
        <f ca="1">IFERROR(__xludf.DUMMYFUNCTION("""COMPUTED_VALUE"""),70)</f>
        <v>70</v>
      </c>
      <c r="Q64" t="str">
        <f ca="1">IFERROR(__xludf.DUMMYFUNCTION("""COMPUTED_VALUE"""),"S9")</f>
        <v>S9</v>
      </c>
      <c r="R64" t="str">
        <f ca="1">IFERROR(__xludf.DUMMYFUNCTION("""COMPUTED_VALUE"""),"")</f>
        <v/>
      </c>
      <c r="S64" t="str">
        <f ca="1">IFERROR(__xludf.DUMMYFUNCTION("""COMPUTED_VALUE"""),"")</f>
        <v/>
      </c>
      <c r="T64" t="str">
        <f ca="1">IFERROR(__xludf.DUMMYFUNCTION("""COMPUTED_VALUE"""),"")</f>
        <v/>
      </c>
      <c r="U64" t="str">
        <f ca="1">IFERROR(__xludf.DUMMYFUNCTION("""COMPUTED_VALUE"""),"")</f>
        <v/>
      </c>
      <c r="V64" t="str">
        <f ca="1">IFERROR(__xludf.DUMMYFUNCTION("""COMPUTED_VALUE"""),"")</f>
        <v/>
      </c>
      <c r="W64" t="str">
        <f ca="1">IFERROR(__xludf.DUMMYFUNCTION("""COMPUTED_VALUE"""),"")</f>
        <v/>
      </c>
      <c r="X64" t="str">
        <f ca="1">IFERROR(__xludf.DUMMYFUNCTION("""COMPUTED_VALUE"""),"")</f>
        <v/>
      </c>
      <c r="Y64" t="str">
        <f ca="1">IFERROR(__xludf.DUMMYFUNCTION("""COMPUTED_VALUE"""),"")</f>
        <v/>
      </c>
    </row>
    <row r="65" spans="1:25" ht="13">
      <c r="A65" t="str">
        <f ca="1">IFERROR(__xludf.DUMMYFUNCTION("""COMPUTED_VALUE"""),"")</f>
        <v/>
      </c>
      <c r="B65" t="str">
        <f ca="1">IFERROR(__xludf.DUMMYFUNCTION("""COMPUTED_VALUE"""),"FA")</f>
        <v>FA</v>
      </c>
      <c r="C65" s="26" t="str">
        <f ca="1">IFERROR(__xludf.DUMMYFUNCTION("""COMPUTED_VALUE"""),"sableye2")</f>
        <v>sableye2</v>
      </c>
      <c r="D65" s="26" t="str">
        <f ca="1">IFERROR(__xludf.DUMMYFUNCTION("""COMPUTED_VALUE"""),"Stratfer Wakera - SS")</f>
        <v>Stratfer Wakera - SS</v>
      </c>
      <c r="E65" t="str">
        <f ca="1">IFERROR(__xludf.DUMMYFUNCTION("""COMPUTED_VALUE"""),"Stratfer Wakera")</f>
        <v>Stratfer Wakera</v>
      </c>
      <c r="F65" t="str">
        <f ca="1">IFERROR(__xludf.DUMMYFUNCTION("""COMPUTED_VALUE"""),"SS")</f>
        <v>SS</v>
      </c>
      <c r="G65" t="str">
        <f ca="1">IFERROR(__xludf.DUMMYFUNCTION("""COMPUTED_VALUE"""),"Contact/Utility")</f>
        <v>Contact/Utility</v>
      </c>
      <c r="H65">
        <f ca="1">IFERROR(__xludf.DUMMYFUNCTION("""COMPUTED_VALUE"""),100)</f>
        <v>100</v>
      </c>
      <c r="I65" s="99" t="str">
        <f ca="1">IFERROR(__xludf.DUMMYFUNCTION("""COMPUTED_VALUE"""),"")</f>
        <v/>
      </c>
      <c r="J65" s="99" t="str">
        <f ca="1">IFERROR(__xludf.DUMMYFUNCTION("""COMPUTED_VALUE"""),"")</f>
        <v/>
      </c>
      <c r="K65" s="99" t="str">
        <f ca="1">IFERROR(__xludf.DUMMYFUNCTION("""COMPUTED_VALUE"""),"")</f>
        <v/>
      </c>
      <c r="L65" s="99" t="str">
        <f ca="1">IFERROR(__xludf.DUMMYFUNCTION("""COMPUTED_VALUE"""),"")</f>
        <v/>
      </c>
      <c r="M65" s="99" t="str">
        <f ca="1">IFERROR(__xludf.DUMMYFUNCTION("""COMPUTED_VALUE"""),"")</f>
        <v/>
      </c>
      <c r="N65" t="str">
        <f ca="1">IFERROR(__xludf.DUMMYFUNCTION("""COMPUTED_VALUE"""),"S11  TO")</f>
        <v>S11  TO</v>
      </c>
      <c r="O65" t="str">
        <f ca="1">IFERROR(__xludf.DUMMYFUNCTION("""COMPUTED_VALUE"""),"S9")</f>
        <v>S9</v>
      </c>
      <c r="P65">
        <f ca="1">IFERROR(__xludf.DUMMYFUNCTION("""COMPUTED_VALUE"""),34)</f>
        <v>34</v>
      </c>
      <c r="Q65" t="str">
        <f ca="1">IFERROR(__xludf.DUMMYFUNCTION("""COMPUTED_VALUE"""),"S9")</f>
        <v>S9</v>
      </c>
      <c r="R65" t="str">
        <f ca="1">IFERROR(__xludf.DUMMYFUNCTION("""COMPUTED_VALUE"""),"")</f>
        <v/>
      </c>
      <c r="S65" t="str">
        <f ca="1">IFERROR(__xludf.DUMMYFUNCTION("""COMPUTED_VALUE"""),"")</f>
        <v/>
      </c>
      <c r="T65" t="str">
        <f ca="1">IFERROR(__xludf.DUMMYFUNCTION("""COMPUTED_VALUE"""),"")</f>
        <v/>
      </c>
      <c r="U65" t="str">
        <f ca="1">IFERROR(__xludf.DUMMYFUNCTION("""COMPUTED_VALUE"""),"")</f>
        <v/>
      </c>
      <c r="V65" t="str">
        <f ca="1">IFERROR(__xludf.DUMMYFUNCTION("""COMPUTED_VALUE"""),"")</f>
        <v/>
      </c>
      <c r="W65" t="str">
        <f ca="1">IFERROR(__xludf.DUMMYFUNCTION("""COMPUTED_VALUE"""),"")</f>
        <v/>
      </c>
      <c r="X65" t="str">
        <f ca="1">IFERROR(__xludf.DUMMYFUNCTION("""COMPUTED_VALUE"""),"")</f>
        <v/>
      </c>
      <c r="Y65" t="str">
        <f ca="1">IFERROR(__xludf.DUMMYFUNCTION("""COMPUTED_VALUE"""),"")</f>
        <v/>
      </c>
    </row>
    <row r="66" spans="1:25" ht="13">
      <c r="A66" t="str">
        <f ca="1">IFERROR(__xludf.DUMMYFUNCTION("""COMPUTED_VALUE"""),"")</f>
        <v/>
      </c>
      <c r="B66" t="str">
        <f ca="1">IFERROR(__xludf.DUMMYFUNCTION("""COMPUTED_VALUE"""),"FA")</f>
        <v>FA</v>
      </c>
      <c r="C66" s="26" t="str">
        <f ca="1">IFERROR(__xludf.DUMMYFUNCTION("""COMPUTED_VALUE"""),"BaseScoutX1")</f>
        <v>BaseScoutX1</v>
      </c>
      <c r="D66" s="26" t="str">
        <f ca="1">IFERROR(__xludf.DUMMYFUNCTION("""COMPUTED_VALUE"""),"Billy Bob Booker V - 2B")</f>
        <v>Billy Bob Booker V - 2B</v>
      </c>
      <c r="E66" t="str">
        <f ca="1">IFERROR(__xludf.DUMMYFUNCTION("""COMPUTED_VALUE"""),"Billy Bob Booker V")</f>
        <v>Billy Bob Booker V</v>
      </c>
      <c r="F66" t="str">
        <f ca="1">IFERROR(__xludf.DUMMYFUNCTION("""COMPUTED_VALUE"""),"2B")</f>
        <v>2B</v>
      </c>
      <c r="G66" t="str">
        <f ca="1">IFERROR(__xludf.DUMMYFUNCTION("""COMPUTED_VALUE"""),"Balanced/Balanced")</f>
        <v>Balanced/Balanced</v>
      </c>
      <c r="H66">
        <f ca="1">IFERROR(__xludf.DUMMYFUNCTION("""COMPUTED_VALUE"""),100)</f>
        <v>100</v>
      </c>
      <c r="I66" t="str">
        <f ca="1">IFERROR(__xludf.DUMMYFUNCTION("""COMPUTED_VALUE"""),"")</f>
        <v/>
      </c>
      <c r="J66" t="str">
        <f ca="1">IFERROR(__xludf.DUMMYFUNCTION("""COMPUTED_VALUE"""),"")</f>
        <v/>
      </c>
      <c r="K66" t="str">
        <f ca="1">IFERROR(__xludf.DUMMYFUNCTION("""COMPUTED_VALUE"""),"")</f>
        <v/>
      </c>
      <c r="L66" t="str">
        <f ca="1">IFERROR(__xludf.DUMMYFUNCTION("""COMPUTED_VALUE"""),"")</f>
        <v/>
      </c>
      <c r="M66" t="str">
        <f ca="1">IFERROR(__xludf.DUMMYFUNCTION("""COMPUTED_VALUE"""),"")</f>
        <v/>
      </c>
      <c r="N66" t="str">
        <f ca="1">IFERROR(__xludf.DUMMYFUNCTION("""COMPUTED_VALUE"""),"")</f>
        <v/>
      </c>
      <c r="O66" t="str">
        <f ca="1">IFERROR(__xludf.DUMMYFUNCTION("""COMPUTED_VALUE"""),"S9")</f>
        <v>S9</v>
      </c>
      <c r="P66">
        <f ca="1">IFERROR(__xludf.DUMMYFUNCTION("""COMPUTED_VALUE"""),50)</f>
        <v>50</v>
      </c>
      <c r="Q66" t="str">
        <f ca="1">IFERROR(__xludf.DUMMYFUNCTION("""COMPUTED_VALUE"""),"S9")</f>
        <v>S9</v>
      </c>
      <c r="R66" t="str">
        <f ca="1">IFERROR(__xludf.DUMMYFUNCTION("""COMPUTED_VALUE"""),"")</f>
        <v/>
      </c>
      <c r="S66" t="str">
        <f ca="1">IFERROR(__xludf.DUMMYFUNCTION("""COMPUTED_VALUE"""),"")</f>
        <v/>
      </c>
      <c r="T66" t="str">
        <f ca="1">IFERROR(__xludf.DUMMYFUNCTION("""COMPUTED_VALUE"""),"")</f>
        <v/>
      </c>
      <c r="U66" t="str">
        <f ca="1">IFERROR(__xludf.DUMMYFUNCTION("""COMPUTED_VALUE"""),"")</f>
        <v/>
      </c>
      <c r="V66" t="str">
        <f ca="1">IFERROR(__xludf.DUMMYFUNCTION("""COMPUTED_VALUE"""),"")</f>
        <v/>
      </c>
      <c r="W66" t="str">
        <f ca="1">IFERROR(__xludf.DUMMYFUNCTION("""COMPUTED_VALUE"""),"")</f>
        <v/>
      </c>
      <c r="X66" t="str">
        <f ca="1">IFERROR(__xludf.DUMMYFUNCTION("""COMPUTED_VALUE"""),"")</f>
        <v/>
      </c>
      <c r="Y66" t="str">
        <f ca="1">IFERROR(__xludf.DUMMYFUNCTION("""COMPUTED_VALUE"""),"")</f>
        <v/>
      </c>
    </row>
    <row r="67" spans="1:25" ht="13">
      <c r="A67" t="str">
        <f ca="1">IFERROR(__xludf.DUMMYFUNCTION("""COMPUTED_VALUE"""),"")</f>
        <v/>
      </c>
      <c r="B67" t="str">
        <f ca="1">IFERROR(__xludf.DUMMYFUNCTION("""COMPUTED_VALUE"""),"FA")</f>
        <v>FA</v>
      </c>
      <c r="C67" s="26" t="str">
        <f ca="1">IFERROR(__xludf.DUMMYFUNCTION("""COMPUTED_VALUE"""),"Kellertime")</f>
        <v>Kellertime</v>
      </c>
      <c r="D67" s="26" t="str">
        <f ca="1">IFERROR(__xludf.DUMMYFUNCTION("""COMPUTED_VALUE"""),"Jaxsin Tyler - LF")</f>
        <v>Jaxsin Tyler - LF</v>
      </c>
      <c r="E67" t="str">
        <f ca="1">IFERROR(__xludf.DUMMYFUNCTION("""COMPUTED_VALUE"""),"Jaxsin Tyler")</f>
        <v>Jaxsin Tyler</v>
      </c>
      <c r="F67" t="str">
        <f ca="1">IFERROR(__xludf.DUMMYFUNCTION("""COMPUTED_VALUE"""),"LF")</f>
        <v>LF</v>
      </c>
      <c r="G67" t="str">
        <f ca="1">IFERROR(__xludf.DUMMYFUNCTION("""COMPUTED_VALUE"""),"Contact/Arm")</f>
        <v>Contact/Arm</v>
      </c>
      <c r="H67">
        <f ca="1">IFERROR(__xludf.DUMMYFUNCTION("""COMPUTED_VALUE"""),100)</f>
        <v>100</v>
      </c>
      <c r="I67" t="str">
        <f ca="1">IFERROR(__xludf.DUMMYFUNCTION("""COMPUTED_VALUE"""),"")</f>
        <v/>
      </c>
      <c r="J67" t="str">
        <f ca="1">IFERROR(__xludf.DUMMYFUNCTION("""COMPUTED_VALUE"""),"")</f>
        <v/>
      </c>
      <c r="K67" t="str">
        <f ca="1">IFERROR(__xludf.DUMMYFUNCTION("""COMPUTED_VALUE"""),"")</f>
        <v/>
      </c>
      <c r="L67" t="str">
        <f ca="1">IFERROR(__xludf.DUMMYFUNCTION("""COMPUTED_VALUE"""),"")</f>
        <v/>
      </c>
      <c r="M67" t="str">
        <f ca="1">IFERROR(__xludf.DUMMYFUNCTION("""COMPUTED_VALUE"""),"")</f>
        <v/>
      </c>
      <c r="N67" t="str">
        <f ca="1">IFERROR(__xludf.DUMMYFUNCTION("""COMPUTED_VALUE"""),"")</f>
        <v/>
      </c>
      <c r="O67" t="str">
        <f ca="1">IFERROR(__xludf.DUMMYFUNCTION("""COMPUTED_VALUE"""),"S9")</f>
        <v>S9</v>
      </c>
      <c r="P67">
        <f ca="1">IFERROR(__xludf.DUMMYFUNCTION("""COMPUTED_VALUE"""),41)</f>
        <v>41</v>
      </c>
      <c r="Q67" t="str">
        <f ca="1">IFERROR(__xludf.DUMMYFUNCTION("""COMPUTED_VALUE"""),"S9")</f>
        <v>S9</v>
      </c>
      <c r="R67" t="str">
        <f ca="1">IFERROR(__xludf.DUMMYFUNCTION("""COMPUTED_VALUE"""),"")</f>
        <v/>
      </c>
      <c r="S67" t="str">
        <f ca="1">IFERROR(__xludf.DUMMYFUNCTION("""COMPUTED_VALUE"""),"")</f>
        <v/>
      </c>
      <c r="T67" t="str">
        <f ca="1">IFERROR(__xludf.DUMMYFUNCTION("""COMPUTED_VALUE"""),"")</f>
        <v/>
      </c>
      <c r="U67" t="str">
        <f ca="1">IFERROR(__xludf.DUMMYFUNCTION("""COMPUTED_VALUE"""),"")</f>
        <v/>
      </c>
      <c r="V67" t="str">
        <f ca="1">IFERROR(__xludf.DUMMYFUNCTION("""COMPUTED_VALUE"""),"")</f>
        <v/>
      </c>
      <c r="W67" t="str">
        <f ca="1">IFERROR(__xludf.DUMMYFUNCTION("""COMPUTED_VALUE"""),"")</f>
        <v/>
      </c>
      <c r="X67" t="str">
        <f ca="1">IFERROR(__xludf.DUMMYFUNCTION("""COMPUTED_VALUE"""),"")</f>
        <v/>
      </c>
      <c r="Y67" t="str">
        <f ca="1">IFERROR(__xludf.DUMMYFUNCTION("""COMPUTED_VALUE"""),"")</f>
        <v/>
      </c>
    </row>
    <row r="68" spans="1:25" ht="13">
      <c r="A68" t="str">
        <f ca="1">IFERROR(__xludf.DUMMYFUNCTION("""COMPUTED_VALUE"""),"")</f>
        <v/>
      </c>
      <c r="B68" t="str">
        <f ca="1">IFERROR(__xludf.DUMMYFUNCTION("""COMPUTED_VALUE"""),"PRO")</f>
        <v>PRO</v>
      </c>
      <c r="C68" s="26" t="str">
        <f ca="1">IFERROR(__xludf.DUMMYFUNCTION("""COMPUTED_VALUE"""),"GoodLeftUndone")</f>
        <v>GoodLeftUndone</v>
      </c>
      <c r="D68" s="26" t="str">
        <f ca="1">IFERROR(__xludf.DUMMYFUNCTION("""COMPUTED_VALUE"""),"Tormund Gingerbomb - 3B")</f>
        <v>Tormund Gingerbomb - 3B</v>
      </c>
      <c r="E68" t="str">
        <f ca="1">IFERROR(__xludf.DUMMYFUNCTION("""COMPUTED_VALUE"""),"Tormund Gingerbomb")</f>
        <v>Tormund Gingerbomb</v>
      </c>
      <c r="F68" t="str">
        <f ca="1">IFERROR(__xludf.DUMMYFUNCTION("""COMPUTED_VALUE"""),"3B")</f>
        <v>3B</v>
      </c>
      <c r="G68" t="str">
        <f ca="1">IFERROR(__xludf.DUMMYFUNCTION("""COMPUTED_VALUE"""),"Power/Speedy")</f>
        <v>Power/Speedy</v>
      </c>
      <c r="H68">
        <f ca="1">IFERROR(__xludf.DUMMYFUNCTION("""COMPUTED_VALUE"""),107)</f>
        <v>107</v>
      </c>
      <c r="I68" s="99" t="str">
        <f ca="1">IFERROR(__xludf.DUMMYFUNCTION("""COMPUTED_VALUE"""),"")</f>
        <v/>
      </c>
      <c r="J68" s="99" t="str">
        <f ca="1">IFERROR(__xludf.DUMMYFUNCTION("""COMPUTED_VALUE"""),"")</f>
        <v/>
      </c>
      <c r="K68" s="99" t="str">
        <f ca="1">IFERROR(__xludf.DUMMYFUNCTION("""COMPUTED_VALUE"""),"")</f>
        <v/>
      </c>
      <c r="L68" t="str">
        <f ca="1">IFERROR(__xludf.DUMMYFUNCTION("""COMPUTED_VALUE"""),"")</f>
        <v/>
      </c>
      <c r="M68" t="str">
        <f ca="1">IFERROR(__xludf.DUMMYFUNCTION("""COMPUTED_VALUE"""),"")</f>
        <v/>
      </c>
      <c r="N68" s="26" t="str">
        <f ca="1">IFERROR(__xludf.DUMMYFUNCTION("""COMPUTED_VALUE"""),"http://probaseballexperience.jcink.net/index.php?showtopic=5362")</f>
        <v>http://probaseballexperience.jcink.net/index.php?showtopic=5362</v>
      </c>
      <c r="O68" t="str">
        <f ca="1">IFERROR(__xludf.DUMMYFUNCTION("""COMPUTED_VALUE"""),"S10")</f>
        <v>S10</v>
      </c>
      <c r="P68">
        <f ca="1">IFERROR(__xludf.DUMMYFUNCTION("""COMPUTED_VALUE"""),32)</f>
        <v>32</v>
      </c>
      <c r="Q68" t="str">
        <f ca="1">IFERROR(__xludf.DUMMYFUNCTION("""COMPUTED_VALUE"""),"S10")</f>
        <v>S10</v>
      </c>
      <c r="R68" t="str">
        <f ca="1">IFERROR(__xludf.DUMMYFUNCTION("""COMPUTED_VALUE"""),"")</f>
        <v/>
      </c>
      <c r="S68" t="str">
        <f ca="1">IFERROR(__xludf.DUMMYFUNCTION("""COMPUTED_VALUE"""),"")</f>
        <v/>
      </c>
      <c r="T68" t="str">
        <f ca="1">IFERROR(__xludf.DUMMYFUNCTION("""COMPUTED_VALUE"""),"")</f>
        <v/>
      </c>
      <c r="U68" t="str">
        <f ca="1">IFERROR(__xludf.DUMMYFUNCTION("""COMPUTED_VALUE"""),"")</f>
        <v/>
      </c>
      <c r="V68" t="str">
        <f ca="1">IFERROR(__xludf.DUMMYFUNCTION("""COMPUTED_VALUE"""),"")</f>
        <v/>
      </c>
      <c r="W68" t="str">
        <f ca="1">IFERROR(__xludf.DUMMYFUNCTION("""COMPUTED_VALUE"""),"")</f>
        <v/>
      </c>
      <c r="X68" t="str">
        <f ca="1">IFERROR(__xludf.DUMMYFUNCTION("""COMPUTED_VALUE"""),"")</f>
        <v/>
      </c>
      <c r="Y68" t="str">
        <f ca="1">IFERROR(__xludf.DUMMYFUNCTION("""COMPUTED_VALUE"""),"")</f>
        <v/>
      </c>
    </row>
    <row r="69" spans="1:25" ht="13">
      <c r="A69" t="str">
        <f ca="1">IFERROR(__xludf.DUMMYFUNCTION("""COMPUTED_VALUE"""),"")</f>
        <v/>
      </c>
      <c r="B69" t="str">
        <f ca="1">IFERROR(__xludf.DUMMYFUNCTION("""COMPUTED_VALUE"""),"PRO")</f>
        <v>PRO</v>
      </c>
      <c r="C69" s="26" t="str">
        <f ca="1">IFERROR(__xludf.DUMMYFUNCTION("""COMPUTED_VALUE"""),"DripDropDrippin")</f>
        <v>DripDropDrippin</v>
      </c>
      <c r="D69" s="26" t="str">
        <f ca="1">IFERROR(__xludf.DUMMYFUNCTION("""COMPUTED_VALUE"""),"Glenn Cahill - 3B")</f>
        <v>Glenn Cahill - 3B</v>
      </c>
      <c r="E69" t="str">
        <f ca="1">IFERROR(__xludf.DUMMYFUNCTION("""COMPUTED_VALUE"""),"Glenn Cahill")</f>
        <v>Glenn Cahill</v>
      </c>
      <c r="F69" t="str">
        <f ca="1">IFERROR(__xludf.DUMMYFUNCTION("""COMPUTED_VALUE"""),"3B")</f>
        <v>3B</v>
      </c>
      <c r="G69" t="str">
        <f ca="1">IFERROR(__xludf.DUMMYFUNCTION("""COMPUTED_VALUE"""),"Power/Arm")</f>
        <v>Power/Arm</v>
      </c>
      <c r="H69">
        <f ca="1">IFERROR(__xludf.DUMMYFUNCTION("""COMPUTED_VALUE"""),100)</f>
        <v>100</v>
      </c>
      <c r="I69" s="99" t="str">
        <f ca="1">IFERROR(__xludf.DUMMYFUNCTION("""COMPUTED_VALUE"""),"")</f>
        <v/>
      </c>
      <c r="J69" s="99" t="str">
        <f ca="1">IFERROR(__xludf.DUMMYFUNCTION("""COMPUTED_VALUE"""),"")</f>
        <v/>
      </c>
      <c r="K69" s="99" t="str">
        <f ca="1">IFERROR(__xludf.DUMMYFUNCTION("""COMPUTED_VALUE"""),"")</f>
        <v/>
      </c>
      <c r="L69" t="str">
        <f ca="1">IFERROR(__xludf.DUMMYFUNCTION("""COMPUTED_VALUE"""),"")</f>
        <v/>
      </c>
      <c r="M69" t="str">
        <f ca="1">IFERROR(__xludf.DUMMYFUNCTION("""COMPUTED_VALUE"""),"")</f>
        <v/>
      </c>
      <c r="N69" s="26" t="str">
        <f ca="1">IFERROR(__xludf.DUMMYFUNCTION("""COMPUTED_VALUE"""),"http://probaseballexperience.jcink.net/index.php?showtopic=5313")</f>
        <v>http://probaseballexperience.jcink.net/index.php?showtopic=5313</v>
      </c>
      <c r="O69" t="str">
        <f ca="1">IFERROR(__xludf.DUMMYFUNCTION("""COMPUTED_VALUE"""),"S10")</f>
        <v>S10</v>
      </c>
      <c r="P69">
        <f ca="1">IFERROR(__xludf.DUMMYFUNCTION("""COMPUTED_VALUE"""),27)</f>
        <v>27</v>
      </c>
      <c r="Q69" t="str">
        <f ca="1">IFERROR(__xludf.DUMMYFUNCTION("""COMPUTED_VALUE"""),"S10")</f>
        <v>S10</v>
      </c>
      <c r="R69" t="str">
        <f ca="1">IFERROR(__xludf.DUMMYFUNCTION("""COMPUTED_VALUE"""),"")</f>
        <v/>
      </c>
      <c r="S69" t="str">
        <f ca="1">IFERROR(__xludf.DUMMYFUNCTION("""COMPUTED_VALUE"""),"")</f>
        <v/>
      </c>
      <c r="T69" t="str">
        <f ca="1">IFERROR(__xludf.DUMMYFUNCTION("""COMPUTED_VALUE"""),"")</f>
        <v/>
      </c>
      <c r="U69" t="str">
        <f ca="1">IFERROR(__xludf.DUMMYFUNCTION("""COMPUTED_VALUE"""),"")</f>
        <v/>
      </c>
      <c r="V69" t="str">
        <f ca="1">IFERROR(__xludf.DUMMYFUNCTION("""COMPUTED_VALUE"""),"")</f>
        <v/>
      </c>
      <c r="W69" t="str">
        <f ca="1">IFERROR(__xludf.DUMMYFUNCTION("""COMPUTED_VALUE"""),"")</f>
        <v/>
      </c>
      <c r="X69" t="str">
        <f ca="1">IFERROR(__xludf.DUMMYFUNCTION("""COMPUTED_VALUE"""),"")</f>
        <v/>
      </c>
      <c r="Y69" t="str">
        <f ca="1">IFERROR(__xludf.DUMMYFUNCTION("""COMPUTED_VALUE"""),"")</f>
        <v/>
      </c>
    </row>
    <row r="70" spans="1:25" ht="13">
      <c r="A70" t="str">
        <f ca="1">IFERROR(__xludf.DUMMYFUNCTION("""COMPUTED_VALUE"""),"")</f>
        <v/>
      </c>
      <c r="B70" t="str">
        <f ca="1">IFERROR(__xludf.DUMMYFUNCTION("""COMPUTED_VALUE"""),"FA")</f>
        <v>FA</v>
      </c>
      <c r="C70" s="26" t="str">
        <f ca="1">IFERROR(__xludf.DUMMYFUNCTION("""COMPUTED_VALUE"""),"jeremyl11")</f>
        <v>jeremyl11</v>
      </c>
      <c r="D70" s="26" t="str">
        <f ca="1">IFERROR(__xludf.DUMMYFUNCTION("""COMPUTED_VALUE"""),"Jerome Lome - C")</f>
        <v>Jerome Lome - C</v>
      </c>
      <c r="E70" t="str">
        <f ca="1">IFERROR(__xludf.DUMMYFUNCTION("""COMPUTED_VALUE"""),"Jerome Lome")</f>
        <v>Jerome Lome</v>
      </c>
      <c r="F70" t="str">
        <f ca="1">IFERROR(__xludf.DUMMYFUNCTION("""COMPUTED_VALUE"""),"C")</f>
        <v>C</v>
      </c>
      <c r="G70" t="str">
        <f ca="1">IFERROR(__xludf.DUMMYFUNCTION("""COMPUTED_VALUE"""),"Balanced/Arm")</f>
        <v>Balanced/Arm</v>
      </c>
      <c r="H70">
        <f ca="1">IFERROR(__xludf.DUMMYFUNCTION("""COMPUTED_VALUE"""),100)</f>
        <v>100</v>
      </c>
      <c r="I70" t="str">
        <f ca="1">IFERROR(__xludf.DUMMYFUNCTION("""COMPUTED_VALUE"""),"")</f>
        <v/>
      </c>
      <c r="J70" t="str">
        <f ca="1">IFERROR(__xludf.DUMMYFUNCTION("""COMPUTED_VALUE"""),"")</f>
        <v/>
      </c>
      <c r="K70" t="str">
        <f ca="1">IFERROR(__xludf.DUMMYFUNCTION("""COMPUTED_VALUE"""),"")</f>
        <v/>
      </c>
      <c r="L70" t="str">
        <f ca="1">IFERROR(__xludf.DUMMYFUNCTION("""COMPUTED_VALUE"""),"")</f>
        <v/>
      </c>
      <c r="M70" t="str">
        <f ca="1">IFERROR(__xludf.DUMMYFUNCTION("""COMPUTED_VALUE"""),"")</f>
        <v/>
      </c>
      <c r="N70" t="str">
        <f ca="1">IFERROR(__xludf.DUMMYFUNCTION("""COMPUTED_VALUE"""),"")</f>
        <v/>
      </c>
      <c r="O70" t="str">
        <f ca="1">IFERROR(__xludf.DUMMYFUNCTION("""COMPUTED_VALUE"""),"S11")</f>
        <v>S11</v>
      </c>
      <c r="P70">
        <f ca="1">IFERROR(__xludf.DUMMYFUNCTION("""COMPUTED_VALUE"""),54)</f>
        <v>54</v>
      </c>
      <c r="Q70" t="str">
        <f ca="1">IFERROR(__xludf.DUMMYFUNCTION("""COMPUTED_VALUE"""),"S11")</f>
        <v>S11</v>
      </c>
      <c r="R70" t="str">
        <f ca="1">IFERROR(__xludf.DUMMYFUNCTION("""COMPUTED_VALUE"""),"")</f>
        <v/>
      </c>
      <c r="S70" t="str">
        <f ca="1">IFERROR(__xludf.DUMMYFUNCTION("""COMPUTED_VALUE"""),"")</f>
        <v/>
      </c>
      <c r="T70" t="str">
        <f ca="1">IFERROR(__xludf.DUMMYFUNCTION("""COMPUTED_VALUE"""),"")</f>
        <v/>
      </c>
      <c r="U70" t="str">
        <f ca="1">IFERROR(__xludf.DUMMYFUNCTION("""COMPUTED_VALUE"""),"")</f>
        <v/>
      </c>
      <c r="V70" t="str">
        <f ca="1">IFERROR(__xludf.DUMMYFUNCTION("""COMPUTED_VALUE"""),"")</f>
        <v/>
      </c>
      <c r="W70" t="str">
        <f ca="1">IFERROR(__xludf.DUMMYFUNCTION("""COMPUTED_VALUE"""),"")</f>
        <v/>
      </c>
      <c r="X70" t="str">
        <f ca="1">IFERROR(__xludf.DUMMYFUNCTION("""COMPUTED_VALUE"""),"")</f>
        <v/>
      </c>
      <c r="Y70" t="str">
        <f ca="1">IFERROR(__xludf.DUMMYFUNCTION("""COMPUTED_VALUE"""),"")</f>
        <v/>
      </c>
    </row>
    <row r="71" spans="1:25" ht="13">
      <c r="A71" t="str">
        <f ca="1">IFERROR(__xludf.DUMMYFUNCTION("""COMPUTED_VALUE"""),"")</f>
        <v/>
      </c>
      <c r="B71" t="str">
        <f ca="1">IFERROR(__xludf.DUMMYFUNCTION("""COMPUTED_VALUE"""),"FA")</f>
        <v>FA</v>
      </c>
      <c r="C71" s="26" t="str">
        <f ca="1">IFERROR(__xludf.DUMMYFUNCTION("""COMPUTED_VALUE"""),"nextchampionleafsorjays")</f>
        <v>nextchampionleafsorjays</v>
      </c>
      <c r="D71" s="26" t="str">
        <f ca="1">IFERROR(__xludf.DUMMYFUNCTION("""COMPUTED_VALUE"""),"Rickadosz Zimmermencha - CL")</f>
        <v>Rickadosz Zimmermencha - CL</v>
      </c>
      <c r="E71" t="str">
        <f ca="1">IFERROR(__xludf.DUMMYFUNCTION("""COMPUTED_VALUE"""),"Rickadosz Zimmermencha")</f>
        <v>Rickadosz Zimmermencha</v>
      </c>
      <c r="F71" t="str">
        <f ca="1">IFERROR(__xludf.DUMMYFUNCTION("""COMPUTED_VALUE"""),"CL")</f>
        <v>CL</v>
      </c>
      <c r="G71" t="str">
        <f ca="1">IFERROR(__xludf.DUMMYFUNCTION("""COMPUTED_VALUE"""),"Power")</f>
        <v>Power</v>
      </c>
      <c r="H71">
        <f ca="1">IFERROR(__xludf.DUMMYFUNCTION("""COMPUTED_VALUE"""),100)</f>
        <v>100</v>
      </c>
      <c r="I71" t="str">
        <f ca="1">IFERROR(__xludf.DUMMYFUNCTION("""COMPUTED_VALUE"""),"")</f>
        <v/>
      </c>
      <c r="J71" t="str">
        <f ca="1">IFERROR(__xludf.DUMMYFUNCTION("""COMPUTED_VALUE"""),"")</f>
        <v/>
      </c>
      <c r="K71" t="str">
        <f ca="1">IFERROR(__xludf.DUMMYFUNCTION("""COMPUTED_VALUE"""),"")</f>
        <v/>
      </c>
      <c r="L71" t="str">
        <f ca="1">IFERROR(__xludf.DUMMYFUNCTION("""COMPUTED_VALUE"""),"")</f>
        <v/>
      </c>
      <c r="M71" t="str">
        <f ca="1">IFERROR(__xludf.DUMMYFUNCTION("""COMPUTED_VALUE"""),"")</f>
        <v/>
      </c>
      <c r="N71" t="str">
        <f ca="1">IFERROR(__xludf.DUMMYFUNCTION("""COMPUTED_VALUE"""),"")</f>
        <v/>
      </c>
      <c r="O71" t="str">
        <f ca="1">IFERROR(__xludf.DUMMYFUNCTION("""COMPUTED_VALUE"""),"S11")</f>
        <v>S11</v>
      </c>
      <c r="P71">
        <f ca="1">IFERROR(__xludf.DUMMYFUNCTION("""COMPUTED_VALUE"""),62)</f>
        <v>62</v>
      </c>
      <c r="Q71" t="str">
        <f ca="1">IFERROR(__xludf.DUMMYFUNCTION("""COMPUTED_VALUE"""),"S10")</f>
        <v>S10</v>
      </c>
      <c r="R71" t="str">
        <f ca="1">IFERROR(__xludf.DUMMYFUNCTION("""COMPUTED_VALUE"""),"")</f>
        <v/>
      </c>
      <c r="S71" t="str">
        <f ca="1">IFERROR(__xludf.DUMMYFUNCTION("""COMPUTED_VALUE"""),"")</f>
        <v/>
      </c>
      <c r="T71" t="str">
        <f ca="1">IFERROR(__xludf.DUMMYFUNCTION("""COMPUTED_VALUE"""),"")</f>
        <v/>
      </c>
      <c r="U71" t="str">
        <f ca="1">IFERROR(__xludf.DUMMYFUNCTION("""COMPUTED_VALUE"""),"")</f>
        <v/>
      </c>
      <c r="V71" t="str">
        <f ca="1">IFERROR(__xludf.DUMMYFUNCTION("""COMPUTED_VALUE"""),"")</f>
        <v/>
      </c>
      <c r="W71" t="str">
        <f ca="1">IFERROR(__xludf.DUMMYFUNCTION("""COMPUTED_VALUE"""),"")</f>
        <v/>
      </c>
      <c r="X71" t="str">
        <f ca="1">IFERROR(__xludf.DUMMYFUNCTION("""COMPUTED_VALUE"""),"")</f>
        <v/>
      </c>
      <c r="Y71" t="str">
        <f ca="1">IFERROR(__xludf.DUMMYFUNCTION("""COMPUTED_VALUE"""),"")</f>
        <v/>
      </c>
    </row>
    <row r="72" spans="1:25" ht="13">
      <c r="A72" t="str">
        <f ca="1">IFERROR(__xludf.DUMMYFUNCTION("""COMPUTED_VALUE"""),"")</f>
        <v/>
      </c>
      <c r="B72" t="str">
        <f ca="1">IFERROR(__xludf.DUMMYFUNCTION("""COMPUTED_VALUE"""),"FA")</f>
        <v>FA</v>
      </c>
      <c r="C72" s="26" t="str">
        <f ca="1">IFERROR(__xludf.DUMMYFUNCTION("""COMPUTED_VALUE"""),"Bharris8550")</f>
        <v>Bharris8550</v>
      </c>
      <c r="D72" s="26" t="str">
        <f ca="1">IFERROR(__xludf.DUMMYFUNCTION("""COMPUTED_VALUE"""),"Brian Harris - SP")</f>
        <v>Brian Harris - SP</v>
      </c>
      <c r="E72" t="str">
        <f ca="1">IFERROR(__xludf.DUMMYFUNCTION("""COMPUTED_VALUE"""),"Brian Harris")</f>
        <v>Brian Harris</v>
      </c>
      <c r="F72" t="str">
        <f ca="1">IFERROR(__xludf.DUMMYFUNCTION("""COMPUTED_VALUE"""),"SP")</f>
        <v>SP</v>
      </c>
      <c r="G72" t="str">
        <f ca="1">IFERROR(__xludf.DUMMYFUNCTION("""COMPUTED_VALUE"""),"Power")</f>
        <v>Power</v>
      </c>
      <c r="H72">
        <f ca="1">IFERROR(__xludf.DUMMYFUNCTION("""COMPUTED_VALUE"""),100)</f>
        <v>100</v>
      </c>
      <c r="I72" t="str">
        <f ca="1">IFERROR(__xludf.DUMMYFUNCTION("""COMPUTED_VALUE"""),"")</f>
        <v/>
      </c>
      <c r="J72" t="str">
        <f ca="1">IFERROR(__xludf.DUMMYFUNCTION("""COMPUTED_VALUE"""),"")</f>
        <v/>
      </c>
      <c r="K72" t="str">
        <f ca="1">IFERROR(__xludf.DUMMYFUNCTION("""COMPUTED_VALUE"""),"")</f>
        <v/>
      </c>
      <c r="L72" t="str">
        <f ca="1">IFERROR(__xludf.DUMMYFUNCTION("""COMPUTED_VALUE"""),"")</f>
        <v/>
      </c>
      <c r="M72" t="str">
        <f ca="1">IFERROR(__xludf.DUMMYFUNCTION("""COMPUTED_VALUE"""),"")</f>
        <v/>
      </c>
      <c r="N72" t="str">
        <f ca="1">IFERROR(__xludf.DUMMYFUNCTION("""COMPUTED_VALUE"""),"")</f>
        <v/>
      </c>
      <c r="O72" t="str">
        <f ca="1">IFERROR(__xludf.DUMMYFUNCTION("""COMPUTED_VALUE"""),"S11")</f>
        <v>S11</v>
      </c>
      <c r="P72">
        <f ca="1">IFERROR(__xludf.DUMMYFUNCTION("""COMPUTED_VALUE"""),70)</f>
        <v>70</v>
      </c>
      <c r="Q72" t="str">
        <f ca="1">IFERROR(__xludf.DUMMYFUNCTION("""COMPUTED_VALUE"""),"S11")</f>
        <v>S11</v>
      </c>
      <c r="R72" t="str">
        <f ca="1">IFERROR(__xludf.DUMMYFUNCTION("""COMPUTED_VALUE"""),"")</f>
        <v/>
      </c>
      <c r="S72" t="str">
        <f ca="1">IFERROR(__xludf.DUMMYFUNCTION("""COMPUTED_VALUE"""),"")</f>
        <v/>
      </c>
      <c r="T72" t="str">
        <f ca="1">IFERROR(__xludf.DUMMYFUNCTION("""COMPUTED_VALUE"""),"")</f>
        <v/>
      </c>
      <c r="U72" t="str">
        <f ca="1">IFERROR(__xludf.DUMMYFUNCTION("""COMPUTED_VALUE"""),"")</f>
        <v/>
      </c>
      <c r="V72" t="str">
        <f ca="1">IFERROR(__xludf.DUMMYFUNCTION("""COMPUTED_VALUE"""),"")</f>
        <v/>
      </c>
      <c r="W72" t="str">
        <f ca="1">IFERROR(__xludf.DUMMYFUNCTION("""COMPUTED_VALUE"""),"")</f>
        <v/>
      </c>
      <c r="X72" t="str">
        <f ca="1">IFERROR(__xludf.DUMMYFUNCTION("""COMPUTED_VALUE"""),"")</f>
        <v/>
      </c>
      <c r="Y72" t="str">
        <f ca="1">IFERROR(__xludf.DUMMYFUNCTION("""COMPUTED_VALUE"""),"")</f>
        <v/>
      </c>
    </row>
    <row r="73" spans="1:25" ht="13">
      <c r="A73" t="str">
        <f ca="1">IFERROR(__xludf.DUMMYFUNCTION("""COMPUTED_VALUE"""),"")</f>
        <v/>
      </c>
      <c r="B73" t="str">
        <f ca="1">IFERROR(__xludf.DUMMYFUNCTION("""COMPUTED_VALUE"""),"FA")</f>
        <v>FA</v>
      </c>
      <c r="C73" s="26" t="str">
        <f ca="1">IFERROR(__xludf.DUMMYFUNCTION("""COMPUTED_VALUE"""),"RAJ88")</f>
        <v>RAJ88</v>
      </c>
      <c r="D73" s="26" t="str">
        <f ca="1">IFERROR(__xludf.DUMMYFUNCTION("""COMPUTED_VALUE"""),"R.A. Johnston - SP")</f>
        <v>R.A. Johnston - SP</v>
      </c>
      <c r="E73" t="str">
        <f ca="1">IFERROR(__xludf.DUMMYFUNCTION("""COMPUTED_VALUE"""),"R.A. Johnston")</f>
        <v>R.A. Johnston</v>
      </c>
      <c r="F73" t="str">
        <f ca="1">IFERROR(__xludf.DUMMYFUNCTION("""COMPUTED_VALUE"""),"SP")</f>
        <v>SP</v>
      </c>
      <c r="G73" t="str">
        <f ca="1">IFERROR(__xludf.DUMMYFUNCTION("""COMPUTED_VALUE"""),"Balanced")</f>
        <v>Balanced</v>
      </c>
      <c r="H73">
        <f ca="1">IFERROR(__xludf.DUMMYFUNCTION("""COMPUTED_VALUE"""),100)</f>
        <v>100</v>
      </c>
      <c r="I73" t="str">
        <f ca="1">IFERROR(__xludf.DUMMYFUNCTION("""COMPUTED_VALUE"""),"")</f>
        <v/>
      </c>
      <c r="J73" t="str">
        <f ca="1">IFERROR(__xludf.DUMMYFUNCTION("""COMPUTED_VALUE"""),"")</f>
        <v/>
      </c>
      <c r="K73" t="str">
        <f ca="1">IFERROR(__xludf.DUMMYFUNCTION("""COMPUTED_VALUE"""),"")</f>
        <v/>
      </c>
      <c r="L73" t="str">
        <f ca="1">IFERROR(__xludf.DUMMYFUNCTION("""COMPUTED_VALUE"""),"")</f>
        <v/>
      </c>
      <c r="M73" t="str">
        <f ca="1">IFERROR(__xludf.DUMMYFUNCTION("""COMPUTED_VALUE"""),"")</f>
        <v/>
      </c>
      <c r="N73" t="str">
        <f ca="1">IFERROR(__xludf.DUMMYFUNCTION("""COMPUTED_VALUE"""),"")</f>
        <v/>
      </c>
      <c r="O73" t="str">
        <f ca="1">IFERROR(__xludf.DUMMYFUNCTION("""COMPUTED_VALUE"""),"S11")</f>
        <v>S11</v>
      </c>
      <c r="P73">
        <f ca="1">IFERROR(__xludf.DUMMYFUNCTION("""COMPUTED_VALUE"""),78)</f>
        <v>78</v>
      </c>
      <c r="Q73" t="str">
        <f ca="1">IFERROR(__xludf.DUMMYFUNCTION("""COMPUTED_VALUE"""),"S11")</f>
        <v>S11</v>
      </c>
      <c r="R73" t="str">
        <f ca="1">IFERROR(__xludf.DUMMYFUNCTION("""COMPUTED_VALUE"""),"")</f>
        <v/>
      </c>
      <c r="S73" t="str">
        <f ca="1">IFERROR(__xludf.DUMMYFUNCTION("""COMPUTED_VALUE"""),"")</f>
        <v/>
      </c>
      <c r="T73" t="str">
        <f ca="1">IFERROR(__xludf.DUMMYFUNCTION("""COMPUTED_VALUE"""),"")</f>
        <v/>
      </c>
      <c r="U73" t="str">
        <f ca="1">IFERROR(__xludf.DUMMYFUNCTION("""COMPUTED_VALUE"""),"")</f>
        <v/>
      </c>
      <c r="V73" t="str">
        <f ca="1">IFERROR(__xludf.DUMMYFUNCTION("""COMPUTED_VALUE"""),"")</f>
        <v/>
      </c>
      <c r="W73" t="str">
        <f ca="1">IFERROR(__xludf.DUMMYFUNCTION("""COMPUTED_VALUE"""),"")</f>
        <v/>
      </c>
      <c r="X73" t="str">
        <f ca="1">IFERROR(__xludf.DUMMYFUNCTION("""COMPUTED_VALUE"""),"")</f>
        <v/>
      </c>
      <c r="Y73" t="str">
        <f ca="1">IFERROR(__xludf.DUMMYFUNCTION("""COMPUTED_VALUE"""),"")</f>
        <v/>
      </c>
    </row>
    <row r="74" spans="1:25" ht="13">
      <c r="A74" t="str">
        <f ca="1">IFERROR(__xludf.DUMMYFUNCTION("""COMPUTED_VALUE"""),"")</f>
        <v/>
      </c>
      <c r="B74" t="str">
        <f ca="1">IFERROR(__xludf.DUMMYFUNCTION("""COMPUTED_VALUE"""),"NYV")</f>
        <v>NYV</v>
      </c>
      <c r="C74" s="26" t="str">
        <f ca="1">IFERROR(__xludf.DUMMYFUNCTION("""COMPUTED_VALUE"""),"Bj4web")</f>
        <v>Bj4web</v>
      </c>
      <c r="D74" s="26" t="str">
        <f ca="1">IFERROR(__xludf.DUMMYFUNCTION("""COMPUTED_VALUE"""),"Sancho Webner - LF")</f>
        <v>Sancho Webner - LF</v>
      </c>
      <c r="E74" t="str">
        <f ca="1">IFERROR(__xludf.DUMMYFUNCTION("""COMPUTED_VALUE"""),"Sancho Webner")</f>
        <v>Sancho Webner</v>
      </c>
      <c r="F74" t="str">
        <f ca="1">IFERROR(__xludf.DUMMYFUNCTION("""COMPUTED_VALUE"""),"LF")</f>
        <v>LF</v>
      </c>
      <c r="G74" t="str">
        <f ca="1">IFERROR(__xludf.DUMMYFUNCTION("""COMPUTED_VALUE"""),"Balanced/Speedy")</f>
        <v>Balanced/Speedy</v>
      </c>
      <c r="H74">
        <f ca="1">IFERROR(__xludf.DUMMYFUNCTION("""COMPUTED_VALUE"""),100)</f>
        <v>100</v>
      </c>
      <c r="I74" s="99" t="str">
        <f ca="1">IFERROR(__xludf.DUMMYFUNCTION("""COMPUTED_VALUE"""),"0(5)")</f>
        <v>0(5)</v>
      </c>
      <c r="J74" s="99" t="str">
        <f ca="1">IFERROR(__xludf.DUMMYFUNCTION("""COMPUTED_VALUE"""),"")</f>
        <v/>
      </c>
      <c r="K74" s="99" t="str">
        <f ca="1">IFERROR(__xludf.DUMMYFUNCTION("""COMPUTED_VALUE"""),"")</f>
        <v/>
      </c>
      <c r="L74" s="99" t="str">
        <f ca="1">IFERROR(__xludf.DUMMYFUNCTION("""COMPUTED_VALUE"""),"")</f>
        <v/>
      </c>
      <c r="M74" s="99" t="str">
        <f ca="1">IFERROR(__xludf.DUMMYFUNCTION("""COMPUTED_VALUE"""),"")</f>
        <v/>
      </c>
      <c r="N74" t="str">
        <f ca="1">IFERROR(__xludf.DUMMYFUNCTION("""COMPUTED_VALUE"""),"")</f>
        <v/>
      </c>
      <c r="O74" t="str">
        <f ca="1">IFERROR(__xludf.DUMMYFUNCTION("""COMPUTED_VALUE"""),"S11")</f>
        <v>S11</v>
      </c>
      <c r="P74">
        <f ca="1">IFERROR(__xludf.DUMMYFUNCTION("""COMPUTED_VALUE"""),36)</f>
        <v>36</v>
      </c>
      <c r="Q74" t="str">
        <f ca="1">IFERROR(__xludf.DUMMYFUNCTION("""COMPUTED_VALUE"""),"S11")</f>
        <v>S11</v>
      </c>
      <c r="R74" t="str">
        <f ca="1">IFERROR(__xludf.DUMMYFUNCTION("""COMPUTED_VALUE"""),"")</f>
        <v/>
      </c>
      <c r="S74" t="str">
        <f ca="1">IFERROR(__xludf.DUMMYFUNCTION("""COMPUTED_VALUE"""),"")</f>
        <v/>
      </c>
      <c r="T74" t="str">
        <f ca="1">IFERROR(__xludf.DUMMYFUNCTION("""COMPUTED_VALUE"""),"")</f>
        <v/>
      </c>
      <c r="U74" t="str">
        <f ca="1">IFERROR(__xludf.DUMMYFUNCTION("""COMPUTED_VALUE"""),"")</f>
        <v/>
      </c>
      <c r="V74" t="str">
        <f ca="1">IFERROR(__xludf.DUMMYFUNCTION("""COMPUTED_VALUE"""),"")</f>
        <v/>
      </c>
      <c r="W74" t="str">
        <f ca="1">IFERROR(__xludf.DUMMYFUNCTION("""COMPUTED_VALUE"""),"")</f>
        <v/>
      </c>
      <c r="X74" t="str">
        <f ca="1">IFERROR(__xludf.DUMMYFUNCTION("""COMPUTED_VALUE"""),"")</f>
        <v/>
      </c>
      <c r="Y74" t="str">
        <f ca="1">IFERROR(__xludf.DUMMYFUNCTION("""COMPUTED_VALUE"""),"")</f>
        <v/>
      </c>
    </row>
    <row r="75" spans="1:25" ht="13">
      <c r="A75" t="str">
        <f ca="1">IFERROR(__xludf.DUMMYFUNCTION("""COMPUTED_VALUE"""),"")</f>
        <v/>
      </c>
      <c r="B75" t="str">
        <f ca="1">IFERROR(__xludf.DUMMYFUNCTION("""COMPUTED_VALUE"""),"NYV")</f>
        <v>NYV</v>
      </c>
      <c r="C75" s="26" t="str">
        <f ca="1">IFERROR(__xludf.DUMMYFUNCTION("""COMPUTED_VALUE"""),"TheFlash")</f>
        <v>TheFlash</v>
      </c>
      <c r="D75" s="26" t="str">
        <f ca="1">IFERROR(__xludf.DUMMYFUNCTION("""COMPUTED_VALUE"""),"Orlando Delgado - 1B")</f>
        <v>Orlando Delgado - 1B</v>
      </c>
      <c r="E75" t="str">
        <f ca="1">IFERROR(__xludf.DUMMYFUNCTION("""COMPUTED_VALUE"""),"Orlando Delgado")</f>
        <v>Orlando Delgado</v>
      </c>
      <c r="F75" t="str">
        <f ca="1">IFERROR(__xludf.DUMMYFUNCTION("""COMPUTED_VALUE"""),"1B")</f>
        <v>1B</v>
      </c>
      <c r="G75" t="str">
        <f ca="1">IFERROR(__xludf.DUMMYFUNCTION("""COMPUTED_VALUE"""),"Balanced/Balanced")</f>
        <v>Balanced/Balanced</v>
      </c>
      <c r="H75">
        <f ca="1">IFERROR(__xludf.DUMMYFUNCTION("""COMPUTED_VALUE"""),100)</f>
        <v>100</v>
      </c>
      <c r="I75" s="99" t="str">
        <f ca="1">IFERROR(__xludf.DUMMYFUNCTION("""COMPUTED_VALUE"""),"0(5)")</f>
        <v>0(5)</v>
      </c>
      <c r="J75" s="99" t="str">
        <f ca="1">IFERROR(__xludf.DUMMYFUNCTION("""COMPUTED_VALUE"""),"")</f>
        <v/>
      </c>
      <c r="K75" s="99" t="str">
        <f ca="1">IFERROR(__xludf.DUMMYFUNCTION("""COMPUTED_VALUE"""),"")</f>
        <v/>
      </c>
      <c r="L75" s="99" t="str">
        <f ca="1">IFERROR(__xludf.DUMMYFUNCTION("""COMPUTED_VALUE"""),"")</f>
        <v/>
      </c>
      <c r="M75" s="99" t="str">
        <f ca="1">IFERROR(__xludf.DUMMYFUNCTION("""COMPUTED_VALUE"""),"")</f>
        <v/>
      </c>
      <c r="N75" t="str">
        <f ca="1">IFERROR(__xludf.DUMMYFUNCTION("""COMPUTED_VALUE"""),"")</f>
        <v/>
      </c>
      <c r="O75" t="str">
        <f ca="1">IFERROR(__xludf.DUMMYFUNCTION("""COMPUTED_VALUE"""),"S11")</f>
        <v>S11</v>
      </c>
      <c r="P75">
        <f ca="1">IFERROR(__xludf.DUMMYFUNCTION("""COMPUTED_VALUE"""),44)</f>
        <v>44</v>
      </c>
      <c r="Q75" t="str">
        <f ca="1">IFERROR(__xludf.DUMMYFUNCTION("""COMPUTED_VALUE"""),"S11")</f>
        <v>S11</v>
      </c>
      <c r="R75" t="str">
        <f ca="1">IFERROR(__xludf.DUMMYFUNCTION("""COMPUTED_VALUE"""),"")</f>
        <v/>
      </c>
      <c r="S75" t="str">
        <f ca="1">IFERROR(__xludf.DUMMYFUNCTION("""COMPUTED_VALUE"""),"")</f>
        <v/>
      </c>
      <c r="T75" t="str">
        <f ca="1">IFERROR(__xludf.DUMMYFUNCTION("""COMPUTED_VALUE"""),"")</f>
        <v/>
      </c>
      <c r="U75" t="str">
        <f ca="1">IFERROR(__xludf.DUMMYFUNCTION("""COMPUTED_VALUE"""),"")</f>
        <v/>
      </c>
      <c r="V75" t="str">
        <f ca="1">IFERROR(__xludf.DUMMYFUNCTION("""COMPUTED_VALUE"""),"")</f>
        <v/>
      </c>
      <c r="W75" t="str">
        <f ca="1">IFERROR(__xludf.DUMMYFUNCTION("""COMPUTED_VALUE"""),"")</f>
        <v/>
      </c>
      <c r="X75" t="str">
        <f ca="1">IFERROR(__xludf.DUMMYFUNCTION("""COMPUTED_VALUE"""),"")</f>
        <v/>
      </c>
      <c r="Y75" t="str">
        <f ca="1">IFERROR(__xludf.DUMMYFUNCTION("""COMPUTED_VALUE"""),"")</f>
        <v/>
      </c>
    </row>
    <row r="76" spans="1:25" ht="13">
      <c r="A76" t="str">
        <f ca="1">IFERROR(__xludf.DUMMYFUNCTION("""COMPUTED_VALUE"""),"")</f>
        <v/>
      </c>
      <c r="B76" t="str">
        <f ca="1">IFERROR(__xludf.DUMMYFUNCTION("""COMPUTED_VALUE"""),"NYV")</f>
        <v>NYV</v>
      </c>
      <c r="C76" s="26" t="str">
        <f ca="1">IFERROR(__xludf.DUMMYFUNCTION("""COMPUTED_VALUE"""),"chucky267")</f>
        <v>chucky267</v>
      </c>
      <c r="D76" s="26" t="str">
        <f ca="1">IFERROR(__xludf.DUMMYFUNCTION("""COMPUTED_VALUE"""),"Dinero Torres - SP")</f>
        <v>Dinero Torres - SP</v>
      </c>
      <c r="E76" t="str">
        <f ca="1">IFERROR(__xludf.DUMMYFUNCTION("""COMPUTED_VALUE"""),"Dinero Torres")</f>
        <v>Dinero Torres</v>
      </c>
      <c r="F76" t="str">
        <f ca="1">IFERROR(__xludf.DUMMYFUNCTION("""COMPUTED_VALUE"""),"SP")</f>
        <v>SP</v>
      </c>
      <c r="G76" t="str">
        <f ca="1">IFERROR(__xludf.DUMMYFUNCTION("""COMPUTED_VALUE"""),"Balanced")</f>
        <v>Balanced</v>
      </c>
      <c r="H76">
        <f ca="1">IFERROR(__xludf.DUMMYFUNCTION("""COMPUTED_VALUE"""),108)</f>
        <v>108</v>
      </c>
      <c r="I76" s="99" t="str">
        <f ca="1">IFERROR(__xludf.DUMMYFUNCTION("""COMPUTED_VALUE"""),"0(5)")</f>
        <v>0(5)</v>
      </c>
      <c r="J76" s="99" t="str">
        <f ca="1">IFERROR(__xludf.DUMMYFUNCTION("""COMPUTED_VALUE"""),"")</f>
        <v/>
      </c>
      <c r="K76" s="99" t="str">
        <f ca="1">IFERROR(__xludf.DUMMYFUNCTION("""COMPUTED_VALUE"""),"")</f>
        <v/>
      </c>
      <c r="L76" s="99" t="str">
        <f ca="1">IFERROR(__xludf.DUMMYFUNCTION("""COMPUTED_VALUE"""),"")</f>
        <v/>
      </c>
      <c r="M76" s="99" t="str">
        <f ca="1">IFERROR(__xludf.DUMMYFUNCTION("""COMPUTED_VALUE"""),"")</f>
        <v/>
      </c>
      <c r="N76" t="str">
        <f ca="1">IFERROR(__xludf.DUMMYFUNCTION("""COMPUTED_VALUE"""),"")</f>
        <v/>
      </c>
      <c r="O76" t="str">
        <f ca="1">IFERROR(__xludf.DUMMYFUNCTION("""COMPUTED_VALUE"""),"S11")</f>
        <v>S11</v>
      </c>
      <c r="P76">
        <f ca="1">IFERROR(__xludf.DUMMYFUNCTION("""COMPUTED_VALUE"""),52)</f>
        <v>52</v>
      </c>
      <c r="Q76" t="str">
        <f ca="1">IFERROR(__xludf.DUMMYFUNCTION("""COMPUTED_VALUE"""),"S10")</f>
        <v>S10</v>
      </c>
      <c r="R76" t="str">
        <f ca="1">IFERROR(__xludf.DUMMYFUNCTION("""COMPUTED_VALUE"""),"")</f>
        <v/>
      </c>
      <c r="S76" t="str">
        <f ca="1">IFERROR(__xludf.DUMMYFUNCTION("""COMPUTED_VALUE"""),"")</f>
        <v/>
      </c>
      <c r="T76" t="str">
        <f ca="1">IFERROR(__xludf.DUMMYFUNCTION("""COMPUTED_VALUE"""),"")</f>
        <v/>
      </c>
      <c r="U76" t="str">
        <f ca="1">IFERROR(__xludf.DUMMYFUNCTION("""COMPUTED_VALUE"""),"")</f>
        <v/>
      </c>
      <c r="V76" t="str">
        <f ca="1">IFERROR(__xludf.DUMMYFUNCTION("""COMPUTED_VALUE"""),"")</f>
        <v/>
      </c>
      <c r="W76" t="str">
        <f ca="1">IFERROR(__xludf.DUMMYFUNCTION("""COMPUTED_VALUE"""),"")</f>
        <v/>
      </c>
      <c r="X76" t="str">
        <f ca="1">IFERROR(__xludf.DUMMYFUNCTION("""COMPUTED_VALUE"""),"")</f>
        <v/>
      </c>
      <c r="Y76" t="str">
        <f ca="1">IFERROR(__xludf.DUMMYFUNCTION("""COMPUTED_VALUE"""),"")</f>
        <v/>
      </c>
    </row>
    <row r="77" spans="1:25" ht="13">
      <c r="A77" t="str">
        <f ca="1">IFERROR(__xludf.DUMMYFUNCTION("""COMPUTED_VALUE"""),"")</f>
        <v/>
      </c>
      <c r="B77" t="str">
        <f ca="1">IFERROR(__xludf.DUMMYFUNCTION("""COMPUTED_VALUE"""),"NYV")</f>
        <v>NYV</v>
      </c>
      <c r="C77" s="26" t="str">
        <f ca="1">IFERROR(__xludf.DUMMYFUNCTION("""COMPUTED_VALUE"""),"Jerryyyy")</f>
        <v>Jerryyyy</v>
      </c>
      <c r="D77" s="26" t="str">
        <f ca="1">IFERROR(__xludf.DUMMYFUNCTION("""COMPUTED_VALUE"""),"Jerry Parker - SP")</f>
        <v>Jerry Parker - SP</v>
      </c>
      <c r="E77" t="str">
        <f ca="1">IFERROR(__xludf.DUMMYFUNCTION("""COMPUTED_VALUE"""),"Jerry Parker")</f>
        <v>Jerry Parker</v>
      </c>
      <c r="F77" t="str">
        <f ca="1">IFERROR(__xludf.DUMMYFUNCTION("""COMPUTED_VALUE"""),"SP")</f>
        <v>SP</v>
      </c>
      <c r="G77" t="str">
        <f ca="1">IFERROR(__xludf.DUMMYFUNCTION("""COMPUTED_VALUE"""),"Finesse")</f>
        <v>Finesse</v>
      </c>
      <c r="H77">
        <f ca="1">IFERROR(__xludf.DUMMYFUNCTION("""COMPUTED_VALUE"""),138)</f>
        <v>138</v>
      </c>
      <c r="I77" s="99" t="str">
        <f ca="1">IFERROR(__xludf.DUMMYFUNCTION("""COMPUTED_VALUE"""),"0(5)")</f>
        <v>0(5)</v>
      </c>
      <c r="J77" s="99" t="str">
        <f ca="1">IFERROR(__xludf.DUMMYFUNCTION("""COMPUTED_VALUE"""),"")</f>
        <v/>
      </c>
      <c r="K77" s="99" t="str">
        <f ca="1">IFERROR(__xludf.DUMMYFUNCTION("""COMPUTED_VALUE"""),"")</f>
        <v/>
      </c>
      <c r="L77" s="99" t="str">
        <f ca="1">IFERROR(__xludf.DUMMYFUNCTION("""COMPUTED_VALUE"""),"")</f>
        <v/>
      </c>
      <c r="M77" s="99" t="str">
        <f ca="1">IFERROR(__xludf.DUMMYFUNCTION("""COMPUTED_VALUE"""),"")</f>
        <v/>
      </c>
      <c r="N77" t="str">
        <f ca="1">IFERROR(__xludf.DUMMYFUNCTION("""COMPUTED_VALUE"""),"")</f>
        <v/>
      </c>
      <c r="O77" t="str">
        <f ca="1">IFERROR(__xludf.DUMMYFUNCTION("""COMPUTED_VALUE"""),"S11")</f>
        <v>S11</v>
      </c>
      <c r="P77">
        <f ca="1">IFERROR(__xludf.DUMMYFUNCTION("""COMPUTED_VALUE"""),60)</f>
        <v>60</v>
      </c>
      <c r="Q77" t="str">
        <f ca="1">IFERROR(__xludf.DUMMYFUNCTION("""COMPUTED_VALUE"""),"S10")</f>
        <v>S10</v>
      </c>
      <c r="R77" t="str">
        <f ca="1">IFERROR(__xludf.DUMMYFUNCTION("""COMPUTED_VALUE"""),"")</f>
        <v/>
      </c>
      <c r="S77" t="str">
        <f ca="1">IFERROR(__xludf.DUMMYFUNCTION("""COMPUTED_VALUE"""),"")</f>
        <v/>
      </c>
      <c r="T77" t="str">
        <f ca="1">IFERROR(__xludf.DUMMYFUNCTION("""COMPUTED_VALUE"""),"")</f>
        <v/>
      </c>
      <c r="U77" t="str">
        <f ca="1">IFERROR(__xludf.DUMMYFUNCTION("""COMPUTED_VALUE"""),"")</f>
        <v/>
      </c>
      <c r="V77" t="str">
        <f ca="1">IFERROR(__xludf.DUMMYFUNCTION("""COMPUTED_VALUE"""),"")</f>
        <v/>
      </c>
      <c r="W77" t="str">
        <f ca="1">IFERROR(__xludf.DUMMYFUNCTION("""COMPUTED_VALUE"""),"")</f>
        <v/>
      </c>
      <c r="X77" t="str">
        <f ca="1">IFERROR(__xludf.DUMMYFUNCTION("""COMPUTED_VALUE"""),"")</f>
        <v/>
      </c>
      <c r="Y77" t="str">
        <f ca="1">IFERROR(__xludf.DUMMYFUNCTION("""COMPUTED_VALUE"""),"")</f>
        <v/>
      </c>
    </row>
    <row r="78" spans="1:25" ht="13">
      <c r="A78" t="str">
        <f ca="1">IFERROR(__xludf.DUMMYFUNCTION("""COMPUTED_VALUE"""),"")</f>
        <v/>
      </c>
      <c r="B78" t="str">
        <f ca="1">IFERROR(__xludf.DUMMYFUNCTION("""COMPUTED_VALUE"""),"UTA")</f>
        <v>UTA</v>
      </c>
      <c r="C78" s="26" t="str">
        <f ca="1">IFERROR(__xludf.DUMMYFUNCTION("""COMPUTED_VALUE"""),"kingGoomba")</f>
        <v>kingGoomba</v>
      </c>
      <c r="D78" s="26" t="str">
        <f ca="1">IFERROR(__xludf.DUMMYFUNCTION("""COMPUTED_VALUE"""),"Jack Goff - SP")</f>
        <v>Jack Goff - SP</v>
      </c>
      <c r="E78" t="str">
        <f ca="1">IFERROR(__xludf.DUMMYFUNCTION("""COMPUTED_VALUE"""),"Jack Goff")</f>
        <v>Jack Goff</v>
      </c>
      <c r="F78" t="str">
        <f ca="1">IFERROR(__xludf.DUMMYFUNCTION("""COMPUTED_VALUE"""),"SP")</f>
        <v>SP</v>
      </c>
      <c r="G78" t="str">
        <f ca="1">IFERROR(__xludf.DUMMYFUNCTION("""COMPUTED_VALUE"""),"Power")</f>
        <v>Power</v>
      </c>
      <c r="H78">
        <f ca="1">IFERROR(__xludf.DUMMYFUNCTION("""COMPUTED_VALUE"""),100)</f>
        <v>100</v>
      </c>
      <c r="I78" s="99" t="str">
        <f ca="1">IFERROR(__xludf.DUMMYFUNCTION("""COMPUTED_VALUE"""),"")</f>
        <v/>
      </c>
      <c r="J78" s="99" t="str">
        <f ca="1">IFERROR(__xludf.DUMMYFUNCTION("""COMPUTED_VALUE"""),"")</f>
        <v/>
      </c>
      <c r="K78" s="99" t="str">
        <f ca="1">IFERROR(__xludf.DUMMYFUNCTION("""COMPUTED_VALUE"""),"")</f>
        <v/>
      </c>
      <c r="L78" s="99" t="str">
        <f ca="1">IFERROR(__xludf.DUMMYFUNCTION("""COMPUTED_VALUE"""),"")</f>
        <v/>
      </c>
      <c r="M78" s="99" t="str">
        <f ca="1">IFERROR(__xludf.DUMMYFUNCTION("""COMPUTED_VALUE"""),"")</f>
        <v/>
      </c>
      <c r="N78" t="str">
        <f ca="1">IFERROR(__xludf.DUMMYFUNCTION("""COMPUTED_VALUE"""),"")</f>
        <v/>
      </c>
      <c r="O78" t="str">
        <f ca="1">IFERROR(__xludf.DUMMYFUNCTION("""COMPUTED_VALUE"""),"S11")</f>
        <v>S11</v>
      </c>
      <c r="P78">
        <f ca="1">IFERROR(__xludf.DUMMYFUNCTION("""COMPUTED_VALUE"""),73)</f>
        <v>73</v>
      </c>
      <c r="Q78" t="str">
        <f ca="1">IFERROR(__xludf.DUMMYFUNCTION("""COMPUTED_VALUE"""),"S10")</f>
        <v>S10</v>
      </c>
      <c r="R78" t="str">
        <f ca="1">IFERROR(__xludf.DUMMYFUNCTION("""COMPUTED_VALUE"""),"")</f>
        <v/>
      </c>
      <c r="S78" t="str">
        <f ca="1">IFERROR(__xludf.DUMMYFUNCTION("""COMPUTED_VALUE"""),"")</f>
        <v/>
      </c>
      <c r="T78" t="str">
        <f ca="1">IFERROR(__xludf.DUMMYFUNCTION("""COMPUTED_VALUE"""),"")</f>
        <v/>
      </c>
      <c r="U78" t="str">
        <f ca="1">IFERROR(__xludf.DUMMYFUNCTION("""COMPUTED_VALUE"""),"")</f>
        <v/>
      </c>
      <c r="V78" t="str">
        <f ca="1">IFERROR(__xludf.DUMMYFUNCTION("""COMPUTED_VALUE"""),"")</f>
        <v/>
      </c>
      <c r="W78" t="str">
        <f ca="1">IFERROR(__xludf.DUMMYFUNCTION("""COMPUTED_VALUE"""),"")</f>
        <v/>
      </c>
      <c r="X78" t="str">
        <f ca="1">IFERROR(__xludf.DUMMYFUNCTION("""COMPUTED_VALUE"""),"")</f>
        <v/>
      </c>
      <c r="Y78" t="str">
        <f ca="1">IFERROR(__xludf.DUMMYFUNCTION("""COMPUTED_VALUE"""),"")</f>
        <v/>
      </c>
    </row>
    <row r="79" spans="1:25" ht="13">
      <c r="A79" t="str">
        <f ca="1">IFERROR(__xludf.DUMMYFUNCTION("""COMPUTED_VALUE"""),"")</f>
        <v/>
      </c>
      <c r="B79" t="str">
        <f ca="1">IFERROR(__xludf.DUMMYFUNCTION("""COMPUTED_VALUE"""),"OBX")</f>
        <v>OBX</v>
      </c>
      <c r="C79" s="26" t="str">
        <f ca="1">IFERROR(__xludf.DUMMYFUNCTION("""COMPUTED_VALUE"""),"kaleum")</f>
        <v>kaleum</v>
      </c>
      <c r="D79" s="26" t="str">
        <f ca="1">IFERROR(__xludf.DUMMYFUNCTION("""COMPUTED_VALUE"""),"Pete Davidson - SS")</f>
        <v>Pete Davidson - SS</v>
      </c>
      <c r="E79" t="str">
        <f ca="1">IFERROR(__xludf.DUMMYFUNCTION("""COMPUTED_VALUE"""),"Pete Davidson")</f>
        <v>Pete Davidson</v>
      </c>
      <c r="F79" t="str">
        <f ca="1">IFERROR(__xludf.DUMMYFUNCTION("""COMPUTED_VALUE"""),"SS")</f>
        <v>SS</v>
      </c>
      <c r="G79" t="str">
        <f ca="1">IFERROR(__xludf.DUMMYFUNCTION("""COMPUTED_VALUE"""),"Balanced/Arm")</f>
        <v>Balanced/Arm</v>
      </c>
      <c r="H79">
        <f ca="1">IFERROR(__xludf.DUMMYFUNCTION("""COMPUTED_VALUE"""),100)</f>
        <v>100</v>
      </c>
      <c r="I79" s="99" t="str">
        <f ca="1">IFERROR(__xludf.DUMMYFUNCTION("""COMPUTED_VALUE"""),"")</f>
        <v/>
      </c>
      <c r="J79" s="99" t="str">
        <f ca="1">IFERROR(__xludf.DUMMYFUNCTION("""COMPUTED_VALUE"""),"")</f>
        <v/>
      </c>
      <c r="K79" s="99" t="str">
        <f ca="1">IFERROR(__xludf.DUMMYFUNCTION("""COMPUTED_VALUE"""),"")</f>
        <v/>
      </c>
      <c r="L79" s="99" t="str">
        <f ca="1">IFERROR(__xludf.DUMMYFUNCTION("""COMPUTED_VALUE"""),"")</f>
        <v/>
      </c>
      <c r="M79" s="99" t="str">
        <f ca="1">IFERROR(__xludf.DUMMYFUNCTION("""COMPUTED_VALUE"""),"")</f>
        <v/>
      </c>
      <c r="N79" t="str">
        <f ca="1">IFERROR(__xludf.DUMMYFUNCTION("""COMPUTED_VALUE"""),"")</f>
        <v/>
      </c>
      <c r="O79" t="str">
        <f ca="1">IFERROR(__xludf.DUMMYFUNCTION("""COMPUTED_VALUE"""),"S11")</f>
        <v>S11</v>
      </c>
      <c r="P79">
        <f ca="1">IFERROR(__xludf.DUMMYFUNCTION("""COMPUTED_VALUE"""),39)</f>
        <v>39</v>
      </c>
      <c r="Q79" t="str">
        <f ca="1">IFERROR(__xludf.DUMMYFUNCTION("""COMPUTED_VALUE"""),"S11")</f>
        <v>S11</v>
      </c>
      <c r="R79" t="str">
        <f ca="1">IFERROR(__xludf.DUMMYFUNCTION("""COMPUTED_VALUE"""),"")</f>
        <v/>
      </c>
      <c r="S79" t="str">
        <f ca="1">IFERROR(__xludf.DUMMYFUNCTION("""COMPUTED_VALUE"""),"")</f>
        <v/>
      </c>
      <c r="T79" t="str">
        <f ca="1">IFERROR(__xludf.DUMMYFUNCTION("""COMPUTED_VALUE"""),"")</f>
        <v/>
      </c>
      <c r="U79" t="str">
        <f ca="1">IFERROR(__xludf.DUMMYFUNCTION("""COMPUTED_VALUE"""),"")</f>
        <v/>
      </c>
      <c r="V79" t="str">
        <f ca="1">IFERROR(__xludf.DUMMYFUNCTION("""COMPUTED_VALUE"""),"")</f>
        <v/>
      </c>
      <c r="W79" t="str">
        <f ca="1">IFERROR(__xludf.DUMMYFUNCTION("""COMPUTED_VALUE"""),"")</f>
        <v/>
      </c>
      <c r="X79" t="str">
        <f ca="1">IFERROR(__xludf.DUMMYFUNCTION("""COMPUTED_VALUE"""),"")</f>
        <v/>
      </c>
      <c r="Y79" t="str">
        <f ca="1">IFERROR(__xludf.DUMMYFUNCTION("""COMPUTED_VALUE"""),"")</f>
        <v/>
      </c>
    </row>
  </sheetData>
  <hyperlinks>
    <hyperlink ref="C1" r:id="rId1" display="http://probaseballexperience.jcink.net/index.php?showuser=234" xr:uid="{00000000-0004-0000-1300-000000000000}"/>
    <hyperlink ref="D1" r:id="rId2" display="http://probaseballexperience.jcink.net/index.php?showtopic=2154" xr:uid="{00000000-0004-0000-1300-000001000000}"/>
    <hyperlink ref="A2" r:id="rId3" display="http://probaseballexperience.jcink.net/index.php?showtopic=2455" xr:uid="{00000000-0004-0000-1300-000002000000}"/>
    <hyperlink ref="C2" r:id="rId4" display="http://probaseballexperience.jcink.net/index.php?showuser=254" xr:uid="{00000000-0004-0000-1300-000003000000}"/>
    <hyperlink ref="D2" r:id="rId5" display="http://probaseballexperience.jcink.net/index.php?showtopic=2455" xr:uid="{00000000-0004-0000-1300-000004000000}"/>
    <hyperlink ref="A3" r:id="rId6" display="http://probaseballexperience.jcink.net/index.php?showtopic=2590" xr:uid="{00000000-0004-0000-1300-000005000000}"/>
    <hyperlink ref="C3" r:id="rId7" display="http://probaseballexperience.jcink.net/index.php?showuser=263" xr:uid="{00000000-0004-0000-1300-000006000000}"/>
    <hyperlink ref="D3" r:id="rId8" display="http://probaseballexperience.jcink.net/index.php?showtopic=2590" xr:uid="{00000000-0004-0000-1300-000007000000}"/>
    <hyperlink ref="A4" r:id="rId9" display="http://probaseballexperience.jcink.net/index.php?showtopic=3087" xr:uid="{00000000-0004-0000-1300-000008000000}"/>
    <hyperlink ref="C4" r:id="rId10" display="http://probaseballexperience.jcink.net/index.php?showuser=302" xr:uid="{00000000-0004-0000-1300-000009000000}"/>
    <hyperlink ref="D4" r:id="rId11" display="http://probaseballexperience.jcink.net/index.php?showtopic=3087" xr:uid="{00000000-0004-0000-1300-00000A000000}"/>
    <hyperlink ref="A5" r:id="rId12" display="http://probaseballexperience.jcink.net/index.php?showtopic=256" xr:uid="{00000000-0004-0000-1300-00000B000000}"/>
    <hyperlink ref="C5" r:id="rId13" display="http://probaseballexperience.jcink.net/index.php?showuser=98" xr:uid="{00000000-0004-0000-1300-00000C000000}"/>
    <hyperlink ref="D5" r:id="rId14" display="http://probaseballexperience.jcink.net/index.php?showtopic=256" xr:uid="{00000000-0004-0000-1300-00000D000000}"/>
    <hyperlink ref="A6" r:id="rId15" display="http://probaseballexperience.jcink.net/index.php?showtopic=3967" xr:uid="{00000000-0004-0000-1300-00000E000000}"/>
    <hyperlink ref="C6" r:id="rId16" display="http://probaseballexperience.jcink.net/index.php?showuser=9" xr:uid="{00000000-0004-0000-1300-00000F000000}"/>
    <hyperlink ref="D6" r:id="rId17" display="http://probaseballexperience.jcink.net/index.php?showtopic=3967" xr:uid="{00000000-0004-0000-1300-000010000000}"/>
    <hyperlink ref="A7" r:id="rId18" display="http://probaseballexperience.jcink.net/index.php?showtopic=180" xr:uid="{00000000-0004-0000-1300-000011000000}"/>
    <hyperlink ref="C7" r:id="rId19" display="http://probaseballexperience.jcink.net/index.php?showuser=65" xr:uid="{00000000-0004-0000-1300-000012000000}"/>
    <hyperlink ref="D7" r:id="rId20" display="http://probaseballexperience.jcink.net/index.php?showtopic=180" xr:uid="{00000000-0004-0000-1300-000013000000}"/>
    <hyperlink ref="A8" r:id="rId21" display="http://probaseballexperience.jcink.net/index.php?showtopic=191" xr:uid="{00000000-0004-0000-1300-000014000000}"/>
    <hyperlink ref="C8" r:id="rId22" display="http://probaseballexperience.jcink.net/index.php?showuser=60" xr:uid="{00000000-0004-0000-1300-000015000000}"/>
    <hyperlink ref="D8" r:id="rId23" display="http://probaseballexperience.jcink.net/index.php?showtopic=191" xr:uid="{00000000-0004-0000-1300-000016000000}"/>
    <hyperlink ref="A9" r:id="rId24" display="http://probaseballexperience.jcink.net/index.php?showtopic=153" xr:uid="{00000000-0004-0000-1300-000017000000}"/>
    <hyperlink ref="C9" r:id="rId25" display="http://probaseballexperience.jcink.net/index.php?showuser=52" xr:uid="{00000000-0004-0000-1300-000018000000}"/>
    <hyperlink ref="D9" r:id="rId26" display="http://probaseballexperience.jcink.net/index.php?showtopic=153" xr:uid="{00000000-0004-0000-1300-000019000000}"/>
    <hyperlink ref="A10" r:id="rId27" display="http://probaseballexperience.jcink.net/index.php?showtopic=120" xr:uid="{00000000-0004-0000-1300-00001A000000}"/>
    <hyperlink ref="C10" r:id="rId28" display="http://probaseballexperience.jcink.net/index.php?showuser=30" xr:uid="{00000000-0004-0000-1300-00001B000000}"/>
    <hyperlink ref="D10" r:id="rId29" display="http://probaseballexperience.jcink.net/index.php?showtopic=120" xr:uid="{00000000-0004-0000-1300-00001C000000}"/>
    <hyperlink ref="A11" r:id="rId30" display="http://probaseballexperience.jcink.net/index.php?showtopic=1042" xr:uid="{00000000-0004-0000-1300-00001D000000}"/>
    <hyperlink ref="C11" r:id="rId31" display="http://probaseballexperience.jcink.net/index.php?showuser=159" xr:uid="{00000000-0004-0000-1300-00001E000000}"/>
    <hyperlink ref="D11" r:id="rId32" display="http://probaseballexperience.jcink.net/index.php?showtopic=1042" xr:uid="{00000000-0004-0000-1300-00001F000000}"/>
    <hyperlink ref="A12" r:id="rId33" display="http://probaseballexperience.jcink.net/index.php?showtopic=2155" xr:uid="{00000000-0004-0000-1300-000020000000}"/>
    <hyperlink ref="C12" r:id="rId34" display="http://probaseballexperience.jcink.net/index.php?showuser=233" xr:uid="{00000000-0004-0000-1300-000021000000}"/>
    <hyperlink ref="D12" r:id="rId35" display="http://probaseballexperience.jcink.net/index.php?showtopic=2155" xr:uid="{00000000-0004-0000-1300-000022000000}"/>
    <hyperlink ref="A13" r:id="rId36" display="http://probaseballexperience.jcink.net/index.php?showtopic=1209" xr:uid="{00000000-0004-0000-1300-000023000000}"/>
    <hyperlink ref="C13" r:id="rId37" display="http://probaseballexperience.jcink.net/index.php?showuser=190" xr:uid="{00000000-0004-0000-1300-000024000000}"/>
    <hyperlink ref="D13" r:id="rId38" display="http://probaseballexperience.jcink.net/index.php?showtopic=1209" xr:uid="{00000000-0004-0000-1300-000025000000}"/>
    <hyperlink ref="A14" r:id="rId39" display="http://probaseballexperience.jcink.net/index.php?showtopic=1232" xr:uid="{00000000-0004-0000-1300-000026000000}"/>
    <hyperlink ref="C14" r:id="rId40" display="http://probaseballexperience.jcink.net/index.php?showuser=194" xr:uid="{00000000-0004-0000-1300-000027000000}"/>
    <hyperlink ref="D14" r:id="rId41" display="http://probaseballexperience.jcink.net/index.php?showtopic=1232" xr:uid="{00000000-0004-0000-1300-000028000000}"/>
    <hyperlink ref="A15" r:id="rId42" display="http://probaseballexperience.jcink.net/index.php?showtopic=2614" xr:uid="{00000000-0004-0000-1300-000029000000}"/>
    <hyperlink ref="C15" r:id="rId43" display="http://probaseballexperience.jcink.net/index.php?showuser=275" xr:uid="{00000000-0004-0000-1300-00002A000000}"/>
    <hyperlink ref="D15" r:id="rId44" display="http://probaseballexperience.jcink.net/index.php?showtopic=2614" xr:uid="{00000000-0004-0000-1300-00002B000000}"/>
    <hyperlink ref="A16" r:id="rId45" display="http://probaseballexperience.jcink.net/index.php?showtopic=3108" xr:uid="{00000000-0004-0000-1300-00002C000000}"/>
    <hyperlink ref="C16" r:id="rId46" display="http://probaseballexperience.jcink.net/index.php?showuser=305" xr:uid="{00000000-0004-0000-1300-00002D000000}"/>
    <hyperlink ref="D16" r:id="rId47" display="http://probaseballexperience.jcink.net/index.php?showtopic=3108" xr:uid="{00000000-0004-0000-1300-00002E000000}"/>
    <hyperlink ref="A17" r:id="rId48" display="http://probaseballexperience.jcink.net/index.php?showtopic=1740" xr:uid="{00000000-0004-0000-1300-00002F000000}"/>
    <hyperlink ref="C17" r:id="rId49" display="http://probaseballexperience.jcink.net/index.php?showuser=222" xr:uid="{00000000-0004-0000-1300-000030000000}"/>
    <hyperlink ref="D17" r:id="rId50" display="http://probaseballexperience.jcink.net/index.php?showtopic=1740" xr:uid="{00000000-0004-0000-1300-000031000000}"/>
    <hyperlink ref="A18" r:id="rId51" display="http://probaseballexperience.jcink.net/index.php?showtopic=3764" xr:uid="{00000000-0004-0000-1300-000032000000}"/>
    <hyperlink ref="C18" r:id="rId52" display="http://probaseballexperience.jcink.net/index.php?showuser=51" xr:uid="{00000000-0004-0000-1300-000033000000}"/>
    <hyperlink ref="D18" r:id="rId53" display="http://probaseballexperience.jcink.net/index.php?showtopic=3764" xr:uid="{00000000-0004-0000-1300-000034000000}"/>
    <hyperlink ref="A19" r:id="rId54" display="http://probaseballexperience.jcink.net/index.php?showtopic=4072" xr:uid="{00000000-0004-0000-1300-000035000000}"/>
    <hyperlink ref="C19" r:id="rId55" display="http://probaseballexperience.jcink.net/index.php?showuser=205" xr:uid="{00000000-0004-0000-1300-000036000000}"/>
    <hyperlink ref="A20" r:id="rId56" display="http://probaseballexperience.jcink.net/index.php?showtopic=3539" xr:uid="{00000000-0004-0000-1300-000037000000}"/>
    <hyperlink ref="C20" r:id="rId57" display="http://probaseballexperience.jcink.net/index.php?showuser=325" xr:uid="{00000000-0004-0000-1300-000038000000}"/>
    <hyperlink ref="D20" r:id="rId58" display="http://probaseballexperience.jcink.net/index.php?showtopic=3539" xr:uid="{00000000-0004-0000-1300-000039000000}"/>
    <hyperlink ref="N20" r:id="rId59" location="entry66298" display="http://probaseballexperience.jcink.net/index.php?showtopic=5540&amp;st=0&amp; - entry66298" xr:uid="{00000000-0004-0000-1300-00003A000000}"/>
    <hyperlink ref="A21" r:id="rId60" display="http://probaseballexperience.jcink.net/index.php?showtopic=3980" xr:uid="{00000000-0004-0000-1300-00003B000000}"/>
    <hyperlink ref="C21" r:id="rId61" display="http://probaseballexperience.jcink.net/index.php?showuser=355" xr:uid="{00000000-0004-0000-1300-00003C000000}"/>
    <hyperlink ref="D21" r:id="rId62" display="http://probaseballexperience.jcink.net/index.php?showtopic=3980" xr:uid="{00000000-0004-0000-1300-00003D000000}"/>
    <hyperlink ref="C22" r:id="rId63" display="http://probaseballexperience.jcink.net/index.php?showuser=186" xr:uid="{00000000-0004-0000-1300-00003E000000}"/>
    <hyperlink ref="D22" r:id="rId64" display="http://probaseballexperience.jcink.net/index.php?showtopic=4460" xr:uid="{00000000-0004-0000-1300-00003F000000}"/>
    <hyperlink ref="C23" r:id="rId65" display="http://probaseballexperience.jcink.net/index.php?showuser=422" xr:uid="{00000000-0004-0000-1300-000040000000}"/>
    <hyperlink ref="D23" r:id="rId66" display="http://probaseballexperience.jcink.net/index.php?showtopic=4607" xr:uid="{00000000-0004-0000-1300-000041000000}"/>
    <hyperlink ref="C24" r:id="rId67" display="http://probaseballexperience.jcink.net/index.php?showuser=403" xr:uid="{00000000-0004-0000-1300-000042000000}"/>
    <hyperlink ref="D24" r:id="rId68" display="http://probaseballexperience.jcink.net/index.php?showtopic=4562" xr:uid="{00000000-0004-0000-1300-000043000000}"/>
    <hyperlink ref="C25" r:id="rId69" display="http://probaseballexperience.jcink.net/index.php?showuser=390" xr:uid="{00000000-0004-0000-1300-000044000000}"/>
    <hyperlink ref="D25" r:id="rId70" display="http://probaseballexperience.jcink.net/index.php?showtopic=4482" xr:uid="{00000000-0004-0000-1300-000045000000}"/>
    <hyperlink ref="C26" r:id="rId71" display="http://probaseballexperience.jcink.net/index.php?showuser=419" xr:uid="{00000000-0004-0000-1300-000046000000}"/>
    <hyperlink ref="D26" r:id="rId72" display="http://probaseballexperience.jcink.net/index.php?showtopic=4600" xr:uid="{00000000-0004-0000-1300-000047000000}"/>
    <hyperlink ref="A27" r:id="rId73" display="http://probaseballexperience.jcink.net/index.php?showtopic=3601" xr:uid="{00000000-0004-0000-1300-000048000000}"/>
    <hyperlink ref="C27" r:id="rId74" display="http://probaseballexperience.jcink.net/index.php?showuser=336" xr:uid="{00000000-0004-0000-1300-000049000000}"/>
    <hyperlink ref="D27" r:id="rId75" display="http://probaseballexperience.jcink.net/index.php?showtopic=3601" xr:uid="{00000000-0004-0000-1300-00004A000000}"/>
    <hyperlink ref="C28" r:id="rId76" display="http://probaseballexperience.jcink.net/index.php?showuser=444" xr:uid="{00000000-0004-0000-1300-00004B000000}"/>
    <hyperlink ref="D28" r:id="rId77" display="http://probaseballexperience.jcink.net/index.php?showtopic=4903" xr:uid="{00000000-0004-0000-1300-00004C000000}"/>
    <hyperlink ref="C29" r:id="rId78" display="http://probaseballexperience.jcink.net/index.php?showuser=451" xr:uid="{00000000-0004-0000-1300-00004D000000}"/>
    <hyperlink ref="D29" r:id="rId79" display="http://probaseballexperience.jcink.net/index.php?showtopic=5001" xr:uid="{00000000-0004-0000-1300-00004E000000}"/>
    <hyperlink ref="C30" r:id="rId80" display="http://probaseballexperience.jcink.net/index.php?showuser=469" xr:uid="{00000000-0004-0000-1300-00004F000000}"/>
    <hyperlink ref="D30" r:id="rId81" display="http://probaseballexperience.jcink.net/index.php?showtopic=5106" xr:uid="{00000000-0004-0000-1300-000050000000}"/>
    <hyperlink ref="A31" r:id="rId82" display="http://probaseballexperience.jcink.net/index.php?showtopic=1114" xr:uid="{00000000-0004-0000-1300-000051000000}"/>
    <hyperlink ref="C31" r:id="rId83" display="http://probaseballexperience.jcink.net/index.php?showuser=81" xr:uid="{00000000-0004-0000-1300-000052000000}"/>
    <hyperlink ref="D31" r:id="rId84" display="http://probaseballexperience.jcink.net/index.php?showtopic=1114" xr:uid="{00000000-0004-0000-1300-000053000000}"/>
    <hyperlink ref="N31" r:id="rId85" display="http://probaseballexperience.jcink.net/index.php?showtopic=4883" xr:uid="{00000000-0004-0000-1300-000054000000}"/>
    <hyperlink ref="C32" r:id="rId86" display="http://probaseballexperience.jcink.net/index.php?showuser=461" xr:uid="{00000000-0004-0000-1300-000055000000}"/>
    <hyperlink ref="D32" r:id="rId87" display="http://probaseballexperience.jcink.net/index.php?showtopic=5096" xr:uid="{00000000-0004-0000-1300-000056000000}"/>
    <hyperlink ref="N32" r:id="rId88" display="http://probaseballexperience.jcink.net/index.php?showtopic=5319" xr:uid="{00000000-0004-0000-1300-000057000000}"/>
    <hyperlink ref="A33" r:id="rId89" display="http://probaseballexperience.jcink.net/index.php?showtopic=72" xr:uid="{00000000-0004-0000-1300-000058000000}"/>
    <hyperlink ref="C33" r:id="rId90" display="http://probaseballexperience.jcink.net/index.php?showuser=12" xr:uid="{00000000-0004-0000-1300-000059000000}"/>
    <hyperlink ref="D33" r:id="rId91" display="http://probaseballexperience.jcink.net/index.php?showtopic=72" xr:uid="{00000000-0004-0000-1300-00005A000000}"/>
    <hyperlink ref="A34" r:id="rId92" display="http://probaseballexperience.jcink.net/index.php?showtopic=345" xr:uid="{00000000-0004-0000-1300-00005B000000}"/>
    <hyperlink ref="C34" r:id="rId93" display="http://probaseballexperience.jcink.net/index.php?showuser=113" xr:uid="{00000000-0004-0000-1300-00005C000000}"/>
    <hyperlink ref="D34" r:id="rId94" display="http://probaseballexperience.jcink.net/index.php?showtopic=345" xr:uid="{00000000-0004-0000-1300-00005D000000}"/>
    <hyperlink ref="A35" r:id="rId95" display="http://probaseballexperience.jcink.net/index.php?showtopic=156" xr:uid="{00000000-0004-0000-1300-00005E000000}"/>
    <hyperlink ref="C35" r:id="rId96" display="http://probaseballexperience.jcink.net/index.php?showuser=14" xr:uid="{00000000-0004-0000-1300-00005F000000}"/>
    <hyperlink ref="D35" r:id="rId97" display="http://probaseballexperience.jcink.net/index.php?showtopic=156" xr:uid="{00000000-0004-0000-1300-000060000000}"/>
    <hyperlink ref="A36" r:id="rId98" display="http://probaseballexperience.jcink.net/index.php?showtopic=1732" xr:uid="{00000000-0004-0000-1300-000061000000}"/>
    <hyperlink ref="C36" r:id="rId99" display="http://probaseballexperience.jcink.net/index.php?showuser=217" xr:uid="{00000000-0004-0000-1300-000062000000}"/>
    <hyperlink ref="D36" r:id="rId100" display="http://probaseballexperience.jcink.net/index.php?showtopic=1732" xr:uid="{00000000-0004-0000-1300-000063000000}"/>
    <hyperlink ref="A37" r:id="rId101" display="http://probaseballexperience.jcink.net/index.php?showtopic=101" xr:uid="{00000000-0004-0000-1300-000064000000}"/>
    <hyperlink ref="C37" r:id="rId102" display="http://probaseballexperience.jcink.net/index.php?showuser=23" xr:uid="{00000000-0004-0000-1300-000065000000}"/>
    <hyperlink ref="D37" r:id="rId103" display="http://probaseballexperience.jcink.net/index.php?showtopic=101" xr:uid="{00000000-0004-0000-1300-000066000000}"/>
    <hyperlink ref="A38" r:id="rId104" display="http://probaseballexperience.jcink.net/index.php?showtopic=792" xr:uid="{00000000-0004-0000-1300-000067000000}"/>
    <hyperlink ref="C38" r:id="rId105" display="http://probaseballexperience.jcink.net/index.php?showuser=133" xr:uid="{00000000-0004-0000-1300-000068000000}"/>
    <hyperlink ref="D38" r:id="rId106" display="http://probaseballexperience.jcink.net/index.php?showtopic=792" xr:uid="{00000000-0004-0000-1300-000069000000}"/>
    <hyperlink ref="A39" r:id="rId107" display="http://probaseballexperience.jcink.net/index.php?showtopic=2598" xr:uid="{00000000-0004-0000-1300-00006A000000}"/>
    <hyperlink ref="C39" r:id="rId108" display="http://probaseballexperience.jcink.net/index.php?showuser=267" xr:uid="{00000000-0004-0000-1300-00006B000000}"/>
    <hyperlink ref="D39" r:id="rId109" display="http://probaseballexperience.jcink.net/index.php?showtopic=2598" xr:uid="{00000000-0004-0000-1300-00006C000000}"/>
    <hyperlink ref="A40" r:id="rId110" display="http://probaseballexperience.jcink.net/index.php?showtopic=2604" xr:uid="{00000000-0004-0000-1300-00006D000000}"/>
    <hyperlink ref="C40" r:id="rId111" display="http://probaseballexperience.jcink.net/index.php?showuser=273" xr:uid="{00000000-0004-0000-1300-00006E000000}"/>
    <hyperlink ref="D40" r:id="rId112" display="http://probaseballexperience.jcink.net/index.php?showtopic=2604" xr:uid="{00000000-0004-0000-1300-00006F000000}"/>
    <hyperlink ref="A41" r:id="rId113" display="http://probaseballexperience.jcink.net/index.php?showtopic=2906" xr:uid="{00000000-0004-0000-1300-000070000000}"/>
    <hyperlink ref="C41" r:id="rId114" display="http://probaseballexperience.jcink.net/index.php?showuser=281" xr:uid="{00000000-0004-0000-1300-000071000000}"/>
    <hyperlink ref="D41" r:id="rId115" display="http://probaseballexperience.jcink.net/index.php?showtopic=2906" xr:uid="{00000000-0004-0000-1300-000072000000}"/>
    <hyperlink ref="A42" r:id="rId116" display="http://probaseballexperience.jcink.net/index.php?showtopic=2591" xr:uid="{00000000-0004-0000-1300-000073000000}"/>
    <hyperlink ref="C42" r:id="rId117" display="http://probaseballexperience.jcink.net/index.php?showuser=262" xr:uid="{00000000-0004-0000-1300-000074000000}"/>
    <hyperlink ref="D42" r:id="rId118" display="http://probaseballexperience.jcink.net/index.php?showtopic=2591" xr:uid="{00000000-0004-0000-1300-000075000000}"/>
    <hyperlink ref="A43" r:id="rId119" display="http://probaseballexperience.jcink.net/index.php?showtopic=3476" xr:uid="{00000000-0004-0000-1300-000076000000}"/>
    <hyperlink ref="C43" r:id="rId120" display="http://probaseballexperience.jcink.net/index.php?showuser=324" xr:uid="{00000000-0004-0000-1300-000077000000}"/>
    <hyperlink ref="D43" r:id="rId121" display="http://probaseballexperience.jcink.net/index.php?showtopic=3476" xr:uid="{00000000-0004-0000-1300-000078000000}"/>
    <hyperlink ref="N43" r:id="rId122" display="http://probaseballexperience.jcink.net/index.php?showtopic=5553" xr:uid="{00000000-0004-0000-1300-000079000000}"/>
    <hyperlink ref="A44" r:id="rId123" display="http://probaseballexperience.jcink.net/index.php?showtopic=4032" xr:uid="{00000000-0004-0000-1300-00007A000000}"/>
    <hyperlink ref="C44" r:id="rId124" display="http://probaseballexperience.jcink.net/index.php?showuser=358" xr:uid="{00000000-0004-0000-1300-00007B000000}"/>
    <hyperlink ref="D44" r:id="rId125" display="http://probaseballexperience.jcink.net/index.php?showtopic=4032" xr:uid="{00000000-0004-0000-1300-00007C000000}"/>
    <hyperlink ref="N44" r:id="rId126" display="http://probaseballexperience.jcink.net/index.php?showtopic=5553" xr:uid="{00000000-0004-0000-1300-00007D000000}"/>
    <hyperlink ref="A45" r:id="rId127" display="http://probaseballexperience.jcink.net/index.php?showtopic=3104" xr:uid="{00000000-0004-0000-1300-00007E000000}"/>
    <hyperlink ref="C45" r:id="rId128" display="http://probaseballexperience.jcink.net/index.php?showuser=57" xr:uid="{00000000-0004-0000-1300-00007F000000}"/>
    <hyperlink ref="D45" r:id="rId129" display="http://probaseballexperience.jcink.net/index.php?showtopic=3104" xr:uid="{00000000-0004-0000-1300-000080000000}"/>
    <hyperlink ref="A46" r:id="rId130" display="http://probaseballexperience.jcink.net/index.php?showtopic=1161" xr:uid="{00000000-0004-0000-1300-000081000000}"/>
    <hyperlink ref="C46" r:id="rId131" display="http://probaseballexperience.jcink.net/index.php?showuser=189" xr:uid="{00000000-0004-0000-1300-000082000000}"/>
    <hyperlink ref="D46" r:id="rId132" display="http://probaseballexperience.jcink.net/index.php?showtopic=1161" xr:uid="{00000000-0004-0000-1300-000083000000}"/>
    <hyperlink ref="A47" r:id="rId133" display="http://probaseballexperience.jcink.net/index.php?showtopic=1045" xr:uid="{00000000-0004-0000-1300-000084000000}"/>
    <hyperlink ref="C47" r:id="rId134" display="http://probaseballexperience.jcink.net/index.php?showuser=158" xr:uid="{00000000-0004-0000-1300-000085000000}"/>
    <hyperlink ref="D47" r:id="rId135" display="http://probaseballexperience.jcink.net/index.php?showtopic=1045" xr:uid="{00000000-0004-0000-1300-000086000000}"/>
    <hyperlink ref="A48" r:id="rId136" display="http://probaseballexperience.jcink.net/index.php?showtopic=66" xr:uid="{00000000-0004-0000-1300-000087000000}"/>
    <hyperlink ref="C48" r:id="rId137" display="http://probaseballexperience.jcink.net/index.php?showuser=19" xr:uid="{00000000-0004-0000-1300-000088000000}"/>
    <hyperlink ref="D48" r:id="rId138" display="http://probaseballexperience.jcink.net/index.php?showtopic=66" xr:uid="{00000000-0004-0000-1300-000089000000}"/>
    <hyperlink ref="A49" r:id="rId139" display="http://probaseballexperience.jcink.net/index.php?showtopic=3586" xr:uid="{00000000-0004-0000-1300-00008A000000}"/>
    <hyperlink ref="C49" r:id="rId140" display="http://probaseballexperience.jcink.net/index.php?showuser=334" xr:uid="{00000000-0004-0000-1300-00008B000000}"/>
    <hyperlink ref="D49" r:id="rId141" display="http://probaseballexperience.jcink.net/index.php?showtopic=3586" xr:uid="{00000000-0004-0000-1300-00008C000000}"/>
    <hyperlink ref="A50" r:id="rId142" display="http://probaseballexperience.jcink.net/index.php?showtopic=2467" xr:uid="{00000000-0004-0000-1300-00008D000000}"/>
    <hyperlink ref="C50" r:id="rId143" display="http://probaseballexperience.jcink.net/index.php?showuser=17" xr:uid="{00000000-0004-0000-1300-00008E000000}"/>
    <hyperlink ref="D50" r:id="rId144" display="http://probaseballexperience.jcink.net/index.php?showtopic=2467" xr:uid="{00000000-0004-0000-1300-00008F000000}"/>
    <hyperlink ref="A51" r:id="rId145" display="http://probaseballexperience.jcink.net/index.php?showtopic=2569" xr:uid="{00000000-0004-0000-1300-000090000000}"/>
    <hyperlink ref="C51" r:id="rId146" display="http://probaseballexperience.jcink.net/index.php?showuser=21" xr:uid="{00000000-0004-0000-1300-000091000000}"/>
    <hyperlink ref="D51" r:id="rId147" display="http://probaseballexperience.jcink.net/index.php?showtopic=2569" xr:uid="{00000000-0004-0000-1300-000092000000}"/>
    <hyperlink ref="A52" r:id="rId148" display="http://probaseballexperience.jcink.net/index.php?showtopic=2142" xr:uid="{00000000-0004-0000-1300-000093000000}"/>
    <hyperlink ref="C52" r:id="rId149" display="http://probaseballexperience.jcink.net/index.php?showuser=27" xr:uid="{00000000-0004-0000-1300-000094000000}"/>
    <hyperlink ref="D52" r:id="rId150" display="http://probaseballexperience.jcink.net/index.php?showtopic=2142" xr:uid="{00000000-0004-0000-1300-000095000000}"/>
    <hyperlink ref="A53" r:id="rId151" display="http://probaseballexperience.jcink.net/index.php?showtopic=3123" xr:uid="{00000000-0004-0000-1300-000096000000}"/>
    <hyperlink ref="C53" r:id="rId152" display="http://probaseballexperience.jcink.net/index.php?showuser=292" xr:uid="{00000000-0004-0000-1300-000097000000}"/>
    <hyperlink ref="D53" r:id="rId153" display="http://probaseballexperience.jcink.net/index.php?showtopic=3123" xr:uid="{00000000-0004-0000-1300-000098000000}"/>
    <hyperlink ref="A54" r:id="rId154" display="http://probaseballexperience.jcink.net/index.php?showtopic=3170" xr:uid="{00000000-0004-0000-1300-000099000000}"/>
    <hyperlink ref="C54" r:id="rId155" display="http://probaseballexperience.jcink.net/index.php?showuser=311" xr:uid="{00000000-0004-0000-1300-00009A000000}"/>
    <hyperlink ref="D54" r:id="rId156" display="http://probaseballexperience.jcink.net/index.php?showtopic=3170" xr:uid="{00000000-0004-0000-1300-00009B000000}"/>
    <hyperlink ref="A55" r:id="rId157" display="http://probaseballexperience.jcink.net/index.php?showtopic=3097" xr:uid="{00000000-0004-0000-1300-00009C000000}"/>
    <hyperlink ref="C55" r:id="rId158" display="http://probaseballexperience.jcink.net/index.php?showuser=312" xr:uid="{00000000-0004-0000-1300-00009D000000}"/>
    <hyperlink ref="D55" r:id="rId159" display="http://probaseballexperience.jcink.net/index.php?showtopic=3162" xr:uid="{00000000-0004-0000-1300-00009E000000}"/>
    <hyperlink ref="A56" r:id="rId160" display="http://probaseballexperience.jcink.net/index.php?showtopic=3186" xr:uid="{00000000-0004-0000-1300-00009F000000}"/>
    <hyperlink ref="C56" r:id="rId161" display="http://probaseballexperience.jcink.net/index.php?showuser=309" xr:uid="{00000000-0004-0000-1300-0000A0000000}"/>
    <hyperlink ref="D56" r:id="rId162" display="http://probaseballexperience.jcink.net/index.php?showtopic=3186" xr:uid="{00000000-0004-0000-1300-0000A1000000}"/>
    <hyperlink ref="A57" r:id="rId163" display="http://probaseballexperience.jcink.net/index.php?showtopic=2967" xr:uid="{00000000-0004-0000-1300-0000A2000000}"/>
    <hyperlink ref="C57" r:id="rId164" display="http://probaseballexperience.jcink.net/index.php?showuser=286" xr:uid="{00000000-0004-0000-1300-0000A3000000}"/>
    <hyperlink ref="D57" r:id="rId165" display="http://probaseballexperience.jcink.net/index.php?showtopic=2967" xr:uid="{00000000-0004-0000-1300-0000A4000000}"/>
    <hyperlink ref="A58" r:id="rId166" display="http://probaseballexperience.jcink.net/index.php?showtopic=2905" xr:uid="{00000000-0004-0000-1300-0000A5000000}"/>
    <hyperlink ref="C58" r:id="rId167" display="http://probaseballexperience.jcink.net/index.php?showuser=55" xr:uid="{00000000-0004-0000-1300-0000A6000000}"/>
    <hyperlink ref="D58" r:id="rId168" display="http://probaseballexperience.jcink.net/index.php?showtopic=2905" xr:uid="{00000000-0004-0000-1300-0000A7000000}"/>
    <hyperlink ref="A59" r:id="rId169" display="http://probaseballexperience.jcink.net/index.php?showtopic=3008" xr:uid="{00000000-0004-0000-1300-0000A8000000}"/>
    <hyperlink ref="C59" r:id="rId170" display="http://probaseballexperience.jcink.net/index.php?showuser=291" xr:uid="{00000000-0004-0000-1300-0000A9000000}"/>
    <hyperlink ref="D59" r:id="rId171" display="http://probaseballexperience.jcink.net/index.php?showtopic=3008" xr:uid="{00000000-0004-0000-1300-0000AA000000}"/>
    <hyperlink ref="A60" r:id="rId172" display="http://probaseballexperience.jcink.net/index.php?showtopic=2966" xr:uid="{00000000-0004-0000-1300-0000AB000000}"/>
    <hyperlink ref="C60" r:id="rId173" display="http://probaseballexperience.jcink.net/index.php?showuser=285" xr:uid="{00000000-0004-0000-1300-0000AC000000}"/>
    <hyperlink ref="D60" r:id="rId174" display="http://probaseballexperience.jcink.net/index.php?showtopic=2966" xr:uid="{00000000-0004-0000-1300-0000AD000000}"/>
    <hyperlink ref="A61" r:id="rId175" display="http://probaseballexperience.jcink.net/index.php?showtopic=3606" xr:uid="{00000000-0004-0000-1300-0000AE000000}"/>
    <hyperlink ref="C61" r:id="rId176" display="http://probaseballexperience.jcink.net/index.php?showuser=109" xr:uid="{00000000-0004-0000-1300-0000AF000000}"/>
    <hyperlink ref="D61" r:id="rId177" display="http://probaseballexperience.jcink.net/index.php?showtopic=3606" xr:uid="{00000000-0004-0000-1300-0000B0000000}"/>
    <hyperlink ref="C62" r:id="rId178" display="http://probaseballexperience.jcink.net/index.php?showuser=439" xr:uid="{00000000-0004-0000-1300-0000B1000000}"/>
    <hyperlink ref="D62" r:id="rId179" display="http://probaseballexperience.jcink.net/index.php?showtopic=4856" xr:uid="{00000000-0004-0000-1300-0000B2000000}"/>
    <hyperlink ref="C63" r:id="rId180" display="http://probaseballexperience.jcink.net/index.php?showuser=445" xr:uid="{00000000-0004-0000-1300-0000B3000000}"/>
    <hyperlink ref="D63" r:id="rId181" display="http://probaseballexperience.jcink.net/index.php?showtopic=4908" xr:uid="{00000000-0004-0000-1300-0000B4000000}"/>
    <hyperlink ref="C64" r:id="rId182" display="http://probaseballexperience.jcink.net/index.php?showuser=447" xr:uid="{00000000-0004-0000-1300-0000B5000000}"/>
    <hyperlink ref="D64" r:id="rId183" display="http://probaseballexperience.jcink.net/index.php?showtopic=4927" xr:uid="{00000000-0004-0000-1300-0000B6000000}"/>
    <hyperlink ref="C65" r:id="rId184" display="http://probaseballexperience.jcink.net/index.php?showuser=395" xr:uid="{00000000-0004-0000-1300-0000B7000000}"/>
    <hyperlink ref="D65" r:id="rId185" display="http://probaseballexperience.jcink.net/index.php?showtopic=4565" xr:uid="{00000000-0004-0000-1300-0000B8000000}"/>
    <hyperlink ref="C66" r:id="rId186" display="http://probaseballexperience.jcink.net/index.php?showuser=250" xr:uid="{00000000-0004-0000-1300-0000B9000000}"/>
    <hyperlink ref="D66" r:id="rId187" display="http://probaseballexperience.jcink.net/index.php?showtopic=4375" xr:uid="{00000000-0004-0000-1300-0000BA000000}"/>
    <hyperlink ref="C67" r:id="rId188" display="http://probaseballexperience.jcink.net/index.php?showuser=424" xr:uid="{00000000-0004-0000-1300-0000BB000000}"/>
    <hyperlink ref="D67" r:id="rId189" display="http://probaseballexperience.jcink.net/index.php?showtopic=4613" xr:uid="{00000000-0004-0000-1300-0000BC000000}"/>
    <hyperlink ref="C68" r:id="rId190" display="http://probaseballexperience.jcink.net/index.php?showuser=361" xr:uid="{00000000-0004-0000-1300-0000BD000000}"/>
    <hyperlink ref="D68" r:id="rId191" display="http://probaseballexperience.jcink.net/index.php?showtopic=5066" xr:uid="{00000000-0004-0000-1300-0000BE000000}"/>
    <hyperlink ref="N68" r:id="rId192" display="http://probaseballexperience.jcink.net/index.php?showtopic=5362" xr:uid="{00000000-0004-0000-1300-0000BF000000}"/>
    <hyperlink ref="C69" r:id="rId193" display="http://probaseballexperience.jcink.net/index.php?showuser=476" xr:uid="{00000000-0004-0000-1300-0000C0000000}"/>
    <hyperlink ref="D69" r:id="rId194" display="http://probaseballexperience.jcink.net/index.php?showtopic=5162" xr:uid="{00000000-0004-0000-1300-0000C1000000}"/>
    <hyperlink ref="N69" r:id="rId195" display="http://probaseballexperience.jcink.net/index.php?showtopic=5313" xr:uid="{00000000-0004-0000-1300-0000C2000000}"/>
    <hyperlink ref="C70" r:id="rId196" display="http://probaseballexperience.jcink.net/index.php?showuser=547" xr:uid="{00000000-0004-0000-1300-0000C3000000}"/>
    <hyperlink ref="D70" r:id="rId197" display="http://probaseballexperience.jcink.net/index.php?showtopic=5866" xr:uid="{00000000-0004-0000-1300-0000C4000000}"/>
    <hyperlink ref="C71" r:id="rId198" display="http://probaseballexperience.jcink.net/index.php?showuser=484" xr:uid="{00000000-0004-0000-1300-0000C5000000}"/>
    <hyperlink ref="D71" r:id="rId199" display="http://probaseballexperience.jcink.net/index.php?showtopic=5453" xr:uid="{00000000-0004-0000-1300-0000C6000000}"/>
    <hyperlink ref="C72" r:id="rId200" display="http://probaseballexperience.jcink.net/index.php?showuser=510" xr:uid="{00000000-0004-0000-1300-0000C7000000}"/>
    <hyperlink ref="D72" r:id="rId201" display="http://probaseballexperience.jcink.net/index.php?showtopic=5788" xr:uid="{00000000-0004-0000-1300-0000C8000000}"/>
    <hyperlink ref="C73" r:id="rId202" display="http://probaseballexperience.jcink.net/index.php?showuser=525" xr:uid="{00000000-0004-0000-1300-0000C9000000}"/>
    <hyperlink ref="D73" r:id="rId203" display="http://probaseballexperience.jcink.net/index.php?showtopic=5808" xr:uid="{00000000-0004-0000-1300-0000CA000000}"/>
    <hyperlink ref="C74" r:id="rId204" display="http://probaseballexperience.jcink.net/index.php?showuser=520" xr:uid="{00000000-0004-0000-1300-0000CB000000}"/>
    <hyperlink ref="D74" r:id="rId205" display="http://probaseballexperience.jcink.net/index.php?showtopic=5794" xr:uid="{00000000-0004-0000-1300-0000CC000000}"/>
    <hyperlink ref="C75" r:id="rId206" display="http://probaseballexperience.jcink.net/index.php?showuser=485" xr:uid="{00000000-0004-0000-1300-0000CD000000}"/>
    <hyperlink ref="D75" r:id="rId207" display="http://probaseballexperience.jcink.net/index.php?showtopic=5765" xr:uid="{00000000-0004-0000-1300-0000CE000000}"/>
    <hyperlink ref="C76" r:id="rId208" display="http://probaseballexperience.jcink.net/index.php?showuser=482" xr:uid="{00000000-0004-0000-1300-0000CF000000}"/>
    <hyperlink ref="D76" r:id="rId209" display="http://probaseballexperience.jcink.net/index.php?showtopic=5327" xr:uid="{00000000-0004-0000-1300-0000D0000000}"/>
    <hyperlink ref="C77" r:id="rId210" display="http://probaseballexperience.jcink.net/index.php?showuser=497" xr:uid="{00000000-0004-0000-1300-0000D1000000}"/>
    <hyperlink ref="D77" r:id="rId211" display="http://probaseballexperience.jcink.net/index.php?showtopic=5663" xr:uid="{00000000-0004-0000-1300-0000D2000000}"/>
    <hyperlink ref="C78" r:id="rId212" display="http://probaseballexperience.jcink.net/index.php?showuser=489" xr:uid="{00000000-0004-0000-1300-0000D3000000}"/>
    <hyperlink ref="D78" r:id="rId213" display="http://probaseballexperience.jcink.net/index.php?showtopic=5533" xr:uid="{00000000-0004-0000-1300-0000D4000000}"/>
    <hyperlink ref="C79" r:id="rId214" display="http://probaseballexperience.jcink.net/index.php?showuser=527" xr:uid="{00000000-0004-0000-1300-0000D5000000}"/>
    <hyperlink ref="D79" r:id="rId215" display="http://probaseballexperience.jcink.net/index.php?showtopic=5822" xr:uid="{00000000-0004-0000-1300-0000D6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D7"/>
  <sheetViews>
    <sheetView workbookViewId="0"/>
  </sheetViews>
  <sheetFormatPr baseColWidth="10" defaultColWidth="14.5" defaultRowHeight="15.75" customHeight="1"/>
  <cols>
    <col min="1" max="1" width="14.6640625" customWidth="1"/>
    <col min="2" max="2" width="19.83203125" customWidth="1"/>
    <col min="3" max="3" width="17.83203125" customWidth="1"/>
  </cols>
  <sheetData>
    <row r="1" spans="1:4" ht="15.75" customHeight="1">
      <c r="A1" s="4" t="s">
        <v>2185</v>
      </c>
      <c r="B1" s="381">
        <v>43161</v>
      </c>
      <c r="C1" s="4"/>
      <c r="D1" s="4"/>
    </row>
    <row r="2" spans="1:4" ht="15.75" customHeight="1">
      <c r="A2" s="4" t="s">
        <v>2186</v>
      </c>
      <c r="B2" s="4" t="s">
        <v>2187</v>
      </c>
      <c r="C2" s="4"/>
      <c r="D2" s="4"/>
    </row>
    <row r="3" spans="1:4" ht="15.75" customHeight="1">
      <c r="A3" s="4" t="s">
        <v>2188</v>
      </c>
      <c r="B3" s="4" t="s">
        <v>2189</v>
      </c>
    </row>
    <row r="4" spans="1:4" ht="15.75" customHeight="1">
      <c r="A4" s="4" t="s">
        <v>2188</v>
      </c>
      <c r="B4" s="4" t="s">
        <v>2190</v>
      </c>
    </row>
    <row r="5" spans="1:4" ht="15.75" customHeight="1">
      <c r="A5" s="4" t="s">
        <v>2188</v>
      </c>
      <c r="B5" s="4" t="s">
        <v>2191</v>
      </c>
    </row>
    <row r="6" spans="1:4" ht="15.75" customHeight="1">
      <c r="A6" s="4" t="s">
        <v>2188</v>
      </c>
      <c r="B6" s="4" t="s">
        <v>2192</v>
      </c>
    </row>
    <row r="7" spans="1:4" ht="15.75" customHeight="1">
      <c r="A7" s="4" t="s">
        <v>2193</v>
      </c>
      <c r="B7" s="4" t="s">
        <v>2194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X4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2" max="2" width="6" customWidth="1"/>
    <col min="4" max="4" width="21.33203125" customWidth="1"/>
    <col min="6" max="6" width="9.1640625" customWidth="1"/>
    <col min="9" max="13" width="6.6640625" customWidth="1"/>
    <col min="14" max="14" width="6.83203125" customWidth="1"/>
    <col min="15" max="15" width="11.1640625" customWidth="1"/>
    <col min="26" max="26" width="6.6640625" customWidth="1"/>
  </cols>
  <sheetData>
    <row r="1" spans="1:50" ht="15.75" customHeight="1">
      <c r="A1" s="382"/>
      <c r="B1" s="382" t="s">
        <v>6</v>
      </c>
      <c r="C1" s="382" t="s">
        <v>7</v>
      </c>
      <c r="D1" s="382" t="s">
        <v>14</v>
      </c>
      <c r="E1" s="382" t="s">
        <v>15</v>
      </c>
      <c r="F1" s="382" t="s">
        <v>16</v>
      </c>
      <c r="G1" s="382" t="s">
        <v>17</v>
      </c>
      <c r="H1" s="382" t="s">
        <v>18</v>
      </c>
      <c r="I1" s="382" t="s">
        <v>35</v>
      </c>
      <c r="J1" s="382" t="s">
        <v>36</v>
      </c>
      <c r="K1" s="382" t="s">
        <v>37</v>
      </c>
      <c r="L1" s="382" t="s">
        <v>38</v>
      </c>
      <c r="M1" s="382" t="s">
        <v>19</v>
      </c>
      <c r="N1" s="383" t="s">
        <v>20</v>
      </c>
      <c r="O1" s="382" t="s">
        <v>23</v>
      </c>
      <c r="P1" s="382" t="s">
        <v>24</v>
      </c>
      <c r="Q1" s="382" t="s">
        <v>25</v>
      </c>
      <c r="R1" s="382" t="s">
        <v>26</v>
      </c>
      <c r="S1" s="383" t="s">
        <v>27</v>
      </c>
      <c r="T1" s="383" t="s">
        <v>28</v>
      </c>
      <c r="U1" s="383" t="s">
        <v>29</v>
      </c>
      <c r="V1" s="382" t="s">
        <v>441</v>
      </c>
      <c r="W1" s="382" t="s">
        <v>31</v>
      </c>
      <c r="X1" s="382" t="s">
        <v>32</v>
      </c>
      <c r="Y1" s="382" t="s">
        <v>33</v>
      </c>
      <c r="Z1" s="382" t="s">
        <v>34</v>
      </c>
      <c r="AA1" s="382" t="s">
        <v>40</v>
      </c>
      <c r="AB1" s="382" t="s">
        <v>41</v>
      </c>
      <c r="AC1" s="382" t="s">
        <v>42</v>
      </c>
      <c r="AD1" s="382" t="s">
        <v>43</v>
      </c>
      <c r="AE1" s="384"/>
      <c r="AF1" s="384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4"/>
      <c r="AU1" s="384"/>
      <c r="AV1" s="384"/>
      <c r="AW1" s="384"/>
      <c r="AX1" s="384"/>
    </row>
    <row r="2" spans="1:50" ht="15.75" customHeight="1">
      <c r="A2" s="65"/>
      <c r="B2" s="65"/>
      <c r="C2" s="385"/>
      <c r="D2" s="25"/>
      <c r="E2" s="27" t="e">
        <f t="shared" ref="E2:E29" si="0">TRIM(LEFT(D2,LEN(D2)-4))</f>
        <v>#VALUE!</v>
      </c>
      <c r="F2" s="65" t="str">
        <f t="shared" ref="F2:F29" si="1">TRIM(RIGHT(D2,2))</f>
        <v/>
      </c>
      <c r="G2" s="65" t="s">
        <v>55</v>
      </c>
      <c r="P2" s="65" t="s">
        <v>36</v>
      </c>
      <c r="Q2" s="65" t="s">
        <v>1142</v>
      </c>
      <c r="R2" s="257" t="s">
        <v>35</v>
      </c>
    </row>
    <row r="3" spans="1:50" ht="15.75" customHeight="1">
      <c r="A3" s="58"/>
      <c r="B3" s="58"/>
      <c r="C3" s="386"/>
      <c r="D3" s="387"/>
      <c r="E3" s="56" t="e">
        <f t="shared" si="0"/>
        <v>#VALUE!</v>
      </c>
      <c r="F3" s="58" t="str">
        <f t="shared" si="1"/>
        <v/>
      </c>
      <c r="G3" s="54" t="s">
        <v>55</v>
      </c>
      <c r="H3" s="54"/>
      <c r="I3" s="56"/>
      <c r="J3" s="56"/>
      <c r="K3" s="56"/>
      <c r="L3" s="56"/>
      <c r="M3" s="56"/>
      <c r="N3" s="56"/>
      <c r="O3" s="56"/>
      <c r="P3" s="58" t="s">
        <v>36</v>
      </c>
      <c r="Q3" s="58" t="s">
        <v>1142</v>
      </c>
      <c r="R3" s="314" t="s">
        <v>35</v>
      </c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</row>
    <row r="4" spans="1:50" ht="15.75" customHeight="1">
      <c r="A4" s="65"/>
      <c r="B4" s="65"/>
      <c r="C4" s="289"/>
      <c r="D4" s="25"/>
      <c r="E4" s="27" t="e">
        <f t="shared" si="0"/>
        <v>#VALUE!</v>
      </c>
      <c r="F4" s="65" t="str">
        <f t="shared" si="1"/>
        <v/>
      </c>
      <c r="G4" s="65" t="s">
        <v>132</v>
      </c>
      <c r="I4" s="27"/>
      <c r="J4" s="27"/>
      <c r="K4" s="27"/>
      <c r="L4" s="27"/>
      <c r="M4" s="27"/>
      <c r="N4" s="257"/>
      <c r="O4" s="27"/>
      <c r="P4" s="65" t="s">
        <v>36</v>
      </c>
      <c r="Q4" s="65" t="s">
        <v>1142</v>
      </c>
      <c r="R4" s="257" t="s">
        <v>35</v>
      </c>
      <c r="S4" s="257"/>
      <c r="T4" s="257"/>
      <c r="U4" s="25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</row>
    <row r="5" spans="1:50" ht="15.75" customHeight="1">
      <c r="A5" s="58"/>
      <c r="B5" s="58"/>
      <c r="C5" s="386"/>
      <c r="D5" s="32"/>
      <c r="E5" s="56" t="e">
        <f t="shared" si="0"/>
        <v>#VALUE!</v>
      </c>
      <c r="F5" s="58" t="str">
        <f t="shared" si="1"/>
        <v/>
      </c>
      <c r="G5" s="58" t="s">
        <v>132</v>
      </c>
      <c r="P5" s="58" t="s">
        <v>36</v>
      </c>
      <c r="Q5" s="58" t="s">
        <v>1142</v>
      </c>
      <c r="R5" s="314" t="s">
        <v>35</v>
      </c>
    </row>
    <row r="6" spans="1:50" ht="15.75" customHeight="1">
      <c r="A6" s="65"/>
      <c r="B6" s="65"/>
      <c r="C6" s="385"/>
      <c r="D6" s="388"/>
      <c r="E6" s="27" t="e">
        <f t="shared" si="0"/>
        <v>#VALUE!</v>
      </c>
      <c r="F6" s="65" t="str">
        <f t="shared" si="1"/>
        <v/>
      </c>
      <c r="G6" s="215" t="s">
        <v>109</v>
      </c>
      <c r="H6" s="215"/>
      <c r="I6" s="27"/>
      <c r="J6" s="27"/>
      <c r="K6" s="27"/>
      <c r="L6" s="27"/>
      <c r="M6" s="27"/>
      <c r="N6" s="27"/>
      <c r="O6" s="27"/>
      <c r="P6" s="65" t="s">
        <v>36</v>
      </c>
      <c r="Q6" s="65" t="s">
        <v>1142</v>
      </c>
      <c r="R6" s="257" t="s">
        <v>35</v>
      </c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</row>
    <row r="7" spans="1:50" ht="15.75" customHeight="1">
      <c r="A7" s="58"/>
      <c r="B7" s="58"/>
      <c r="C7" s="386"/>
      <c r="D7" s="32"/>
      <c r="E7" s="56" t="e">
        <f t="shared" si="0"/>
        <v>#VALUE!</v>
      </c>
      <c r="F7" s="58" t="str">
        <f t="shared" si="1"/>
        <v/>
      </c>
      <c r="G7" s="58" t="s">
        <v>132</v>
      </c>
      <c r="I7" s="56"/>
      <c r="J7" s="56"/>
      <c r="K7" s="56"/>
      <c r="L7" s="56"/>
      <c r="M7" s="56"/>
      <c r="N7" s="314"/>
      <c r="O7" s="56"/>
      <c r="P7" s="58" t="s">
        <v>36</v>
      </c>
      <c r="Q7" s="58" t="s">
        <v>1142</v>
      </c>
      <c r="R7" s="314" t="s">
        <v>35</v>
      </c>
      <c r="S7" s="314"/>
      <c r="T7" s="314"/>
      <c r="U7" s="314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</row>
    <row r="8" spans="1:50" ht="15.75" customHeight="1">
      <c r="A8" s="65"/>
      <c r="B8" s="65"/>
      <c r="C8" s="385"/>
      <c r="D8" s="25"/>
      <c r="E8" s="27" t="e">
        <f t="shared" si="0"/>
        <v>#VALUE!</v>
      </c>
      <c r="F8" s="65" t="str">
        <f t="shared" si="1"/>
        <v/>
      </c>
      <c r="G8" s="65" t="s">
        <v>55</v>
      </c>
      <c r="H8" s="215"/>
      <c r="I8" s="27"/>
      <c r="J8" s="27"/>
      <c r="K8" s="27"/>
      <c r="L8" s="27"/>
      <c r="M8" s="27"/>
      <c r="N8" s="27"/>
      <c r="O8" s="27"/>
      <c r="P8" s="65" t="s">
        <v>36</v>
      </c>
      <c r="Q8" s="65" t="s">
        <v>1142</v>
      </c>
      <c r="R8" s="257" t="s">
        <v>35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</row>
    <row r="9" spans="1:50" ht="15.75" customHeight="1">
      <c r="A9" s="58"/>
      <c r="B9" s="58"/>
      <c r="C9" s="386"/>
      <c r="D9" s="32"/>
      <c r="E9" s="56" t="e">
        <f t="shared" si="0"/>
        <v>#VALUE!</v>
      </c>
      <c r="F9" s="58" t="str">
        <f t="shared" si="1"/>
        <v/>
      </c>
      <c r="G9" s="58" t="s">
        <v>104</v>
      </c>
      <c r="H9" s="54"/>
      <c r="I9" s="56"/>
      <c r="J9" s="56"/>
      <c r="K9" s="56"/>
      <c r="L9" s="56"/>
      <c r="M9" s="56"/>
      <c r="N9" s="56"/>
      <c r="O9" s="56"/>
      <c r="P9" s="58" t="s">
        <v>36</v>
      </c>
      <c r="Q9" s="58" t="s">
        <v>1142</v>
      </c>
      <c r="R9" s="314" t="s">
        <v>35</v>
      </c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</row>
    <row r="10" spans="1:50" ht="15.75" customHeight="1">
      <c r="A10" s="65"/>
      <c r="B10" s="65"/>
      <c r="C10" s="385"/>
      <c r="D10" s="25"/>
      <c r="E10" s="27" t="e">
        <f t="shared" si="0"/>
        <v>#VALUE!</v>
      </c>
      <c r="F10" s="65" t="str">
        <f t="shared" si="1"/>
        <v/>
      </c>
      <c r="G10" s="65" t="s">
        <v>225</v>
      </c>
      <c r="I10" s="27"/>
      <c r="J10" s="27"/>
      <c r="K10" s="27"/>
      <c r="L10" s="27"/>
      <c r="M10" s="27"/>
      <c r="N10" s="257"/>
      <c r="O10" s="27"/>
      <c r="P10" s="65" t="s">
        <v>36</v>
      </c>
      <c r="Q10" s="65" t="s">
        <v>1142</v>
      </c>
      <c r="R10" s="257" t="s">
        <v>35</v>
      </c>
      <c r="S10" s="257"/>
      <c r="T10" s="257"/>
      <c r="U10" s="25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</row>
    <row r="11" spans="1:50" ht="15.75" customHeight="1">
      <c r="A11" s="58"/>
      <c r="B11" s="58"/>
      <c r="C11" s="386"/>
      <c r="D11" s="32"/>
      <c r="E11" s="56" t="e">
        <f t="shared" si="0"/>
        <v>#VALUE!</v>
      </c>
      <c r="F11" s="58" t="str">
        <f t="shared" si="1"/>
        <v/>
      </c>
      <c r="G11" s="15" t="s">
        <v>55</v>
      </c>
      <c r="H11" s="54"/>
      <c r="I11" s="56"/>
      <c r="J11" s="56"/>
      <c r="K11" s="56"/>
      <c r="L11" s="56"/>
      <c r="M11" s="56"/>
      <c r="N11" s="56"/>
      <c r="O11" s="56"/>
      <c r="P11" s="58" t="s">
        <v>36</v>
      </c>
      <c r="Q11" s="58" t="s">
        <v>1142</v>
      </c>
      <c r="R11" s="314" t="s">
        <v>35</v>
      </c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</row>
    <row r="12" spans="1:50" ht="15.75" customHeight="1">
      <c r="A12" s="65"/>
      <c r="B12" s="65"/>
      <c r="C12" s="385"/>
      <c r="D12" s="32"/>
      <c r="E12" s="27" t="e">
        <f t="shared" si="0"/>
        <v>#VALUE!</v>
      </c>
      <c r="F12" s="65" t="str">
        <f t="shared" si="1"/>
        <v/>
      </c>
      <c r="G12" s="65" t="s">
        <v>84</v>
      </c>
      <c r="H12" s="215"/>
      <c r="I12" s="27"/>
      <c r="J12" s="27"/>
      <c r="K12" s="27"/>
      <c r="L12" s="27"/>
      <c r="M12" s="27"/>
      <c r="N12" s="27"/>
      <c r="O12" s="27"/>
      <c r="P12" s="65" t="s">
        <v>36</v>
      </c>
      <c r="Q12" s="65" t="s">
        <v>1142</v>
      </c>
      <c r="R12" s="257" t="s">
        <v>35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</row>
    <row r="13" spans="1:50" ht="15.75" customHeight="1">
      <c r="A13" s="58"/>
      <c r="B13" s="58"/>
      <c r="C13" s="386"/>
      <c r="D13" s="32"/>
      <c r="E13" s="56" t="e">
        <f t="shared" si="0"/>
        <v>#VALUE!</v>
      </c>
      <c r="F13" s="58" t="str">
        <f t="shared" si="1"/>
        <v/>
      </c>
      <c r="G13" s="15" t="s">
        <v>109</v>
      </c>
      <c r="H13" s="54"/>
      <c r="I13" s="56"/>
      <c r="J13" s="56"/>
      <c r="K13" s="56"/>
      <c r="L13" s="56"/>
      <c r="M13" s="56"/>
      <c r="N13" s="56"/>
      <c r="O13" s="56"/>
      <c r="P13" s="58" t="s">
        <v>36</v>
      </c>
      <c r="Q13" s="58" t="s">
        <v>1142</v>
      </c>
      <c r="R13" s="314" t="s">
        <v>35</v>
      </c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</row>
    <row r="14" spans="1:50" ht="15.75" customHeight="1">
      <c r="A14" s="65"/>
      <c r="B14" s="65"/>
      <c r="C14" s="385"/>
      <c r="D14" s="32"/>
      <c r="E14" s="27" t="e">
        <f t="shared" si="0"/>
        <v>#VALUE!</v>
      </c>
      <c r="F14" s="65" t="str">
        <f t="shared" si="1"/>
        <v/>
      </c>
      <c r="G14" s="65" t="s">
        <v>294</v>
      </c>
      <c r="I14" s="27"/>
      <c r="J14" s="27"/>
      <c r="K14" s="27"/>
      <c r="L14" s="27"/>
      <c r="M14" s="27"/>
      <c r="N14" s="257"/>
      <c r="O14" s="27"/>
      <c r="P14" s="65" t="s">
        <v>36</v>
      </c>
      <c r="Q14" s="65" t="s">
        <v>1142</v>
      </c>
      <c r="R14" s="257" t="s">
        <v>35</v>
      </c>
      <c r="S14" s="257"/>
      <c r="T14" s="257"/>
      <c r="U14" s="25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</row>
    <row r="15" spans="1:50" ht="15.75" customHeight="1">
      <c r="A15" s="58"/>
      <c r="B15" s="58"/>
      <c r="C15" s="386"/>
      <c r="D15" s="32"/>
      <c r="E15" s="56" t="e">
        <f t="shared" si="0"/>
        <v>#VALUE!</v>
      </c>
      <c r="F15" s="58" t="str">
        <f t="shared" si="1"/>
        <v/>
      </c>
      <c r="G15" s="54" t="s">
        <v>55</v>
      </c>
      <c r="H15" s="54"/>
      <c r="I15" s="56"/>
      <c r="J15" s="56"/>
      <c r="K15" s="56"/>
      <c r="L15" s="56"/>
      <c r="M15" s="56"/>
      <c r="N15" s="56"/>
      <c r="O15" s="56"/>
      <c r="P15" s="58" t="s">
        <v>36</v>
      </c>
      <c r="Q15" s="58" t="s">
        <v>1142</v>
      </c>
      <c r="R15" s="314" t="s">
        <v>35</v>
      </c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</row>
    <row r="16" spans="1:50" ht="15.75" customHeight="1">
      <c r="A16" s="65"/>
      <c r="B16" s="65"/>
      <c r="C16" s="289"/>
      <c r="D16" s="25"/>
      <c r="E16" s="27" t="e">
        <f t="shared" si="0"/>
        <v>#VALUE!</v>
      </c>
      <c r="F16" s="65" t="str">
        <f t="shared" si="1"/>
        <v/>
      </c>
      <c r="G16" s="65" t="s">
        <v>740</v>
      </c>
      <c r="H16" s="215"/>
      <c r="I16" s="27"/>
      <c r="J16" s="27"/>
      <c r="K16" s="27"/>
      <c r="L16" s="27"/>
      <c r="M16" s="27"/>
      <c r="N16" s="27"/>
      <c r="O16" s="27"/>
      <c r="P16" s="65" t="s">
        <v>36</v>
      </c>
      <c r="Q16" s="65" t="s">
        <v>1142</v>
      </c>
      <c r="R16" s="257" t="s">
        <v>35</v>
      </c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</row>
    <row r="17" spans="1:50" ht="15.75" customHeight="1">
      <c r="A17" s="58"/>
      <c r="B17" s="58"/>
      <c r="C17" s="386"/>
      <c r="D17" s="25"/>
      <c r="E17" s="56" t="e">
        <f t="shared" si="0"/>
        <v>#VALUE!</v>
      </c>
      <c r="F17" s="58" t="str">
        <f t="shared" si="1"/>
        <v/>
      </c>
      <c r="G17" s="58" t="s">
        <v>55</v>
      </c>
      <c r="I17" s="56"/>
      <c r="J17" s="56"/>
      <c r="K17" s="56"/>
      <c r="L17" s="56"/>
      <c r="M17" s="56"/>
      <c r="N17" s="314"/>
      <c r="O17" s="56"/>
      <c r="P17" s="58" t="s">
        <v>36</v>
      </c>
      <c r="Q17" s="58" t="s">
        <v>1142</v>
      </c>
      <c r="R17" s="314" t="s">
        <v>35</v>
      </c>
      <c r="S17" s="314"/>
      <c r="T17" s="314"/>
      <c r="U17" s="314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</row>
    <row r="18" spans="1:50" ht="15.75" customHeight="1">
      <c r="A18" s="65"/>
      <c r="B18" s="65"/>
      <c r="C18" s="385"/>
      <c r="D18" s="32"/>
      <c r="E18" s="27" t="e">
        <f t="shared" si="0"/>
        <v>#VALUE!</v>
      </c>
      <c r="F18" s="65" t="str">
        <f t="shared" si="1"/>
        <v/>
      </c>
      <c r="G18" s="65" t="s">
        <v>68</v>
      </c>
      <c r="H18" s="215"/>
      <c r="I18" s="27"/>
      <c r="J18" s="27"/>
      <c r="K18" s="27"/>
      <c r="L18" s="27"/>
      <c r="M18" s="27"/>
      <c r="N18" s="27"/>
      <c r="O18" s="27"/>
      <c r="P18" s="65" t="s">
        <v>36</v>
      </c>
      <c r="Q18" s="65" t="s">
        <v>1142</v>
      </c>
      <c r="R18" s="257" t="s">
        <v>35</v>
      </c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</row>
    <row r="19" spans="1:50" ht="15.75" customHeight="1">
      <c r="A19" s="58"/>
      <c r="B19" s="58"/>
      <c r="C19" s="386"/>
      <c r="D19" s="32"/>
      <c r="E19" s="56" t="e">
        <f t="shared" si="0"/>
        <v>#VALUE!</v>
      </c>
      <c r="F19" s="58" t="str">
        <f t="shared" si="1"/>
        <v/>
      </c>
      <c r="G19" s="58" t="s">
        <v>84</v>
      </c>
      <c r="H19" s="54"/>
      <c r="I19" s="56"/>
      <c r="J19" s="56"/>
      <c r="K19" s="56"/>
      <c r="L19" s="56"/>
      <c r="M19" s="56"/>
      <c r="N19" s="56"/>
      <c r="O19" s="56"/>
      <c r="P19" s="58" t="s">
        <v>36</v>
      </c>
      <c r="Q19" s="58" t="s">
        <v>1142</v>
      </c>
      <c r="R19" s="314" t="s">
        <v>35</v>
      </c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</row>
    <row r="20" spans="1:50" ht="15.75" customHeight="1">
      <c r="A20" s="65"/>
      <c r="B20" s="65"/>
      <c r="C20" s="385"/>
      <c r="D20" s="25"/>
      <c r="E20" s="27" t="e">
        <f t="shared" si="0"/>
        <v>#VALUE!</v>
      </c>
      <c r="F20" s="65" t="str">
        <f t="shared" si="1"/>
        <v/>
      </c>
      <c r="G20" s="65" t="s">
        <v>740</v>
      </c>
      <c r="I20" s="27"/>
      <c r="J20" s="27"/>
      <c r="K20" s="27"/>
      <c r="L20" s="27"/>
      <c r="M20" s="27"/>
      <c r="N20" s="257"/>
      <c r="O20" s="27"/>
      <c r="P20" s="65" t="s">
        <v>36</v>
      </c>
      <c r="Q20" s="65" t="s">
        <v>1142</v>
      </c>
      <c r="R20" s="257" t="s">
        <v>35</v>
      </c>
      <c r="S20" s="257"/>
      <c r="T20" s="257"/>
      <c r="U20" s="25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</row>
    <row r="21" spans="1:50" ht="15.75" customHeight="1">
      <c r="A21" s="58"/>
      <c r="B21" s="58"/>
      <c r="C21" s="386"/>
      <c r="D21" s="389"/>
      <c r="E21" s="56" t="e">
        <f t="shared" si="0"/>
        <v>#VALUE!</v>
      </c>
      <c r="F21" s="58" t="str">
        <f t="shared" si="1"/>
        <v/>
      </c>
      <c r="G21" s="54" t="s">
        <v>166</v>
      </c>
      <c r="H21" s="54"/>
      <c r="I21" s="56"/>
      <c r="J21" s="56"/>
      <c r="K21" s="56"/>
      <c r="L21" s="56"/>
      <c r="M21" s="56"/>
      <c r="N21" s="56"/>
      <c r="O21" s="56"/>
      <c r="P21" s="58" t="s">
        <v>36</v>
      </c>
      <c r="Q21" s="58" t="s">
        <v>1142</v>
      </c>
      <c r="R21" s="314" t="s">
        <v>35</v>
      </c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</row>
    <row r="22" spans="1:50" ht="15.75" customHeight="1">
      <c r="A22" s="65"/>
      <c r="B22" s="65"/>
      <c r="C22" s="385"/>
      <c r="D22" s="390"/>
      <c r="E22" s="27" t="e">
        <f t="shared" si="0"/>
        <v>#VALUE!</v>
      </c>
      <c r="F22" s="65" t="str">
        <f t="shared" si="1"/>
        <v/>
      </c>
      <c r="G22" s="65" t="s">
        <v>820</v>
      </c>
      <c r="H22" s="215"/>
      <c r="I22" s="27"/>
      <c r="J22" s="27"/>
      <c r="K22" s="27"/>
      <c r="L22" s="27"/>
      <c r="M22" s="27"/>
      <c r="N22" s="27"/>
      <c r="O22" s="27"/>
      <c r="P22" s="65" t="s">
        <v>36</v>
      </c>
      <c r="Q22" s="65" t="s">
        <v>1142</v>
      </c>
      <c r="R22" s="257" t="s">
        <v>35</v>
      </c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</row>
    <row r="23" spans="1:50" ht="15.75" customHeight="1">
      <c r="A23" s="58"/>
      <c r="B23" s="58"/>
      <c r="C23" s="386"/>
      <c r="D23" s="32"/>
      <c r="E23" s="56" t="e">
        <f t="shared" si="0"/>
        <v>#VALUE!</v>
      </c>
      <c r="F23" s="58" t="str">
        <f t="shared" si="1"/>
        <v/>
      </c>
      <c r="G23" s="58" t="s">
        <v>97</v>
      </c>
      <c r="H23" s="54"/>
      <c r="I23" s="56"/>
      <c r="J23" s="56"/>
      <c r="K23" s="56"/>
      <c r="L23" s="56"/>
      <c r="M23" s="56"/>
      <c r="N23" s="56"/>
      <c r="O23" s="56"/>
      <c r="P23" s="58" t="s">
        <v>36</v>
      </c>
      <c r="Q23" s="58" t="s">
        <v>1142</v>
      </c>
      <c r="R23" s="314" t="s">
        <v>35</v>
      </c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</row>
    <row r="24" spans="1:50" ht="15.75" customHeight="1">
      <c r="A24" s="65"/>
      <c r="B24" s="65"/>
      <c r="C24" s="385"/>
      <c r="D24" s="32"/>
      <c r="E24" s="27" t="e">
        <f t="shared" si="0"/>
        <v>#VALUE!</v>
      </c>
      <c r="F24" s="65" t="str">
        <f t="shared" si="1"/>
        <v/>
      </c>
      <c r="G24" s="65" t="s">
        <v>68</v>
      </c>
      <c r="H24" s="215"/>
      <c r="I24" s="27"/>
      <c r="J24" s="27"/>
      <c r="K24" s="27"/>
      <c r="L24" s="27"/>
      <c r="M24" s="27"/>
      <c r="N24" s="27"/>
      <c r="O24" s="27"/>
      <c r="P24" s="65" t="s">
        <v>36</v>
      </c>
      <c r="Q24" s="65" t="s">
        <v>1142</v>
      </c>
      <c r="R24" s="257" t="s">
        <v>35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</row>
    <row r="25" spans="1:50" ht="15.75" customHeight="1">
      <c r="A25" s="58"/>
      <c r="B25" s="58"/>
      <c r="C25" s="386"/>
      <c r="D25" s="32"/>
      <c r="E25" s="56" t="e">
        <f t="shared" si="0"/>
        <v>#VALUE!</v>
      </c>
      <c r="F25" s="58" t="str">
        <f t="shared" si="1"/>
        <v/>
      </c>
      <c r="G25" s="58" t="s">
        <v>114</v>
      </c>
      <c r="I25" s="56"/>
      <c r="J25" s="56"/>
      <c r="K25" s="56"/>
      <c r="L25" s="56"/>
      <c r="M25" s="56"/>
      <c r="N25" s="314"/>
      <c r="O25" s="56"/>
      <c r="P25" s="58" t="s">
        <v>36</v>
      </c>
      <c r="Q25" s="58" t="s">
        <v>1142</v>
      </c>
      <c r="R25" s="314" t="s">
        <v>35</v>
      </c>
      <c r="S25" s="314"/>
      <c r="T25" s="314"/>
      <c r="U25" s="314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</row>
    <row r="26" spans="1:50" ht="15.75" customHeight="1">
      <c r="A26" s="65"/>
      <c r="B26" s="65"/>
      <c r="C26" s="385"/>
      <c r="D26" s="32"/>
      <c r="E26" s="27" t="e">
        <f t="shared" si="0"/>
        <v>#VALUE!</v>
      </c>
      <c r="F26" s="65" t="str">
        <f t="shared" si="1"/>
        <v/>
      </c>
      <c r="G26" s="65" t="s">
        <v>97</v>
      </c>
      <c r="I26" s="27"/>
      <c r="J26" s="27"/>
      <c r="K26" s="27"/>
      <c r="L26" s="27"/>
      <c r="M26" s="27"/>
      <c r="N26" s="257"/>
      <c r="O26" s="27"/>
      <c r="P26" s="65" t="s">
        <v>36</v>
      </c>
      <c r="Q26" s="65" t="s">
        <v>1142</v>
      </c>
      <c r="R26" s="257" t="s">
        <v>35</v>
      </c>
      <c r="S26" s="257"/>
      <c r="T26" s="257"/>
      <c r="U26" s="25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</row>
    <row r="27" spans="1:50" ht="15.75" customHeight="1">
      <c r="A27" s="58"/>
      <c r="B27" s="58"/>
      <c r="C27" s="386"/>
      <c r="D27" s="32"/>
      <c r="E27" s="56" t="e">
        <f t="shared" si="0"/>
        <v>#VALUE!</v>
      </c>
      <c r="F27" s="58" t="str">
        <f t="shared" si="1"/>
        <v/>
      </c>
      <c r="G27" s="58" t="s">
        <v>740</v>
      </c>
      <c r="H27" s="54"/>
      <c r="I27" s="56"/>
      <c r="J27" s="56"/>
      <c r="K27" s="56"/>
      <c r="L27" s="56"/>
      <c r="M27" s="56"/>
      <c r="N27" s="56"/>
      <c r="O27" s="56"/>
      <c r="P27" s="58" t="s">
        <v>36</v>
      </c>
      <c r="Q27" s="58" t="s">
        <v>1142</v>
      </c>
      <c r="R27" s="314" t="s">
        <v>35</v>
      </c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</row>
    <row r="28" spans="1:50" ht="15.75" customHeight="1">
      <c r="A28" s="65"/>
      <c r="B28" s="65"/>
      <c r="C28" s="385"/>
      <c r="D28" s="25"/>
      <c r="E28" s="27" t="e">
        <f t="shared" si="0"/>
        <v>#VALUE!</v>
      </c>
      <c r="F28" s="65" t="str">
        <f t="shared" si="1"/>
        <v/>
      </c>
      <c r="G28" s="65" t="s">
        <v>132</v>
      </c>
      <c r="H28" s="215"/>
      <c r="I28" s="27"/>
      <c r="J28" s="27"/>
      <c r="K28" s="27"/>
      <c r="L28" s="27"/>
      <c r="M28" s="27"/>
      <c r="N28" s="27"/>
      <c r="O28" s="27"/>
      <c r="P28" s="65" t="s">
        <v>36</v>
      </c>
      <c r="Q28" s="65" t="s">
        <v>1142</v>
      </c>
      <c r="R28" s="257" t="s">
        <v>35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</row>
    <row r="29" spans="1:50" ht="15.75" customHeight="1">
      <c r="A29" s="58"/>
      <c r="B29" s="58"/>
      <c r="C29" s="386"/>
      <c r="D29" s="32"/>
      <c r="E29" s="56" t="e">
        <f t="shared" si="0"/>
        <v>#VALUE!</v>
      </c>
      <c r="F29" s="58" t="str">
        <f t="shared" si="1"/>
        <v/>
      </c>
      <c r="G29" s="58" t="s">
        <v>132</v>
      </c>
      <c r="H29" s="54"/>
      <c r="I29" s="56"/>
      <c r="J29" s="56"/>
      <c r="K29" s="56"/>
      <c r="L29" s="56"/>
      <c r="M29" s="56"/>
      <c r="N29" s="56"/>
      <c r="O29" s="56"/>
      <c r="P29" s="58" t="s">
        <v>36</v>
      </c>
      <c r="Q29" s="58" t="s">
        <v>1142</v>
      </c>
      <c r="R29" s="314" t="s">
        <v>35</v>
      </c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</row>
    <row r="30" spans="1:50" ht="15.7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</row>
    <row r="31" spans="1:50" ht="15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</row>
    <row r="32" spans="1:50" ht="15.7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</row>
    <row r="33" spans="1:50" ht="15.7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</row>
    <row r="34" spans="1:50" ht="15.75" customHeight="1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</row>
    <row r="35" spans="1:50" ht="15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</row>
    <row r="36" spans="1:50" ht="15.75" customHeight="1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</row>
    <row r="37" spans="1:50" ht="15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</row>
    <row r="38" spans="1:50" ht="15.75" customHeight="1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</row>
    <row r="39" spans="1:50" ht="15.7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</row>
    <row r="40" spans="1:50" ht="15.75" customHeight="1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</row>
    <row r="41" spans="1:50" ht="15.7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</row>
    <row r="42" spans="1:50" ht="15.75" customHeight="1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</row>
    <row r="43" spans="1:50" ht="15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</row>
    <row r="44" spans="1:50" ht="15.75" customHeight="1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</row>
    <row r="45" spans="1:50" ht="15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</row>
    <row r="46" spans="1:50" ht="15.75" customHeight="1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</row>
    <row r="47" spans="1:50" ht="15.7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</row>
  </sheetData>
  <autoFilter ref="F1:F997" xr:uid="{00000000-0009-0000-0000-000015000000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X4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2" max="2" width="6" customWidth="1"/>
    <col min="4" max="4" width="21.33203125" customWidth="1"/>
    <col min="6" max="6" width="9.1640625" customWidth="1"/>
    <col min="9" max="13" width="6.6640625" customWidth="1"/>
    <col min="14" max="14" width="6.83203125" customWidth="1"/>
    <col min="15" max="15" width="11.1640625" customWidth="1"/>
    <col min="26" max="26" width="6.6640625" customWidth="1"/>
  </cols>
  <sheetData>
    <row r="1" spans="1:50" ht="15.75" customHeight="1">
      <c r="A1" s="382"/>
      <c r="B1" s="382" t="s">
        <v>6</v>
      </c>
      <c r="C1" s="382" t="s">
        <v>7</v>
      </c>
      <c r="D1" s="382" t="s">
        <v>14</v>
      </c>
      <c r="E1" s="382" t="s">
        <v>15</v>
      </c>
      <c r="F1" s="382" t="s">
        <v>16</v>
      </c>
      <c r="G1" s="382" t="s">
        <v>17</v>
      </c>
      <c r="H1" s="382" t="s">
        <v>18</v>
      </c>
      <c r="I1" s="382" t="s">
        <v>35</v>
      </c>
      <c r="J1" s="382" t="s">
        <v>36</v>
      </c>
      <c r="K1" s="382" t="s">
        <v>37</v>
      </c>
      <c r="L1" s="382" t="s">
        <v>38</v>
      </c>
      <c r="M1" s="382" t="s">
        <v>19</v>
      </c>
      <c r="N1" s="383" t="s">
        <v>20</v>
      </c>
      <c r="O1" s="382" t="s">
        <v>23</v>
      </c>
      <c r="P1" s="382" t="s">
        <v>24</v>
      </c>
      <c r="Q1" s="382" t="s">
        <v>25</v>
      </c>
      <c r="R1" s="382" t="s">
        <v>26</v>
      </c>
      <c r="S1" s="383" t="s">
        <v>27</v>
      </c>
      <c r="T1" s="383" t="s">
        <v>28</v>
      </c>
      <c r="U1" s="383" t="s">
        <v>29</v>
      </c>
      <c r="V1" s="382" t="s">
        <v>441</v>
      </c>
      <c r="W1" s="382" t="s">
        <v>31</v>
      </c>
      <c r="X1" s="382" t="s">
        <v>32</v>
      </c>
      <c r="Y1" s="382" t="s">
        <v>33</v>
      </c>
      <c r="Z1" s="382" t="s">
        <v>34</v>
      </c>
      <c r="AA1" s="382" t="s">
        <v>40</v>
      </c>
      <c r="AB1" s="382" t="s">
        <v>41</v>
      </c>
      <c r="AC1" s="382" t="s">
        <v>42</v>
      </c>
      <c r="AD1" s="382" t="s">
        <v>43</v>
      </c>
      <c r="AE1" s="384"/>
      <c r="AF1" s="384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4"/>
      <c r="AU1" s="384"/>
      <c r="AV1" s="384"/>
      <c r="AW1" s="384"/>
      <c r="AX1" s="384"/>
    </row>
    <row r="2" spans="1:50" ht="15.75" customHeight="1">
      <c r="A2" s="218" t="s">
        <v>881</v>
      </c>
      <c r="B2" s="65" t="s">
        <v>44</v>
      </c>
      <c r="C2" s="263" t="s">
        <v>882</v>
      </c>
      <c r="D2" s="25" t="s">
        <v>883</v>
      </c>
      <c r="E2" s="27" t="str">
        <f t="shared" ref="E2:E29" si="0">TRIM(LEFT(D2,LEN(D2)-4))</f>
        <v>Antonio "Tony" Pisano</v>
      </c>
      <c r="F2" s="65" t="str">
        <f t="shared" ref="F2:F29" si="1">TRIM(RIGHT(D2,2))</f>
        <v>SP</v>
      </c>
      <c r="G2" s="65" t="s">
        <v>55</v>
      </c>
      <c r="P2" s="65" t="s">
        <v>35</v>
      </c>
      <c r="Q2" s="65">
        <v>2</v>
      </c>
      <c r="R2" s="257" t="s">
        <v>35</v>
      </c>
    </row>
    <row r="3" spans="1:50" ht="15.75" customHeight="1">
      <c r="A3" s="391" t="s">
        <v>536</v>
      </c>
      <c r="B3" s="58" t="s">
        <v>44</v>
      </c>
      <c r="C3" s="259" t="s">
        <v>537</v>
      </c>
      <c r="D3" s="387" t="s">
        <v>538</v>
      </c>
      <c r="E3" s="56" t="str">
        <f t="shared" si="0"/>
        <v>Coreys Brother</v>
      </c>
      <c r="F3" s="58" t="str">
        <f t="shared" si="1"/>
        <v>SP</v>
      </c>
      <c r="G3" s="54" t="s">
        <v>55</v>
      </c>
      <c r="H3" s="54"/>
      <c r="I3" s="56"/>
      <c r="J3" s="56"/>
      <c r="K3" s="56"/>
      <c r="L3" s="56"/>
      <c r="M3" s="56"/>
      <c r="N3" s="56"/>
      <c r="O3" s="56"/>
      <c r="P3" s="58" t="s">
        <v>35</v>
      </c>
      <c r="Q3" s="58">
        <v>3</v>
      </c>
      <c r="R3" s="314" t="s">
        <v>35</v>
      </c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</row>
    <row r="4" spans="1:50" ht="15.75" customHeight="1">
      <c r="A4" s="218" t="s">
        <v>748</v>
      </c>
      <c r="B4" s="65" t="s">
        <v>44</v>
      </c>
      <c r="C4" s="289" t="s">
        <v>751</v>
      </c>
      <c r="D4" s="25" t="s">
        <v>2195</v>
      </c>
      <c r="E4" s="27" t="str">
        <f t="shared" si="0"/>
        <v>Toledo Jones</v>
      </c>
      <c r="F4" s="65" t="str">
        <f t="shared" si="1"/>
        <v>1B</v>
      </c>
      <c r="G4" s="65" t="s">
        <v>132</v>
      </c>
      <c r="I4" s="27"/>
      <c r="J4" s="27"/>
      <c r="K4" s="27"/>
      <c r="L4" s="27"/>
      <c r="M4" s="27"/>
      <c r="N4" s="257"/>
      <c r="O4" s="27"/>
      <c r="P4" s="65" t="s">
        <v>35</v>
      </c>
      <c r="Q4" s="65">
        <v>6</v>
      </c>
      <c r="R4" s="65" t="s">
        <v>34</v>
      </c>
      <c r="S4" s="257"/>
      <c r="T4" s="257"/>
      <c r="U4" s="25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</row>
    <row r="5" spans="1:50" ht="15.75" customHeight="1">
      <c r="A5" s="391" t="s">
        <v>252</v>
      </c>
      <c r="B5" s="58" t="s">
        <v>44</v>
      </c>
      <c r="C5" s="259" t="s">
        <v>253</v>
      </c>
      <c r="D5" s="25" t="s">
        <v>254</v>
      </c>
      <c r="E5" s="56" t="str">
        <f t="shared" si="0"/>
        <v>Amp Bogart</v>
      </c>
      <c r="F5" s="58" t="str">
        <f t="shared" si="1"/>
        <v>RF</v>
      </c>
      <c r="G5" s="58" t="s">
        <v>132</v>
      </c>
      <c r="P5" s="58" t="s">
        <v>35</v>
      </c>
      <c r="Q5" s="58">
        <v>1</v>
      </c>
      <c r="R5" s="58" t="s">
        <v>35</v>
      </c>
    </row>
    <row r="6" spans="1:50" ht="15.75" customHeight="1">
      <c r="A6" s="218" t="s">
        <v>422</v>
      </c>
      <c r="B6" s="65" t="s">
        <v>44</v>
      </c>
      <c r="C6" s="263" t="s">
        <v>423</v>
      </c>
      <c r="D6" s="388" t="s">
        <v>424</v>
      </c>
      <c r="E6" s="27" t="str">
        <f t="shared" si="0"/>
        <v>JJ Windsor</v>
      </c>
      <c r="F6" s="65" t="str">
        <f t="shared" si="1"/>
        <v>CL</v>
      </c>
      <c r="G6" s="215" t="s">
        <v>109</v>
      </c>
      <c r="H6" s="215"/>
      <c r="I6" s="27"/>
      <c r="J6" s="27"/>
      <c r="K6" s="27"/>
      <c r="L6" s="27"/>
      <c r="M6" s="27"/>
      <c r="N6" s="27"/>
      <c r="O6" s="27"/>
      <c r="P6" s="65" t="s">
        <v>35</v>
      </c>
      <c r="Q6" s="65">
        <v>7</v>
      </c>
      <c r="R6" s="257" t="s">
        <v>35</v>
      </c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</row>
    <row r="7" spans="1:50" ht="15.75" customHeight="1">
      <c r="A7" s="391" t="s">
        <v>876</v>
      </c>
      <c r="B7" s="58" t="s">
        <v>44</v>
      </c>
      <c r="C7" s="259" t="s">
        <v>877</v>
      </c>
      <c r="D7" s="25" t="s">
        <v>878</v>
      </c>
      <c r="E7" s="56" t="str">
        <f t="shared" si="0"/>
        <v>Rye Tiffielder</v>
      </c>
      <c r="F7" s="58" t="str">
        <f t="shared" si="1"/>
        <v>RF</v>
      </c>
      <c r="G7" s="58" t="s">
        <v>132</v>
      </c>
      <c r="I7" s="56"/>
      <c r="J7" s="56"/>
      <c r="K7" s="56"/>
      <c r="L7" s="56"/>
      <c r="M7" s="56"/>
      <c r="N7" s="314"/>
      <c r="O7" s="56"/>
      <c r="P7" s="58" t="s">
        <v>35</v>
      </c>
      <c r="Q7" s="58">
        <v>24</v>
      </c>
      <c r="R7" s="58" t="s">
        <v>34</v>
      </c>
      <c r="S7" s="314"/>
      <c r="T7" s="314"/>
      <c r="U7" s="314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</row>
    <row r="8" spans="1:50" ht="15.75" customHeight="1">
      <c r="A8" s="218" t="s">
        <v>413</v>
      </c>
      <c r="B8" s="65" t="s">
        <v>44</v>
      </c>
      <c r="C8" s="263" t="s">
        <v>414</v>
      </c>
      <c r="D8" s="25" t="s">
        <v>415</v>
      </c>
      <c r="E8" s="27" t="str">
        <f t="shared" si="0"/>
        <v>Johnathon Livingston</v>
      </c>
      <c r="F8" s="65" t="str">
        <f t="shared" si="1"/>
        <v>CL</v>
      </c>
      <c r="G8" s="65" t="s">
        <v>55</v>
      </c>
      <c r="H8" s="215"/>
      <c r="I8" s="27"/>
      <c r="J8" s="27"/>
      <c r="K8" s="27"/>
      <c r="L8" s="27"/>
      <c r="M8" s="27"/>
      <c r="N8" s="27"/>
      <c r="O8" s="27"/>
      <c r="P8" s="65" t="s">
        <v>35</v>
      </c>
      <c r="Q8" s="65">
        <v>9</v>
      </c>
      <c r="R8" s="257" t="s">
        <v>35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</row>
    <row r="9" spans="1:50" ht="15.75" customHeight="1">
      <c r="A9" s="391" t="s">
        <v>802</v>
      </c>
      <c r="B9" s="58" t="s">
        <v>44</v>
      </c>
      <c r="C9" s="259" t="s">
        <v>803</v>
      </c>
      <c r="D9" s="25" t="s">
        <v>804</v>
      </c>
      <c r="E9" s="56" t="str">
        <f t="shared" si="0"/>
        <v>Brock Beck</v>
      </c>
      <c r="F9" s="58" t="str">
        <f t="shared" si="1"/>
        <v>SS</v>
      </c>
      <c r="G9" s="58" t="s">
        <v>104</v>
      </c>
      <c r="H9" s="54"/>
      <c r="I9" s="56"/>
      <c r="J9" s="56"/>
      <c r="K9" s="56"/>
      <c r="L9" s="56"/>
      <c r="M9" s="56"/>
      <c r="N9" s="56"/>
      <c r="O9" s="56"/>
      <c r="P9" s="58" t="s">
        <v>35</v>
      </c>
      <c r="Q9" s="58">
        <v>25</v>
      </c>
      <c r="R9" s="314" t="s">
        <v>35</v>
      </c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</row>
    <row r="10" spans="1:50" ht="15.75" customHeight="1">
      <c r="A10" s="218" t="s">
        <v>1192</v>
      </c>
      <c r="B10" s="65" t="s">
        <v>44</v>
      </c>
      <c r="C10" s="263" t="s">
        <v>1193</v>
      </c>
      <c r="D10" s="25" t="s">
        <v>1194</v>
      </c>
      <c r="E10" s="27" t="str">
        <f t="shared" si="0"/>
        <v>Boogie Flowers</v>
      </c>
      <c r="F10" s="65" t="str">
        <f t="shared" si="1"/>
        <v>3B</v>
      </c>
      <c r="G10" s="65" t="s">
        <v>225</v>
      </c>
      <c r="I10" s="27"/>
      <c r="J10" s="27"/>
      <c r="K10" s="27"/>
      <c r="L10" s="27"/>
      <c r="M10" s="27"/>
      <c r="N10" s="257"/>
      <c r="O10" s="27"/>
      <c r="P10" s="65" t="s">
        <v>35</v>
      </c>
      <c r="Q10" s="65">
        <v>10</v>
      </c>
      <c r="R10" s="65" t="s">
        <v>34</v>
      </c>
      <c r="S10" s="257"/>
      <c r="T10" s="257"/>
      <c r="U10" s="25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</row>
    <row r="11" spans="1:50" ht="15.75" customHeight="1">
      <c r="A11" s="391" t="s">
        <v>627</v>
      </c>
      <c r="B11" s="58" t="s">
        <v>44</v>
      </c>
      <c r="C11" s="259" t="s">
        <v>629</v>
      </c>
      <c r="D11" s="32" t="s">
        <v>630</v>
      </c>
      <c r="E11" s="56" t="str">
        <f t="shared" si="0"/>
        <v>Kosuke Yamauchi</v>
      </c>
      <c r="F11" s="58" t="str">
        <f t="shared" si="1"/>
        <v>SP</v>
      </c>
      <c r="G11" s="15" t="s">
        <v>55</v>
      </c>
      <c r="H11" s="54"/>
      <c r="I11" s="56"/>
      <c r="J11" s="56"/>
      <c r="K11" s="56"/>
      <c r="L11" s="56"/>
      <c r="M11" s="56"/>
      <c r="N11" s="56"/>
      <c r="O11" s="56"/>
      <c r="P11" s="58" t="s">
        <v>35</v>
      </c>
      <c r="Q11" s="58">
        <v>8</v>
      </c>
      <c r="R11" s="314" t="s">
        <v>35</v>
      </c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</row>
    <row r="12" spans="1:50" ht="15.75" customHeight="1">
      <c r="A12" s="218" t="s">
        <v>1212</v>
      </c>
      <c r="B12" s="65" t="s">
        <v>44</v>
      </c>
      <c r="C12" s="263" t="s">
        <v>1213</v>
      </c>
      <c r="D12" s="25" t="s">
        <v>1214</v>
      </c>
      <c r="E12" s="27" t="str">
        <f t="shared" si="0"/>
        <v>Shaun Parrish</v>
      </c>
      <c r="F12" s="65" t="str">
        <f t="shared" si="1"/>
        <v>CF</v>
      </c>
      <c r="G12" s="65" t="s">
        <v>84</v>
      </c>
      <c r="H12" s="215"/>
      <c r="I12" s="27"/>
      <c r="J12" s="27"/>
      <c r="K12" s="27"/>
      <c r="L12" s="27"/>
      <c r="M12" s="27"/>
      <c r="N12" s="27"/>
      <c r="O12" s="27"/>
      <c r="P12" s="65" t="s">
        <v>35</v>
      </c>
      <c r="Q12" s="65">
        <v>21</v>
      </c>
      <c r="R12" s="257" t="s">
        <v>35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</row>
    <row r="13" spans="1:50" ht="15.75" customHeight="1">
      <c r="A13" s="391" t="s">
        <v>577</v>
      </c>
      <c r="B13" s="58" t="s">
        <v>44</v>
      </c>
      <c r="C13" s="259" t="s">
        <v>578</v>
      </c>
      <c r="D13" s="25" t="s">
        <v>579</v>
      </c>
      <c r="E13" s="56" t="str">
        <f t="shared" si="0"/>
        <v>Micheal Lang</v>
      </c>
      <c r="F13" s="58" t="str">
        <f t="shared" si="1"/>
        <v>SP</v>
      </c>
      <c r="G13" s="15" t="s">
        <v>109</v>
      </c>
      <c r="H13" s="54"/>
      <c r="I13" s="56"/>
      <c r="J13" s="56"/>
      <c r="K13" s="56"/>
      <c r="L13" s="56"/>
      <c r="M13" s="56"/>
      <c r="N13" s="56"/>
      <c r="O13" s="56"/>
      <c r="P13" s="58" t="s">
        <v>35</v>
      </c>
      <c r="Q13" s="58">
        <v>5</v>
      </c>
      <c r="R13" s="314" t="s">
        <v>35</v>
      </c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</row>
    <row r="14" spans="1:50" ht="15.75" customHeight="1">
      <c r="A14" s="218" t="s">
        <v>1238</v>
      </c>
      <c r="B14" s="65" t="s">
        <v>44</v>
      </c>
      <c r="C14" s="263" t="s">
        <v>1240</v>
      </c>
      <c r="D14" s="25" t="s">
        <v>1242</v>
      </c>
      <c r="E14" s="27" t="str">
        <f t="shared" si="0"/>
        <v>Kevin Winters</v>
      </c>
      <c r="F14" s="65" t="str">
        <f t="shared" si="1"/>
        <v>C</v>
      </c>
      <c r="G14" s="65" t="s">
        <v>294</v>
      </c>
      <c r="I14" s="27"/>
      <c r="J14" s="27"/>
      <c r="K14" s="27"/>
      <c r="L14" s="27"/>
      <c r="M14" s="27"/>
      <c r="N14" s="257"/>
      <c r="O14" s="27"/>
      <c r="P14" s="65" t="s">
        <v>35</v>
      </c>
      <c r="Q14" s="65">
        <v>23</v>
      </c>
      <c r="R14" s="65" t="s">
        <v>34</v>
      </c>
      <c r="S14" s="257"/>
      <c r="T14" s="257"/>
      <c r="U14" s="25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</row>
    <row r="15" spans="1:50" ht="15.75" customHeight="1">
      <c r="A15" s="391" t="s">
        <v>504</v>
      </c>
      <c r="B15" s="58" t="s">
        <v>44</v>
      </c>
      <c r="C15" s="259" t="s">
        <v>506</v>
      </c>
      <c r="D15" s="25" t="s">
        <v>507</v>
      </c>
      <c r="E15" s="56" t="str">
        <f t="shared" si="0"/>
        <v>Mikhail Burgen</v>
      </c>
      <c r="F15" s="58" t="str">
        <f t="shared" si="1"/>
        <v>SP</v>
      </c>
      <c r="G15" s="54" t="s">
        <v>55</v>
      </c>
      <c r="H15" s="54"/>
      <c r="I15" s="56"/>
      <c r="J15" s="56"/>
      <c r="K15" s="56"/>
      <c r="L15" s="56"/>
      <c r="M15" s="56"/>
      <c r="N15" s="56"/>
      <c r="O15" s="56"/>
      <c r="P15" s="58" t="s">
        <v>35</v>
      </c>
      <c r="Q15" s="58">
        <v>12</v>
      </c>
      <c r="R15" s="314" t="s">
        <v>35</v>
      </c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</row>
    <row r="16" spans="1:50" ht="15.75" customHeight="1">
      <c r="A16" s="218" t="s">
        <v>927</v>
      </c>
      <c r="B16" s="65" t="s">
        <v>44</v>
      </c>
      <c r="C16" s="289" t="s">
        <v>928</v>
      </c>
      <c r="D16" s="25" t="s">
        <v>929</v>
      </c>
      <c r="E16" s="27" t="str">
        <f t="shared" si="0"/>
        <v>Johny Matthews</v>
      </c>
      <c r="F16" s="65" t="str">
        <f t="shared" si="1"/>
        <v>2B</v>
      </c>
      <c r="G16" s="65" t="s">
        <v>740</v>
      </c>
      <c r="H16" s="215"/>
      <c r="I16" s="27"/>
      <c r="J16" s="27"/>
      <c r="K16" s="27"/>
      <c r="L16" s="27"/>
      <c r="M16" s="27"/>
      <c r="N16" s="27"/>
      <c r="O16" s="27"/>
      <c r="P16" s="65" t="s">
        <v>35</v>
      </c>
      <c r="Q16" s="65">
        <v>11</v>
      </c>
      <c r="R16" s="257" t="s">
        <v>35</v>
      </c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</row>
    <row r="17" spans="1:50" ht="15.75" customHeight="1">
      <c r="A17" s="391" t="s">
        <v>496</v>
      </c>
      <c r="B17" s="58" t="s">
        <v>44</v>
      </c>
      <c r="C17" s="259" t="s">
        <v>498</v>
      </c>
      <c r="D17" s="25" t="s">
        <v>501</v>
      </c>
      <c r="E17" s="56" t="str">
        <f t="shared" si="0"/>
        <v>Dionte Washington</v>
      </c>
      <c r="F17" s="58" t="str">
        <f t="shared" si="1"/>
        <v>CL</v>
      </c>
      <c r="G17" s="58" t="s">
        <v>55</v>
      </c>
      <c r="I17" s="56"/>
      <c r="J17" s="56"/>
      <c r="K17" s="56"/>
      <c r="L17" s="56"/>
      <c r="M17" s="56"/>
      <c r="N17" s="314"/>
      <c r="O17" s="56"/>
      <c r="P17" s="58" t="s">
        <v>35</v>
      </c>
      <c r="Q17" s="58">
        <v>20</v>
      </c>
      <c r="R17" s="58" t="s">
        <v>34</v>
      </c>
      <c r="S17" s="314"/>
      <c r="T17" s="314"/>
      <c r="U17" s="314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</row>
    <row r="18" spans="1:50" ht="15.75" customHeight="1">
      <c r="A18" s="218" t="s">
        <v>1294</v>
      </c>
      <c r="B18" s="65" t="s">
        <v>44</v>
      </c>
      <c r="C18" s="263" t="s">
        <v>1297</v>
      </c>
      <c r="D18" s="25" t="s">
        <v>1300</v>
      </c>
      <c r="E18" s="27" t="str">
        <f t="shared" si="0"/>
        <v>Marc Steele</v>
      </c>
      <c r="F18" s="65" t="str">
        <f t="shared" si="1"/>
        <v>RF</v>
      </c>
      <c r="G18" s="65" t="s">
        <v>68</v>
      </c>
      <c r="H18" s="215"/>
      <c r="I18" s="27"/>
      <c r="J18" s="27"/>
      <c r="K18" s="27"/>
      <c r="L18" s="27"/>
      <c r="M18" s="27"/>
      <c r="N18" s="27"/>
      <c r="O18" s="27"/>
      <c r="P18" s="65" t="s">
        <v>35</v>
      </c>
      <c r="Q18" s="65">
        <v>17</v>
      </c>
      <c r="R18" s="257" t="s">
        <v>35</v>
      </c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</row>
    <row r="19" spans="1:50" ht="15.75" customHeight="1">
      <c r="A19" s="391" t="s">
        <v>559</v>
      </c>
      <c r="B19" s="58" t="s">
        <v>44</v>
      </c>
      <c r="C19" s="259" t="s">
        <v>560</v>
      </c>
      <c r="D19" s="25" t="s">
        <v>561</v>
      </c>
      <c r="E19" s="56" t="str">
        <f t="shared" si="0"/>
        <v>Alexander Blitz</v>
      </c>
      <c r="F19" s="58" t="str">
        <f t="shared" si="1"/>
        <v>SS</v>
      </c>
      <c r="G19" s="58" t="s">
        <v>84</v>
      </c>
      <c r="H19" s="54"/>
      <c r="I19" s="56"/>
      <c r="J19" s="56"/>
      <c r="K19" s="56"/>
      <c r="L19" s="56"/>
      <c r="M19" s="56"/>
      <c r="N19" s="56"/>
      <c r="O19" s="56"/>
      <c r="P19" s="58" t="s">
        <v>35</v>
      </c>
      <c r="Q19" s="58">
        <v>30</v>
      </c>
      <c r="R19" s="314" t="s">
        <v>35</v>
      </c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</row>
    <row r="20" spans="1:50" ht="15.75" customHeight="1">
      <c r="A20" s="218" t="s">
        <v>1344</v>
      </c>
      <c r="B20" s="65" t="s">
        <v>44</v>
      </c>
      <c r="C20" s="263" t="s">
        <v>1348</v>
      </c>
      <c r="D20" s="25" t="s">
        <v>1349</v>
      </c>
      <c r="E20" s="27" t="str">
        <f t="shared" si="0"/>
        <v>Benjamin Beaux</v>
      </c>
      <c r="F20" s="65" t="str">
        <f t="shared" si="1"/>
        <v>SS</v>
      </c>
      <c r="G20" s="65" t="s">
        <v>740</v>
      </c>
      <c r="I20" s="27"/>
      <c r="J20" s="27"/>
      <c r="K20" s="27"/>
      <c r="L20" s="27"/>
      <c r="M20" s="27"/>
      <c r="N20" s="257"/>
      <c r="O20" s="27"/>
      <c r="P20" s="65" t="s">
        <v>35</v>
      </c>
      <c r="Q20" s="65">
        <v>13</v>
      </c>
      <c r="R20" s="65" t="s">
        <v>34</v>
      </c>
      <c r="S20" s="257"/>
      <c r="T20" s="257"/>
      <c r="U20" s="25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</row>
    <row r="21" spans="1:50" ht="15.75" customHeight="1">
      <c r="A21" s="391" t="s">
        <v>773</v>
      </c>
      <c r="B21" s="58" t="s">
        <v>44</v>
      </c>
      <c r="C21" s="259" t="s">
        <v>775</v>
      </c>
      <c r="D21" s="387" t="s">
        <v>776</v>
      </c>
      <c r="E21" s="56" t="str">
        <f t="shared" si="0"/>
        <v>Dexter Paquette</v>
      </c>
      <c r="F21" s="58" t="str">
        <f t="shared" si="1"/>
        <v>LF</v>
      </c>
      <c r="G21" s="54" t="s">
        <v>166</v>
      </c>
      <c r="H21" s="54"/>
      <c r="I21" s="56"/>
      <c r="J21" s="56"/>
      <c r="K21" s="56"/>
      <c r="L21" s="56"/>
      <c r="M21" s="56"/>
      <c r="N21" s="56"/>
      <c r="O21" s="56"/>
      <c r="P21" s="58" t="s">
        <v>35</v>
      </c>
      <c r="Q21" s="58">
        <v>16</v>
      </c>
      <c r="R21" s="314" t="s">
        <v>35</v>
      </c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</row>
    <row r="22" spans="1:50" ht="15.75" customHeight="1">
      <c r="A22" s="218" t="s">
        <v>1365</v>
      </c>
      <c r="B22" s="65" t="s">
        <v>44</v>
      </c>
      <c r="C22" s="263" t="s">
        <v>1368</v>
      </c>
      <c r="D22" s="393" t="s">
        <v>1370</v>
      </c>
      <c r="E22" s="27" t="str">
        <f t="shared" si="0"/>
        <v>Dino Panini</v>
      </c>
      <c r="F22" s="65" t="str">
        <f t="shared" si="1"/>
        <v>SP</v>
      </c>
      <c r="G22" s="65" t="s">
        <v>820</v>
      </c>
      <c r="H22" s="215"/>
      <c r="I22" s="27"/>
      <c r="J22" s="27"/>
      <c r="K22" s="27"/>
      <c r="L22" s="27"/>
      <c r="M22" s="27"/>
      <c r="N22" s="27"/>
      <c r="O22" s="27"/>
      <c r="P22" s="65" t="s">
        <v>35</v>
      </c>
      <c r="Q22" s="65">
        <v>14</v>
      </c>
      <c r="R22" s="257" t="s">
        <v>35</v>
      </c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</row>
    <row r="23" spans="1:50" ht="15.75" customHeight="1">
      <c r="A23" s="391" t="s">
        <v>1373</v>
      </c>
      <c r="B23" s="58" t="s">
        <v>44</v>
      </c>
      <c r="C23" s="259" t="s">
        <v>1376</v>
      </c>
      <c r="D23" s="32" t="s">
        <v>1377</v>
      </c>
      <c r="E23" s="56" t="str">
        <f t="shared" si="0"/>
        <v>Marc Courtremanche</v>
      </c>
      <c r="F23" s="58" t="str">
        <f t="shared" si="1"/>
        <v>3B</v>
      </c>
      <c r="G23" s="58" t="s">
        <v>97</v>
      </c>
      <c r="H23" s="54"/>
      <c r="I23" s="56"/>
      <c r="J23" s="56"/>
      <c r="K23" s="56"/>
      <c r="L23" s="56"/>
      <c r="M23" s="56"/>
      <c r="N23" s="56"/>
      <c r="O23" s="56"/>
      <c r="P23" s="58" t="s">
        <v>35</v>
      </c>
      <c r="Q23" s="58">
        <v>19</v>
      </c>
      <c r="R23" s="314" t="s">
        <v>35</v>
      </c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</row>
    <row r="24" spans="1:50" ht="15.75" customHeight="1">
      <c r="A24" s="218" t="s">
        <v>1352</v>
      </c>
      <c r="B24" s="65" t="s">
        <v>44</v>
      </c>
      <c r="C24" s="263" t="s">
        <v>1354</v>
      </c>
      <c r="D24" s="25" t="s">
        <v>1357</v>
      </c>
      <c r="E24" s="27" t="str">
        <f t="shared" si="0"/>
        <v>Andrew Cathington</v>
      </c>
      <c r="F24" s="65" t="str">
        <f t="shared" si="1"/>
        <v>CF</v>
      </c>
      <c r="G24" s="65" t="s">
        <v>68</v>
      </c>
      <c r="H24" s="215"/>
      <c r="I24" s="27"/>
      <c r="J24" s="27"/>
      <c r="K24" s="27"/>
      <c r="L24" s="27"/>
      <c r="M24" s="27"/>
      <c r="N24" s="27"/>
      <c r="O24" s="27"/>
      <c r="P24" s="65" t="s">
        <v>35</v>
      </c>
      <c r="Q24" s="65">
        <v>15</v>
      </c>
      <c r="R24" s="257" t="s">
        <v>35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</row>
    <row r="25" spans="1:50" ht="15.75" customHeight="1">
      <c r="A25" s="391" t="s">
        <v>606</v>
      </c>
      <c r="B25" s="58" t="s">
        <v>44</v>
      </c>
      <c r="C25" s="259" t="s">
        <v>607</v>
      </c>
      <c r="D25" s="25" t="s">
        <v>608</v>
      </c>
      <c r="E25" s="56" t="str">
        <f t="shared" si="0"/>
        <v>Pete Peters</v>
      </c>
      <c r="F25" s="58" t="str">
        <f t="shared" si="1"/>
        <v>SP</v>
      </c>
      <c r="G25" s="58" t="s">
        <v>114</v>
      </c>
      <c r="I25" s="56"/>
      <c r="J25" s="56"/>
      <c r="K25" s="56"/>
      <c r="L25" s="56"/>
      <c r="M25" s="56"/>
      <c r="N25" s="314"/>
      <c r="O25" s="56"/>
      <c r="P25" s="58" t="s">
        <v>35</v>
      </c>
      <c r="Q25" s="58">
        <v>4</v>
      </c>
      <c r="R25" s="58" t="s">
        <v>34</v>
      </c>
      <c r="S25" s="314"/>
      <c r="T25" s="314"/>
      <c r="U25" s="314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</row>
    <row r="26" spans="1:50" ht="15.75" customHeight="1">
      <c r="A26" s="218" t="s">
        <v>2203</v>
      </c>
      <c r="B26" s="65" t="s">
        <v>44</v>
      </c>
      <c r="C26" s="263" t="s">
        <v>910</v>
      </c>
      <c r="D26" s="25" t="s">
        <v>2204</v>
      </c>
      <c r="E26" s="27" t="str">
        <f t="shared" si="0"/>
        <v>Cayden Addison</v>
      </c>
      <c r="F26" s="65" t="str">
        <f t="shared" si="1"/>
        <v>2B</v>
      </c>
      <c r="G26" s="65" t="s">
        <v>97</v>
      </c>
      <c r="I26" s="27"/>
      <c r="J26" s="27"/>
      <c r="K26" s="27"/>
      <c r="L26" s="27"/>
      <c r="M26" s="27"/>
      <c r="N26" s="257"/>
      <c r="O26" s="27"/>
      <c r="P26" s="65" t="s">
        <v>35</v>
      </c>
      <c r="Q26" s="65">
        <v>29</v>
      </c>
      <c r="R26" s="65" t="s">
        <v>34</v>
      </c>
      <c r="S26" s="257"/>
      <c r="T26" s="257"/>
      <c r="U26" s="25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</row>
    <row r="27" spans="1:50" ht="15.75" customHeight="1">
      <c r="A27" s="391" t="s">
        <v>2206</v>
      </c>
      <c r="B27" s="58" t="s">
        <v>44</v>
      </c>
      <c r="C27" s="259" t="s">
        <v>2207</v>
      </c>
      <c r="D27" s="25" t="s">
        <v>2208</v>
      </c>
      <c r="E27" s="56" t="str">
        <f t="shared" si="0"/>
        <v>Dan Castillo</v>
      </c>
      <c r="F27" s="58" t="str">
        <f t="shared" si="1"/>
        <v>2B</v>
      </c>
      <c r="G27" s="58" t="s">
        <v>740</v>
      </c>
      <c r="H27" s="54"/>
      <c r="I27" s="56"/>
      <c r="J27" s="56"/>
      <c r="K27" s="56"/>
      <c r="L27" s="56"/>
      <c r="M27" s="56"/>
      <c r="N27" s="56"/>
      <c r="O27" s="56"/>
      <c r="P27" s="58" t="s">
        <v>35</v>
      </c>
      <c r="Q27" s="58">
        <v>26</v>
      </c>
      <c r="R27" s="314" t="s">
        <v>35</v>
      </c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</row>
    <row r="28" spans="1:50" ht="15.75" customHeight="1">
      <c r="A28" s="218" t="s">
        <v>720</v>
      </c>
      <c r="B28" s="65" t="s">
        <v>44</v>
      </c>
      <c r="C28" s="263" t="s">
        <v>722</v>
      </c>
      <c r="D28" s="25" t="s">
        <v>723</v>
      </c>
      <c r="E28" s="27" t="str">
        <f t="shared" si="0"/>
        <v>Jeffery Murphy</v>
      </c>
      <c r="F28" s="65" t="str">
        <f t="shared" si="1"/>
        <v>3B</v>
      </c>
      <c r="G28" s="65" t="s">
        <v>132</v>
      </c>
      <c r="H28" s="215"/>
      <c r="I28" s="27"/>
      <c r="J28" s="27"/>
      <c r="K28" s="27"/>
      <c r="L28" s="27"/>
      <c r="M28" s="27"/>
      <c r="N28" s="27"/>
      <c r="O28" s="27"/>
      <c r="P28" s="65" t="s">
        <v>35</v>
      </c>
      <c r="Q28" s="65">
        <v>18</v>
      </c>
      <c r="R28" s="257" t="s">
        <v>35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</row>
    <row r="29" spans="1:50" ht="15.75" customHeight="1">
      <c r="A29" s="391" t="s">
        <v>1534</v>
      </c>
      <c r="B29" s="58" t="s">
        <v>44</v>
      </c>
      <c r="C29" s="259" t="s">
        <v>1483</v>
      </c>
      <c r="D29" s="32" t="s">
        <v>1540</v>
      </c>
      <c r="E29" s="56" t="str">
        <f t="shared" si="0"/>
        <v>Troy Castlefield-Pfloog</v>
      </c>
      <c r="F29" s="58" t="str">
        <f t="shared" si="1"/>
        <v>C</v>
      </c>
      <c r="G29" s="58" t="s">
        <v>132</v>
      </c>
      <c r="H29" s="54"/>
      <c r="I29" s="56"/>
      <c r="J29" s="56"/>
      <c r="K29" s="56"/>
      <c r="L29" s="56"/>
      <c r="M29" s="56"/>
      <c r="N29" s="56"/>
      <c r="O29" s="56"/>
      <c r="P29" s="58" t="s">
        <v>35</v>
      </c>
      <c r="Q29" s="58">
        <v>28</v>
      </c>
      <c r="R29" s="314" t="s">
        <v>35</v>
      </c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</row>
    <row r="30" spans="1:50" ht="15.7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</row>
    <row r="31" spans="1:50" ht="15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</row>
    <row r="32" spans="1:50" ht="15.7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</row>
    <row r="33" spans="1:50" ht="15.7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</row>
    <row r="34" spans="1:50" ht="15.75" customHeight="1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</row>
    <row r="35" spans="1:50" ht="15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</row>
    <row r="36" spans="1:50" ht="15.75" customHeight="1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</row>
    <row r="37" spans="1:50" ht="15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</row>
    <row r="38" spans="1:50" ht="15.75" customHeight="1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</row>
    <row r="39" spans="1:50" ht="15.7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</row>
    <row r="40" spans="1:50" ht="15.75" customHeight="1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</row>
    <row r="41" spans="1:50" ht="15.7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</row>
    <row r="42" spans="1:50" ht="15.75" customHeight="1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</row>
    <row r="43" spans="1:50" ht="15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</row>
    <row r="44" spans="1:50" ht="15.75" customHeight="1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</row>
    <row r="45" spans="1:50" ht="15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</row>
    <row r="46" spans="1:50" ht="15.75" customHeight="1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</row>
    <row r="47" spans="1:50" ht="15.7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</row>
  </sheetData>
  <autoFilter ref="F1:F997" xr:uid="{00000000-0009-0000-0000-000016000000}"/>
  <hyperlinks>
    <hyperlink ref="A2" r:id="rId1" xr:uid="{00000000-0004-0000-1600-000000000000}"/>
    <hyperlink ref="C2" r:id="rId2" xr:uid="{00000000-0004-0000-1600-000001000000}"/>
    <hyperlink ref="D2" r:id="rId3" xr:uid="{00000000-0004-0000-1600-000002000000}"/>
    <hyperlink ref="A3" r:id="rId4" xr:uid="{00000000-0004-0000-1600-000003000000}"/>
    <hyperlink ref="C3" r:id="rId5" xr:uid="{00000000-0004-0000-1600-000004000000}"/>
    <hyperlink ref="D3" r:id="rId6" xr:uid="{00000000-0004-0000-1600-000005000000}"/>
    <hyperlink ref="A4" r:id="rId7" xr:uid="{00000000-0004-0000-1600-000006000000}"/>
    <hyperlink ref="C4" r:id="rId8" xr:uid="{00000000-0004-0000-1600-000007000000}"/>
    <hyperlink ref="A5" r:id="rId9" xr:uid="{00000000-0004-0000-1600-000008000000}"/>
    <hyperlink ref="C5" r:id="rId10" xr:uid="{00000000-0004-0000-1600-000009000000}"/>
    <hyperlink ref="D5" r:id="rId11" xr:uid="{00000000-0004-0000-1600-00000A000000}"/>
    <hyperlink ref="A6" r:id="rId12" xr:uid="{00000000-0004-0000-1600-00000B000000}"/>
    <hyperlink ref="C6" r:id="rId13" xr:uid="{00000000-0004-0000-1600-00000C000000}"/>
    <hyperlink ref="A7" r:id="rId14" xr:uid="{00000000-0004-0000-1600-00000D000000}"/>
    <hyperlink ref="C7" r:id="rId15" xr:uid="{00000000-0004-0000-1600-00000E000000}"/>
    <hyperlink ref="D7" r:id="rId16" xr:uid="{00000000-0004-0000-1600-00000F000000}"/>
    <hyperlink ref="A8" r:id="rId17" xr:uid="{00000000-0004-0000-1600-000010000000}"/>
    <hyperlink ref="C8" r:id="rId18" xr:uid="{00000000-0004-0000-1600-000011000000}"/>
    <hyperlink ref="D8" r:id="rId19" xr:uid="{00000000-0004-0000-1600-000012000000}"/>
    <hyperlink ref="A9" r:id="rId20" xr:uid="{00000000-0004-0000-1600-000013000000}"/>
    <hyperlink ref="C9" r:id="rId21" xr:uid="{00000000-0004-0000-1600-000014000000}"/>
    <hyperlink ref="D9" r:id="rId22" xr:uid="{00000000-0004-0000-1600-000015000000}"/>
    <hyperlink ref="A10" r:id="rId23" xr:uid="{00000000-0004-0000-1600-000016000000}"/>
    <hyperlink ref="C10" r:id="rId24" xr:uid="{00000000-0004-0000-1600-000017000000}"/>
    <hyperlink ref="D10" r:id="rId25" xr:uid="{00000000-0004-0000-1600-000018000000}"/>
    <hyperlink ref="A11" r:id="rId26" xr:uid="{00000000-0004-0000-1600-000019000000}"/>
    <hyperlink ref="C11" r:id="rId27" xr:uid="{00000000-0004-0000-1600-00001A000000}"/>
    <hyperlink ref="A12" r:id="rId28" xr:uid="{00000000-0004-0000-1600-00001B000000}"/>
    <hyperlink ref="C12" r:id="rId29" xr:uid="{00000000-0004-0000-1600-00001C000000}"/>
    <hyperlink ref="D12" r:id="rId30" xr:uid="{00000000-0004-0000-1600-00001D000000}"/>
    <hyperlink ref="A13" r:id="rId31" xr:uid="{00000000-0004-0000-1600-00001E000000}"/>
    <hyperlink ref="C13" r:id="rId32" xr:uid="{00000000-0004-0000-1600-00001F000000}"/>
    <hyperlink ref="D13" r:id="rId33" xr:uid="{00000000-0004-0000-1600-000020000000}"/>
    <hyperlink ref="A14" r:id="rId34" xr:uid="{00000000-0004-0000-1600-000021000000}"/>
    <hyperlink ref="C14" r:id="rId35" xr:uid="{00000000-0004-0000-1600-000022000000}"/>
    <hyperlink ref="D14" r:id="rId36" xr:uid="{00000000-0004-0000-1600-000023000000}"/>
    <hyperlink ref="A15" r:id="rId37" xr:uid="{00000000-0004-0000-1600-000024000000}"/>
    <hyperlink ref="C15" r:id="rId38" xr:uid="{00000000-0004-0000-1600-000025000000}"/>
    <hyperlink ref="D15" r:id="rId39" xr:uid="{00000000-0004-0000-1600-000026000000}"/>
    <hyperlink ref="A16" r:id="rId40" xr:uid="{00000000-0004-0000-1600-000027000000}"/>
    <hyperlink ref="C16" r:id="rId41" xr:uid="{00000000-0004-0000-1600-000028000000}"/>
    <hyperlink ref="D16" r:id="rId42" xr:uid="{00000000-0004-0000-1600-000029000000}"/>
    <hyperlink ref="A17" r:id="rId43" xr:uid="{00000000-0004-0000-1600-00002A000000}"/>
    <hyperlink ref="C17" r:id="rId44" xr:uid="{00000000-0004-0000-1600-00002B000000}"/>
    <hyperlink ref="D17" r:id="rId45" xr:uid="{00000000-0004-0000-1600-00002C000000}"/>
    <hyperlink ref="A18" r:id="rId46" xr:uid="{00000000-0004-0000-1600-00002D000000}"/>
    <hyperlink ref="C18" r:id="rId47" xr:uid="{00000000-0004-0000-1600-00002E000000}"/>
    <hyperlink ref="D18" r:id="rId48" xr:uid="{00000000-0004-0000-1600-00002F000000}"/>
    <hyperlink ref="A19" r:id="rId49" xr:uid="{00000000-0004-0000-1600-000030000000}"/>
    <hyperlink ref="C19" r:id="rId50" xr:uid="{00000000-0004-0000-1600-000031000000}"/>
    <hyperlink ref="D19" r:id="rId51" xr:uid="{00000000-0004-0000-1600-000032000000}"/>
    <hyperlink ref="A20" r:id="rId52" xr:uid="{00000000-0004-0000-1600-000033000000}"/>
    <hyperlink ref="C20" r:id="rId53" xr:uid="{00000000-0004-0000-1600-000034000000}"/>
    <hyperlink ref="D20" r:id="rId54" xr:uid="{00000000-0004-0000-1600-000035000000}"/>
    <hyperlink ref="A21" r:id="rId55" xr:uid="{00000000-0004-0000-1600-000036000000}"/>
    <hyperlink ref="C21" r:id="rId56" xr:uid="{00000000-0004-0000-1600-000037000000}"/>
    <hyperlink ref="D21" r:id="rId57" xr:uid="{00000000-0004-0000-1600-000038000000}"/>
    <hyperlink ref="A22" r:id="rId58" xr:uid="{00000000-0004-0000-1600-000039000000}"/>
    <hyperlink ref="C22" r:id="rId59" xr:uid="{00000000-0004-0000-1600-00003A000000}"/>
    <hyperlink ref="D22" r:id="rId60" xr:uid="{00000000-0004-0000-1600-00003B000000}"/>
    <hyperlink ref="A23" r:id="rId61" xr:uid="{00000000-0004-0000-1600-00003C000000}"/>
    <hyperlink ref="C23" r:id="rId62" xr:uid="{00000000-0004-0000-1600-00003D000000}"/>
    <hyperlink ref="A24" r:id="rId63" xr:uid="{00000000-0004-0000-1600-00003E000000}"/>
    <hyperlink ref="C24" r:id="rId64" xr:uid="{00000000-0004-0000-1600-00003F000000}"/>
    <hyperlink ref="D24" r:id="rId65" xr:uid="{00000000-0004-0000-1600-000040000000}"/>
    <hyperlink ref="A25" r:id="rId66" xr:uid="{00000000-0004-0000-1600-000041000000}"/>
    <hyperlink ref="C25" r:id="rId67" xr:uid="{00000000-0004-0000-1600-000042000000}"/>
    <hyperlink ref="D25" r:id="rId68" xr:uid="{00000000-0004-0000-1600-000043000000}"/>
    <hyperlink ref="A26" r:id="rId69" xr:uid="{00000000-0004-0000-1600-000044000000}"/>
    <hyperlink ref="C26" r:id="rId70" xr:uid="{00000000-0004-0000-1600-000045000000}"/>
    <hyperlink ref="D26" r:id="rId71" xr:uid="{00000000-0004-0000-1600-000046000000}"/>
    <hyperlink ref="A27" r:id="rId72" xr:uid="{00000000-0004-0000-1600-000047000000}"/>
    <hyperlink ref="C27" r:id="rId73" xr:uid="{00000000-0004-0000-1600-000048000000}"/>
    <hyperlink ref="D27" r:id="rId74" xr:uid="{00000000-0004-0000-1600-000049000000}"/>
    <hyperlink ref="A28" r:id="rId75" xr:uid="{00000000-0004-0000-1600-00004A000000}"/>
    <hyperlink ref="C28" r:id="rId76" xr:uid="{00000000-0004-0000-1600-00004B000000}"/>
    <hyperlink ref="D28" r:id="rId77" xr:uid="{00000000-0004-0000-1600-00004C000000}"/>
    <hyperlink ref="A29" r:id="rId78" xr:uid="{00000000-0004-0000-1600-00004D000000}"/>
    <hyperlink ref="C29" r:id="rId79" xr:uid="{00000000-0004-0000-1600-00004E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BB100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2" width="8.6640625" customWidth="1"/>
    <col min="3" max="3" width="9.1640625" customWidth="1"/>
    <col min="4" max="4" width="17.5" customWidth="1"/>
    <col min="5" max="5" width="18.6640625" customWidth="1"/>
    <col min="6" max="6" width="11.33203125" customWidth="1"/>
    <col min="7" max="7" width="17.6640625" customWidth="1"/>
    <col min="8" max="8" width="10" customWidth="1"/>
    <col min="9" max="10" width="8.83203125" customWidth="1"/>
    <col min="11" max="12" width="6.33203125" customWidth="1"/>
    <col min="13" max="13" width="7.33203125" customWidth="1"/>
    <col min="14" max="14" width="9.33203125" customWidth="1"/>
    <col min="15" max="15" width="19.1640625" customWidth="1"/>
    <col min="16" max="16" width="14.5" customWidth="1"/>
    <col min="17" max="17" width="10.1640625" customWidth="1"/>
    <col min="18" max="19" width="10.83203125" customWidth="1"/>
    <col min="20" max="22" width="18.5" customWidth="1"/>
    <col min="23" max="23" width="9.33203125" customWidth="1"/>
    <col min="24" max="24" width="15.1640625" customWidth="1"/>
    <col min="25" max="25" width="14.5" customWidth="1"/>
    <col min="26" max="26" width="9.1640625" customWidth="1"/>
    <col min="27" max="27" width="4.6640625" customWidth="1"/>
  </cols>
  <sheetData>
    <row r="1" spans="1:54" ht="13">
      <c r="A1" s="82" t="s">
        <v>2196</v>
      </c>
      <c r="B1" s="211" t="s">
        <v>6</v>
      </c>
      <c r="C1" s="211" t="s">
        <v>7</v>
      </c>
      <c r="D1" s="211" t="s">
        <v>14</v>
      </c>
      <c r="E1" s="211" t="s">
        <v>15</v>
      </c>
      <c r="F1" s="211" t="s">
        <v>16</v>
      </c>
      <c r="G1" s="211" t="s">
        <v>17</v>
      </c>
      <c r="H1" s="211" t="s">
        <v>18</v>
      </c>
      <c r="I1" s="211" t="s">
        <v>35</v>
      </c>
      <c r="J1" s="211" t="s">
        <v>36</v>
      </c>
      <c r="K1" s="211" t="s">
        <v>37</v>
      </c>
      <c r="L1" s="211" t="s">
        <v>38</v>
      </c>
      <c r="M1" s="211" t="s">
        <v>19</v>
      </c>
      <c r="N1" s="214" t="s">
        <v>20</v>
      </c>
      <c r="O1" s="211" t="s">
        <v>23</v>
      </c>
      <c r="P1" s="211" t="s">
        <v>24</v>
      </c>
      <c r="Q1" s="211" t="s">
        <v>25</v>
      </c>
      <c r="R1" s="211" t="s">
        <v>26</v>
      </c>
      <c r="S1" s="211" t="s">
        <v>441</v>
      </c>
      <c r="T1" s="211" t="s">
        <v>31</v>
      </c>
      <c r="U1" s="211" t="s">
        <v>32</v>
      </c>
      <c r="V1" s="211" t="s">
        <v>33</v>
      </c>
      <c r="W1" s="211" t="s">
        <v>34</v>
      </c>
      <c r="X1" s="211" t="s">
        <v>40</v>
      </c>
      <c r="Y1" s="211" t="s">
        <v>41</v>
      </c>
      <c r="Z1" s="211" t="s">
        <v>42</v>
      </c>
      <c r="AA1" s="211" t="s">
        <v>43</v>
      </c>
      <c r="AU1" s="392"/>
      <c r="AV1" s="12"/>
      <c r="AW1" s="12"/>
      <c r="AX1" s="12"/>
      <c r="AY1" s="12"/>
      <c r="AZ1" s="12"/>
      <c r="BA1" s="12"/>
      <c r="BB1" s="12"/>
    </row>
    <row r="2" spans="1:54" ht="6.75" customHeight="1">
      <c r="A2" s="26" t="s">
        <v>111</v>
      </c>
      <c r="B2" s="27" t="s">
        <v>10</v>
      </c>
      <c r="C2" s="31" t="s">
        <v>112</v>
      </c>
      <c r="D2" s="31" t="s">
        <v>113</v>
      </c>
      <c r="E2" s="27" t="s">
        <v>2197</v>
      </c>
      <c r="F2" s="27" t="s">
        <v>90</v>
      </c>
      <c r="G2" s="27" t="s">
        <v>114</v>
      </c>
      <c r="H2" s="27">
        <v>1379</v>
      </c>
      <c r="I2" s="27">
        <v>9.25</v>
      </c>
      <c r="J2" s="27">
        <v>9.5</v>
      </c>
      <c r="K2" s="27"/>
      <c r="L2" s="27"/>
      <c r="M2" s="27"/>
      <c r="N2" s="27"/>
      <c r="O2" s="27" t="s">
        <v>942</v>
      </c>
      <c r="P2" s="27" t="s">
        <v>70</v>
      </c>
      <c r="Q2" s="27">
        <v>3</v>
      </c>
      <c r="R2" s="27" t="s">
        <v>70</v>
      </c>
      <c r="S2" s="27"/>
      <c r="T2" s="27"/>
      <c r="U2" s="27"/>
      <c r="V2" s="27"/>
      <c r="W2" s="27">
        <v>3</v>
      </c>
      <c r="X2" s="27">
        <v>8</v>
      </c>
      <c r="Y2" s="27">
        <v>7</v>
      </c>
      <c r="Z2" s="27">
        <v>3.75</v>
      </c>
      <c r="AU2" s="27"/>
      <c r="AV2" s="12"/>
      <c r="AW2" s="12"/>
      <c r="AX2" s="12"/>
      <c r="AY2" s="12"/>
      <c r="AZ2" s="12"/>
      <c r="BA2" s="12"/>
      <c r="BB2" s="12"/>
    </row>
    <row r="3" spans="1:54" ht="6.75" customHeight="1">
      <c r="A3" s="26" t="s">
        <v>63</v>
      </c>
      <c r="B3" s="236" t="s">
        <v>10</v>
      </c>
      <c r="C3" s="258" t="s">
        <v>64</v>
      </c>
      <c r="D3" s="258" t="s">
        <v>65</v>
      </c>
      <c r="E3" s="236" t="s">
        <v>66</v>
      </c>
      <c r="F3" s="236" t="s">
        <v>67</v>
      </c>
      <c r="G3" s="236" t="s">
        <v>68</v>
      </c>
      <c r="H3" s="236">
        <v>1378</v>
      </c>
      <c r="I3" s="236">
        <v>8</v>
      </c>
      <c r="J3" s="236">
        <v>8.25</v>
      </c>
      <c r="K3" s="236"/>
      <c r="L3" s="236"/>
      <c r="M3" s="236"/>
      <c r="N3" s="236"/>
      <c r="O3" s="236" t="s">
        <v>350</v>
      </c>
      <c r="P3" s="236" t="s">
        <v>70</v>
      </c>
      <c r="Q3" s="236">
        <v>10</v>
      </c>
      <c r="R3" s="236" t="s">
        <v>70</v>
      </c>
      <c r="S3" s="236"/>
      <c r="T3" s="236"/>
      <c r="U3" s="236"/>
      <c r="V3" s="236"/>
      <c r="W3" s="236">
        <v>3.5</v>
      </c>
      <c r="X3" s="236">
        <v>6</v>
      </c>
      <c r="Y3" s="236">
        <v>6</v>
      </c>
      <c r="Z3" s="236">
        <v>10</v>
      </c>
      <c r="AM3" s="236"/>
      <c r="AN3" s="236"/>
      <c r="AO3" s="236"/>
      <c r="AP3" s="236"/>
      <c r="AQ3" s="236"/>
      <c r="AR3" s="236"/>
      <c r="AS3" s="236"/>
      <c r="AT3" s="236"/>
      <c r="AU3" s="236"/>
      <c r="AV3" s="12"/>
      <c r="AW3" s="12"/>
      <c r="AX3" s="12"/>
      <c r="AY3" s="12"/>
      <c r="AZ3" s="12"/>
      <c r="BA3" s="12"/>
      <c r="BB3" s="12"/>
    </row>
    <row r="4" spans="1:54" ht="6.75" customHeight="1">
      <c r="A4" s="26" t="s">
        <v>1463</v>
      </c>
      <c r="B4" s="27" t="s">
        <v>3</v>
      </c>
      <c r="C4" s="31" t="s">
        <v>1465</v>
      </c>
      <c r="D4" s="31" t="s">
        <v>1466</v>
      </c>
      <c r="E4" s="27" t="s">
        <v>2198</v>
      </c>
      <c r="F4" s="27" t="s">
        <v>90</v>
      </c>
      <c r="G4" s="27" t="s">
        <v>55</v>
      </c>
      <c r="H4" s="27">
        <v>1331</v>
      </c>
      <c r="I4" s="27">
        <v>9.25</v>
      </c>
      <c r="J4" s="27"/>
      <c r="K4" s="27"/>
      <c r="L4" s="27"/>
      <c r="M4" s="27"/>
      <c r="N4" s="27"/>
      <c r="O4" s="27"/>
      <c r="P4" s="27" t="s">
        <v>70</v>
      </c>
      <c r="Q4" s="27">
        <v>18</v>
      </c>
      <c r="R4" s="27" t="s">
        <v>70</v>
      </c>
      <c r="S4" s="27"/>
      <c r="T4" s="27"/>
      <c r="U4" s="27"/>
      <c r="V4" s="27"/>
      <c r="W4" s="27">
        <v>2.5</v>
      </c>
      <c r="X4" s="27">
        <v>6.5</v>
      </c>
      <c r="Y4" s="27">
        <v>8</v>
      </c>
      <c r="Z4" s="27">
        <v>8.5</v>
      </c>
      <c r="AM4" s="27"/>
      <c r="AN4" s="27"/>
      <c r="AO4" s="27"/>
      <c r="AP4" s="27"/>
      <c r="AQ4" s="27"/>
      <c r="AR4" s="27"/>
      <c r="AS4" s="27"/>
      <c r="AT4" s="27"/>
      <c r="AU4" s="27"/>
      <c r="AV4" s="12"/>
      <c r="AW4" s="12"/>
      <c r="AX4" s="12"/>
      <c r="AY4" s="12"/>
      <c r="AZ4" s="12"/>
      <c r="BA4" s="12"/>
      <c r="BB4" s="12"/>
    </row>
    <row r="5" spans="1:54" ht="6.75" customHeight="1">
      <c r="A5" s="26" t="s">
        <v>93</v>
      </c>
      <c r="B5" s="236" t="s">
        <v>10</v>
      </c>
      <c r="C5" s="258" t="s">
        <v>94</v>
      </c>
      <c r="D5" s="258" t="s">
        <v>95</v>
      </c>
      <c r="E5" s="236" t="s">
        <v>96</v>
      </c>
      <c r="F5" s="236" t="s">
        <v>75</v>
      </c>
      <c r="G5" s="236" t="s">
        <v>97</v>
      </c>
      <c r="H5" s="236">
        <v>1324</v>
      </c>
      <c r="I5" s="236">
        <v>8</v>
      </c>
      <c r="J5" s="236">
        <v>9</v>
      </c>
      <c r="K5" s="236">
        <v>9.25</v>
      </c>
      <c r="L5" s="236">
        <v>9.75</v>
      </c>
      <c r="M5" s="236"/>
      <c r="N5" s="236"/>
      <c r="O5" s="236" t="s">
        <v>98</v>
      </c>
      <c r="P5" s="236" t="s">
        <v>70</v>
      </c>
      <c r="Q5" s="236">
        <v>40</v>
      </c>
      <c r="R5" s="236" t="s">
        <v>70</v>
      </c>
      <c r="S5" s="236"/>
      <c r="T5" s="236"/>
      <c r="U5" s="236"/>
      <c r="V5" s="236"/>
      <c r="W5" s="236">
        <v>3.5</v>
      </c>
      <c r="X5" s="236">
        <v>5</v>
      </c>
      <c r="Y5" s="236">
        <v>5.75</v>
      </c>
      <c r="Z5" s="236">
        <v>7.25</v>
      </c>
      <c r="AM5" s="236"/>
      <c r="AN5" s="236"/>
      <c r="AO5" s="236"/>
      <c r="AP5" s="236"/>
      <c r="AQ5" s="236"/>
      <c r="AR5" s="236"/>
      <c r="AS5" s="236"/>
      <c r="AT5" s="236"/>
      <c r="AU5" s="236"/>
      <c r="AV5" s="12"/>
      <c r="AW5" s="12"/>
      <c r="AX5" s="12"/>
      <c r="AY5" s="12"/>
      <c r="AZ5" s="12"/>
      <c r="BA5" s="12"/>
      <c r="BB5" s="12"/>
    </row>
    <row r="6" spans="1:54" ht="6.75" customHeight="1">
      <c r="A6" s="26" t="s">
        <v>79</v>
      </c>
      <c r="B6" s="27" t="s">
        <v>8</v>
      </c>
      <c r="C6" s="31" t="s">
        <v>80</v>
      </c>
      <c r="D6" s="31" t="s">
        <v>81</v>
      </c>
      <c r="E6" s="27" t="s">
        <v>82</v>
      </c>
      <c r="F6" s="27" t="s">
        <v>83</v>
      </c>
      <c r="G6" s="27" t="s">
        <v>84</v>
      </c>
      <c r="H6" s="27">
        <v>1312</v>
      </c>
      <c r="I6" s="27">
        <v>12</v>
      </c>
      <c r="J6" s="27">
        <v>12</v>
      </c>
      <c r="K6" s="27"/>
      <c r="L6" s="27"/>
      <c r="M6" s="27"/>
      <c r="N6" s="27"/>
      <c r="O6" s="27" t="s">
        <v>2199</v>
      </c>
      <c r="P6" s="27" t="s">
        <v>70</v>
      </c>
      <c r="Q6" s="27">
        <v>5</v>
      </c>
      <c r="R6" s="27" t="s">
        <v>70</v>
      </c>
      <c r="S6" s="27"/>
      <c r="T6" s="27"/>
      <c r="U6" s="27"/>
      <c r="V6" s="27"/>
      <c r="W6" s="27"/>
      <c r="X6" s="27">
        <v>10</v>
      </c>
      <c r="Y6" s="27">
        <v>4</v>
      </c>
      <c r="Z6" s="27">
        <v>4</v>
      </c>
      <c r="AM6" s="27"/>
      <c r="AN6" s="27"/>
      <c r="AO6" s="27"/>
      <c r="AP6" s="27"/>
      <c r="AQ6" s="27"/>
      <c r="AR6" s="27"/>
      <c r="AS6" s="27"/>
      <c r="AT6" s="27"/>
      <c r="AU6" s="27"/>
      <c r="AV6" s="12"/>
      <c r="AW6" s="12"/>
      <c r="AX6" s="12"/>
      <c r="AY6" s="12"/>
      <c r="AZ6" s="12"/>
      <c r="BA6" s="12"/>
      <c r="BB6" s="12"/>
    </row>
    <row r="7" spans="1:54" ht="6.75" customHeight="1">
      <c r="A7" s="26" t="s">
        <v>105</v>
      </c>
      <c r="B7" s="236" t="s">
        <v>3</v>
      </c>
      <c r="C7" s="258" t="s">
        <v>106</v>
      </c>
      <c r="D7" s="258" t="s">
        <v>107</v>
      </c>
      <c r="E7" s="236" t="s">
        <v>108</v>
      </c>
      <c r="F7" s="236" t="s">
        <v>336</v>
      </c>
      <c r="G7" s="236" t="s">
        <v>109</v>
      </c>
      <c r="H7" s="236">
        <v>1262</v>
      </c>
      <c r="I7" s="236">
        <v>9</v>
      </c>
      <c r="J7" s="236">
        <v>9.5</v>
      </c>
      <c r="K7" s="236"/>
      <c r="L7" s="236"/>
      <c r="M7" s="236"/>
      <c r="N7" s="236"/>
      <c r="O7" s="236"/>
      <c r="P7" s="236" t="s">
        <v>70</v>
      </c>
      <c r="Q7" s="236">
        <v>48</v>
      </c>
      <c r="R7" s="236" t="s">
        <v>70</v>
      </c>
      <c r="S7" s="236"/>
      <c r="T7" s="236"/>
      <c r="U7" s="236"/>
      <c r="V7" s="236"/>
      <c r="W7" s="236">
        <v>12</v>
      </c>
      <c r="X7" s="236">
        <v>1.5</v>
      </c>
      <c r="Y7" s="236">
        <v>10</v>
      </c>
      <c r="Z7" s="236">
        <v>8</v>
      </c>
      <c r="AM7" s="236"/>
      <c r="AN7" s="236"/>
      <c r="AO7" s="236"/>
      <c r="AP7" s="236"/>
      <c r="AQ7" s="236"/>
      <c r="AR7" s="236"/>
      <c r="AS7" s="236"/>
      <c r="AT7" s="236"/>
      <c r="AU7" s="236"/>
      <c r="AV7" s="12"/>
      <c r="AW7" s="12"/>
      <c r="AX7" s="12"/>
      <c r="AY7" s="12"/>
      <c r="AZ7" s="12"/>
      <c r="BA7" s="12"/>
      <c r="BB7" s="12"/>
    </row>
    <row r="8" spans="1:54" ht="6.75" customHeight="1">
      <c r="A8" s="26" t="s">
        <v>99</v>
      </c>
      <c r="B8" s="27" t="s">
        <v>11</v>
      </c>
      <c r="C8" s="31" t="s">
        <v>100</v>
      </c>
      <c r="D8" s="31" t="s">
        <v>2200</v>
      </c>
      <c r="E8" s="27" t="s">
        <v>102</v>
      </c>
      <c r="F8" s="27" t="s">
        <v>75</v>
      </c>
      <c r="G8" s="27" t="s">
        <v>104</v>
      </c>
      <c r="H8" s="27">
        <v>1246</v>
      </c>
      <c r="I8" s="27">
        <v>8.5</v>
      </c>
      <c r="J8" s="27">
        <v>9</v>
      </c>
      <c r="K8" s="27">
        <v>9.5</v>
      </c>
      <c r="L8" s="27">
        <v>9.75</v>
      </c>
      <c r="M8" s="27"/>
      <c r="N8" s="27"/>
      <c r="O8" s="27" t="s">
        <v>98</v>
      </c>
      <c r="P8" s="27" t="s">
        <v>70</v>
      </c>
      <c r="Q8" s="27">
        <v>2</v>
      </c>
      <c r="R8" s="27" t="s">
        <v>70</v>
      </c>
      <c r="S8" s="27"/>
      <c r="T8" s="27"/>
      <c r="U8" s="27"/>
      <c r="V8" s="27"/>
      <c r="W8" s="27"/>
      <c r="X8" s="27">
        <v>3</v>
      </c>
      <c r="Y8" s="27">
        <v>5</v>
      </c>
      <c r="Z8" s="27">
        <v>6.5</v>
      </c>
      <c r="AM8" s="27"/>
      <c r="AN8" s="27"/>
      <c r="AO8" s="27"/>
      <c r="AP8" s="27"/>
      <c r="AQ8" s="27"/>
      <c r="AR8" s="27"/>
      <c r="AS8" s="27"/>
      <c r="AT8" s="27"/>
      <c r="AU8" s="27"/>
      <c r="AV8" s="12"/>
      <c r="AW8" s="12"/>
      <c r="AX8" s="12"/>
      <c r="AY8" s="12"/>
      <c r="AZ8" s="12"/>
      <c r="BA8" s="12"/>
      <c r="BB8" s="12"/>
    </row>
    <row r="9" spans="1:54" ht="12.75" customHeight="1">
      <c r="A9" s="26" t="s">
        <v>176</v>
      </c>
      <c r="B9" s="236" t="s">
        <v>12</v>
      </c>
      <c r="C9" s="258" t="s">
        <v>177</v>
      </c>
      <c r="D9" s="258" t="s">
        <v>178</v>
      </c>
      <c r="E9" s="236" t="s">
        <v>179</v>
      </c>
      <c r="F9" s="236" t="s">
        <v>180</v>
      </c>
      <c r="G9" s="236" t="s">
        <v>181</v>
      </c>
      <c r="H9" s="236">
        <v>1238</v>
      </c>
      <c r="I9" s="236">
        <v>8.5</v>
      </c>
      <c r="J9" s="236">
        <v>9</v>
      </c>
      <c r="K9" s="236">
        <v>9</v>
      </c>
      <c r="L9" s="236">
        <v>9.75</v>
      </c>
      <c r="M9" s="236">
        <v>10</v>
      </c>
      <c r="N9" s="236">
        <v>10</v>
      </c>
      <c r="O9" s="236" t="s">
        <v>182</v>
      </c>
      <c r="P9" s="236" t="s">
        <v>70</v>
      </c>
      <c r="Q9" s="236">
        <v>15</v>
      </c>
      <c r="R9" s="236" t="s">
        <v>70</v>
      </c>
      <c r="S9" s="236"/>
      <c r="T9" s="236"/>
      <c r="U9" s="236"/>
      <c r="V9" s="236"/>
      <c r="W9" s="236">
        <v>1.5</v>
      </c>
      <c r="X9" s="236">
        <v>8</v>
      </c>
      <c r="Y9" s="236">
        <v>3.5</v>
      </c>
      <c r="Z9" s="236">
        <v>7.25</v>
      </c>
      <c r="AM9" s="236"/>
      <c r="AN9" s="236"/>
      <c r="AO9" s="236"/>
      <c r="AP9" s="236"/>
      <c r="AQ9" s="236"/>
      <c r="AR9" s="236"/>
      <c r="AS9" s="236"/>
      <c r="AT9" s="236"/>
      <c r="AU9" s="236"/>
      <c r="AV9" s="12"/>
      <c r="AW9" s="12"/>
      <c r="AX9" s="12"/>
      <c r="AY9" s="12"/>
      <c r="AZ9" s="12"/>
      <c r="BA9" s="12"/>
      <c r="BB9" s="12"/>
    </row>
    <row r="10" spans="1:54" ht="12.75" customHeight="1">
      <c r="A10" s="26" t="s">
        <v>183</v>
      </c>
      <c r="B10" s="27" t="s">
        <v>11</v>
      </c>
      <c r="C10" s="31" t="s">
        <v>184</v>
      </c>
      <c r="D10" s="31" t="s">
        <v>185</v>
      </c>
      <c r="E10" s="27" t="s">
        <v>186</v>
      </c>
      <c r="F10" s="27" t="s">
        <v>187</v>
      </c>
      <c r="G10" s="27" t="s">
        <v>151</v>
      </c>
      <c r="H10" s="27">
        <v>1195</v>
      </c>
      <c r="I10" s="27">
        <v>13</v>
      </c>
      <c r="J10" s="27">
        <v>13</v>
      </c>
      <c r="K10" s="27">
        <v>13</v>
      </c>
      <c r="L10" s="27"/>
      <c r="M10" s="27"/>
      <c r="N10" s="27"/>
      <c r="O10" s="27" t="s">
        <v>2201</v>
      </c>
      <c r="P10" s="27" t="s">
        <v>70</v>
      </c>
      <c r="Q10" s="27">
        <v>72</v>
      </c>
      <c r="R10" s="27" t="s">
        <v>70</v>
      </c>
      <c r="S10" s="27"/>
      <c r="T10" s="27"/>
      <c r="U10" s="27"/>
      <c r="V10" s="27"/>
      <c r="W10" s="27"/>
      <c r="X10" s="27">
        <v>2</v>
      </c>
      <c r="Y10" s="27">
        <v>12</v>
      </c>
      <c r="Z10" s="27">
        <v>13.5</v>
      </c>
      <c r="AM10" s="27"/>
      <c r="AN10" s="27"/>
      <c r="AO10" s="27"/>
      <c r="AP10" s="27"/>
      <c r="AQ10" s="27"/>
      <c r="AR10" s="27"/>
      <c r="AS10" s="27"/>
      <c r="AT10" s="27"/>
      <c r="AU10" s="27"/>
      <c r="AV10" s="12"/>
      <c r="AW10" s="12"/>
      <c r="AX10" s="12"/>
      <c r="AY10" s="12"/>
      <c r="AZ10" s="12"/>
      <c r="BA10" s="12"/>
      <c r="BB10" s="12"/>
    </row>
    <row r="11" spans="1:54" ht="6.75" customHeight="1">
      <c r="A11" s="26" t="s">
        <v>161</v>
      </c>
      <c r="B11" s="236" t="s">
        <v>11</v>
      </c>
      <c r="C11" s="258" t="s">
        <v>163</v>
      </c>
      <c r="D11" s="258" t="s">
        <v>164</v>
      </c>
      <c r="E11" s="236" t="s">
        <v>165</v>
      </c>
      <c r="F11" s="236" t="s">
        <v>131</v>
      </c>
      <c r="G11" s="236" t="s">
        <v>166</v>
      </c>
      <c r="H11" s="236">
        <v>1187</v>
      </c>
      <c r="I11" s="236">
        <v>8</v>
      </c>
      <c r="J11" s="236">
        <v>8.5</v>
      </c>
      <c r="K11" s="236"/>
      <c r="L11" s="236"/>
      <c r="M11" s="236"/>
      <c r="N11" s="236"/>
      <c r="O11" s="236" t="s">
        <v>2202</v>
      </c>
      <c r="P11" s="236" t="s">
        <v>70</v>
      </c>
      <c r="Q11" s="236">
        <v>16</v>
      </c>
      <c r="R11" s="236" t="s">
        <v>70</v>
      </c>
      <c r="S11" s="236"/>
      <c r="T11" s="236"/>
      <c r="U11" s="236"/>
      <c r="V11" s="236"/>
      <c r="W11" s="236"/>
      <c r="X11" s="236">
        <v>4</v>
      </c>
      <c r="Y11" s="236">
        <v>6</v>
      </c>
      <c r="Z11" s="236">
        <v>6</v>
      </c>
      <c r="AM11" s="236"/>
      <c r="AN11" s="236"/>
      <c r="AO11" s="236"/>
      <c r="AP11" s="236"/>
      <c r="AQ11" s="236"/>
      <c r="AR11" s="236"/>
      <c r="AS11" s="236"/>
      <c r="AT11" s="236"/>
      <c r="AU11" s="236"/>
      <c r="AV11" s="12"/>
      <c r="AW11" s="12"/>
      <c r="AX11" s="12"/>
      <c r="AY11" s="12"/>
      <c r="AZ11" s="12"/>
      <c r="BA11" s="12"/>
      <c r="BB11" s="12"/>
    </row>
    <row r="12" spans="1:54" ht="13">
      <c r="A12" s="26" t="s">
        <v>146</v>
      </c>
      <c r="B12" s="27" t="s">
        <v>3</v>
      </c>
      <c r="C12" s="31" t="s">
        <v>147</v>
      </c>
      <c r="D12" s="31" t="s">
        <v>148</v>
      </c>
      <c r="E12" s="27" t="s">
        <v>150</v>
      </c>
      <c r="F12" s="27" t="s">
        <v>75</v>
      </c>
      <c r="G12" s="27" t="s">
        <v>151</v>
      </c>
      <c r="H12" s="27">
        <v>1169</v>
      </c>
      <c r="I12" s="27">
        <v>9</v>
      </c>
      <c r="J12" s="27">
        <v>9.5</v>
      </c>
      <c r="K12" s="27"/>
      <c r="L12" s="27"/>
      <c r="M12" s="27"/>
      <c r="N12" s="27"/>
      <c r="O12" s="27" t="s">
        <v>942</v>
      </c>
      <c r="P12" s="27" t="s">
        <v>70</v>
      </c>
      <c r="Q12" s="27">
        <v>58</v>
      </c>
      <c r="R12" s="27" t="s">
        <v>70</v>
      </c>
      <c r="S12" s="27"/>
      <c r="T12" s="27"/>
      <c r="U12" s="27"/>
      <c r="V12" s="27"/>
      <c r="W12" s="27">
        <v>4</v>
      </c>
      <c r="X12" s="27">
        <v>5</v>
      </c>
      <c r="Y12" s="27">
        <v>6.5</v>
      </c>
      <c r="Z12" s="27">
        <v>7.25</v>
      </c>
      <c r="AM12" s="27"/>
      <c r="AN12" s="27"/>
      <c r="AO12" s="27"/>
      <c r="AP12" s="27"/>
      <c r="AQ12" s="27"/>
      <c r="AR12" s="27"/>
      <c r="AS12" s="27"/>
      <c r="AT12" s="27"/>
      <c r="AU12" s="27"/>
      <c r="AV12" s="12"/>
      <c r="AW12" s="12"/>
      <c r="AX12" s="12"/>
      <c r="AY12" s="12"/>
      <c r="AZ12" s="12"/>
      <c r="BA12" s="12"/>
      <c r="BB12" s="12"/>
    </row>
    <row r="13" spans="1:54" ht="13">
      <c r="A13" s="26" t="s">
        <v>135</v>
      </c>
      <c r="B13" s="236" t="s">
        <v>3</v>
      </c>
      <c r="C13" s="258" t="s">
        <v>136</v>
      </c>
      <c r="D13" s="258" t="s">
        <v>138</v>
      </c>
      <c r="E13" s="236" t="s">
        <v>140</v>
      </c>
      <c r="F13" s="236" t="s">
        <v>90</v>
      </c>
      <c r="G13" s="236" t="s">
        <v>55</v>
      </c>
      <c r="H13" s="236">
        <v>1136</v>
      </c>
      <c r="I13" s="236">
        <v>9</v>
      </c>
      <c r="J13" s="236">
        <v>9.25</v>
      </c>
      <c r="K13" s="236"/>
      <c r="L13" s="236"/>
      <c r="M13" s="236"/>
      <c r="N13" s="236"/>
      <c r="O13" s="236" t="s">
        <v>942</v>
      </c>
      <c r="P13" s="236" t="s">
        <v>70</v>
      </c>
      <c r="Q13" s="236" t="s">
        <v>141</v>
      </c>
      <c r="R13" s="236" t="s">
        <v>70</v>
      </c>
      <c r="S13" s="236"/>
      <c r="T13" s="236"/>
      <c r="U13" s="236"/>
      <c r="V13" s="236"/>
      <c r="W13" s="236">
        <v>2</v>
      </c>
      <c r="X13" s="236">
        <v>5</v>
      </c>
      <c r="Y13" s="236">
        <v>6.5</v>
      </c>
      <c r="Z13" s="236">
        <v>10.75</v>
      </c>
      <c r="AM13" s="236"/>
      <c r="AN13" s="236"/>
      <c r="AO13" s="236"/>
      <c r="AP13" s="236"/>
      <c r="AQ13" s="236"/>
      <c r="AR13" s="236"/>
      <c r="AS13" s="236"/>
      <c r="AT13" s="236"/>
      <c r="AU13" s="236"/>
      <c r="AV13" s="12"/>
      <c r="AW13" s="12"/>
      <c r="AX13" s="12"/>
      <c r="AY13" s="12"/>
      <c r="AZ13" s="12"/>
      <c r="BA13" s="12"/>
      <c r="BB13" s="12"/>
    </row>
    <row r="14" spans="1:54" ht="13">
      <c r="A14" s="26" t="s">
        <v>71</v>
      </c>
      <c r="B14" s="27" t="s">
        <v>3</v>
      </c>
      <c r="C14" s="31" t="s">
        <v>72</v>
      </c>
      <c r="D14" s="31" t="s">
        <v>73</v>
      </c>
      <c r="E14" s="27" t="s">
        <v>74</v>
      </c>
      <c r="F14" s="27" t="s">
        <v>75</v>
      </c>
      <c r="G14" s="27" t="s">
        <v>76</v>
      </c>
      <c r="H14" s="27">
        <v>1128</v>
      </c>
      <c r="I14" s="27">
        <v>13</v>
      </c>
      <c r="J14" s="27">
        <v>13</v>
      </c>
      <c r="K14" s="27"/>
      <c r="L14" s="27"/>
      <c r="M14" s="27"/>
      <c r="N14" s="27"/>
      <c r="O14" s="27" t="s">
        <v>2205</v>
      </c>
      <c r="P14" s="27" t="s">
        <v>78</v>
      </c>
      <c r="Q14" s="27">
        <v>15</v>
      </c>
      <c r="R14" s="27" t="s">
        <v>78</v>
      </c>
      <c r="S14" s="27"/>
      <c r="T14" s="27"/>
      <c r="U14" s="27"/>
      <c r="V14" s="27"/>
      <c r="W14" s="27">
        <v>3</v>
      </c>
      <c r="X14" s="27">
        <v>3</v>
      </c>
      <c r="Y14" s="27">
        <v>13</v>
      </c>
      <c r="Z14" s="27">
        <v>13</v>
      </c>
      <c r="AM14" s="27"/>
      <c r="AN14" s="27"/>
      <c r="AO14" s="27"/>
      <c r="AP14" s="27"/>
      <c r="AQ14" s="27"/>
      <c r="AR14" s="27"/>
      <c r="AS14" s="27"/>
      <c r="AT14" s="27"/>
      <c r="AU14" s="27"/>
      <c r="AV14" s="12"/>
      <c r="AW14" s="12"/>
      <c r="AX14" s="12"/>
      <c r="AY14" s="12"/>
      <c r="AZ14" s="12"/>
      <c r="BA14" s="12"/>
      <c r="BB14" s="12"/>
    </row>
    <row r="15" spans="1:54" ht="13">
      <c r="A15" s="26" t="s">
        <v>194</v>
      </c>
      <c r="B15" s="236" t="s">
        <v>3</v>
      </c>
      <c r="C15" s="258" t="s">
        <v>50</v>
      </c>
      <c r="D15" s="258" t="s">
        <v>195</v>
      </c>
      <c r="E15" s="236" t="s">
        <v>196</v>
      </c>
      <c r="F15" s="236" t="s">
        <v>83</v>
      </c>
      <c r="G15" s="236" t="s">
        <v>132</v>
      </c>
      <c r="H15" s="236">
        <v>1122</v>
      </c>
      <c r="I15" s="236">
        <v>9</v>
      </c>
      <c r="J15" s="236"/>
      <c r="K15" s="236"/>
      <c r="L15" s="236"/>
      <c r="M15" s="236"/>
      <c r="N15" s="236"/>
      <c r="O15" s="236"/>
      <c r="P15" s="236" t="s">
        <v>78</v>
      </c>
      <c r="Q15" s="236">
        <v>1</v>
      </c>
      <c r="R15" s="236" t="s">
        <v>70</v>
      </c>
      <c r="S15" s="236"/>
      <c r="T15" s="236"/>
      <c r="U15" s="236"/>
      <c r="V15" s="236"/>
      <c r="W15" s="236">
        <v>5</v>
      </c>
      <c r="X15" s="236">
        <v>5</v>
      </c>
      <c r="Y15" s="236">
        <v>6.5</v>
      </c>
      <c r="Z15" s="236">
        <v>8.5</v>
      </c>
      <c r="AM15" s="236"/>
      <c r="AN15" s="236"/>
      <c r="AO15" s="236"/>
      <c r="AP15" s="236"/>
      <c r="AQ15" s="236"/>
      <c r="AR15" s="236"/>
      <c r="AS15" s="236"/>
      <c r="AT15" s="236"/>
      <c r="AU15" s="236"/>
      <c r="AV15" s="12"/>
      <c r="AW15" s="12"/>
      <c r="AX15" s="12"/>
      <c r="AY15" s="12"/>
      <c r="AZ15" s="12"/>
      <c r="BA15" s="12"/>
      <c r="BB15" s="12"/>
    </row>
    <row r="16" spans="1:54" ht="13">
      <c r="A16" s="26" t="s">
        <v>188</v>
      </c>
      <c r="B16" s="27" t="s">
        <v>10</v>
      </c>
      <c r="C16" s="31" t="s">
        <v>189</v>
      </c>
      <c r="D16" s="31" t="s">
        <v>190</v>
      </c>
      <c r="E16" s="27" t="s">
        <v>191</v>
      </c>
      <c r="F16" s="27" t="s">
        <v>187</v>
      </c>
      <c r="G16" s="27" t="s">
        <v>192</v>
      </c>
      <c r="H16" s="27">
        <v>1109</v>
      </c>
      <c r="I16" s="27">
        <v>8</v>
      </c>
      <c r="J16" s="27">
        <v>9</v>
      </c>
      <c r="K16" s="27">
        <v>9.25</v>
      </c>
      <c r="L16" s="27">
        <v>9.75</v>
      </c>
      <c r="M16" s="27">
        <v>10</v>
      </c>
      <c r="N16" s="27">
        <v>10</v>
      </c>
      <c r="O16" s="27" t="s">
        <v>193</v>
      </c>
      <c r="P16" s="27" t="s">
        <v>70</v>
      </c>
      <c r="Q16" s="27">
        <v>33</v>
      </c>
      <c r="R16" s="27" t="s">
        <v>70</v>
      </c>
      <c r="S16" s="27"/>
      <c r="T16" s="27"/>
      <c r="U16" s="27"/>
      <c r="V16" s="27"/>
      <c r="W16" s="27">
        <v>3.5</v>
      </c>
      <c r="X16" s="27">
        <v>5</v>
      </c>
      <c r="Y16" s="27">
        <v>5</v>
      </c>
      <c r="Z16" s="27">
        <v>458</v>
      </c>
      <c r="AM16" s="27"/>
      <c r="AN16" s="27"/>
      <c r="AO16" s="27"/>
      <c r="AP16" s="27"/>
      <c r="AQ16" s="27"/>
      <c r="AR16" s="27"/>
      <c r="AS16" s="27"/>
      <c r="AT16" s="27"/>
      <c r="AU16" s="27"/>
      <c r="AV16" s="12"/>
      <c r="AW16" s="12"/>
      <c r="AX16" s="12"/>
      <c r="AY16" s="12"/>
      <c r="AZ16" s="12"/>
      <c r="BA16" s="12"/>
      <c r="BB16" s="12"/>
    </row>
    <row r="17" spans="1:54" ht="13">
      <c r="A17" s="26" t="s">
        <v>86</v>
      </c>
      <c r="B17" s="236" t="s">
        <v>8</v>
      </c>
      <c r="C17" s="258" t="s">
        <v>87</v>
      </c>
      <c r="D17" s="258" t="s">
        <v>88</v>
      </c>
      <c r="E17" s="236" t="s">
        <v>89</v>
      </c>
      <c r="F17" s="236" t="s">
        <v>90</v>
      </c>
      <c r="G17" s="236" t="s">
        <v>55</v>
      </c>
      <c r="H17" s="236">
        <v>1106</v>
      </c>
      <c r="I17" s="236">
        <v>8</v>
      </c>
      <c r="J17" s="236">
        <v>5</v>
      </c>
      <c r="K17" s="236">
        <v>5</v>
      </c>
      <c r="L17" s="236"/>
      <c r="M17" s="236"/>
      <c r="N17" s="236"/>
      <c r="O17" s="236" t="s">
        <v>2201</v>
      </c>
      <c r="P17" s="236" t="s">
        <v>78</v>
      </c>
      <c r="Q17" s="236">
        <v>10</v>
      </c>
      <c r="R17" s="236" t="s">
        <v>78</v>
      </c>
      <c r="S17" s="236"/>
      <c r="T17" s="236"/>
      <c r="U17" s="236"/>
      <c r="V17" s="236"/>
      <c r="W17" s="236">
        <v>2</v>
      </c>
      <c r="X17" s="236">
        <v>2</v>
      </c>
      <c r="Y17" s="236">
        <v>12</v>
      </c>
      <c r="Z17" s="236">
        <v>8</v>
      </c>
      <c r="AM17" s="236"/>
      <c r="AN17" s="236"/>
      <c r="AO17" s="236"/>
      <c r="AP17" s="236"/>
      <c r="AQ17" s="236"/>
      <c r="AR17" s="236"/>
      <c r="AS17" s="236"/>
      <c r="AT17" s="236"/>
      <c r="AU17" s="236"/>
      <c r="AV17" s="12"/>
      <c r="AW17" s="12"/>
      <c r="AX17" s="12"/>
      <c r="AY17" s="12"/>
      <c r="AZ17" s="12"/>
      <c r="BA17" s="12"/>
      <c r="BB17" s="12"/>
    </row>
    <row r="18" spans="1:54" ht="13">
      <c r="A18" s="26" t="s">
        <v>246</v>
      </c>
      <c r="B18" s="27" t="s">
        <v>3</v>
      </c>
      <c r="C18" s="31" t="s">
        <v>248</v>
      </c>
      <c r="D18" s="31" t="s">
        <v>250</v>
      </c>
      <c r="E18" s="27" t="s">
        <v>251</v>
      </c>
      <c r="F18" s="27" t="s">
        <v>90</v>
      </c>
      <c r="G18" s="27" t="s">
        <v>109</v>
      </c>
      <c r="H18" s="27">
        <v>1105</v>
      </c>
      <c r="I18" s="27">
        <v>8.5</v>
      </c>
      <c r="J18" s="27">
        <v>9.25</v>
      </c>
      <c r="K18" s="27">
        <v>9.5</v>
      </c>
      <c r="L18" s="27">
        <v>10</v>
      </c>
      <c r="M18" s="27"/>
      <c r="N18" s="27"/>
      <c r="O18" s="27" t="s">
        <v>202</v>
      </c>
      <c r="P18" s="27" t="s">
        <v>70</v>
      </c>
      <c r="Q18" s="27" t="s">
        <v>141</v>
      </c>
      <c r="R18" s="27" t="s">
        <v>70</v>
      </c>
      <c r="S18" s="27"/>
      <c r="T18" s="27"/>
      <c r="U18" s="27"/>
      <c r="V18" s="27"/>
      <c r="W18" s="27">
        <v>2</v>
      </c>
      <c r="X18" s="27">
        <v>4</v>
      </c>
      <c r="Y18" s="27">
        <v>5.75</v>
      </c>
      <c r="Z18" s="27">
        <v>6.5</v>
      </c>
      <c r="AM18" s="27"/>
      <c r="AN18" s="27"/>
      <c r="AO18" s="27"/>
      <c r="AP18" s="27"/>
      <c r="AQ18" s="27"/>
      <c r="AR18" s="27"/>
      <c r="AS18" s="27"/>
      <c r="AT18" s="27"/>
      <c r="AU18" s="27"/>
      <c r="AV18" s="12"/>
      <c r="AW18" s="12"/>
      <c r="AX18" s="12"/>
      <c r="AY18" s="12"/>
      <c r="AZ18" s="12"/>
      <c r="BA18" s="12"/>
      <c r="BB18" s="12"/>
    </row>
    <row r="19" spans="1:54" ht="13">
      <c r="A19" s="26" t="s">
        <v>116</v>
      </c>
      <c r="B19" s="236" t="s">
        <v>12</v>
      </c>
      <c r="C19" s="258" t="s">
        <v>117</v>
      </c>
      <c r="D19" s="258" t="s">
        <v>118</v>
      </c>
      <c r="E19" s="236" t="s">
        <v>119</v>
      </c>
      <c r="F19" s="236" t="s">
        <v>90</v>
      </c>
      <c r="G19" s="236" t="s">
        <v>120</v>
      </c>
      <c r="H19" s="236">
        <v>1093</v>
      </c>
      <c r="I19" s="236">
        <v>8</v>
      </c>
      <c r="J19" s="236">
        <v>8.5</v>
      </c>
      <c r="K19" s="236">
        <v>9</v>
      </c>
      <c r="L19" s="236">
        <v>9.25</v>
      </c>
      <c r="M19" s="236">
        <v>9.5</v>
      </c>
      <c r="N19" s="236">
        <v>9.75</v>
      </c>
      <c r="O19" s="236" t="s">
        <v>121</v>
      </c>
      <c r="P19" s="236" t="s">
        <v>78</v>
      </c>
      <c r="Q19" s="236">
        <v>16</v>
      </c>
      <c r="R19" s="236" t="s">
        <v>78</v>
      </c>
      <c r="S19" s="236"/>
      <c r="T19" s="236"/>
      <c r="U19" s="236"/>
      <c r="V19" s="236"/>
      <c r="W19" s="236">
        <v>2</v>
      </c>
      <c r="X19" s="236">
        <v>2</v>
      </c>
      <c r="Y19" s="236">
        <v>6.5</v>
      </c>
      <c r="Z19" s="236">
        <v>7.25</v>
      </c>
      <c r="AM19" s="236"/>
      <c r="AN19" s="236"/>
      <c r="AO19" s="236"/>
      <c r="AP19" s="236"/>
      <c r="AQ19" s="236"/>
      <c r="AR19" s="236"/>
      <c r="AS19" s="236"/>
      <c r="AT19" s="236"/>
      <c r="AU19" s="236"/>
      <c r="AV19" s="12"/>
      <c r="AW19" s="12"/>
      <c r="AX19" s="12"/>
      <c r="AY19" s="12"/>
      <c r="AZ19" s="12"/>
      <c r="BA19" s="12"/>
      <c r="BB19" s="12"/>
    </row>
    <row r="20" spans="1:54" ht="13">
      <c r="A20" s="26" t="s">
        <v>297</v>
      </c>
      <c r="B20" s="27" t="s">
        <v>10</v>
      </c>
      <c r="C20" s="31" t="s">
        <v>299</v>
      </c>
      <c r="D20" s="31" t="s">
        <v>301</v>
      </c>
      <c r="E20" s="27" t="s">
        <v>303</v>
      </c>
      <c r="F20" s="27" t="s">
        <v>103</v>
      </c>
      <c r="G20" s="27" t="s">
        <v>294</v>
      </c>
      <c r="H20" s="27">
        <v>1038</v>
      </c>
      <c r="I20" s="27">
        <v>12</v>
      </c>
      <c r="J20" s="27">
        <v>12</v>
      </c>
      <c r="K20" s="27"/>
      <c r="L20" s="27"/>
      <c r="M20" s="27"/>
      <c r="N20" s="27"/>
      <c r="O20" s="27" t="s">
        <v>942</v>
      </c>
      <c r="P20" s="27" t="s">
        <v>70</v>
      </c>
      <c r="Q20" s="27">
        <v>38</v>
      </c>
      <c r="R20" s="27" t="s">
        <v>70</v>
      </c>
      <c r="S20" s="27"/>
      <c r="T20" s="27"/>
      <c r="U20" s="27"/>
      <c r="V20" s="27"/>
      <c r="W20" s="27">
        <v>3</v>
      </c>
      <c r="X20" s="27">
        <v>8</v>
      </c>
      <c r="Y20" s="27">
        <v>7</v>
      </c>
      <c r="Z20" s="27">
        <v>3.75</v>
      </c>
      <c r="AM20" s="27"/>
      <c r="AN20" s="27"/>
      <c r="AO20" s="27"/>
      <c r="AP20" s="27"/>
      <c r="AQ20" s="27"/>
      <c r="AR20" s="27"/>
      <c r="AS20" s="27"/>
      <c r="AT20" s="27"/>
      <c r="AU20" s="27"/>
      <c r="AV20" s="12"/>
      <c r="AW20" s="12"/>
      <c r="AX20" s="12"/>
      <c r="AY20" s="12"/>
      <c r="AZ20" s="12"/>
      <c r="BA20" s="12"/>
      <c r="BB20" s="12"/>
    </row>
    <row r="21" spans="1:54" ht="13">
      <c r="A21" s="26" t="s">
        <v>122</v>
      </c>
      <c r="B21" s="236" t="s">
        <v>11</v>
      </c>
      <c r="C21" s="258" t="s">
        <v>123</v>
      </c>
      <c r="D21" s="258" t="s">
        <v>124</v>
      </c>
      <c r="E21" s="236" t="s">
        <v>125</v>
      </c>
      <c r="F21" s="236" t="s">
        <v>336</v>
      </c>
      <c r="G21" s="236" t="s">
        <v>55</v>
      </c>
      <c r="H21" s="236">
        <v>1023</v>
      </c>
      <c r="I21" s="236">
        <v>12</v>
      </c>
      <c r="J21" s="236">
        <v>15</v>
      </c>
      <c r="K21" s="236"/>
      <c r="L21" s="236"/>
      <c r="M21" s="236"/>
      <c r="N21" s="236"/>
      <c r="O21" s="236"/>
      <c r="P21" s="236" t="s">
        <v>126</v>
      </c>
      <c r="Q21" s="236">
        <v>3</v>
      </c>
      <c r="R21" s="236" t="s">
        <v>78</v>
      </c>
      <c r="S21" s="236"/>
      <c r="T21" s="236"/>
      <c r="U21" s="236"/>
      <c r="V21" s="236"/>
      <c r="W21" s="236">
        <v>3</v>
      </c>
      <c r="X21" s="236">
        <v>3</v>
      </c>
      <c r="Y21" s="236">
        <v>3</v>
      </c>
      <c r="Z21" s="236">
        <v>6.5</v>
      </c>
      <c r="AM21" s="236"/>
      <c r="AN21" s="236"/>
      <c r="AO21" s="236"/>
      <c r="AP21" s="236"/>
      <c r="AQ21" s="236"/>
      <c r="AR21" s="236"/>
      <c r="AS21" s="236"/>
      <c r="AT21" s="236"/>
      <c r="AU21" s="236"/>
      <c r="AV21" s="12"/>
      <c r="AW21" s="12"/>
      <c r="AX21" s="12"/>
      <c r="AY21" s="12"/>
      <c r="AZ21" s="12"/>
      <c r="BA21" s="12"/>
      <c r="BB21" s="12"/>
    </row>
    <row r="22" spans="1:54" ht="13">
      <c r="A22" s="26" t="s">
        <v>211</v>
      </c>
      <c r="B22" s="27" t="s">
        <v>11</v>
      </c>
      <c r="C22" s="31" t="s">
        <v>212</v>
      </c>
      <c r="D22" s="31" t="s">
        <v>213</v>
      </c>
      <c r="E22" s="27" t="s">
        <v>214</v>
      </c>
      <c r="F22" s="27" t="s">
        <v>215</v>
      </c>
      <c r="G22" s="27" t="s">
        <v>97</v>
      </c>
      <c r="H22" s="27">
        <v>980</v>
      </c>
      <c r="I22" s="27">
        <v>7.25</v>
      </c>
      <c r="J22" s="27"/>
      <c r="K22" s="27"/>
      <c r="L22" s="27"/>
      <c r="M22" s="27"/>
      <c r="N22" s="27"/>
      <c r="O22" s="27" t="s">
        <v>2209</v>
      </c>
      <c r="P22" s="27" t="s">
        <v>78</v>
      </c>
      <c r="Q22" s="27">
        <v>38</v>
      </c>
      <c r="R22" s="27" t="s">
        <v>78</v>
      </c>
      <c r="S22" s="27"/>
      <c r="T22" s="27"/>
      <c r="U22" s="27"/>
      <c r="V22" s="27"/>
      <c r="W22" s="27"/>
      <c r="X22" s="27">
        <v>3</v>
      </c>
      <c r="Y22" s="27">
        <v>3.5</v>
      </c>
      <c r="Z22" s="27">
        <v>5</v>
      </c>
      <c r="AM22" s="27"/>
      <c r="AN22" s="27"/>
      <c r="AO22" s="27"/>
      <c r="AP22" s="27"/>
      <c r="AQ22" s="27"/>
      <c r="AR22" s="27"/>
      <c r="AS22" s="27"/>
      <c r="AT22" s="27"/>
      <c r="AU22" s="27"/>
      <c r="AV22" s="12"/>
      <c r="AW22" s="12"/>
      <c r="AX22" s="12"/>
      <c r="AY22" s="12"/>
      <c r="AZ22" s="12"/>
      <c r="BA22" s="12"/>
      <c r="BB22" s="12"/>
    </row>
    <row r="23" spans="1:54" ht="13">
      <c r="A23" s="26" t="s">
        <v>127</v>
      </c>
      <c r="B23" s="236" t="s">
        <v>10</v>
      </c>
      <c r="C23" s="258" t="s">
        <v>128</v>
      </c>
      <c r="D23" s="258" t="s">
        <v>129</v>
      </c>
      <c r="E23" s="236" t="s">
        <v>130</v>
      </c>
      <c r="F23" s="236" t="s">
        <v>131</v>
      </c>
      <c r="G23" s="236" t="s">
        <v>132</v>
      </c>
      <c r="H23" s="236">
        <v>976</v>
      </c>
      <c r="I23" s="236">
        <v>6.5</v>
      </c>
      <c r="J23" s="236">
        <v>8</v>
      </c>
      <c r="K23" s="236">
        <v>8.5</v>
      </c>
      <c r="L23" s="236">
        <v>9.25</v>
      </c>
      <c r="M23" s="236">
        <v>9.5</v>
      </c>
      <c r="N23" s="236">
        <v>10</v>
      </c>
      <c r="O23" s="236" t="s">
        <v>133</v>
      </c>
      <c r="P23" s="236" t="s">
        <v>126</v>
      </c>
      <c r="Q23" s="236">
        <v>5</v>
      </c>
      <c r="R23" s="236" t="s">
        <v>126</v>
      </c>
      <c r="S23" s="236"/>
      <c r="T23" s="236"/>
      <c r="U23" s="236"/>
      <c r="V23" s="236"/>
      <c r="W23" s="236">
        <v>3</v>
      </c>
      <c r="X23" s="236">
        <v>4</v>
      </c>
      <c r="Y23" s="236">
        <v>8.75</v>
      </c>
      <c r="Z23" s="236">
        <v>1</v>
      </c>
      <c r="AM23" s="236"/>
      <c r="AN23" s="236"/>
      <c r="AO23" s="236"/>
      <c r="AP23" s="236"/>
      <c r="AQ23" s="236"/>
      <c r="AR23" s="236"/>
      <c r="AS23" s="236"/>
      <c r="AT23" s="236"/>
      <c r="AU23" s="236"/>
      <c r="AV23" s="12"/>
      <c r="AW23" s="12"/>
      <c r="AX23" s="12"/>
      <c r="AY23" s="12"/>
      <c r="AZ23" s="12"/>
      <c r="BA23" s="12"/>
      <c r="BB23" s="12"/>
    </row>
    <row r="24" spans="1:54" ht="13">
      <c r="A24" s="26" t="s">
        <v>205</v>
      </c>
      <c r="B24" s="27" t="s">
        <v>5</v>
      </c>
      <c r="C24" s="31" t="s">
        <v>206</v>
      </c>
      <c r="D24" s="31" t="s">
        <v>207</v>
      </c>
      <c r="E24" s="27" t="s">
        <v>208</v>
      </c>
      <c r="F24" s="27" t="s">
        <v>83</v>
      </c>
      <c r="G24" s="27" t="s">
        <v>151</v>
      </c>
      <c r="H24" s="27">
        <v>966</v>
      </c>
      <c r="I24" s="27">
        <v>5</v>
      </c>
      <c r="J24" s="27"/>
      <c r="K24" s="27"/>
      <c r="L24" s="27"/>
      <c r="M24" s="27"/>
      <c r="N24" s="27"/>
      <c r="O24" s="27"/>
      <c r="P24" s="27" t="s">
        <v>70</v>
      </c>
      <c r="Q24" s="27"/>
      <c r="R24" s="27" t="s">
        <v>70</v>
      </c>
      <c r="S24" s="27"/>
      <c r="T24" s="27"/>
      <c r="U24" s="27"/>
      <c r="V24" s="27"/>
      <c r="W24" s="27"/>
      <c r="X24" s="27">
        <v>2</v>
      </c>
      <c r="Y24" s="27">
        <v>4</v>
      </c>
      <c r="Z24" s="27">
        <v>8.25</v>
      </c>
      <c r="AM24" s="27"/>
      <c r="AN24" s="27"/>
      <c r="AO24" s="27"/>
      <c r="AP24" s="27"/>
      <c r="AQ24" s="27"/>
      <c r="AR24" s="27"/>
      <c r="AS24" s="27"/>
      <c r="AT24" s="27"/>
      <c r="AU24" s="27"/>
      <c r="AV24" s="12"/>
      <c r="AW24" s="12"/>
      <c r="AX24" s="12"/>
      <c r="AY24" s="12"/>
      <c r="AZ24" s="12"/>
      <c r="BA24" s="12"/>
      <c r="BB24" s="12"/>
    </row>
    <row r="25" spans="1:54" ht="13">
      <c r="A25" s="26" t="s">
        <v>1458</v>
      </c>
      <c r="B25" s="236" t="s">
        <v>3</v>
      </c>
      <c r="C25" s="258" t="s">
        <v>1459</v>
      </c>
      <c r="D25" s="258" t="s">
        <v>1460</v>
      </c>
      <c r="E25" s="236" t="s">
        <v>2210</v>
      </c>
      <c r="F25" s="236" t="s">
        <v>131</v>
      </c>
      <c r="G25" s="236" t="s">
        <v>132</v>
      </c>
      <c r="H25" s="236">
        <v>961</v>
      </c>
      <c r="I25" s="236">
        <v>8</v>
      </c>
      <c r="J25" s="236">
        <v>9</v>
      </c>
      <c r="K25" s="236">
        <v>9.25</v>
      </c>
      <c r="L25" s="236"/>
      <c r="M25" s="236"/>
      <c r="N25" s="236"/>
      <c r="O25" s="236" t="s">
        <v>2211</v>
      </c>
      <c r="P25" s="236" t="s">
        <v>70</v>
      </c>
      <c r="Q25" s="236">
        <v>25</v>
      </c>
      <c r="R25" s="236" t="s">
        <v>70</v>
      </c>
      <c r="S25" s="236"/>
      <c r="T25" s="236"/>
      <c r="U25" s="236"/>
      <c r="V25" s="236"/>
      <c r="W25" s="236">
        <v>2.5</v>
      </c>
      <c r="X25" s="236">
        <v>13</v>
      </c>
      <c r="Y25" s="236">
        <v>9</v>
      </c>
      <c r="Z25" s="236">
        <v>9</v>
      </c>
      <c r="AM25" s="236"/>
      <c r="AN25" s="236"/>
      <c r="AO25" s="236"/>
      <c r="AP25" s="236"/>
      <c r="AQ25" s="236"/>
      <c r="AR25" s="236"/>
      <c r="AS25" s="236"/>
      <c r="AT25" s="236"/>
      <c r="AU25" s="236"/>
      <c r="AV25" s="12"/>
      <c r="AW25" s="12"/>
      <c r="AX25" s="12"/>
      <c r="AY25" s="12"/>
      <c r="AZ25" s="12"/>
      <c r="BA25" s="12"/>
      <c r="BB25" s="12"/>
    </row>
    <row r="26" spans="1:54" ht="13">
      <c r="A26" s="26" t="s">
        <v>198</v>
      </c>
      <c r="B26" s="27" t="s">
        <v>8</v>
      </c>
      <c r="C26" s="31" t="s">
        <v>199</v>
      </c>
      <c r="D26" s="31" t="s">
        <v>200</v>
      </c>
      <c r="E26" s="27" t="s">
        <v>201</v>
      </c>
      <c r="F26" s="27" t="s">
        <v>90</v>
      </c>
      <c r="G26" s="27" t="s">
        <v>55</v>
      </c>
      <c r="H26" s="27">
        <v>952</v>
      </c>
      <c r="I26" s="27">
        <v>6.5</v>
      </c>
      <c r="J26" s="27">
        <v>8.5</v>
      </c>
      <c r="K26" s="27">
        <v>9</v>
      </c>
      <c r="L26" s="27">
        <v>9.5</v>
      </c>
      <c r="M26" s="27"/>
      <c r="N26" s="27"/>
      <c r="O26" s="27" t="s">
        <v>202</v>
      </c>
      <c r="P26" s="27" t="s">
        <v>70</v>
      </c>
      <c r="Q26" s="27" t="s">
        <v>141</v>
      </c>
      <c r="R26" s="27" t="s">
        <v>70</v>
      </c>
      <c r="S26" s="27"/>
      <c r="T26" s="27"/>
      <c r="U26" s="27"/>
      <c r="V26" s="27"/>
      <c r="W26" s="27"/>
      <c r="X26" s="27">
        <v>2</v>
      </c>
      <c r="Y26" s="27">
        <v>5</v>
      </c>
      <c r="Z26" s="27">
        <v>6.5</v>
      </c>
      <c r="AM26" s="27"/>
      <c r="AN26" s="27"/>
      <c r="AO26" s="27"/>
      <c r="AP26" s="27"/>
      <c r="AQ26" s="27"/>
      <c r="AR26" s="27"/>
      <c r="AS26" s="27"/>
      <c r="AT26" s="27"/>
      <c r="AU26" s="27"/>
      <c r="AV26" s="12"/>
      <c r="AW26" s="12"/>
      <c r="AX26" s="12"/>
      <c r="AY26" s="12"/>
      <c r="AZ26" s="12"/>
      <c r="BA26" s="12"/>
      <c r="BB26" s="12"/>
    </row>
    <row r="27" spans="1:54" ht="13">
      <c r="A27" s="26" t="s">
        <v>361</v>
      </c>
      <c r="B27" s="236" t="s">
        <v>5</v>
      </c>
      <c r="C27" s="258" t="s">
        <v>362</v>
      </c>
      <c r="D27" s="258" t="s">
        <v>363</v>
      </c>
      <c r="E27" s="236" t="s">
        <v>364</v>
      </c>
      <c r="F27" s="236" t="s">
        <v>90</v>
      </c>
      <c r="G27" s="236" t="s">
        <v>114</v>
      </c>
      <c r="H27" s="236">
        <v>943</v>
      </c>
      <c r="I27" s="236">
        <v>16</v>
      </c>
      <c r="J27" s="236">
        <v>12</v>
      </c>
      <c r="K27" s="236">
        <v>12</v>
      </c>
      <c r="L27" s="236"/>
      <c r="M27" s="236"/>
      <c r="N27" s="236"/>
      <c r="O27" s="236" t="s">
        <v>2212</v>
      </c>
      <c r="P27" s="236" t="s">
        <v>70</v>
      </c>
      <c r="Q27" s="236">
        <v>8</v>
      </c>
      <c r="R27" s="236" t="s">
        <v>70</v>
      </c>
      <c r="S27" s="236"/>
      <c r="T27" s="236"/>
      <c r="U27" s="236"/>
      <c r="V27" s="236"/>
      <c r="W27" s="236">
        <v>4</v>
      </c>
      <c r="X27" s="236">
        <v>4</v>
      </c>
      <c r="Y27" s="236">
        <v>5</v>
      </c>
      <c r="Z27" s="236">
        <v>6.5</v>
      </c>
      <c r="AM27" s="236"/>
      <c r="AN27" s="236"/>
      <c r="AO27" s="236"/>
      <c r="AP27" s="236"/>
      <c r="AQ27" s="236"/>
      <c r="AR27" s="236"/>
      <c r="AS27" s="236"/>
      <c r="AT27" s="236"/>
      <c r="AU27" s="236"/>
      <c r="AV27" s="12"/>
      <c r="AW27" s="12"/>
      <c r="AX27" s="12"/>
      <c r="AY27" s="12"/>
      <c r="AZ27" s="12"/>
      <c r="BA27" s="12"/>
      <c r="BB27" s="12"/>
    </row>
    <row r="28" spans="1:54" ht="13">
      <c r="A28" s="26" t="s">
        <v>220</v>
      </c>
      <c r="B28" s="27" t="s">
        <v>10</v>
      </c>
      <c r="C28" s="31" t="s">
        <v>222</v>
      </c>
      <c r="D28" s="31" t="s">
        <v>224</v>
      </c>
      <c r="E28" s="27" t="s">
        <v>256</v>
      </c>
      <c r="F28" s="27" t="s">
        <v>75</v>
      </c>
      <c r="G28" s="27" t="s">
        <v>225</v>
      </c>
      <c r="H28" s="27">
        <v>940</v>
      </c>
      <c r="I28" s="27">
        <v>7</v>
      </c>
      <c r="J28" s="27">
        <v>7</v>
      </c>
      <c r="K28" s="27">
        <v>7</v>
      </c>
      <c r="L28" s="27"/>
      <c r="M28" s="27"/>
      <c r="N28" s="27"/>
      <c r="O28" s="27" t="s">
        <v>226</v>
      </c>
      <c r="P28" s="27" t="s">
        <v>78</v>
      </c>
      <c r="Q28" s="27">
        <v>9</v>
      </c>
      <c r="R28" s="27" t="s">
        <v>70</v>
      </c>
      <c r="S28" s="27"/>
      <c r="T28" s="27"/>
      <c r="U28" s="27"/>
      <c r="V28" s="27"/>
      <c r="W28" s="27">
        <v>3.5</v>
      </c>
      <c r="X28" s="27">
        <v>3.5</v>
      </c>
      <c r="Y28" s="27">
        <v>7</v>
      </c>
      <c r="Z28" s="27">
        <v>7</v>
      </c>
      <c r="AM28" s="27"/>
      <c r="AN28" s="27"/>
      <c r="AO28" s="27"/>
      <c r="AP28" s="27"/>
      <c r="AQ28" s="27"/>
      <c r="AR28" s="27"/>
      <c r="AS28" s="27"/>
      <c r="AT28" s="27"/>
      <c r="AU28" s="27"/>
      <c r="AV28" s="12"/>
      <c r="AW28" s="12"/>
      <c r="AX28" s="12"/>
      <c r="AY28" s="12"/>
      <c r="AZ28" s="12"/>
      <c r="BA28" s="12"/>
      <c r="BB28" s="12"/>
    </row>
    <row r="29" spans="1:54" ht="13">
      <c r="A29" s="26" t="s">
        <v>365</v>
      </c>
      <c r="B29" s="236" t="s">
        <v>11</v>
      </c>
      <c r="C29" s="258" t="s">
        <v>366</v>
      </c>
      <c r="D29" s="258" t="s">
        <v>367</v>
      </c>
      <c r="E29" s="236" t="s">
        <v>368</v>
      </c>
      <c r="F29" s="236" t="s">
        <v>90</v>
      </c>
      <c r="G29" s="236" t="s">
        <v>114</v>
      </c>
      <c r="H29" s="236">
        <v>933</v>
      </c>
      <c r="I29" s="236">
        <v>8</v>
      </c>
      <c r="J29" s="236"/>
      <c r="K29" s="236"/>
      <c r="L29" s="236"/>
      <c r="M29" s="236"/>
      <c r="N29" s="236"/>
      <c r="O29" s="258" t="s">
        <v>2213</v>
      </c>
      <c r="P29" s="236" t="s">
        <v>70</v>
      </c>
      <c r="Q29" s="236">
        <v>1</v>
      </c>
      <c r="R29" s="236" t="s">
        <v>70</v>
      </c>
      <c r="S29" s="236"/>
      <c r="T29" s="236"/>
      <c r="U29" s="236"/>
      <c r="V29" s="236"/>
      <c r="W29" s="236"/>
      <c r="X29" s="236">
        <v>5</v>
      </c>
      <c r="Y29" s="236">
        <v>6.95</v>
      </c>
      <c r="Z29" s="236">
        <v>10.35</v>
      </c>
      <c r="AM29" s="236"/>
      <c r="AN29" s="236"/>
      <c r="AO29" s="236"/>
      <c r="AP29" s="236"/>
      <c r="AQ29" s="236"/>
      <c r="AR29" s="236"/>
      <c r="AS29" s="236"/>
      <c r="AT29" s="236"/>
      <c r="AU29" s="236"/>
      <c r="AV29" s="12"/>
      <c r="AW29" s="12"/>
      <c r="AX29" s="12"/>
      <c r="AY29" s="12"/>
      <c r="AZ29" s="12"/>
      <c r="BA29" s="12"/>
      <c r="BB29" s="12"/>
    </row>
    <row r="30" spans="1:54" ht="13">
      <c r="A30" s="26" t="s">
        <v>154</v>
      </c>
      <c r="B30" s="27" t="s">
        <v>5</v>
      </c>
      <c r="C30" s="31" t="s">
        <v>156</v>
      </c>
      <c r="D30" s="31" t="s">
        <v>157</v>
      </c>
      <c r="E30" s="27" t="s">
        <v>158</v>
      </c>
      <c r="F30" s="27" t="s">
        <v>131</v>
      </c>
      <c r="G30" s="27" t="s">
        <v>159</v>
      </c>
      <c r="H30" s="27">
        <v>916</v>
      </c>
      <c r="I30" s="27">
        <v>3</v>
      </c>
      <c r="J30" s="27"/>
      <c r="K30" s="27"/>
      <c r="L30" s="27"/>
      <c r="M30" s="27"/>
      <c r="N30" s="27"/>
      <c r="O30" s="27"/>
      <c r="P30" s="27" t="s">
        <v>78</v>
      </c>
      <c r="Q30" s="27">
        <v>17</v>
      </c>
      <c r="R30" s="27" t="s">
        <v>78</v>
      </c>
      <c r="S30" s="27"/>
      <c r="T30" s="27"/>
      <c r="U30" s="27"/>
      <c r="V30" s="27"/>
      <c r="W30" s="27"/>
      <c r="X30" s="27">
        <v>3</v>
      </c>
      <c r="Y30" s="27">
        <v>3</v>
      </c>
      <c r="Z30" s="27">
        <v>7</v>
      </c>
      <c r="AM30" s="27"/>
      <c r="AN30" s="27"/>
      <c r="AO30" s="27"/>
      <c r="AP30" s="27"/>
      <c r="AQ30" s="27"/>
      <c r="AR30" s="27"/>
      <c r="AS30" s="27"/>
      <c r="AT30" s="27"/>
      <c r="AU30" s="27"/>
      <c r="AV30" s="12"/>
      <c r="AW30" s="12"/>
      <c r="AX30" s="12"/>
      <c r="AY30" s="12"/>
      <c r="AZ30" s="12"/>
      <c r="BA30" s="12"/>
      <c r="BB30" s="12"/>
    </row>
    <row r="31" spans="1:54" ht="13">
      <c r="A31" s="53" t="s">
        <v>381</v>
      </c>
      <c r="B31" s="219" t="s">
        <v>8</v>
      </c>
      <c r="C31" s="227" t="s">
        <v>382</v>
      </c>
      <c r="D31" s="227" t="s">
        <v>383</v>
      </c>
      <c r="E31" s="236" t="str">
        <f>TRIM(LEFT(D31,LEN(D31)-4))</f>
        <v>Pepe Alazar</v>
      </c>
      <c r="F31" s="225" t="str">
        <f>TRIM(RIGHT(D31,2))</f>
        <v>LF</v>
      </c>
      <c r="G31" s="219" t="s">
        <v>166</v>
      </c>
      <c r="H31" s="219">
        <f ca="1">IFERROR(__xludf.DUMMYFUNCTION("IF(len(Trim(Right(trim(JOIN(CHAR(10),IMPORTXML(A31,""//div[@class='maintitle']/text()""))),3)))=0,100,VALUE(Right(SUBSTITUTE(trim(JOIN(CHAR(10),IMPORTXML(A31,""//div[@class='maintitle']/text()""))),"","",""""),4)))"),100)</f>
        <v>100</v>
      </c>
      <c r="I31" s="225">
        <v>7.25</v>
      </c>
      <c r="J31" s="236"/>
      <c r="K31" s="236"/>
      <c r="L31" s="236"/>
      <c r="M31" s="236"/>
      <c r="N31" s="236"/>
      <c r="O31" s="225"/>
      <c r="P31" s="219" t="s">
        <v>70</v>
      </c>
      <c r="Q31" s="219">
        <v>49</v>
      </c>
      <c r="R31" s="219" t="s">
        <v>70</v>
      </c>
      <c r="S31" s="236"/>
      <c r="T31" s="236"/>
      <c r="U31" s="236"/>
      <c r="V31" s="236"/>
      <c r="W31" s="236"/>
      <c r="X31" s="219">
        <v>14</v>
      </c>
      <c r="Y31" s="219">
        <v>4</v>
      </c>
      <c r="Z31" s="225">
        <v>6.5</v>
      </c>
      <c r="AA31" s="225">
        <v>14.5</v>
      </c>
      <c r="AB31" s="219">
        <v>595</v>
      </c>
      <c r="AC31" s="219">
        <v>577</v>
      </c>
      <c r="AD31" s="219">
        <v>563</v>
      </c>
      <c r="AE31" s="219">
        <v>539</v>
      </c>
      <c r="AF31" s="236"/>
      <c r="AG31" s="236"/>
      <c r="AH31" s="236"/>
      <c r="AI31" s="236"/>
      <c r="AJ31" s="236"/>
      <c r="AK31" s="236"/>
      <c r="AL31" s="236"/>
      <c r="AM31" s="236"/>
      <c r="AN31" s="236"/>
      <c r="AO31" s="236"/>
      <c r="AP31" s="236"/>
      <c r="AQ31" s="236"/>
      <c r="AR31" s="236"/>
      <c r="AS31" s="236"/>
      <c r="AT31" s="236"/>
      <c r="AU31" s="236"/>
      <c r="AV31" s="12"/>
      <c r="AW31" s="12"/>
      <c r="AX31" s="12"/>
      <c r="AY31" s="12"/>
      <c r="AZ31" s="12"/>
      <c r="BA31" s="12"/>
      <c r="BB31" s="12"/>
    </row>
    <row r="32" spans="1:54" ht="13">
      <c r="A32" s="26" t="s">
        <v>391</v>
      </c>
      <c r="B32" s="27" t="s">
        <v>3</v>
      </c>
      <c r="C32" s="31" t="s">
        <v>57</v>
      </c>
      <c r="D32" s="31" t="s">
        <v>392</v>
      </c>
      <c r="E32" s="27" t="s">
        <v>393</v>
      </c>
      <c r="F32" s="27" t="s">
        <v>187</v>
      </c>
      <c r="G32" s="27" t="s">
        <v>192</v>
      </c>
      <c r="H32" s="27">
        <v>868</v>
      </c>
      <c r="I32" s="27">
        <v>7.5</v>
      </c>
      <c r="J32" s="27"/>
      <c r="K32" s="27"/>
      <c r="L32" s="27"/>
      <c r="M32" s="27"/>
      <c r="N32" s="27"/>
      <c r="O32" s="27"/>
      <c r="P32" s="27" t="s">
        <v>70</v>
      </c>
      <c r="Q32" s="27">
        <v>17</v>
      </c>
      <c r="R32" s="27" t="s">
        <v>70</v>
      </c>
      <c r="S32" s="27"/>
      <c r="T32" s="27"/>
      <c r="U32" s="27"/>
      <c r="V32" s="27"/>
      <c r="W32" s="27">
        <v>4</v>
      </c>
      <c r="X32" s="27">
        <v>5</v>
      </c>
      <c r="Y32" s="27">
        <v>6.5</v>
      </c>
      <c r="Z32" s="27">
        <v>7.25</v>
      </c>
      <c r="AM32" s="27"/>
      <c r="AN32" s="27"/>
      <c r="AO32" s="27"/>
      <c r="AP32" s="27"/>
      <c r="AQ32" s="27"/>
      <c r="AR32" s="27"/>
      <c r="AS32" s="27"/>
      <c r="AT32" s="27"/>
      <c r="AU32" s="27"/>
      <c r="AV32" s="12"/>
      <c r="AW32" s="12"/>
      <c r="AX32" s="12"/>
      <c r="AY32" s="12"/>
      <c r="AZ32" s="12"/>
      <c r="BA32" s="12"/>
      <c r="BB32" s="12"/>
    </row>
    <row r="33" spans="1:54" ht="13">
      <c r="A33" s="26" t="s">
        <v>1520</v>
      </c>
      <c r="B33" s="236" t="s">
        <v>12</v>
      </c>
      <c r="C33" s="258" t="s">
        <v>609</v>
      </c>
      <c r="D33" s="258" t="s">
        <v>1522</v>
      </c>
      <c r="E33" s="236" t="s">
        <v>2216</v>
      </c>
      <c r="F33" s="236" t="s">
        <v>215</v>
      </c>
      <c r="G33" s="236" t="s">
        <v>740</v>
      </c>
      <c r="H33" s="236">
        <v>844</v>
      </c>
      <c r="I33" s="236">
        <v>6.5</v>
      </c>
      <c r="J33" s="236">
        <v>7.25</v>
      </c>
      <c r="K33" s="236">
        <v>8</v>
      </c>
      <c r="L33" s="236">
        <v>9</v>
      </c>
      <c r="M33" s="236">
        <v>9.25</v>
      </c>
      <c r="N33" s="236">
        <v>9.5</v>
      </c>
      <c r="O33" s="236" t="s">
        <v>121</v>
      </c>
      <c r="P33" s="236" t="s">
        <v>78</v>
      </c>
      <c r="Q33" s="236">
        <v>14</v>
      </c>
      <c r="R33" s="236" t="s">
        <v>78</v>
      </c>
      <c r="S33" s="236"/>
      <c r="T33" s="236"/>
      <c r="U33" s="236"/>
      <c r="V33" s="236"/>
      <c r="W33" s="236">
        <v>2</v>
      </c>
      <c r="X33" s="236">
        <v>2</v>
      </c>
      <c r="Y33" s="236">
        <v>5</v>
      </c>
      <c r="Z33" s="236">
        <v>5.75</v>
      </c>
      <c r="AM33" s="236"/>
      <c r="AN33" s="236"/>
      <c r="AO33" s="236"/>
      <c r="AP33" s="236"/>
      <c r="AQ33" s="236"/>
      <c r="AR33" s="236"/>
      <c r="AS33" s="236"/>
      <c r="AT33" s="236"/>
      <c r="AU33" s="236"/>
      <c r="AV33" s="12"/>
      <c r="AW33" s="12"/>
      <c r="AX33" s="12"/>
      <c r="AY33" s="12"/>
      <c r="AZ33" s="12"/>
      <c r="BA33" s="12"/>
      <c r="BB33" s="12"/>
    </row>
    <row r="34" spans="1:54" ht="13">
      <c r="A34" s="26" t="s">
        <v>1499</v>
      </c>
      <c r="B34" s="27" t="s">
        <v>10</v>
      </c>
      <c r="C34" s="31" t="s">
        <v>706</v>
      </c>
      <c r="D34" s="31" t="s">
        <v>1502</v>
      </c>
      <c r="E34" s="27" t="s">
        <v>2217</v>
      </c>
      <c r="F34" s="27" t="s">
        <v>336</v>
      </c>
      <c r="G34" s="27" t="s">
        <v>55</v>
      </c>
      <c r="H34" s="27">
        <v>827</v>
      </c>
      <c r="I34" s="27">
        <v>14</v>
      </c>
      <c r="J34" s="27">
        <v>0.5</v>
      </c>
      <c r="K34" s="27"/>
      <c r="L34" s="27"/>
      <c r="M34" s="27"/>
      <c r="N34" s="27"/>
      <c r="O34" s="27" t="s">
        <v>1225</v>
      </c>
      <c r="P34" s="27" t="s">
        <v>70</v>
      </c>
      <c r="Q34" s="27">
        <v>21</v>
      </c>
      <c r="R34" s="27" t="s">
        <v>70</v>
      </c>
      <c r="S34" s="27"/>
      <c r="T34" s="27"/>
      <c r="U34" s="27"/>
      <c r="V34" s="27"/>
      <c r="W34" s="27"/>
      <c r="X34" s="27">
        <v>12</v>
      </c>
      <c r="Y34" s="27">
        <v>3</v>
      </c>
      <c r="Z34" s="27">
        <v>3</v>
      </c>
      <c r="AM34" s="27"/>
      <c r="AN34" s="27"/>
      <c r="AO34" s="27"/>
      <c r="AP34" s="27"/>
      <c r="AQ34" s="27"/>
      <c r="AR34" s="27"/>
      <c r="AS34" s="27"/>
      <c r="AT34" s="27"/>
      <c r="AU34" s="27"/>
      <c r="AV34" s="12"/>
      <c r="AW34" s="12"/>
      <c r="AX34" s="12"/>
      <c r="AY34" s="12"/>
      <c r="AZ34" s="12"/>
      <c r="BA34" s="12"/>
      <c r="BB34" s="12"/>
    </row>
    <row r="35" spans="1:54" ht="13">
      <c r="A35" s="26" t="s">
        <v>217</v>
      </c>
      <c r="B35" s="236" t="s">
        <v>8</v>
      </c>
      <c r="C35" s="258" t="s">
        <v>218</v>
      </c>
      <c r="D35" s="258" t="s">
        <v>219</v>
      </c>
      <c r="E35" s="236" t="s">
        <v>221</v>
      </c>
      <c r="F35" s="236" t="s">
        <v>83</v>
      </c>
      <c r="G35" s="236" t="s">
        <v>151</v>
      </c>
      <c r="H35" s="236">
        <v>720</v>
      </c>
      <c r="I35" s="236">
        <v>4.5</v>
      </c>
      <c r="J35" s="236"/>
      <c r="K35" s="236"/>
      <c r="L35" s="236"/>
      <c r="M35" s="236"/>
      <c r="N35" s="236"/>
      <c r="O35" s="236"/>
      <c r="P35" s="236" t="s">
        <v>32</v>
      </c>
      <c r="Q35" s="236">
        <v>3</v>
      </c>
      <c r="R35" s="236" t="s">
        <v>32</v>
      </c>
      <c r="S35" s="236"/>
      <c r="T35" s="236"/>
      <c r="U35" s="236"/>
      <c r="V35" s="236"/>
      <c r="W35" s="236"/>
      <c r="X35" s="236"/>
      <c r="Y35" s="236">
        <v>5</v>
      </c>
      <c r="Z35" s="236">
        <v>5</v>
      </c>
      <c r="AM35" s="236"/>
      <c r="AN35" s="236"/>
      <c r="AO35" s="236"/>
      <c r="AP35" s="236"/>
      <c r="AQ35" s="236"/>
      <c r="AR35" s="236"/>
      <c r="AS35" s="236"/>
      <c r="AT35" s="236"/>
      <c r="AU35" s="236"/>
      <c r="AV35" s="12"/>
      <c r="AW35" s="12"/>
      <c r="AX35" s="12"/>
      <c r="AY35" s="12"/>
      <c r="AZ35" s="12"/>
      <c r="BA35" s="12"/>
      <c r="BB35" s="12"/>
    </row>
    <row r="36" spans="1:54" ht="13">
      <c r="A36" s="26" t="s">
        <v>316</v>
      </c>
      <c r="B36" s="27" t="s">
        <v>5</v>
      </c>
      <c r="C36" s="31" t="s">
        <v>318</v>
      </c>
      <c r="D36" s="31" t="s">
        <v>320</v>
      </c>
      <c r="E36" s="27" t="s">
        <v>321</v>
      </c>
      <c r="F36" s="27" t="s">
        <v>215</v>
      </c>
      <c r="G36" s="27" t="s">
        <v>192</v>
      </c>
      <c r="H36" s="27">
        <v>718</v>
      </c>
      <c r="I36" s="27">
        <v>4</v>
      </c>
      <c r="J36" s="27">
        <v>4.25</v>
      </c>
      <c r="K36" s="27">
        <v>4.5</v>
      </c>
      <c r="L36" s="27"/>
      <c r="M36" s="27"/>
      <c r="N36" s="27"/>
      <c r="O36" s="27"/>
      <c r="P36" s="27" t="s">
        <v>32</v>
      </c>
      <c r="Q36" s="27">
        <v>2</v>
      </c>
      <c r="R36" s="27" t="s">
        <v>32</v>
      </c>
      <c r="S36" s="27"/>
      <c r="T36" s="27"/>
      <c r="U36" s="27"/>
      <c r="V36" s="27"/>
      <c r="W36" s="27"/>
      <c r="X36" s="27"/>
      <c r="Y36" s="27">
        <v>10</v>
      </c>
      <c r="Z36" s="27">
        <v>1</v>
      </c>
      <c r="AM36" s="27"/>
      <c r="AN36" s="27"/>
      <c r="AO36" s="27"/>
      <c r="AP36" s="27"/>
      <c r="AQ36" s="27"/>
      <c r="AR36" s="27"/>
      <c r="AS36" s="27"/>
      <c r="AT36" s="27"/>
      <c r="AU36" s="27"/>
      <c r="AV36" s="12"/>
      <c r="AW36" s="12"/>
      <c r="AX36" s="12"/>
      <c r="AY36" s="12"/>
      <c r="AZ36" s="12"/>
      <c r="BA36" s="12"/>
      <c r="BB36" s="12"/>
    </row>
    <row r="37" spans="1:54" ht="13">
      <c r="A37" s="26" t="s">
        <v>276</v>
      </c>
      <c r="B37" s="236" t="s">
        <v>11</v>
      </c>
      <c r="C37" s="258" t="s">
        <v>278</v>
      </c>
      <c r="D37" s="258" t="s">
        <v>280</v>
      </c>
      <c r="E37" s="236" t="s">
        <v>282</v>
      </c>
      <c r="F37" s="236" t="s">
        <v>83</v>
      </c>
      <c r="G37" s="236" t="s">
        <v>97</v>
      </c>
      <c r="H37" s="236">
        <v>712</v>
      </c>
      <c r="I37" s="236">
        <v>6.5</v>
      </c>
      <c r="J37" s="236"/>
      <c r="K37" s="236"/>
      <c r="L37" s="236"/>
      <c r="M37" s="236"/>
      <c r="N37" s="236"/>
      <c r="O37" s="236"/>
      <c r="P37" s="236" t="s">
        <v>78</v>
      </c>
      <c r="Q37" s="236">
        <v>32</v>
      </c>
      <c r="R37" s="236" t="s">
        <v>78</v>
      </c>
      <c r="S37" s="236"/>
      <c r="T37" s="236"/>
      <c r="U37" s="236"/>
      <c r="V37" s="236"/>
      <c r="W37" s="236"/>
      <c r="X37" s="236">
        <v>3</v>
      </c>
      <c r="Y37" s="236">
        <v>4</v>
      </c>
      <c r="Z37" s="236">
        <v>5</v>
      </c>
      <c r="AM37" s="236"/>
      <c r="AN37" s="236"/>
      <c r="AO37" s="236"/>
      <c r="AP37" s="236"/>
      <c r="AQ37" s="236"/>
      <c r="AR37" s="236"/>
      <c r="AS37" s="236"/>
      <c r="AT37" s="236"/>
      <c r="AU37" s="236"/>
      <c r="AV37" s="12"/>
      <c r="AW37" s="12"/>
      <c r="AX37" s="12"/>
      <c r="AY37" s="12"/>
      <c r="AZ37" s="12"/>
      <c r="BA37" s="12"/>
      <c r="BB37" s="12"/>
    </row>
    <row r="38" spans="1:54" ht="13">
      <c r="A38" s="26" t="s">
        <v>328</v>
      </c>
      <c r="B38" s="27" t="s">
        <v>11</v>
      </c>
      <c r="C38" s="31" t="s">
        <v>330</v>
      </c>
      <c r="D38" s="31" t="s">
        <v>331</v>
      </c>
      <c r="E38" s="27" t="s">
        <v>333</v>
      </c>
      <c r="F38" s="27" t="s">
        <v>90</v>
      </c>
      <c r="G38" s="27" t="s">
        <v>114</v>
      </c>
      <c r="H38" s="27">
        <v>671</v>
      </c>
      <c r="I38" s="27">
        <v>5</v>
      </c>
      <c r="J38" s="27"/>
      <c r="K38" s="27"/>
      <c r="L38" s="27"/>
      <c r="M38" s="27"/>
      <c r="N38" s="27"/>
      <c r="O38" s="27"/>
      <c r="P38" s="27" t="s">
        <v>78</v>
      </c>
      <c r="Q38" s="27">
        <v>21</v>
      </c>
      <c r="R38" s="27" t="s">
        <v>78</v>
      </c>
      <c r="S38" s="27"/>
      <c r="T38" s="27"/>
      <c r="U38" s="27"/>
      <c r="V38" s="27"/>
      <c r="W38" s="27"/>
      <c r="X38" s="27">
        <v>3</v>
      </c>
      <c r="Y38" s="27">
        <v>3</v>
      </c>
      <c r="Z38" s="27">
        <v>3</v>
      </c>
      <c r="AM38" s="27"/>
      <c r="AN38" s="27"/>
      <c r="AO38" s="27"/>
      <c r="AP38" s="27"/>
      <c r="AQ38" s="27"/>
      <c r="AR38" s="27"/>
      <c r="AS38" s="27"/>
      <c r="AT38" s="27"/>
      <c r="AU38" s="27"/>
      <c r="AV38" s="12"/>
      <c r="AW38" s="12"/>
      <c r="AX38" s="12"/>
      <c r="AY38" s="12"/>
      <c r="AZ38" s="12"/>
      <c r="BA38" s="12"/>
      <c r="BB38" s="12"/>
    </row>
    <row r="39" spans="1:54" ht="13">
      <c r="A39" s="26" t="s">
        <v>450</v>
      </c>
      <c r="B39" s="236" t="s">
        <v>12</v>
      </c>
      <c r="C39" s="258" t="s">
        <v>451</v>
      </c>
      <c r="D39" s="258" t="s">
        <v>452</v>
      </c>
      <c r="E39" s="236" t="s">
        <v>453</v>
      </c>
      <c r="F39" s="236" t="s">
        <v>336</v>
      </c>
      <c r="G39" s="236" t="s">
        <v>109</v>
      </c>
      <c r="H39" s="236">
        <v>667</v>
      </c>
      <c r="I39" s="236">
        <v>8</v>
      </c>
      <c r="J39" s="236">
        <v>8</v>
      </c>
      <c r="K39" s="236"/>
      <c r="L39" s="236"/>
      <c r="M39" s="236"/>
      <c r="N39" s="236"/>
      <c r="O39" s="236" t="s">
        <v>942</v>
      </c>
      <c r="P39" s="236" t="s">
        <v>78</v>
      </c>
      <c r="Q39" s="236">
        <v>4</v>
      </c>
      <c r="R39" s="236" t="s">
        <v>70</v>
      </c>
      <c r="S39" s="236"/>
      <c r="T39" s="236"/>
      <c r="U39" s="236"/>
      <c r="V39" s="236"/>
      <c r="W39" s="236">
        <v>3</v>
      </c>
      <c r="X39" s="236">
        <v>4</v>
      </c>
      <c r="Y39" s="236">
        <v>4</v>
      </c>
      <c r="Z39" s="236">
        <v>5.75</v>
      </c>
      <c r="AM39" s="236"/>
      <c r="AN39" s="236"/>
      <c r="AO39" s="236"/>
      <c r="AP39" s="236"/>
      <c r="AQ39" s="236"/>
      <c r="AR39" s="236"/>
      <c r="AS39" s="236"/>
      <c r="AT39" s="236"/>
      <c r="AU39" s="236"/>
      <c r="AV39" s="12"/>
      <c r="AW39" s="12"/>
      <c r="AX39" s="12"/>
      <c r="AY39" s="12"/>
      <c r="AZ39" s="12"/>
      <c r="BA39" s="12"/>
      <c r="BB39" s="12"/>
    </row>
    <row r="40" spans="1:54" ht="13">
      <c r="A40" s="26" t="s">
        <v>228</v>
      </c>
      <c r="B40" s="27" t="s">
        <v>5</v>
      </c>
      <c r="C40" s="31" t="s">
        <v>230</v>
      </c>
      <c r="D40" s="31" t="s">
        <v>232</v>
      </c>
      <c r="E40" s="27" t="s">
        <v>233</v>
      </c>
      <c r="F40" s="27" t="s">
        <v>90</v>
      </c>
      <c r="G40" s="27" t="s">
        <v>55</v>
      </c>
      <c r="H40" s="27">
        <v>667</v>
      </c>
      <c r="I40" s="27">
        <v>19.25</v>
      </c>
      <c r="J40" s="27">
        <v>5</v>
      </c>
      <c r="K40" s="27">
        <v>5</v>
      </c>
      <c r="L40" s="27">
        <v>5</v>
      </c>
      <c r="M40" s="27">
        <v>5</v>
      </c>
      <c r="N40" s="27">
        <v>5</v>
      </c>
      <c r="O40" s="27" t="s">
        <v>1284</v>
      </c>
      <c r="P40" s="27" t="s">
        <v>33</v>
      </c>
      <c r="Q40" s="27">
        <v>3</v>
      </c>
      <c r="R40" s="27" t="s">
        <v>32</v>
      </c>
      <c r="S40" s="27"/>
      <c r="T40" s="27"/>
      <c r="U40" s="27"/>
      <c r="V40" s="27"/>
      <c r="W40" s="27"/>
      <c r="X40" s="27"/>
      <c r="Y40" s="27">
        <v>3</v>
      </c>
      <c r="Z40" s="27">
        <v>6</v>
      </c>
      <c r="AM40" s="27"/>
      <c r="AN40" s="27"/>
      <c r="AO40" s="27"/>
      <c r="AP40" s="27"/>
      <c r="AQ40" s="27"/>
      <c r="AR40" s="27"/>
      <c r="AS40" s="27"/>
      <c r="AT40" s="27"/>
      <c r="AU40" s="27"/>
      <c r="AV40" s="12"/>
      <c r="AW40" s="12"/>
      <c r="AX40" s="12"/>
      <c r="AY40" s="12"/>
      <c r="AZ40" s="12"/>
      <c r="BA40" s="12"/>
      <c r="BB40" s="12"/>
    </row>
    <row r="41" spans="1:54" ht="13">
      <c r="A41" s="26" t="s">
        <v>353</v>
      </c>
      <c r="B41" s="236" t="s">
        <v>10</v>
      </c>
      <c r="C41" s="258" t="s">
        <v>354</v>
      </c>
      <c r="D41" s="258" t="s">
        <v>355</v>
      </c>
      <c r="E41" s="236" t="s">
        <v>356</v>
      </c>
      <c r="F41" s="236" t="s">
        <v>336</v>
      </c>
      <c r="G41" s="236" t="s">
        <v>114</v>
      </c>
      <c r="H41" s="236">
        <v>662</v>
      </c>
      <c r="I41" s="236">
        <v>5</v>
      </c>
      <c r="J41" s="236">
        <v>6.25</v>
      </c>
      <c r="K41" s="236"/>
      <c r="L41" s="236"/>
      <c r="M41" s="236"/>
      <c r="N41" s="236"/>
      <c r="O41" s="236"/>
      <c r="P41" s="236" t="s">
        <v>70</v>
      </c>
      <c r="Q41" s="236">
        <v>52</v>
      </c>
      <c r="R41" s="236" t="s">
        <v>70</v>
      </c>
      <c r="S41" s="236"/>
      <c r="T41" s="236"/>
      <c r="U41" s="236"/>
      <c r="V41" s="236"/>
      <c r="W41" s="236">
        <v>3.5</v>
      </c>
      <c r="X41" s="236">
        <v>3.5</v>
      </c>
      <c r="Y41" s="236">
        <v>3.5</v>
      </c>
      <c r="Z41" s="236">
        <v>5</v>
      </c>
      <c r="AM41" s="236"/>
      <c r="AN41" s="236"/>
      <c r="AO41" s="236"/>
      <c r="AP41" s="236"/>
      <c r="AQ41" s="236"/>
      <c r="AR41" s="236"/>
      <c r="AS41" s="236"/>
      <c r="AT41" s="236"/>
      <c r="AU41" s="236"/>
      <c r="AV41" s="12"/>
      <c r="AW41" s="12"/>
      <c r="AX41" s="12"/>
      <c r="AY41" s="12"/>
      <c r="AZ41" s="12"/>
      <c r="BA41" s="12"/>
      <c r="BB41" s="12"/>
    </row>
    <row r="42" spans="1:54" ht="13">
      <c r="A42" s="26" t="s">
        <v>237</v>
      </c>
      <c r="B42" s="27" t="s">
        <v>8</v>
      </c>
      <c r="C42" s="31" t="s">
        <v>239</v>
      </c>
      <c r="D42" s="31" t="s">
        <v>240</v>
      </c>
      <c r="E42" s="27" t="s">
        <v>243</v>
      </c>
      <c r="F42" s="27" t="s">
        <v>131</v>
      </c>
      <c r="G42" s="27" t="s">
        <v>159</v>
      </c>
      <c r="H42" s="27">
        <v>660</v>
      </c>
      <c r="I42" s="27">
        <v>5.5</v>
      </c>
      <c r="J42" s="27">
        <v>5.25</v>
      </c>
      <c r="K42" s="27">
        <v>7.25</v>
      </c>
      <c r="L42" s="27"/>
      <c r="M42" s="27"/>
      <c r="N42" s="27"/>
      <c r="O42" s="27" t="s">
        <v>1048</v>
      </c>
      <c r="P42" s="27" t="s">
        <v>32</v>
      </c>
      <c r="Q42" s="27">
        <v>9</v>
      </c>
      <c r="R42" s="27" t="s">
        <v>32</v>
      </c>
      <c r="S42" s="27"/>
      <c r="T42" s="27"/>
      <c r="U42" s="27"/>
      <c r="V42" s="27"/>
      <c r="W42" s="27"/>
      <c r="X42" s="27"/>
      <c r="Y42" s="27">
        <v>5</v>
      </c>
      <c r="Z42" s="27">
        <v>5</v>
      </c>
      <c r="AM42" s="27"/>
      <c r="AN42" s="27"/>
      <c r="AO42" s="27"/>
      <c r="AP42" s="27"/>
      <c r="AQ42" s="27"/>
      <c r="AR42" s="27"/>
      <c r="AS42" s="27"/>
      <c r="AT42" s="27"/>
      <c r="AU42" s="27"/>
      <c r="AV42" s="12"/>
      <c r="AW42" s="12"/>
      <c r="AX42" s="12"/>
      <c r="AY42" s="12"/>
      <c r="AZ42" s="12"/>
      <c r="BA42" s="12"/>
      <c r="BB42" s="12"/>
    </row>
    <row r="43" spans="1:54" ht="13">
      <c r="A43" s="26" t="s">
        <v>408</v>
      </c>
      <c r="B43" s="236" t="s">
        <v>8</v>
      </c>
      <c r="C43" s="258" t="s">
        <v>409</v>
      </c>
      <c r="D43" s="258" t="s">
        <v>410</v>
      </c>
      <c r="E43" s="236" t="s">
        <v>411</v>
      </c>
      <c r="F43" s="236" t="s">
        <v>180</v>
      </c>
      <c r="G43" s="236" t="s">
        <v>192</v>
      </c>
      <c r="H43" s="236">
        <v>628</v>
      </c>
      <c r="I43" s="236">
        <v>10</v>
      </c>
      <c r="J43" s="236">
        <v>5</v>
      </c>
      <c r="K43" s="236">
        <v>5</v>
      </c>
      <c r="L43" s="236"/>
      <c r="M43" s="236"/>
      <c r="N43" s="236"/>
      <c r="O43" s="236" t="s">
        <v>226</v>
      </c>
      <c r="P43" s="236" t="s">
        <v>32</v>
      </c>
      <c r="Q43" s="236">
        <v>7</v>
      </c>
      <c r="R43" s="236" t="s">
        <v>32</v>
      </c>
      <c r="S43" s="236"/>
      <c r="T43" s="236"/>
      <c r="U43" s="236"/>
      <c r="V43" s="236"/>
      <c r="W43" s="236"/>
      <c r="X43" s="236"/>
      <c r="Y43" s="236">
        <v>4</v>
      </c>
      <c r="Z43" s="236">
        <v>3</v>
      </c>
      <c r="AM43" s="236"/>
      <c r="AN43" s="236"/>
      <c r="AO43" s="236"/>
      <c r="AP43" s="236"/>
      <c r="AQ43" s="236"/>
      <c r="AR43" s="236"/>
      <c r="AS43" s="236"/>
      <c r="AT43" s="236"/>
      <c r="AU43" s="236"/>
      <c r="AV43" s="12"/>
      <c r="AW43" s="12"/>
      <c r="AX43" s="12"/>
      <c r="AY43" s="12"/>
      <c r="AZ43" s="12"/>
      <c r="BA43" s="12"/>
      <c r="BB43" s="12"/>
    </row>
    <row r="44" spans="1:54" ht="13">
      <c r="A44" s="26" t="s">
        <v>1404</v>
      </c>
      <c r="B44" s="27" t="s">
        <v>12</v>
      </c>
      <c r="C44" s="31" t="s">
        <v>551</v>
      </c>
      <c r="D44" s="31" t="s">
        <v>1408</v>
      </c>
      <c r="E44" s="27" t="s">
        <v>2218</v>
      </c>
      <c r="F44" s="27" t="s">
        <v>90</v>
      </c>
      <c r="G44" s="27" t="s">
        <v>109</v>
      </c>
      <c r="H44" s="27">
        <v>620</v>
      </c>
      <c r="I44" s="27">
        <v>8.5</v>
      </c>
      <c r="J44" s="27"/>
      <c r="K44" s="27"/>
      <c r="L44" s="27"/>
      <c r="M44" s="27"/>
      <c r="N44" s="27"/>
      <c r="O44" s="27"/>
      <c r="P44" s="27" t="s">
        <v>70</v>
      </c>
      <c r="Q44" s="27" t="s">
        <v>141</v>
      </c>
      <c r="R44" s="27" t="s">
        <v>70</v>
      </c>
      <c r="S44" s="27"/>
      <c r="T44" s="27"/>
      <c r="U44" s="27"/>
      <c r="V44" s="27"/>
      <c r="W44" s="27"/>
      <c r="X44" s="27">
        <v>2</v>
      </c>
      <c r="Y44" s="27">
        <v>5</v>
      </c>
      <c r="Z44" s="27">
        <v>6.5</v>
      </c>
      <c r="AM44" s="27"/>
      <c r="AN44" s="27"/>
      <c r="AO44" s="27"/>
      <c r="AP44" s="27"/>
      <c r="AQ44" s="27"/>
      <c r="AR44" s="27"/>
      <c r="AS44" s="27"/>
      <c r="AT44" s="27"/>
      <c r="AU44" s="27"/>
      <c r="AV44" s="12"/>
      <c r="AW44" s="12"/>
      <c r="AX44" s="12"/>
      <c r="AY44" s="12"/>
      <c r="AZ44" s="12"/>
      <c r="BA44" s="12"/>
      <c r="BB44" s="12"/>
    </row>
    <row r="45" spans="1:54" ht="13">
      <c r="A45" s="26" t="s">
        <v>357</v>
      </c>
      <c r="B45" s="236" t="s">
        <v>3</v>
      </c>
      <c r="C45" s="258" t="s">
        <v>358</v>
      </c>
      <c r="D45" s="258" t="s">
        <v>359</v>
      </c>
      <c r="E45" s="236" t="s">
        <v>360</v>
      </c>
      <c r="F45" s="236" t="s">
        <v>336</v>
      </c>
      <c r="G45" s="236" t="s">
        <v>109</v>
      </c>
      <c r="H45" s="236">
        <v>619</v>
      </c>
      <c r="I45" s="236">
        <v>5</v>
      </c>
      <c r="J45" s="236">
        <v>6.5</v>
      </c>
      <c r="K45" s="236"/>
      <c r="L45" s="236"/>
      <c r="M45" s="236"/>
      <c r="N45" s="236"/>
      <c r="O45" s="236"/>
      <c r="P45" s="236" t="s">
        <v>126</v>
      </c>
      <c r="Q45" s="236">
        <v>10</v>
      </c>
      <c r="R45" s="236" t="s">
        <v>126</v>
      </c>
      <c r="S45" s="236"/>
      <c r="T45" s="236"/>
      <c r="U45" s="236"/>
      <c r="V45" s="236"/>
      <c r="W45" s="236">
        <v>7</v>
      </c>
      <c r="X45" s="236">
        <v>1</v>
      </c>
      <c r="Y45" s="236">
        <v>1</v>
      </c>
      <c r="Z45" s="236">
        <v>4</v>
      </c>
      <c r="AM45" s="236"/>
      <c r="AN45" s="236"/>
      <c r="AO45" s="236"/>
      <c r="AP45" s="236"/>
      <c r="AQ45" s="236"/>
      <c r="AR45" s="236"/>
      <c r="AS45" s="236"/>
      <c r="AT45" s="236"/>
      <c r="AU45" s="236"/>
      <c r="AV45" s="12"/>
      <c r="AW45" s="12"/>
      <c r="AX45" s="12"/>
      <c r="AY45" s="12"/>
      <c r="AZ45" s="12"/>
      <c r="BA45" s="12"/>
      <c r="BB45" s="12"/>
    </row>
    <row r="46" spans="1:54" ht="13">
      <c r="A46" s="26" t="s">
        <v>267</v>
      </c>
      <c r="B46" s="27" t="s">
        <v>8</v>
      </c>
      <c r="C46" s="31" t="s">
        <v>269</v>
      </c>
      <c r="D46" s="31" t="s">
        <v>271</v>
      </c>
      <c r="E46" s="27" t="s">
        <v>272</v>
      </c>
      <c r="F46" s="27" t="s">
        <v>215</v>
      </c>
      <c r="G46" s="27" t="s">
        <v>97</v>
      </c>
      <c r="H46" s="27">
        <v>612</v>
      </c>
      <c r="I46" s="27">
        <v>5</v>
      </c>
      <c r="J46" s="27"/>
      <c r="K46" s="27"/>
      <c r="L46" s="27"/>
      <c r="M46" s="27"/>
      <c r="N46" s="27"/>
      <c r="O46" s="27" t="s">
        <v>2219</v>
      </c>
      <c r="P46" s="27" t="s">
        <v>33</v>
      </c>
      <c r="Q46" s="27">
        <v>1</v>
      </c>
      <c r="R46" s="27" t="s">
        <v>32</v>
      </c>
      <c r="S46" s="27"/>
      <c r="T46" s="27"/>
      <c r="U46" s="27"/>
      <c r="V46" s="27"/>
      <c r="W46" s="27"/>
      <c r="X46" s="27"/>
      <c r="Y46" s="27">
        <v>1</v>
      </c>
      <c r="Z46" s="27">
        <v>5</v>
      </c>
      <c r="AM46" s="27"/>
      <c r="AN46" s="27"/>
      <c r="AO46" s="27"/>
      <c r="AP46" s="27"/>
      <c r="AQ46" s="27"/>
      <c r="AR46" s="27"/>
      <c r="AS46" s="27"/>
      <c r="AT46" s="27"/>
      <c r="AU46" s="27"/>
      <c r="AV46" s="12"/>
      <c r="AW46" s="12"/>
      <c r="AX46" s="12"/>
      <c r="AY46" s="12"/>
      <c r="AZ46" s="12"/>
      <c r="BA46" s="12"/>
      <c r="BB46" s="12"/>
    </row>
    <row r="47" spans="1:54" ht="13">
      <c r="A47" s="26" t="s">
        <v>546</v>
      </c>
      <c r="B47" s="236" t="s">
        <v>11</v>
      </c>
      <c r="C47" s="258" t="s">
        <v>547</v>
      </c>
      <c r="D47" s="258" t="s">
        <v>548</v>
      </c>
      <c r="E47" s="236" t="s">
        <v>549</v>
      </c>
      <c r="F47" s="236" t="s">
        <v>180</v>
      </c>
      <c r="G47" s="236" t="s">
        <v>84</v>
      </c>
      <c r="H47" s="236">
        <v>611</v>
      </c>
      <c r="I47" s="236">
        <v>7.25</v>
      </c>
      <c r="J47" s="236"/>
      <c r="K47" s="236"/>
      <c r="L47" s="236"/>
      <c r="M47" s="236"/>
      <c r="N47" s="236"/>
      <c r="O47" s="236" t="s">
        <v>2219</v>
      </c>
      <c r="P47" s="236" t="s">
        <v>70</v>
      </c>
      <c r="Q47" s="236">
        <v>7</v>
      </c>
      <c r="R47" s="236" t="s">
        <v>70</v>
      </c>
      <c r="S47" s="236"/>
      <c r="T47" s="236"/>
      <c r="U47" s="236"/>
      <c r="V47" s="236"/>
      <c r="W47" s="236"/>
      <c r="X47" s="236">
        <v>4.5</v>
      </c>
      <c r="Y47" s="236">
        <v>4</v>
      </c>
      <c r="Z47" s="236">
        <v>5</v>
      </c>
      <c r="AM47" s="236"/>
      <c r="AN47" s="236"/>
      <c r="AO47" s="236"/>
      <c r="AP47" s="236"/>
      <c r="AQ47" s="236"/>
      <c r="AR47" s="236"/>
      <c r="AS47" s="236"/>
      <c r="AT47" s="236"/>
      <c r="AU47" s="236"/>
      <c r="AV47" s="12"/>
      <c r="AW47" s="12"/>
      <c r="AX47" s="12"/>
      <c r="AY47" s="12"/>
      <c r="AZ47" s="12"/>
      <c r="BA47" s="12"/>
      <c r="BB47" s="12"/>
    </row>
    <row r="48" spans="1:54" ht="13">
      <c r="A48" s="26" t="s">
        <v>394</v>
      </c>
      <c r="B48" s="27" t="s">
        <v>3</v>
      </c>
      <c r="C48" s="31" t="s">
        <v>395</v>
      </c>
      <c r="D48" s="31" t="s">
        <v>396</v>
      </c>
      <c r="E48" s="27" t="s">
        <v>397</v>
      </c>
      <c r="F48" s="27" t="s">
        <v>67</v>
      </c>
      <c r="G48" s="27" t="s">
        <v>398</v>
      </c>
      <c r="H48" s="27">
        <v>605</v>
      </c>
      <c r="I48" s="27">
        <v>5</v>
      </c>
      <c r="J48" s="27">
        <v>6.5</v>
      </c>
      <c r="K48" s="27">
        <v>7.25</v>
      </c>
      <c r="L48" s="27"/>
      <c r="M48" s="27"/>
      <c r="N48" s="27"/>
      <c r="O48" s="27" t="s">
        <v>226</v>
      </c>
      <c r="P48" s="27" t="s">
        <v>70</v>
      </c>
      <c r="Q48" s="27">
        <v>53</v>
      </c>
      <c r="R48" s="27" t="s">
        <v>70</v>
      </c>
      <c r="S48" s="27"/>
      <c r="T48" s="27"/>
      <c r="U48" s="27"/>
      <c r="V48" s="27"/>
      <c r="W48" s="27">
        <v>3</v>
      </c>
      <c r="X48" s="27">
        <v>4</v>
      </c>
      <c r="Y48" s="27">
        <v>5</v>
      </c>
      <c r="Z48" s="27">
        <v>5.75</v>
      </c>
      <c r="AM48" s="27"/>
      <c r="AN48" s="27"/>
      <c r="AO48" s="27"/>
      <c r="AP48" s="27"/>
      <c r="AQ48" s="27"/>
      <c r="AR48" s="27"/>
      <c r="AS48" s="27"/>
      <c r="AT48" s="27"/>
      <c r="AU48" s="27"/>
      <c r="AV48" s="12"/>
      <c r="AW48" s="12"/>
      <c r="AX48" s="12"/>
      <c r="AY48" s="12"/>
      <c r="AZ48" s="12"/>
      <c r="BA48" s="12"/>
      <c r="BB48" s="12"/>
    </row>
    <row r="49" spans="1:54" ht="13">
      <c r="A49" s="26" t="s">
        <v>442</v>
      </c>
      <c r="B49" s="236" t="s">
        <v>12</v>
      </c>
      <c r="C49" s="258" t="s">
        <v>443</v>
      </c>
      <c r="D49" s="258" t="s">
        <v>444</v>
      </c>
      <c r="E49" s="236" t="s">
        <v>445</v>
      </c>
      <c r="F49" s="236" t="s">
        <v>67</v>
      </c>
      <c r="G49" s="236" t="s">
        <v>181</v>
      </c>
      <c r="H49" s="236">
        <v>601</v>
      </c>
      <c r="I49" s="236">
        <v>5.75</v>
      </c>
      <c r="J49" s="236">
        <v>7.25</v>
      </c>
      <c r="K49" s="236">
        <v>8</v>
      </c>
      <c r="L49" s="236"/>
      <c r="M49" s="236"/>
      <c r="N49" s="236"/>
      <c r="O49" s="236"/>
      <c r="P49" s="236" t="s">
        <v>70</v>
      </c>
      <c r="Q49" s="236">
        <v>69</v>
      </c>
      <c r="R49" s="236" t="s">
        <v>70</v>
      </c>
      <c r="S49" s="236"/>
      <c r="T49" s="236"/>
      <c r="U49" s="236"/>
      <c r="V49" s="236"/>
      <c r="W49" s="236">
        <v>3</v>
      </c>
      <c r="X49" s="236">
        <v>5</v>
      </c>
      <c r="Y49" s="236">
        <v>5</v>
      </c>
      <c r="Z49" s="236">
        <v>5</v>
      </c>
      <c r="AM49" s="236"/>
      <c r="AN49" s="236"/>
      <c r="AO49" s="236"/>
      <c r="AP49" s="236"/>
      <c r="AQ49" s="236"/>
      <c r="AR49" s="236"/>
      <c r="AS49" s="236"/>
      <c r="AT49" s="236"/>
      <c r="AU49" s="236"/>
      <c r="AV49" s="12"/>
      <c r="AW49" s="12"/>
      <c r="AX49" s="12"/>
      <c r="AY49" s="12"/>
      <c r="AZ49" s="12"/>
      <c r="BA49" s="12"/>
      <c r="BB49" s="12"/>
    </row>
    <row r="50" spans="1:54" ht="13">
      <c r="A50" s="26" t="s">
        <v>399</v>
      </c>
      <c r="B50" s="27" t="s">
        <v>3</v>
      </c>
      <c r="C50" s="31" t="s">
        <v>400</v>
      </c>
      <c r="D50" s="31" t="s">
        <v>401</v>
      </c>
      <c r="E50" s="27" t="s">
        <v>402</v>
      </c>
      <c r="F50" s="27" t="s">
        <v>103</v>
      </c>
      <c r="G50" s="27" t="s">
        <v>159</v>
      </c>
      <c r="H50" s="27">
        <v>583</v>
      </c>
      <c r="I50" s="27">
        <v>5</v>
      </c>
      <c r="J50" s="27">
        <v>5.75</v>
      </c>
      <c r="K50" s="27">
        <v>7.25</v>
      </c>
      <c r="L50" s="27">
        <v>8</v>
      </c>
      <c r="M50" s="27"/>
      <c r="N50" s="27"/>
      <c r="O50" s="27" t="s">
        <v>202</v>
      </c>
      <c r="P50" s="27" t="s">
        <v>70</v>
      </c>
      <c r="Q50" s="27" t="s">
        <v>141</v>
      </c>
      <c r="R50" s="27" t="s">
        <v>70</v>
      </c>
      <c r="S50" s="27"/>
      <c r="T50" s="27"/>
      <c r="U50" s="27"/>
      <c r="V50" s="27"/>
      <c r="W50" s="27">
        <v>2</v>
      </c>
      <c r="X50" s="27">
        <v>3</v>
      </c>
      <c r="Y50" s="27">
        <v>3</v>
      </c>
      <c r="Z50" s="27">
        <v>3</v>
      </c>
      <c r="AM50" s="27"/>
      <c r="AN50" s="27"/>
      <c r="AO50" s="27"/>
      <c r="AP50" s="27"/>
      <c r="AQ50" s="27"/>
      <c r="AR50" s="27"/>
      <c r="AS50" s="27"/>
      <c r="AT50" s="27"/>
      <c r="AU50" s="27"/>
      <c r="AV50" s="12"/>
      <c r="AW50" s="12"/>
      <c r="AX50" s="12"/>
      <c r="AY50" s="12"/>
      <c r="AZ50" s="12"/>
      <c r="BA50" s="12"/>
      <c r="BB50" s="12"/>
    </row>
    <row r="51" spans="1:54" ht="13">
      <c r="A51" s="26" t="s">
        <v>1533</v>
      </c>
      <c r="B51" s="236" t="s">
        <v>5</v>
      </c>
      <c r="C51" s="258" t="s">
        <v>1536</v>
      </c>
      <c r="D51" s="258" t="s">
        <v>1537</v>
      </c>
      <c r="E51" s="236" t="s">
        <v>2220</v>
      </c>
      <c r="F51" s="236" t="s">
        <v>336</v>
      </c>
      <c r="G51" s="236" t="s">
        <v>55</v>
      </c>
      <c r="H51" s="236">
        <v>583</v>
      </c>
      <c r="I51" s="236">
        <v>5.75</v>
      </c>
      <c r="J51" s="236">
        <v>5.75</v>
      </c>
      <c r="K51" s="236"/>
      <c r="L51" s="236"/>
      <c r="M51" s="236"/>
      <c r="N51" s="236"/>
      <c r="O51" s="236"/>
      <c r="P51" s="236" t="s">
        <v>70</v>
      </c>
      <c r="Q51" s="236">
        <v>50</v>
      </c>
      <c r="R51" s="236" t="s">
        <v>70</v>
      </c>
      <c r="S51" s="236"/>
      <c r="T51" s="236"/>
      <c r="U51" s="236"/>
      <c r="V51" s="236"/>
      <c r="W51" s="236"/>
      <c r="X51" s="236">
        <v>3</v>
      </c>
      <c r="Y51" s="236">
        <v>3</v>
      </c>
      <c r="Z51" s="236">
        <v>4.5</v>
      </c>
      <c r="AM51" s="236"/>
      <c r="AN51" s="236"/>
      <c r="AO51" s="236"/>
      <c r="AP51" s="236"/>
      <c r="AQ51" s="236"/>
      <c r="AR51" s="236"/>
      <c r="AS51" s="236"/>
      <c r="AT51" s="236"/>
      <c r="AU51" s="236"/>
      <c r="AV51" s="12"/>
      <c r="AW51" s="12"/>
      <c r="AX51" s="12"/>
      <c r="AY51" s="12"/>
      <c r="AZ51" s="12"/>
      <c r="BA51" s="12"/>
      <c r="BB51" s="12"/>
    </row>
    <row r="52" spans="1:54" ht="13">
      <c r="A52" s="26" t="s">
        <v>555</v>
      </c>
      <c r="B52" s="27" t="s">
        <v>11</v>
      </c>
      <c r="C52" s="31" t="s">
        <v>556</v>
      </c>
      <c r="D52" s="31" t="s">
        <v>557</v>
      </c>
      <c r="E52" s="27" t="s">
        <v>558</v>
      </c>
      <c r="F52" s="27" t="s">
        <v>67</v>
      </c>
      <c r="G52" s="27" t="s">
        <v>68</v>
      </c>
      <c r="H52" s="27">
        <v>582</v>
      </c>
      <c r="I52" s="27">
        <v>5</v>
      </c>
      <c r="J52" s="27"/>
      <c r="K52" s="27"/>
      <c r="L52" s="27"/>
      <c r="M52" s="27"/>
      <c r="N52" s="27"/>
      <c r="O52" s="27"/>
      <c r="P52" s="27" t="s">
        <v>70</v>
      </c>
      <c r="Q52" s="27">
        <v>35</v>
      </c>
      <c r="R52" s="27" t="s">
        <v>70</v>
      </c>
      <c r="S52" s="27"/>
      <c r="T52" s="27"/>
      <c r="U52" s="27"/>
      <c r="V52" s="27"/>
      <c r="W52" s="27"/>
      <c r="X52" s="27">
        <v>3</v>
      </c>
      <c r="Y52" s="27">
        <v>3</v>
      </c>
      <c r="Z52" s="27">
        <v>4</v>
      </c>
      <c r="AM52" s="27"/>
      <c r="AN52" s="27"/>
      <c r="AO52" s="27"/>
      <c r="AP52" s="27"/>
      <c r="AQ52" s="27"/>
      <c r="AR52" s="27"/>
      <c r="AS52" s="27"/>
      <c r="AT52" s="27"/>
      <c r="AU52" s="27"/>
      <c r="AV52" s="12"/>
      <c r="AW52" s="12"/>
      <c r="AX52" s="12"/>
      <c r="AY52" s="12"/>
      <c r="AZ52" s="12"/>
      <c r="BA52" s="12"/>
      <c r="BB52" s="12"/>
    </row>
    <row r="53" spans="1:54" ht="13">
      <c r="A53" s="26" t="s">
        <v>227</v>
      </c>
      <c r="B53" s="236" t="s">
        <v>10</v>
      </c>
      <c r="C53" s="258" t="s">
        <v>229</v>
      </c>
      <c r="D53" s="258" t="s">
        <v>231</v>
      </c>
      <c r="E53" s="236" t="s">
        <v>262</v>
      </c>
      <c r="F53" s="236" t="s">
        <v>67</v>
      </c>
      <c r="G53" s="236" t="s">
        <v>97</v>
      </c>
      <c r="H53" s="236">
        <v>580</v>
      </c>
      <c r="I53" s="236">
        <v>4</v>
      </c>
      <c r="J53" s="236">
        <v>5</v>
      </c>
      <c r="K53" s="236">
        <v>6.5</v>
      </c>
      <c r="L53" s="236">
        <v>7.25</v>
      </c>
      <c r="M53" s="236">
        <v>8.5</v>
      </c>
      <c r="N53" s="236"/>
      <c r="O53" s="236" t="s">
        <v>234</v>
      </c>
      <c r="P53" s="236" t="s">
        <v>33</v>
      </c>
      <c r="Q53" s="236">
        <v>9</v>
      </c>
      <c r="R53" s="236" t="s">
        <v>33</v>
      </c>
      <c r="S53" s="236"/>
      <c r="T53" s="236"/>
      <c r="U53" s="236"/>
      <c r="V53" s="236"/>
      <c r="W53" s="236"/>
      <c r="X53" s="236"/>
      <c r="Y53" s="236">
        <v>4</v>
      </c>
      <c r="Z53" s="236">
        <v>4</v>
      </c>
      <c r="AM53" s="236"/>
      <c r="AN53" s="236"/>
      <c r="AO53" s="236"/>
      <c r="AP53" s="236"/>
      <c r="AQ53" s="236"/>
      <c r="AR53" s="236"/>
      <c r="AS53" s="236"/>
      <c r="AT53" s="236"/>
      <c r="AU53" s="236"/>
      <c r="AV53" s="12"/>
      <c r="AW53" s="12"/>
      <c r="AX53" s="12"/>
      <c r="AY53" s="12"/>
      <c r="AZ53" s="12"/>
      <c r="BA53" s="12"/>
      <c r="BB53" s="12"/>
    </row>
    <row r="54" spans="1:54" ht="13">
      <c r="A54" s="26" t="s">
        <v>376</v>
      </c>
      <c r="B54" s="27" t="s">
        <v>8</v>
      </c>
      <c r="C54" s="31" t="s">
        <v>377</v>
      </c>
      <c r="D54" s="31" t="s">
        <v>378</v>
      </c>
      <c r="E54" s="27" t="s">
        <v>379</v>
      </c>
      <c r="F54" s="27" t="s">
        <v>103</v>
      </c>
      <c r="G54" s="27" t="s">
        <v>294</v>
      </c>
      <c r="H54" s="27">
        <v>564</v>
      </c>
      <c r="I54" s="27">
        <v>6.25</v>
      </c>
      <c r="J54" s="27">
        <v>6</v>
      </c>
      <c r="K54" s="27">
        <v>6</v>
      </c>
      <c r="L54" s="27"/>
      <c r="M54" s="27"/>
      <c r="N54" s="27"/>
      <c r="O54" s="27"/>
      <c r="P54" s="27" t="s">
        <v>70</v>
      </c>
      <c r="Q54" s="27">
        <v>12</v>
      </c>
      <c r="R54" s="27" t="s">
        <v>70</v>
      </c>
      <c r="S54" s="27"/>
      <c r="T54" s="27"/>
      <c r="U54" s="27"/>
      <c r="V54" s="27"/>
      <c r="W54" s="27"/>
      <c r="X54" s="27">
        <v>2</v>
      </c>
      <c r="Y54" s="27">
        <v>3</v>
      </c>
      <c r="Z54" s="27">
        <v>4</v>
      </c>
      <c r="AM54" s="27"/>
      <c r="AN54" s="27"/>
      <c r="AO54" s="27"/>
      <c r="AP54" s="27"/>
      <c r="AQ54" s="27"/>
      <c r="AR54" s="27"/>
      <c r="AS54" s="27"/>
      <c r="AT54" s="27"/>
      <c r="AU54" s="27"/>
      <c r="AV54" s="12"/>
      <c r="AW54" s="12"/>
      <c r="AX54" s="12"/>
      <c r="AY54" s="12"/>
      <c r="AZ54" s="12"/>
      <c r="BA54" s="12"/>
      <c r="BB54" s="12"/>
    </row>
    <row r="55" spans="1:54" ht="13">
      <c r="A55" s="26" t="s">
        <v>1470</v>
      </c>
      <c r="B55" s="236" t="s">
        <v>10</v>
      </c>
      <c r="C55" s="258" t="s">
        <v>628</v>
      </c>
      <c r="D55" s="258" t="s">
        <v>1472</v>
      </c>
      <c r="E55" s="236" t="s">
        <v>2221</v>
      </c>
      <c r="F55" s="236" t="s">
        <v>90</v>
      </c>
      <c r="G55" s="236" t="s">
        <v>114</v>
      </c>
      <c r="H55" s="236">
        <v>534</v>
      </c>
      <c r="I55" s="236">
        <v>6</v>
      </c>
      <c r="J55" s="236">
        <v>6</v>
      </c>
      <c r="K55" s="236"/>
      <c r="L55" s="236"/>
      <c r="M55" s="236"/>
      <c r="N55" s="236"/>
      <c r="O55" s="236"/>
      <c r="P55" s="236" t="s">
        <v>126</v>
      </c>
      <c r="Q55" s="236">
        <v>9</v>
      </c>
      <c r="R55" s="236" t="s">
        <v>78</v>
      </c>
      <c r="S55" s="236"/>
      <c r="T55" s="236"/>
      <c r="U55" s="236"/>
      <c r="V55" s="236"/>
      <c r="W55" s="236">
        <v>7</v>
      </c>
      <c r="X55" s="236">
        <v>7</v>
      </c>
      <c r="Y55" s="236">
        <v>7</v>
      </c>
      <c r="Z55" s="236">
        <v>6</v>
      </c>
      <c r="AM55" s="236"/>
      <c r="AN55" s="236"/>
      <c r="AO55" s="236"/>
      <c r="AP55" s="236"/>
      <c r="AQ55" s="236"/>
      <c r="AR55" s="236"/>
      <c r="AS55" s="236"/>
      <c r="AT55" s="236"/>
      <c r="AU55" s="236"/>
      <c r="AV55" s="12"/>
      <c r="AW55" s="12"/>
      <c r="AX55" s="12"/>
      <c r="AY55" s="12"/>
      <c r="AZ55" s="12"/>
      <c r="BA55" s="12"/>
      <c r="BB55" s="12"/>
    </row>
    <row r="56" spans="1:54" ht="13">
      <c r="A56" s="26" t="s">
        <v>468</v>
      </c>
      <c r="B56" s="27" t="s">
        <v>11</v>
      </c>
      <c r="C56" s="31" t="s">
        <v>469</v>
      </c>
      <c r="D56" s="31" t="s">
        <v>2222</v>
      </c>
      <c r="E56" s="27" t="s">
        <v>471</v>
      </c>
      <c r="F56" s="27" t="s">
        <v>90</v>
      </c>
      <c r="G56" s="27" t="s">
        <v>55</v>
      </c>
      <c r="H56" s="27">
        <v>512</v>
      </c>
      <c r="I56" s="27">
        <v>4</v>
      </c>
      <c r="J56" s="27"/>
      <c r="K56" s="27"/>
      <c r="L56" s="27"/>
      <c r="M56" s="27"/>
      <c r="N56" s="27"/>
      <c r="O56" s="27"/>
      <c r="P56" s="27" t="s">
        <v>32</v>
      </c>
      <c r="Q56" s="27">
        <v>5</v>
      </c>
      <c r="R56" s="27" t="s">
        <v>126</v>
      </c>
      <c r="S56" s="27"/>
      <c r="T56" s="27"/>
      <c r="U56" s="27"/>
      <c r="V56" s="27"/>
      <c r="W56" s="27"/>
      <c r="X56" s="27">
        <v>1</v>
      </c>
      <c r="Y56" s="27">
        <v>5</v>
      </c>
      <c r="Z56" s="27">
        <v>5</v>
      </c>
      <c r="AM56" s="27"/>
      <c r="AN56" s="27"/>
      <c r="AO56" s="27"/>
      <c r="AP56" s="27"/>
      <c r="AQ56" s="27"/>
      <c r="AR56" s="27"/>
      <c r="AS56" s="27"/>
      <c r="AT56" s="27"/>
      <c r="AU56" s="27"/>
      <c r="AV56" s="12"/>
      <c r="AW56" s="12"/>
      <c r="AX56" s="12"/>
      <c r="AY56" s="12"/>
      <c r="AZ56" s="12"/>
      <c r="BA56" s="12"/>
      <c r="BB56" s="12"/>
    </row>
    <row r="57" spans="1:54" ht="13">
      <c r="A57" s="26" t="s">
        <v>287</v>
      </c>
      <c r="B57" s="236" t="s">
        <v>5</v>
      </c>
      <c r="C57" s="258" t="s">
        <v>289</v>
      </c>
      <c r="D57" s="258" t="s">
        <v>291</v>
      </c>
      <c r="E57" s="236" t="s">
        <v>293</v>
      </c>
      <c r="F57" s="236" t="s">
        <v>103</v>
      </c>
      <c r="G57" s="236" t="s">
        <v>294</v>
      </c>
      <c r="H57" s="236">
        <v>507</v>
      </c>
      <c r="I57" s="236">
        <v>10</v>
      </c>
      <c r="J57" s="236">
        <v>4.25</v>
      </c>
      <c r="K57" s="236">
        <v>4.25</v>
      </c>
      <c r="L57" s="236">
        <v>4.25</v>
      </c>
      <c r="M57" s="236"/>
      <c r="N57" s="236"/>
      <c r="O57" s="236" t="s">
        <v>1284</v>
      </c>
      <c r="P57" s="236" t="s">
        <v>33</v>
      </c>
      <c r="Q57" s="236">
        <v>8</v>
      </c>
      <c r="R57" s="236" t="s">
        <v>33</v>
      </c>
      <c r="S57" s="236"/>
      <c r="T57" s="236"/>
      <c r="U57" s="236"/>
      <c r="V57" s="236"/>
      <c r="W57" s="236"/>
      <c r="X57" s="236"/>
      <c r="Y57" s="236"/>
      <c r="Z57" s="236">
        <v>6</v>
      </c>
      <c r="AM57" s="236"/>
      <c r="AN57" s="236"/>
      <c r="AO57" s="236"/>
      <c r="AP57" s="236"/>
      <c r="AQ57" s="236"/>
      <c r="AR57" s="236"/>
      <c r="AS57" s="236"/>
      <c r="AT57" s="236"/>
      <c r="AU57" s="236"/>
      <c r="AV57" s="12"/>
      <c r="AW57" s="12"/>
      <c r="AX57" s="12"/>
      <c r="AY57" s="12"/>
      <c r="AZ57" s="12"/>
      <c r="BA57" s="12"/>
      <c r="BB57" s="12"/>
    </row>
    <row r="58" spans="1:54" ht="13">
      <c r="A58" s="26" t="s">
        <v>464</v>
      </c>
      <c r="B58" s="27" t="s">
        <v>5</v>
      </c>
      <c r="C58" s="31" t="s">
        <v>465</v>
      </c>
      <c r="D58" s="31" t="s">
        <v>466</v>
      </c>
      <c r="E58" s="27" t="s">
        <v>467</v>
      </c>
      <c r="F58" s="27" t="s">
        <v>83</v>
      </c>
      <c r="G58" s="27" t="s">
        <v>132</v>
      </c>
      <c r="H58" s="27">
        <v>507</v>
      </c>
      <c r="I58" s="27">
        <v>3</v>
      </c>
      <c r="J58" s="27"/>
      <c r="K58" s="27"/>
      <c r="L58" s="27"/>
      <c r="M58" s="27"/>
      <c r="N58" s="27"/>
      <c r="O58" s="27" t="s">
        <v>1225</v>
      </c>
      <c r="P58" s="27" t="s">
        <v>33</v>
      </c>
      <c r="Q58" s="27">
        <v>20</v>
      </c>
      <c r="R58" s="27" t="s">
        <v>33</v>
      </c>
      <c r="S58" s="27"/>
      <c r="T58" s="27"/>
      <c r="U58" s="27"/>
      <c r="V58" s="27"/>
      <c r="W58" s="27"/>
      <c r="X58" s="27"/>
      <c r="Y58" s="27"/>
      <c r="Z58" s="27">
        <v>6</v>
      </c>
      <c r="AY58" s="12"/>
      <c r="AZ58" s="12"/>
      <c r="BA58" s="12"/>
      <c r="BB58" s="12"/>
    </row>
    <row r="59" spans="1:54" ht="13">
      <c r="A59" s="26" t="s">
        <v>308</v>
      </c>
      <c r="B59" s="236" t="s">
        <v>8</v>
      </c>
      <c r="C59" s="258" t="s">
        <v>310</v>
      </c>
      <c r="D59" s="258" t="s">
        <v>312</v>
      </c>
      <c r="E59" s="236" t="s">
        <v>314</v>
      </c>
      <c r="F59" s="236" t="s">
        <v>336</v>
      </c>
      <c r="G59" s="236" t="s">
        <v>55</v>
      </c>
      <c r="H59" s="236">
        <v>499</v>
      </c>
      <c r="I59" s="236">
        <v>1.5</v>
      </c>
      <c r="J59" s="236"/>
      <c r="K59" s="236"/>
      <c r="L59" s="236"/>
      <c r="M59" s="236"/>
      <c r="N59" s="236"/>
      <c r="O59" s="236" t="s">
        <v>1284</v>
      </c>
      <c r="P59" s="236" t="s">
        <v>33</v>
      </c>
      <c r="Q59" s="236">
        <v>13</v>
      </c>
      <c r="R59" s="236" t="s">
        <v>33</v>
      </c>
      <c r="S59" s="236"/>
      <c r="T59" s="236"/>
      <c r="U59" s="236"/>
      <c r="V59" s="236"/>
      <c r="W59" s="236"/>
      <c r="X59" s="236"/>
      <c r="Y59" s="236"/>
      <c r="Z59" s="236">
        <v>4</v>
      </c>
      <c r="AM59" s="236"/>
      <c r="AN59" s="236"/>
      <c r="AO59" s="236"/>
      <c r="AP59" s="236"/>
      <c r="AQ59" s="236"/>
      <c r="AR59" s="236"/>
      <c r="AS59" s="236"/>
      <c r="AT59" s="236"/>
      <c r="AU59" s="236"/>
      <c r="AV59" s="12"/>
      <c r="AW59" s="12"/>
      <c r="AX59" s="12"/>
      <c r="AY59" s="12"/>
      <c r="AZ59" s="12"/>
      <c r="BA59" s="12"/>
      <c r="BB59" s="12"/>
    </row>
    <row r="60" spans="1:54" ht="13">
      <c r="A60" s="26" t="s">
        <v>403</v>
      </c>
      <c r="B60" s="27" t="s">
        <v>8</v>
      </c>
      <c r="C60" s="31" t="s">
        <v>404</v>
      </c>
      <c r="D60" s="31" t="s">
        <v>405</v>
      </c>
      <c r="E60" s="27" t="s">
        <v>406</v>
      </c>
      <c r="F60" s="27" t="s">
        <v>103</v>
      </c>
      <c r="G60" s="27" t="s">
        <v>46</v>
      </c>
      <c r="H60" s="27">
        <v>482</v>
      </c>
      <c r="I60" s="27">
        <v>12</v>
      </c>
      <c r="J60" s="27">
        <v>6.5</v>
      </c>
      <c r="K60" s="27"/>
      <c r="L60" s="27"/>
      <c r="M60" s="27"/>
      <c r="N60" s="27"/>
      <c r="O60" s="27" t="s">
        <v>2223</v>
      </c>
      <c r="P60" s="27" t="s">
        <v>33</v>
      </c>
      <c r="Q60" s="27">
        <v>5</v>
      </c>
      <c r="R60" s="27" t="s">
        <v>33</v>
      </c>
      <c r="S60" s="27"/>
      <c r="T60" s="27"/>
      <c r="U60" s="27"/>
      <c r="V60" s="27"/>
      <c r="W60" s="27"/>
      <c r="X60" s="27"/>
      <c r="Y60" s="27"/>
      <c r="Z60" s="27">
        <v>5</v>
      </c>
      <c r="AM60" s="27"/>
      <c r="AN60" s="27"/>
      <c r="AO60" s="27"/>
      <c r="AP60" s="27"/>
      <c r="AQ60" s="27"/>
      <c r="AR60" s="27"/>
      <c r="AS60" s="27"/>
      <c r="AT60" s="27"/>
      <c r="AU60" s="27"/>
      <c r="AV60" s="12"/>
      <c r="AW60" s="12"/>
      <c r="AX60" s="12"/>
      <c r="AY60" s="12"/>
      <c r="AZ60" s="12"/>
      <c r="BA60" s="12"/>
      <c r="BB60" s="12"/>
    </row>
    <row r="61" spans="1:54" ht="13">
      <c r="A61" s="26" t="s">
        <v>241</v>
      </c>
      <c r="B61" s="236" t="s">
        <v>10</v>
      </c>
      <c r="C61" s="258" t="s">
        <v>242</v>
      </c>
      <c r="D61" s="258" t="s">
        <v>244</v>
      </c>
      <c r="E61" s="236" t="s">
        <v>325</v>
      </c>
      <c r="F61" s="236" t="s">
        <v>67</v>
      </c>
      <c r="G61" s="236" t="s">
        <v>68</v>
      </c>
      <c r="H61" s="236">
        <v>482</v>
      </c>
      <c r="I61" s="236">
        <v>2</v>
      </c>
      <c r="J61" s="236">
        <v>3</v>
      </c>
      <c r="K61" s="236"/>
      <c r="L61" s="236"/>
      <c r="M61" s="236"/>
      <c r="N61" s="236"/>
      <c r="O61" s="236" t="s">
        <v>2224</v>
      </c>
      <c r="P61" s="236" t="s">
        <v>34</v>
      </c>
      <c r="Q61" s="236">
        <v>1</v>
      </c>
      <c r="R61" s="236" t="s">
        <v>33</v>
      </c>
      <c r="S61" s="236"/>
      <c r="T61" s="236"/>
      <c r="U61" s="236"/>
      <c r="V61" s="236"/>
      <c r="W61" s="236"/>
      <c r="X61" s="236"/>
      <c r="Y61" s="236"/>
      <c r="Z61" s="236">
        <v>7</v>
      </c>
      <c r="AM61" s="236"/>
      <c r="AN61" s="236"/>
      <c r="AO61" s="236"/>
      <c r="AP61" s="236"/>
      <c r="AQ61" s="236"/>
      <c r="AR61" s="236"/>
      <c r="AS61" s="236"/>
      <c r="AT61" s="236"/>
      <c r="AU61" s="236"/>
      <c r="AV61" s="12"/>
      <c r="AW61" s="12"/>
      <c r="AX61" s="12"/>
      <c r="AY61" s="12"/>
      <c r="AZ61" s="12"/>
      <c r="BA61" s="12"/>
      <c r="BB61" s="12"/>
    </row>
    <row r="62" spans="1:54" ht="13">
      <c r="A62" s="26" t="s">
        <v>600</v>
      </c>
      <c r="B62" s="27" t="s">
        <v>12</v>
      </c>
      <c r="C62" s="31" t="s">
        <v>601</v>
      </c>
      <c r="D62" s="31" t="s">
        <v>602</v>
      </c>
      <c r="E62" s="27" t="s">
        <v>603</v>
      </c>
      <c r="F62" s="27" t="s">
        <v>187</v>
      </c>
      <c r="G62" s="27" t="s">
        <v>104</v>
      </c>
      <c r="H62" s="27">
        <v>477</v>
      </c>
      <c r="I62" s="27">
        <v>5.75</v>
      </c>
      <c r="J62" s="27">
        <v>7.25</v>
      </c>
      <c r="K62" s="27">
        <v>8</v>
      </c>
      <c r="L62" s="27">
        <v>9</v>
      </c>
      <c r="M62" s="27">
        <v>9.25</v>
      </c>
      <c r="N62" s="27"/>
      <c r="O62" s="27" t="s">
        <v>2225</v>
      </c>
      <c r="P62" s="27" t="s">
        <v>70</v>
      </c>
      <c r="Q62" s="27">
        <v>63</v>
      </c>
      <c r="R62" s="27" t="s">
        <v>70</v>
      </c>
      <c r="S62" s="27"/>
      <c r="T62" s="27"/>
      <c r="U62" s="27"/>
      <c r="V62" s="27"/>
      <c r="W62" s="27">
        <v>0.5</v>
      </c>
      <c r="X62" s="27">
        <v>2</v>
      </c>
      <c r="Y62" s="27">
        <v>3</v>
      </c>
      <c r="Z62" s="27">
        <v>5</v>
      </c>
      <c r="AM62" s="27"/>
      <c r="AN62" s="27"/>
      <c r="AO62" s="27"/>
      <c r="AP62" s="27"/>
      <c r="AQ62" s="27"/>
      <c r="AR62" s="27"/>
      <c r="AS62" s="27"/>
      <c r="AT62" s="27"/>
      <c r="AU62" s="27"/>
      <c r="AV62" s="12"/>
      <c r="AW62" s="12"/>
      <c r="AX62" s="12"/>
      <c r="AY62" s="12"/>
      <c r="AZ62" s="12"/>
      <c r="BA62" s="12"/>
      <c r="BB62" s="12"/>
    </row>
    <row r="63" spans="1:54" ht="13">
      <c r="A63" s="26" t="s">
        <v>337</v>
      </c>
      <c r="B63" s="236" t="s">
        <v>8</v>
      </c>
      <c r="C63" s="258" t="s">
        <v>339</v>
      </c>
      <c r="D63" s="258" t="s">
        <v>341</v>
      </c>
      <c r="E63" s="236" t="s">
        <v>342</v>
      </c>
      <c r="F63" s="236" t="s">
        <v>90</v>
      </c>
      <c r="G63" s="236" t="s">
        <v>55</v>
      </c>
      <c r="H63" s="236">
        <v>437</v>
      </c>
      <c r="I63" s="236">
        <v>4</v>
      </c>
      <c r="J63" s="236"/>
      <c r="K63" s="236"/>
      <c r="L63" s="236"/>
      <c r="M63" s="236"/>
      <c r="N63" s="236"/>
      <c r="O63" s="236" t="s">
        <v>2219</v>
      </c>
      <c r="P63" s="236" t="s">
        <v>33</v>
      </c>
      <c r="Q63" s="236">
        <v>7</v>
      </c>
      <c r="R63" s="236" t="s">
        <v>33</v>
      </c>
      <c r="S63" s="236"/>
      <c r="T63" s="236"/>
      <c r="U63" s="236"/>
      <c r="V63" s="236"/>
      <c r="W63" s="236"/>
      <c r="X63" s="236"/>
      <c r="Y63" s="236"/>
      <c r="Z63" s="236">
        <v>5</v>
      </c>
      <c r="AM63" s="236"/>
      <c r="AN63" s="236"/>
      <c r="AO63" s="236"/>
      <c r="AP63" s="236"/>
      <c r="AQ63" s="236"/>
      <c r="AR63" s="236"/>
      <c r="AS63" s="236"/>
      <c r="AT63" s="236"/>
      <c r="AU63" s="236"/>
      <c r="AV63" s="12"/>
      <c r="AW63" s="12"/>
      <c r="AX63" s="12"/>
      <c r="AY63" s="12"/>
      <c r="AZ63" s="12"/>
      <c r="BA63" s="12"/>
      <c r="BB63" s="12"/>
    </row>
    <row r="64" spans="1:54" ht="13">
      <c r="A64" s="26" t="s">
        <v>436</v>
      </c>
      <c r="B64" s="27" t="s">
        <v>3</v>
      </c>
      <c r="C64" s="31" t="s">
        <v>437</v>
      </c>
      <c r="D64" s="31" t="s">
        <v>438</v>
      </c>
      <c r="E64" s="27" t="s">
        <v>439</v>
      </c>
      <c r="F64" s="27" t="s">
        <v>90</v>
      </c>
      <c r="G64" s="27" t="s">
        <v>55</v>
      </c>
      <c r="H64" s="27">
        <v>424</v>
      </c>
      <c r="I64" s="27">
        <v>5</v>
      </c>
      <c r="J64" s="27">
        <v>5</v>
      </c>
      <c r="K64" s="27"/>
      <c r="L64" s="27"/>
      <c r="M64" s="27"/>
      <c r="N64" s="27"/>
      <c r="O64" s="27" t="s">
        <v>942</v>
      </c>
      <c r="P64" s="27" t="s">
        <v>33</v>
      </c>
      <c r="Q64" s="27">
        <v>4</v>
      </c>
      <c r="R64" s="27" t="s">
        <v>33</v>
      </c>
      <c r="S64" s="27"/>
      <c r="T64" s="27"/>
      <c r="U64" s="27"/>
      <c r="V64" s="27"/>
      <c r="W64" s="27"/>
      <c r="X64" s="27"/>
      <c r="Y64" s="27">
        <v>3</v>
      </c>
      <c r="Z64" s="27">
        <v>3</v>
      </c>
      <c r="AM64" s="27"/>
      <c r="AN64" s="27"/>
      <c r="AO64" s="27"/>
      <c r="AP64" s="27"/>
      <c r="AQ64" s="27"/>
      <c r="AR64" s="27"/>
      <c r="AS64" s="27"/>
      <c r="AT64" s="27"/>
      <c r="AU64" s="27"/>
      <c r="AV64" s="12"/>
      <c r="AW64" s="12"/>
      <c r="AX64" s="12"/>
      <c r="AY64" s="12"/>
      <c r="AZ64" s="12"/>
      <c r="BA64" s="12"/>
      <c r="BB64" s="12"/>
    </row>
    <row r="65" spans="1:54" ht="13">
      <c r="A65" s="26" t="s">
        <v>572</v>
      </c>
      <c r="B65" s="236" t="s">
        <v>11</v>
      </c>
      <c r="C65" s="258" t="s">
        <v>573</v>
      </c>
      <c r="D65" s="258" t="s">
        <v>574</v>
      </c>
      <c r="E65" s="236" t="s">
        <v>575</v>
      </c>
      <c r="F65" s="236" t="s">
        <v>215</v>
      </c>
      <c r="G65" s="236" t="s">
        <v>159</v>
      </c>
      <c r="H65" s="236">
        <v>395</v>
      </c>
      <c r="I65" s="236">
        <v>3</v>
      </c>
      <c r="J65" s="236"/>
      <c r="K65" s="236"/>
      <c r="L65" s="236"/>
      <c r="M65" s="236"/>
      <c r="N65" s="236"/>
      <c r="O65" s="236" t="s">
        <v>1284</v>
      </c>
      <c r="P65" s="236" t="s">
        <v>33</v>
      </c>
      <c r="Q65" s="236">
        <v>17</v>
      </c>
      <c r="R65" s="236" t="s">
        <v>33</v>
      </c>
      <c r="S65" s="236"/>
      <c r="T65" s="236"/>
      <c r="U65" s="236"/>
      <c r="V65" s="236"/>
      <c r="W65" s="236"/>
      <c r="X65" s="236"/>
      <c r="Y65" s="236"/>
      <c r="Z65" s="236">
        <v>1.66</v>
      </c>
      <c r="AM65" s="236"/>
      <c r="AN65" s="236"/>
      <c r="AO65" s="236"/>
      <c r="AP65" s="236"/>
      <c r="AQ65" s="236"/>
      <c r="AR65" s="236"/>
      <c r="AS65" s="236"/>
      <c r="AT65" s="236"/>
      <c r="AU65" s="236"/>
      <c r="AV65" s="12"/>
      <c r="AW65" s="12"/>
      <c r="AX65" s="12"/>
      <c r="AY65" s="12"/>
      <c r="AZ65" s="12"/>
      <c r="BA65" s="12"/>
      <c r="BB65" s="12"/>
    </row>
    <row r="66" spans="1:54" ht="13">
      <c r="A66" s="26" t="s">
        <v>639</v>
      </c>
      <c r="B66" s="27" t="s">
        <v>3</v>
      </c>
      <c r="C66" s="31" t="s">
        <v>641</v>
      </c>
      <c r="D66" s="31" t="s">
        <v>643</v>
      </c>
      <c r="E66" s="27" t="s">
        <v>645</v>
      </c>
      <c r="F66" s="27" t="s">
        <v>67</v>
      </c>
      <c r="G66" s="27" t="s">
        <v>166</v>
      </c>
      <c r="H66" s="27">
        <v>394</v>
      </c>
      <c r="I66" s="27">
        <v>5</v>
      </c>
      <c r="J66" s="27">
        <v>5.75</v>
      </c>
      <c r="K66" s="27"/>
      <c r="L66" s="27"/>
      <c r="M66" s="27"/>
      <c r="N66" s="27"/>
      <c r="O66" s="27"/>
      <c r="P66" s="27" t="s">
        <v>126</v>
      </c>
      <c r="Q66" s="27">
        <v>23</v>
      </c>
      <c r="R66" s="27" t="s">
        <v>78</v>
      </c>
      <c r="S66" s="27"/>
      <c r="T66" s="27"/>
      <c r="U66" s="27"/>
      <c r="V66" s="27"/>
      <c r="W66" s="27">
        <v>7</v>
      </c>
      <c r="X66" s="27">
        <v>1</v>
      </c>
      <c r="Y66" s="27">
        <v>1</v>
      </c>
      <c r="Z66" s="27">
        <v>3</v>
      </c>
      <c r="AM66" s="27"/>
      <c r="AN66" s="27"/>
      <c r="AO66" s="27"/>
      <c r="AP66" s="27"/>
      <c r="AQ66" s="27"/>
      <c r="AR66" s="27"/>
      <c r="AS66" s="27"/>
      <c r="AT66" s="27"/>
      <c r="AU66" s="27"/>
      <c r="AV66" s="12"/>
      <c r="AW66" s="12"/>
      <c r="AX66" s="12"/>
      <c r="AY66" s="12"/>
      <c r="AZ66" s="12"/>
      <c r="BA66" s="12"/>
      <c r="BB66" s="12"/>
    </row>
    <row r="67" spans="1:54" ht="13">
      <c r="A67" s="26" t="s">
        <v>346</v>
      </c>
      <c r="B67" s="236" t="s">
        <v>12</v>
      </c>
      <c r="C67" s="258" t="s">
        <v>349</v>
      </c>
      <c r="D67" s="258" t="s">
        <v>351</v>
      </c>
      <c r="E67" s="236" t="s">
        <v>352</v>
      </c>
      <c r="F67" s="236" t="s">
        <v>131</v>
      </c>
      <c r="G67" s="236" t="s">
        <v>166</v>
      </c>
      <c r="H67" s="236">
        <v>391</v>
      </c>
      <c r="I67" s="236">
        <v>2</v>
      </c>
      <c r="J67" s="236"/>
      <c r="K67" s="236"/>
      <c r="L67" s="236"/>
      <c r="M67" s="236"/>
      <c r="N67" s="236"/>
      <c r="O67" s="236" t="s">
        <v>1284</v>
      </c>
      <c r="P67" s="236" t="s">
        <v>33</v>
      </c>
      <c r="Q67" s="236">
        <v>12</v>
      </c>
      <c r="R67" s="236" t="s">
        <v>33</v>
      </c>
      <c r="S67" s="236"/>
      <c r="T67" s="236"/>
      <c r="U67" s="236"/>
      <c r="V67" s="236"/>
      <c r="W67" s="236"/>
      <c r="X67" s="236"/>
      <c r="Y67" s="236">
        <v>2</v>
      </c>
      <c r="Z67" s="236">
        <v>2</v>
      </c>
      <c r="AM67" s="236"/>
      <c r="AN67" s="236"/>
      <c r="AO67" s="236"/>
      <c r="AP67" s="236"/>
      <c r="AQ67" s="236"/>
      <c r="AR67" s="236"/>
      <c r="AS67" s="236"/>
      <c r="AT67" s="236"/>
      <c r="AU67" s="236"/>
      <c r="AV67" s="12"/>
      <c r="AW67" s="12"/>
      <c r="AX67" s="12"/>
      <c r="AY67" s="12"/>
      <c r="AZ67" s="12"/>
      <c r="BA67" s="12"/>
      <c r="BB67" s="12"/>
    </row>
    <row r="68" spans="1:54" ht="13">
      <c r="A68" s="26" t="s">
        <v>726</v>
      </c>
      <c r="B68" s="27" t="s">
        <v>5</v>
      </c>
      <c r="C68" s="31" t="s">
        <v>728</v>
      </c>
      <c r="D68" s="31" t="s">
        <v>729</v>
      </c>
      <c r="E68" s="27" t="s">
        <v>731</v>
      </c>
      <c r="F68" s="27" t="s">
        <v>75</v>
      </c>
      <c r="G68" s="27" t="s">
        <v>76</v>
      </c>
      <c r="H68" s="27">
        <v>384</v>
      </c>
      <c r="I68" s="27">
        <v>3</v>
      </c>
      <c r="J68" s="27"/>
      <c r="K68" s="27"/>
      <c r="L68" s="27"/>
      <c r="M68" s="27"/>
      <c r="N68" s="27"/>
      <c r="O68" s="27"/>
      <c r="P68" s="27" t="s">
        <v>70</v>
      </c>
      <c r="Q68" s="27">
        <v>19</v>
      </c>
      <c r="R68" s="27" t="s">
        <v>70</v>
      </c>
      <c r="S68" s="27"/>
      <c r="T68" s="27"/>
      <c r="U68" s="27"/>
      <c r="V68" s="27"/>
      <c r="W68" s="27"/>
      <c r="X68" s="27">
        <v>3</v>
      </c>
      <c r="Y68" s="27">
        <v>3</v>
      </c>
      <c r="Z68" s="27">
        <v>3</v>
      </c>
      <c r="AM68" s="27"/>
      <c r="AN68" s="27"/>
      <c r="AO68" s="27"/>
      <c r="AP68" s="27"/>
      <c r="AQ68" s="27"/>
      <c r="AR68" s="27"/>
      <c r="AS68" s="27"/>
      <c r="AT68" s="27"/>
      <c r="AU68" s="27"/>
      <c r="AV68" s="12"/>
      <c r="AW68" s="12"/>
      <c r="AX68" s="12"/>
      <c r="AY68" s="12"/>
      <c r="AZ68" s="12"/>
      <c r="BA68" s="12"/>
      <c r="BB68" s="12"/>
    </row>
    <row r="69" spans="1:54" ht="13">
      <c r="A69" s="26" t="s">
        <v>530</v>
      </c>
      <c r="B69" s="236" t="s">
        <v>11</v>
      </c>
      <c r="C69" s="258" t="s">
        <v>532</v>
      </c>
      <c r="D69" s="258" t="s">
        <v>533</v>
      </c>
      <c r="E69" s="236" t="s">
        <v>534</v>
      </c>
      <c r="F69" s="236" t="s">
        <v>90</v>
      </c>
      <c r="G69" s="236" t="s">
        <v>55</v>
      </c>
      <c r="H69" s="236">
        <v>357</v>
      </c>
      <c r="I69" s="236">
        <v>2</v>
      </c>
      <c r="J69" s="236"/>
      <c r="K69" s="236"/>
      <c r="L69" s="236"/>
      <c r="M69" s="236"/>
      <c r="N69" s="236"/>
      <c r="O69" s="236"/>
      <c r="P69" s="236" t="s">
        <v>32</v>
      </c>
      <c r="Q69" s="236">
        <v>13</v>
      </c>
      <c r="R69" s="236" t="s">
        <v>32</v>
      </c>
      <c r="S69" s="236"/>
      <c r="T69" s="236"/>
      <c r="U69" s="236"/>
      <c r="V69" s="236"/>
      <c r="W69" s="236"/>
      <c r="X69" s="236"/>
      <c r="Y69" s="236">
        <v>3</v>
      </c>
      <c r="Z69" s="236">
        <v>3</v>
      </c>
      <c r="AM69" s="236"/>
      <c r="AN69" s="236"/>
      <c r="AO69" s="236"/>
      <c r="AP69" s="236"/>
      <c r="AQ69" s="236"/>
      <c r="AR69" s="236"/>
      <c r="AS69" s="236"/>
      <c r="AT69" s="236"/>
      <c r="AU69" s="236"/>
      <c r="AV69" s="12"/>
      <c r="AW69" s="12"/>
      <c r="AX69" s="12"/>
      <c r="AY69" s="12"/>
      <c r="AZ69" s="12"/>
      <c r="BA69" s="12"/>
      <c r="BB69" s="12"/>
    </row>
    <row r="70" spans="1:54" ht="13">
      <c r="A70" s="26" t="s">
        <v>235</v>
      </c>
      <c r="B70" s="27" t="s">
        <v>10</v>
      </c>
      <c r="C70" s="31" t="s">
        <v>236</v>
      </c>
      <c r="D70" s="31" t="s">
        <v>238</v>
      </c>
      <c r="E70" s="27" t="s">
        <v>305</v>
      </c>
      <c r="F70" s="27" t="s">
        <v>336</v>
      </c>
      <c r="G70" s="27" t="s">
        <v>55</v>
      </c>
      <c r="H70" s="27">
        <v>357</v>
      </c>
      <c r="I70" s="27">
        <v>3</v>
      </c>
      <c r="J70" s="27"/>
      <c r="K70" s="27"/>
      <c r="L70" s="27"/>
      <c r="M70" s="27"/>
      <c r="N70" s="27"/>
      <c r="O70" s="27" t="s">
        <v>2219</v>
      </c>
      <c r="P70" s="27" t="s">
        <v>33</v>
      </c>
      <c r="Q70" s="27">
        <v>21</v>
      </c>
      <c r="R70" s="27" t="s">
        <v>33</v>
      </c>
      <c r="S70" s="27"/>
      <c r="T70" s="27"/>
      <c r="U70" s="27"/>
      <c r="V70" s="27"/>
      <c r="W70" s="27"/>
      <c r="X70" s="27"/>
      <c r="Y70" s="27">
        <v>4</v>
      </c>
      <c r="Z70" s="27">
        <v>4</v>
      </c>
      <c r="AM70" s="27"/>
      <c r="AN70" s="27"/>
      <c r="AO70" s="27"/>
      <c r="AP70" s="27"/>
      <c r="AQ70" s="27"/>
      <c r="AR70" s="27"/>
      <c r="AS70" s="27"/>
      <c r="AT70" s="27"/>
      <c r="AU70" s="27"/>
      <c r="AV70" s="12"/>
      <c r="AW70" s="12"/>
      <c r="AX70" s="12"/>
      <c r="AY70" s="12"/>
      <c r="AZ70" s="12"/>
      <c r="BA70" s="12"/>
      <c r="BB70" s="12"/>
    </row>
    <row r="71" spans="1:54" ht="13">
      <c r="A71" s="26" t="s">
        <v>650</v>
      </c>
      <c r="B71" s="236" t="s">
        <v>12</v>
      </c>
      <c r="C71" s="258" t="s">
        <v>652</v>
      </c>
      <c r="D71" s="258" t="s">
        <v>653</v>
      </c>
      <c r="E71" s="236" t="s">
        <v>656</v>
      </c>
      <c r="F71" s="236" t="s">
        <v>336</v>
      </c>
      <c r="G71" s="236" t="s">
        <v>114</v>
      </c>
      <c r="H71" s="236">
        <v>356</v>
      </c>
      <c r="I71" s="236">
        <v>5</v>
      </c>
      <c r="J71" s="236"/>
      <c r="K71" s="236"/>
      <c r="L71" s="236"/>
      <c r="M71" s="236"/>
      <c r="N71" s="236"/>
      <c r="O71" s="236" t="s">
        <v>1284</v>
      </c>
      <c r="P71" s="236" t="s">
        <v>33</v>
      </c>
      <c r="Q71" s="236">
        <v>2</v>
      </c>
      <c r="R71" s="236" t="s">
        <v>33</v>
      </c>
      <c r="S71" s="236"/>
      <c r="T71" s="236"/>
      <c r="U71" s="236"/>
      <c r="V71" s="236"/>
      <c r="W71" s="236"/>
      <c r="X71" s="236"/>
      <c r="Y71" s="236">
        <v>4</v>
      </c>
      <c r="Z71" s="236">
        <v>5</v>
      </c>
      <c r="AM71" s="236"/>
      <c r="AN71" s="236"/>
      <c r="AO71" s="236"/>
      <c r="AP71" s="236"/>
      <c r="AQ71" s="236"/>
      <c r="AR71" s="236"/>
      <c r="AS71" s="236"/>
      <c r="AT71" s="236"/>
      <c r="AU71" s="236"/>
      <c r="AV71" s="12"/>
      <c r="AW71" s="12"/>
      <c r="AX71" s="12"/>
      <c r="AY71" s="12"/>
      <c r="AZ71" s="12"/>
      <c r="BA71" s="12"/>
      <c r="BB71" s="12"/>
    </row>
    <row r="72" spans="1:54" ht="13">
      <c r="A72" s="26" t="s">
        <v>385</v>
      </c>
      <c r="B72" s="27" t="s">
        <v>11</v>
      </c>
      <c r="C72" s="31" t="s">
        <v>386</v>
      </c>
      <c r="D72" s="31" t="s">
        <v>387</v>
      </c>
      <c r="E72" s="27" t="s">
        <v>388</v>
      </c>
      <c r="F72" s="27" t="s">
        <v>90</v>
      </c>
      <c r="G72" s="27" t="s">
        <v>55</v>
      </c>
      <c r="H72" s="27">
        <v>355</v>
      </c>
      <c r="I72" s="27">
        <v>3.5</v>
      </c>
      <c r="J72" s="27">
        <v>4</v>
      </c>
      <c r="K72" s="27"/>
      <c r="L72" s="27"/>
      <c r="M72" s="27"/>
      <c r="N72" s="27"/>
      <c r="O72" s="27" t="s">
        <v>2211</v>
      </c>
      <c r="P72" s="27" t="s">
        <v>34</v>
      </c>
      <c r="Q72" s="27">
        <v>9</v>
      </c>
      <c r="R72" s="27" t="s">
        <v>34</v>
      </c>
      <c r="S72" s="27" t="s">
        <v>374</v>
      </c>
      <c r="T72" s="27">
        <v>6</v>
      </c>
      <c r="U72" s="27">
        <v>2</v>
      </c>
      <c r="V72" s="27"/>
      <c r="W72" s="27"/>
      <c r="X72" s="27"/>
      <c r="Y72" s="27"/>
      <c r="Z72" s="27"/>
      <c r="AM72" s="27"/>
      <c r="AN72" s="27"/>
      <c r="AO72" s="27"/>
      <c r="AP72" s="27"/>
      <c r="AQ72" s="27"/>
      <c r="AR72" s="27"/>
      <c r="AS72" s="27"/>
      <c r="AT72" s="27"/>
      <c r="AU72" s="27"/>
      <c r="AV72" s="12"/>
      <c r="AW72" s="12"/>
      <c r="AX72" s="12"/>
      <c r="AY72" s="12"/>
      <c r="AZ72" s="12"/>
      <c r="BA72" s="12"/>
      <c r="BB72" s="12"/>
    </row>
    <row r="73" spans="1:54" ht="13">
      <c r="A73" s="26" t="s">
        <v>764</v>
      </c>
      <c r="B73" s="236" t="s">
        <v>12</v>
      </c>
      <c r="C73" s="258" t="s">
        <v>766</v>
      </c>
      <c r="D73" s="258" t="s">
        <v>767</v>
      </c>
      <c r="E73" s="236" t="s">
        <v>769</v>
      </c>
      <c r="F73" s="236" t="s">
        <v>83</v>
      </c>
      <c r="G73" s="236" t="s">
        <v>740</v>
      </c>
      <c r="H73" s="236">
        <v>354</v>
      </c>
      <c r="I73" s="236">
        <v>3</v>
      </c>
      <c r="J73" s="236"/>
      <c r="K73" s="236"/>
      <c r="L73" s="236"/>
      <c r="M73" s="236"/>
      <c r="N73" s="236"/>
      <c r="O73" s="236"/>
      <c r="P73" s="236" t="s">
        <v>78</v>
      </c>
      <c r="Q73" s="236">
        <v>36</v>
      </c>
      <c r="R73" s="236" t="s">
        <v>70</v>
      </c>
      <c r="S73" s="236"/>
      <c r="T73" s="236"/>
      <c r="U73" s="236"/>
      <c r="V73" s="236"/>
      <c r="W73" s="236">
        <v>3</v>
      </c>
      <c r="X73" s="236">
        <v>3</v>
      </c>
      <c r="Y73" s="236"/>
      <c r="Z73" s="236">
        <v>3</v>
      </c>
      <c r="AM73" s="236"/>
      <c r="AN73" s="236"/>
      <c r="AO73" s="236"/>
      <c r="AP73" s="236"/>
      <c r="AQ73" s="236"/>
      <c r="AR73" s="236"/>
      <c r="AS73" s="236"/>
      <c r="AT73" s="236"/>
      <c r="AU73" s="236"/>
      <c r="AV73" s="12"/>
      <c r="AW73" s="12"/>
      <c r="AX73" s="12"/>
      <c r="AY73" s="12"/>
      <c r="AZ73" s="12"/>
      <c r="BA73" s="12"/>
      <c r="BB73" s="12"/>
    </row>
    <row r="74" spans="1:54" ht="13">
      <c r="A74" s="26" t="s">
        <v>493</v>
      </c>
      <c r="B74" s="27" t="s">
        <v>3</v>
      </c>
      <c r="C74" s="31" t="s">
        <v>495</v>
      </c>
      <c r="D74" s="31" t="s">
        <v>497</v>
      </c>
      <c r="E74" s="27" t="s">
        <v>499</v>
      </c>
      <c r="F74" s="27" t="s">
        <v>75</v>
      </c>
      <c r="G74" s="27"/>
      <c r="H74" s="27">
        <v>346</v>
      </c>
      <c r="I74" s="27">
        <v>4</v>
      </c>
      <c r="J74" s="27"/>
      <c r="K74" s="27"/>
      <c r="L74" s="27"/>
      <c r="M74" s="27"/>
      <c r="N74" s="27"/>
      <c r="O74" s="27"/>
      <c r="P74" s="27" t="s">
        <v>70</v>
      </c>
      <c r="Q74" s="27" t="s">
        <v>141</v>
      </c>
      <c r="R74" s="27" t="s">
        <v>70</v>
      </c>
      <c r="S74" s="27"/>
      <c r="T74" s="27"/>
      <c r="U74" s="27"/>
      <c r="V74" s="27"/>
      <c r="W74" s="27"/>
      <c r="X74" s="27">
        <v>2</v>
      </c>
      <c r="Y74" s="27"/>
      <c r="Z74" s="27">
        <v>2</v>
      </c>
      <c r="AM74" s="27"/>
      <c r="AN74" s="27"/>
      <c r="AO74" s="27"/>
      <c r="AP74" s="27"/>
      <c r="AQ74" s="27"/>
      <c r="AR74" s="27"/>
      <c r="AS74" s="27"/>
      <c r="AT74" s="27"/>
      <c r="AU74" s="27"/>
      <c r="AV74" s="12"/>
      <c r="AW74" s="12"/>
      <c r="AX74" s="12"/>
      <c r="AY74" s="12"/>
      <c r="AZ74" s="12"/>
      <c r="BA74" s="12"/>
      <c r="BB74" s="12"/>
    </row>
    <row r="75" spans="1:54" ht="13">
      <c r="A75" s="26" t="s">
        <v>590</v>
      </c>
      <c r="B75" s="236" t="s">
        <v>5</v>
      </c>
      <c r="C75" s="258" t="s">
        <v>591</v>
      </c>
      <c r="D75" s="258" t="s">
        <v>593</v>
      </c>
      <c r="E75" s="236" t="s">
        <v>734</v>
      </c>
      <c r="F75" s="236" t="s">
        <v>336</v>
      </c>
      <c r="G75" s="236" t="s">
        <v>109</v>
      </c>
      <c r="H75" s="236">
        <v>336</v>
      </c>
      <c r="I75" s="236">
        <v>3</v>
      </c>
      <c r="J75" s="236"/>
      <c r="K75" s="236"/>
      <c r="L75" s="236"/>
      <c r="M75" s="236"/>
      <c r="N75" s="236"/>
      <c r="O75" s="236"/>
      <c r="P75" s="236" t="s">
        <v>126</v>
      </c>
      <c r="Q75" s="236">
        <v>12</v>
      </c>
      <c r="R75" s="236" t="s">
        <v>126</v>
      </c>
      <c r="S75" s="236"/>
      <c r="T75" s="236"/>
      <c r="U75" s="236"/>
      <c r="V75" s="236"/>
      <c r="W75" s="236"/>
      <c r="X75" s="236">
        <v>8</v>
      </c>
      <c r="Y75" s="236">
        <v>2.5</v>
      </c>
      <c r="Z75" s="236">
        <v>2.5</v>
      </c>
      <c r="AM75" s="236"/>
      <c r="AN75" s="236"/>
      <c r="AO75" s="236"/>
      <c r="AP75" s="236"/>
      <c r="AQ75" s="236"/>
      <c r="AR75" s="236"/>
      <c r="AS75" s="236"/>
      <c r="AT75" s="236"/>
      <c r="AU75" s="236"/>
      <c r="AV75" s="12"/>
      <c r="AW75" s="12"/>
      <c r="AX75" s="12"/>
      <c r="AY75" s="12"/>
      <c r="AZ75" s="12"/>
      <c r="BA75" s="12"/>
      <c r="BB75" s="12"/>
    </row>
    <row r="76" spans="1:54" ht="13">
      <c r="A76" s="26" t="s">
        <v>1416</v>
      </c>
      <c r="B76" s="27" t="s">
        <v>11</v>
      </c>
      <c r="C76" s="31" t="s">
        <v>488</v>
      </c>
      <c r="D76" s="31" t="s">
        <v>1420</v>
      </c>
      <c r="E76" s="27" t="s">
        <v>2226</v>
      </c>
      <c r="F76" s="27" t="s">
        <v>90</v>
      </c>
      <c r="G76" s="27" t="s">
        <v>114</v>
      </c>
      <c r="H76" s="27">
        <v>334</v>
      </c>
      <c r="I76" s="27">
        <v>3</v>
      </c>
      <c r="J76" s="27"/>
      <c r="K76" s="27"/>
      <c r="L76" s="27"/>
      <c r="M76" s="27"/>
      <c r="N76" s="27"/>
      <c r="O76" s="27"/>
      <c r="P76" s="27" t="s">
        <v>32</v>
      </c>
      <c r="Q76" s="27">
        <v>12</v>
      </c>
      <c r="R76" s="27" t="s">
        <v>32</v>
      </c>
      <c r="S76" s="27"/>
      <c r="T76" s="27"/>
      <c r="U76" s="27"/>
      <c r="V76" s="27"/>
      <c r="W76" s="27"/>
      <c r="X76" s="27"/>
      <c r="Y76" s="27">
        <v>3</v>
      </c>
      <c r="Z76" s="27">
        <v>3</v>
      </c>
      <c r="AM76" s="27"/>
      <c r="AN76" s="27"/>
      <c r="AO76" s="27"/>
      <c r="AP76" s="27"/>
      <c r="AQ76" s="27"/>
      <c r="AR76" s="27"/>
      <c r="AS76" s="27"/>
      <c r="AT76" s="27"/>
      <c r="AU76" s="27"/>
      <c r="AV76" s="12"/>
      <c r="AW76" s="12"/>
      <c r="AX76" s="12"/>
      <c r="AY76" s="12"/>
      <c r="AZ76" s="12"/>
      <c r="BA76" s="12"/>
      <c r="BB76" s="12"/>
    </row>
    <row r="77" spans="1:54" ht="13">
      <c r="A77" s="26" t="s">
        <v>430</v>
      </c>
      <c r="B77" s="236" t="s">
        <v>5</v>
      </c>
      <c r="C77" s="258" t="s">
        <v>431</v>
      </c>
      <c r="D77" s="258" t="s">
        <v>432</v>
      </c>
      <c r="E77" s="236" t="s">
        <v>433</v>
      </c>
      <c r="F77" s="236" t="s">
        <v>67</v>
      </c>
      <c r="G77" s="236" t="s">
        <v>97</v>
      </c>
      <c r="H77" s="236">
        <v>332</v>
      </c>
      <c r="I77" s="236">
        <v>1.5</v>
      </c>
      <c r="J77" s="236">
        <v>1.5</v>
      </c>
      <c r="K77" s="236"/>
      <c r="L77" s="236"/>
      <c r="M77" s="236"/>
      <c r="N77" s="236"/>
      <c r="O77" s="236" t="s">
        <v>1048</v>
      </c>
      <c r="P77" s="236" t="s">
        <v>34</v>
      </c>
      <c r="Q77" s="236">
        <v>13</v>
      </c>
      <c r="R77" s="236" t="s">
        <v>34</v>
      </c>
      <c r="S77" s="236"/>
      <c r="T77" s="236"/>
      <c r="U77" s="236"/>
      <c r="V77" s="236"/>
      <c r="W77" s="236"/>
      <c r="X77" s="236"/>
      <c r="Y77" s="236"/>
      <c r="Z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12"/>
      <c r="AW77" s="12"/>
      <c r="AX77" s="12"/>
      <c r="AY77" s="12"/>
      <c r="AZ77" s="12"/>
      <c r="BA77" s="12"/>
      <c r="BB77" s="12"/>
    </row>
    <row r="78" spans="1:54" ht="13">
      <c r="A78" s="26" t="s">
        <v>1410</v>
      </c>
      <c r="B78" s="27" t="s">
        <v>5</v>
      </c>
      <c r="C78" s="31" t="s">
        <v>1412</v>
      </c>
      <c r="D78" s="31" t="s">
        <v>1414</v>
      </c>
      <c r="E78" s="27" t="s">
        <v>2227</v>
      </c>
      <c r="F78" s="27" t="s">
        <v>336</v>
      </c>
      <c r="G78" s="27" t="s">
        <v>114</v>
      </c>
      <c r="H78" s="27">
        <v>331</v>
      </c>
      <c r="I78" s="27">
        <v>3</v>
      </c>
      <c r="J78" s="27"/>
      <c r="K78" s="27"/>
      <c r="L78" s="27"/>
      <c r="M78" s="27"/>
      <c r="N78" s="27"/>
      <c r="O78" s="27"/>
      <c r="P78" s="27" t="s">
        <v>70</v>
      </c>
      <c r="Q78" s="27">
        <v>30</v>
      </c>
      <c r="R78" s="27" t="s">
        <v>70</v>
      </c>
      <c r="S78" s="27"/>
      <c r="T78" s="27"/>
      <c r="U78" s="27"/>
      <c r="V78" s="27"/>
      <c r="W78" s="27">
        <v>6</v>
      </c>
      <c r="X78" s="27">
        <v>5</v>
      </c>
      <c r="Y78" s="27">
        <v>6</v>
      </c>
      <c r="Z78" s="27">
        <v>238</v>
      </c>
      <c r="AM78" s="27"/>
      <c r="AN78" s="27"/>
      <c r="AO78" s="27"/>
      <c r="AP78" s="27"/>
      <c r="AQ78" s="27"/>
      <c r="AR78" s="27"/>
      <c r="AS78" s="27"/>
      <c r="AT78" s="27"/>
      <c r="AU78" s="27"/>
      <c r="AV78" s="12"/>
      <c r="AW78" s="12"/>
      <c r="AX78" s="12"/>
      <c r="AY78" s="12"/>
      <c r="AZ78" s="12"/>
      <c r="BA78" s="12"/>
      <c r="BB78" s="12"/>
    </row>
    <row r="79" spans="1:54" ht="13">
      <c r="A79" s="26" t="s">
        <v>736</v>
      </c>
      <c r="B79" s="236" t="s">
        <v>8</v>
      </c>
      <c r="C79" s="258" t="s">
        <v>737</v>
      </c>
      <c r="D79" s="258" t="s">
        <v>738</v>
      </c>
      <c r="E79" s="236" t="s">
        <v>739</v>
      </c>
      <c r="F79" s="236" t="s">
        <v>215</v>
      </c>
      <c r="G79" s="236" t="s">
        <v>740</v>
      </c>
      <c r="H79" s="236">
        <v>327</v>
      </c>
      <c r="I79" s="236">
        <v>3</v>
      </c>
      <c r="J79" s="236"/>
      <c r="K79" s="236"/>
      <c r="L79" s="236"/>
      <c r="M79" s="236"/>
      <c r="N79" s="236"/>
      <c r="O79" s="236"/>
      <c r="P79" s="236" t="s">
        <v>78</v>
      </c>
      <c r="Q79" s="236">
        <v>24</v>
      </c>
      <c r="R79" s="236" t="s">
        <v>78</v>
      </c>
      <c r="S79" s="236"/>
      <c r="T79" s="236"/>
      <c r="U79" s="236"/>
      <c r="V79" s="236"/>
      <c r="W79" s="236"/>
      <c r="X79" s="236">
        <v>4</v>
      </c>
      <c r="Y79" s="236">
        <v>6</v>
      </c>
      <c r="Z79" s="236">
        <v>3</v>
      </c>
      <c r="AM79" s="236"/>
      <c r="AN79" s="236"/>
      <c r="AO79" s="236"/>
      <c r="AP79" s="236"/>
      <c r="AQ79" s="236"/>
      <c r="AR79" s="236"/>
      <c r="AS79" s="236"/>
      <c r="AT79" s="236"/>
      <c r="AU79" s="236"/>
      <c r="AV79" s="12"/>
      <c r="AW79" s="12"/>
      <c r="AX79" s="12"/>
      <c r="AY79" s="12"/>
      <c r="AZ79" s="12"/>
      <c r="BA79" s="12"/>
      <c r="BB79" s="12"/>
    </row>
    <row r="80" spans="1:54" ht="13">
      <c r="A80" s="26" t="s">
        <v>306</v>
      </c>
      <c r="B80" s="27" t="s">
        <v>10</v>
      </c>
      <c r="C80" s="31" t="s">
        <v>307</v>
      </c>
      <c r="D80" s="31" t="s">
        <v>309</v>
      </c>
      <c r="E80" s="27" t="s">
        <v>684</v>
      </c>
      <c r="F80" s="27" t="s">
        <v>90</v>
      </c>
      <c r="G80" s="27" t="s">
        <v>109</v>
      </c>
      <c r="H80" s="27">
        <v>323</v>
      </c>
      <c r="I80" s="27">
        <v>2.5</v>
      </c>
      <c r="J80" s="27">
        <v>3</v>
      </c>
      <c r="K80" s="27">
        <v>3</v>
      </c>
      <c r="L80" s="27"/>
      <c r="M80" s="27"/>
      <c r="N80" s="27"/>
      <c r="O80" s="27" t="s">
        <v>1048</v>
      </c>
      <c r="P80" s="27" t="s">
        <v>34</v>
      </c>
      <c r="Q80" s="27">
        <v>5</v>
      </c>
      <c r="R80" s="27" t="s">
        <v>34</v>
      </c>
      <c r="S80" s="27"/>
      <c r="T80" s="27"/>
      <c r="U80" s="27"/>
      <c r="V80" s="27"/>
      <c r="W80" s="27"/>
      <c r="X80" s="27"/>
      <c r="Y80" s="27"/>
      <c r="Z80" s="27">
        <v>6.5</v>
      </c>
      <c r="AM80" s="27"/>
      <c r="AN80" s="27"/>
      <c r="AO80" s="27"/>
      <c r="AP80" s="27"/>
      <c r="AQ80" s="27"/>
      <c r="AR80" s="27"/>
      <c r="AS80" s="27"/>
      <c r="AT80" s="27"/>
      <c r="AU80" s="27"/>
      <c r="AV80" s="12"/>
      <c r="AW80" s="12"/>
      <c r="AX80" s="12"/>
      <c r="AY80" s="12"/>
      <c r="AZ80" s="12"/>
      <c r="BA80" s="12"/>
      <c r="BB80" s="12"/>
    </row>
    <row r="81" spans="1:54" ht="13">
      <c r="A81" s="26" t="s">
        <v>809</v>
      </c>
      <c r="B81" s="236" t="s">
        <v>5</v>
      </c>
      <c r="C81" s="258" t="s">
        <v>810</v>
      </c>
      <c r="D81" s="258" t="s">
        <v>811</v>
      </c>
      <c r="E81" s="236" t="s">
        <v>2228</v>
      </c>
      <c r="F81" s="236" t="s">
        <v>90</v>
      </c>
      <c r="G81" s="236" t="s">
        <v>55</v>
      </c>
      <c r="H81" s="236">
        <v>318</v>
      </c>
      <c r="I81" s="236">
        <v>3</v>
      </c>
      <c r="J81" s="236"/>
      <c r="K81" s="236"/>
      <c r="L81" s="236"/>
      <c r="M81" s="236"/>
      <c r="N81" s="236"/>
      <c r="O81" s="236"/>
      <c r="P81" s="236" t="s">
        <v>70</v>
      </c>
      <c r="Q81" s="236">
        <v>70</v>
      </c>
      <c r="R81" s="236" t="s">
        <v>70</v>
      </c>
      <c r="S81" s="236"/>
      <c r="T81" s="236"/>
      <c r="U81" s="236"/>
      <c r="V81" s="236"/>
      <c r="W81" s="236"/>
      <c r="X81" s="236">
        <v>3</v>
      </c>
      <c r="Y81" s="236">
        <v>4</v>
      </c>
      <c r="Z81" s="236">
        <v>3</v>
      </c>
      <c r="AM81" s="236"/>
      <c r="AN81" s="236"/>
      <c r="AO81" s="236"/>
      <c r="AP81" s="236"/>
      <c r="AQ81" s="236"/>
      <c r="AR81" s="236"/>
      <c r="AS81" s="236"/>
      <c r="AT81" s="236"/>
      <c r="AU81" s="236"/>
      <c r="AV81" s="12"/>
      <c r="AW81" s="12"/>
      <c r="AX81" s="12"/>
      <c r="AY81" s="12"/>
      <c r="AZ81" s="12"/>
      <c r="BA81" s="12"/>
      <c r="BB81" s="12"/>
    </row>
    <row r="82" spans="1:54" ht="13">
      <c r="A82" s="26" t="s">
        <v>245</v>
      </c>
      <c r="B82" s="27" t="s">
        <v>10</v>
      </c>
      <c r="C82" s="31" t="s">
        <v>247</v>
      </c>
      <c r="D82" s="31" t="s">
        <v>249</v>
      </c>
      <c r="E82" s="27" t="s">
        <v>247</v>
      </c>
      <c r="F82" s="27" t="s">
        <v>90</v>
      </c>
      <c r="G82" s="27" t="s">
        <v>109</v>
      </c>
      <c r="H82" s="27">
        <v>315</v>
      </c>
      <c r="I82" s="27">
        <v>3</v>
      </c>
      <c r="J82" s="27"/>
      <c r="K82" s="27"/>
      <c r="L82" s="27"/>
      <c r="M82" s="27"/>
      <c r="N82" s="27"/>
      <c r="O82" s="27" t="s">
        <v>2229</v>
      </c>
      <c r="P82" s="27" t="s">
        <v>33</v>
      </c>
      <c r="Q82" s="27">
        <v>29</v>
      </c>
      <c r="R82" s="27" t="s">
        <v>33</v>
      </c>
      <c r="S82" s="27"/>
      <c r="T82" s="27"/>
      <c r="U82" s="27"/>
      <c r="V82" s="27"/>
      <c r="W82" s="27"/>
      <c r="X82" s="27"/>
      <c r="Y82" s="27"/>
      <c r="Z82" s="27">
        <v>2</v>
      </c>
      <c r="AY82" s="12"/>
      <c r="AZ82" s="12"/>
      <c r="BA82" s="12"/>
      <c r="BB82" s="12"/>
    </row>
    <row r="83" spans="1:54" ht="13">
      <c r="A83" s="26" t="s">
        <v>261</v>
      </c>
      <c r="B83" s="236" t="s">
        <v>10</v>
      </c>
      <c r="C83" s="258" t="s">
        <v>263</v>
      </c>
      <c r="D83" s="258" t="s">
        <v>264</v>
      </c>
      <c r="E83" s="236" t="s">
        <v>528</v>
      </c>
      <c r="F83" s="236" t="s">
        <v>103</v>
      </c>
      <c r="G83" s="236" t="s">
        <v>265</v>
      </c>
      <c r="H83" s="236">
        <v>303</v>
      </c>
      <c r="I83" s="236">
        <v>2</v>
      </c>
      <c r="J83" s="236">
        <v>2</v>
      </c>
      <c r="K83" s="236">
        <v>2</v>
      </c>
      <c r="L83" s="236"/>
      <c r="M83" s="236"/>
      <c r="N83" s="236"/>
      <c r="O83" s="236" t="s">
        <v>856</v>
      </c>
      <c r="P83" s="236" t="s">
        <v>34</v>
      </c>
      <c r="Q83" s="236">
        <v>11</v>
      </c>
      <c r="R83" s="236" t="s">
        <v>34</v>
      </c>
      <c r="S83" s="236" t="s">
        <v>266</v>
      </c>
      <c r="T83" s="236">
        <v>6</v>
      </c>
      <c r="U83" s="236">
        <v>4</v>
      </c>
      <c r="V83" s="236"/>
      <c r="W83" s="236"/>
      <c r="X83" s="236"/>
      <c r="Y83" s="236"/>
      <c r="Z83" s="236">
        <v>2</v>
      </c>
      <c r="AM83" s="236"/>
      <c r="AN83" s="236"/>
      <c r="AO83" s="236"/>
      <c r="AP83" s="236"/>
      <c r="AQ83" s="236"/>
      <c r="AR83" s="236"/>
      <c r="AS83" s="236"/>
      <c r="AT83" s="236"/>
      <c r="AU83" s="236"/>
      <c r="AV83" s="12"/>
      <c r="AW83" s="12"/>
      <c r="AX83" s="12"/>
      <c r="AY83" s="12"/>
      <c r="AZ83" s="12"/>
      <c r="BA83" s="12"/>
      <c r="BB83" s="12"/>
    </row>
    <row r="84" spans="1:54" ht="13">
      <c r="A84" s="26" t="s">
        <v>781</v>
      </c>
      <c r="B84" s="27" t="s">
        <v>11</v>
      </c>
      <c r="C84" s="31" t="s">
        <v>783</v>
      </c>
      <c r="D84" s="31" t="s">
        <v>784</v>
      </c>
      <c r="E84" s="27" t="s">
        <v>786</v>
      </c>
      <c r="F84" s="27" t="s">
        <v>103</v>
      </c>
      <c r="G84" s="27" t="s">
        <v>46</v>
      </c>
      <c r="H84" s="27">
        <v>301</v>
      </c>
      <c r="I84" s="27">
        <v>3</v>
      </c>
      <c r="J84" s="27"/>
      <c r="K84" s="27"/>
      <c r="L84" s="27"/>
      <c r="M84" s="27"/>
      <c r="N84" s="27"/>
      <c r="O84" s="27"/>
      <c r="P84" s="27" t="s">
        <v>126</v>
      </c>
      <c r="Q84" s="27">
        <v>6</v>
      </c>
      <c r="R84" s="27" t="s">
        <v>78</v>
      </c>
      <c r="S84" s="27"/>
      <c r="T84" s="27"/>
      <c r="U84" s="27"/>
      <c r="V84" s="27"/>
      <c r="W84" s="27"/>
      <c r="X84" s="27">
        <v>4</v>
      </c>
      <c r="Y84" s="27">
        <v>3</v>
      </c>
      <c r="Z84" s="27">
        <v>3</v>
      </c>
      <c r="AM84" s="27"/>
      <c r="AN84" s="27"/>
      <c r="AO84" s="27"/>
      <c r="AP84" s="27"/>
      <c r="AQ84" s="27"/>
      <c r="AR84" s="27"/>
      <c r="AS84" s="27"/>
      <c r="AT84" s="27"/>
      <c r="AU84" s="27"/>
      <c r="AV84" s="12"/>
      <c r="AW84" s="12"/>
      <c r="AX84" s="12"/>
      <c r="AY84" s="12"/>
      <c r="AZ84" s="12"/>
      <c r="BA84" s="12"/>
      <c r="BB84" s="12"/>
    </row>
    <row r="85" spans="1:54" ht="13">
      <c r="A85" s="26" t="s">
        <v>484</v>
      </c>
      <c r="B85" s="236" t="s">
        <v>8</v>
      </c>
      <c r="C85" s="258" t="s">
        <v>485</v>
      </c>
      <c r="D85" s="258" t="s">
        <v>487</v>
      </c>
      <c r="E85" s="236" t="s">
        <v>834</v>
      </c>
      <c r="F85" s="236" t="s">
        <v>90</v>
      </c>
      <c r="G85" s="236" t="s">
        <v>120</v>
      </c>
      <c r="H85" s="236">
        <v>300</v>
      </c>
      <c r="I85" s="236">
        <v>3</v>
      </c>
      <c r="J85" s="236"/>
      <c r="K85" s="236"/>
      <c r="L85" s="236"/>
      <c r="M85" s="236"/>
      <c r="N85" s="236"/>
      <c r="O85" s="236"/>
      <c r="P85" s="236" t="s">
        <v>70</v>
      </c>
      <c r="Q85" s="236">
        <v>71</v>
      </c>
      <c r="R85" s="236" t="s">
        <v>70</v>
      </c>
      <c r="S85" s="236"/>
      <c r="T85" s="236"/>
      <c r="U85" s="236"/>
      <c r="V85" s="236"/>
      <c r="W85" s="236"/>
      <c r="X85" s="236">
        <v>3</v>
      </c>
      <c r="Y85" s="236">
        <v>5</v>
      </c>
      <c r="Z85" s="236">
        <v>5</v>
      </c>
      <c r="AM85" s="236"/>
      <c r="AN85" s="236"/>
      <c r="AO85" s="236"/>
      <c r="AP85" s="236"/>
      <c r="AQ85" s="236"/>
      <c r="AR85" s="236"/>
      <c r="AS85" s="236"/>
      <c r="AT85" s="236"/>
      <c r="AU85" s="236"/>
      <c r="AV85" s="12"/>
      <c r="AW85" s="12"/>
      <c r="AX85" s="12"/>
      <c r="AY85" s="12"/>
      <c r="AZ85" s="12"/>
      <c r="BA85" s="12"/>
      <c r="BB85" s="12"/>
    </row>
    <row r="86" spans="1:54" ht="13">
      <c r="A86" s="26" t="s">
        <v>843</v>
      </c>
      <c r="B86" s="27" t="s">
        <v>8</v>
      </c>
      <c r="C86" s="31" t="s">
        <v>845</v>
      </c>
      <c r="D86" s="31" t="s">
        <v>846</v>
      </c>
      <c r="E86" s="27" t="s">
        <v>847</v>
      </c>
      <c r="F86" s="27" t="s">
        <v>180</v>
      </c>
      <c r="G86" s="27" t="s">
        <v>298</v>
      </c>
      <c r="H86" s="27">
        <v>297</v>
      </c>
      <c r="I86" s="27"/>
      <c r="J86" s="27"/>
      <c r="K86" s="27"/>
      <c r="L86" s="27"/>
      <c r="M86" s="27"/>
      <c r="N86" s="27"/>
      <c r="O86" s="27"/>
      <c r="P86" s="27" t="s">
        <v>70</v>
      </c>
      <c r="Q86" s="27">
        <v>85</v>
      </c>
      <c r="R86" s="27" t="s">
        <v>70</v>
      </c>
      <c r="S86" s="27"/>
      <c r="T86" s="27"/>
      <c r="U86" s="27"/>
      <c r="V86" s="27"/>
      <c r="W86" s="27"/>
      <c r="X86" s="27">
        <v>2</v>
      </c>
      <c r="Y86" s="27">
        <v>3</v>
      </c>
      <c r="Z86" s="27">
        <v>4</v>
      </c>
      <c r="AM86" s="27"/>
      <c r="AN86" s="27"/>
      <c r="AO86" s="27"/>
      <c r="AP86" s="27"/>
      <c r="AQ86" s="27"/>
      <c r="AR86" s="27"/>
      <c r="AS86" s="27"/>
      <c r="AT86" s="27"/>
      <c r="AU86" s="27"/>
      <c r="AV86" s="12"/>
      <c r="AW86" s="12"/>
      <c r="AX86" s="12"/>
      <c r="AY86" s="12"/>
      <c r="AZ86" s="12"/>
      <c r="BA86" s="12"/>
      <c r="BB86" s="12"/>
    </row>
    <row r="87" spans="1:54" ht="13">
      <c r="A87" s="26" t="s">
        <v>567</v>
      </c>
      <c r="B87" s="236" t="s">
        <v>10</v>
      </c>
      <c r="C87" s="258" t="s">
        <v>568</v>
      </c>
      <c r="D87" s="258" t="s">
        <v>569</v>
      </c>
      <c r="E87" s="236" t="s">
        <v>570</v>
      </c>
      <c r="F87" s="236" t="s">
        <v>90</v>
      </c>
      <c r="G87" s="236" t="s">
        <v>114</v>
      </c>
      <c r="H87" s="236">
        <v>288</v>
      </c>
      <c r="I87" s="236">
        <v>3</v>
      </c>
      <c r="J87" s="236"/>
      <c r="K87" s="236"/>
      <c r="L87" s="236"/>
      <c r="M87" s="236"/>
      <c r="N87" s="236"/>
      <c r="O87" s="236" t="s">
        <v>1284</v>
      </c>
      <c r="P87" s="236" t="s">
        <v>33</v>
      </c>
      <c r="Q87" s="236">
        <v>15</v>
      </c>
      <c r="R87" s="236" t="s">
        <v>33</v>
      </c>
      <c r="S87" s="236"/>
      <c r="T87" s="236"/>
      <c r="U87" s="236"/>
      <c r="V87" s="236"/>
      <c r="W87" s="236"/>
      <c r="X87" s="236"/>
      <c r="Y87" s="236">
        <v>4</v>
      </c>
      <c r="Z87" s="236">
        <v>3</v>
      </c>
      <c r="AM87" s="236"/>
      <c r="AN87" s="236"/>
      <c r="AO87" s="236"/>
      <c r="AP87" s="236"/>
      <c r="AQ87" s="236"/>
      <c r="AR87" s="236"/>
      <c r="AS87" s="236"/>
      <c r="AT87" s="236"/>
      <c r="AU87" s="236"/>
      <c r="AV87" s="12"/>
      <c r="AW87" s="12"/>
      <c r="AX87" s="12"/>
      <c r="AY87" s="12"/>
      <c r="AZ87" s="12"/>
      <c r="BA87" s="12"/>
      <c r="BB87" s="12"/>
    </row>
    <row r="88" spans="1:54" ht="13">
      <c r="A88" s="26" t="s">
        <v>1422</v>
      </c>
      <c r="B88" s="27" t="s">
        <v>304</v>
      </c>
      <c r="C88" s="31" t="s">
        <v>1123</v>
      </c>
      <c r="D88" s="31" t="s">
        <v>1425</v>
      </c>
      <c r="E88" s="27" t="s">
        <v>2230</v>
      </c>
      <c r="F88" s="27" t="s">
        <v>67</v>
      </c>
      <c r="G88" s="27"/>
      <c r="H88" s="27">
        <v>285</v>
      </c>
      <c r="I88" s="27"/>
      <c r="J88" s="27"/>
      <c r="K88" s="27"/>
      <c r="L88" s="27"/>
      <c r="M88" s="27"/>
      <c r="N88" s="27"/>
      <c r="O88" s="27"/>
      <c r="P88" s="27" t="s">
        <v>70</v>
      </c>
      <c r="Q88" s="27" t="s">
        <v>141</v>
      </c>
      <c r="R88" s="27" t="s">
        <v>70</v>
      </c>
      <c r="S88" s="27"/>
      <c r="T88" s="27"/>
      <c r="U88" s="27"/>
      <c r="V88" s="27"/>
      <c r="W88" s="27"/>
      <c r="X88" s="27"/>
      <c r="Y88" s="27"/>
      <c r="Z88" s="27"/>
      <c r="AM88" s="27"/>
      <c r="AN88" s="27"/>
      <c r="AO88" s="27"/>
      <c r="AP88" s="27"/>
      <c r="AQ88" s="27"/>
      <c r="AR88" s="27"/>
      <c r="AS88" s="27"/>
      <c r="AT88" s="27"/>
      <c r="AU88" s="27"/>
      <c r="AV88" s="12"/>
      <c r="AW88" s="12"/>
      <c r="AX88" s="12"/>
      <c r="AY88" s="12"/>
      <c r="AZ88" s="12"/>
      <c r="BA88" s="12"/>
      <c r="BB88" s="12"/>
    </row>
    <row r="89" spans="1:54" ht="13">
      <c r="A89" s="26" t="s">
        <v>871</v>
      </c>
      <c r="B89" s="236" t="s">
        <v>8</v>
      </c>
      <c r="C89" s="258" t="s">
        <v>872</v>
      </c>
      <c r="D89" s="258" t="s">
        <v>873</v>
      </c>
      <c r="E89" s="236" t="s">
        <v>874</v>
      </c>
      <c r="F89" s="236" t="s">
        <v>83</v>
      </c>
      <c r="G89" s="236" t="s">
        <v>225</v>
      </c>
      <c r="H89" s="236">
        <v>284</v>
      </c>
      <c r="I89" s="236"/>
      <c r="J89" s="236"/>
      <c r="K89" s="236"/>
      <c r="L89" s="236"/>
      <c r="M89" s="236"/>
      <c r="N89" s="236"/>
      <c r="O89" s="236"/>
      <c r="P89" s="236" t="s">
        <v>70</v>
      </c>
      <c r="Q89" s="236">
        <v>73</v>
      </c>
      <c r="R89" s="236" t="s">
        <v>70</v>
      </c>
      <c r="S89" s="236"/>
      <c r="T89" s="236"/>
      <c r="U89" s="236"/>
      <c r="V89" s="236"/>
      <c r="W89" s="236"/>
      <c r="X89" s="236">
        <v>1</v>
      </c>
      <c r="Y89" s="236">
        <v>2</v>
      </c>
      <c r="Z89" s="236">
        <v>4</v>
      </c>
      <c r="AM89" s="236"/>
      <c r="AN89" s="236"/>
      <c r="AO89" s="236"/>
      <c r="AP89" s="236"/>
      <c r="AQ89" s="236"/>
      <c r="AR89" s="236"/>
      <c r="AS89" s="236"/>
      <c r="AT89" s="236"/>
      <c r="AU89" s="236"/>
      <c r="AV89" s="12"/>
      <c r="AW89" s="12"/>
      <c r="AX89" s="12"/>
      <c r="AY89" s="12"/>
      <c r="AZ89" s="12"/>
      <c r="BA89" s="12"/>
      <c r="BB89" s="12"/>
    </row>
    <row r="90" spans="1:54" ht="13">
      <c r="A90" s="26" t="s">
        <v>581</v>
      </c>
      <c r="B90" s="27" t="s">
        <v>8</v>
      </c>
      <c r="C90" s="31" t="s">
        <v>582</v>
      </c>
      <c r="D90" s="31" t="s">
        <v>583</v>
      </c>
      <c r="E90" s="27" t="s">
        <v>584</v>
      </c>
      <c r="F90" s="27" t="s">
        <v>90</v>
      </c>
      <c r="G90" s="27" t="s">
        <v>114</v>
      </c>
      <c r="H90" s="27">
        <v>283</v>
      </c>
      <c r="I90" s="27">
        <v>4</v>
      </c>
      <c r="J90" s="27">
        <v>4</v>
      </c>
      <c r="K90" s="27"/>
      <c r="L90" s="27"/>
      <c r="M90" s="27"/>
      <c r="N90" s="27"/>
      <c r="O90" s="27" t="s">
        <v>942</v>
      </c>
      <c r="P90" s="27" t="s">
        <v>34</v>
      </c>
      <c r="Q90" s="27">
        <v>4</v>
      </c>
      <c r="R90" s="27" t="s">
        <v>34</v>
      </c>
      <c r="S90" s="27"/>
      <c r="T90" s="27"/>
      <c r="U90" s="27"/>
      <c r="V90" s="27"/>
      <c r="W90" s="27"/>
      <c r="X90" s="27"/>
      <c r="Y90" s="27"/>
      <c r="Z90" s="27"/>
      <c r="AM90" s="27"/>
      <c r="AN90" s="27"/>
      <c r="AO90" s="27"/>
      <c r="AP90" s="27"/>
      <c r="AQ90" s="27"/>
      <c r="AR90" s="27"/>
      <c r="AS90" s="27"/>
      <c r="AT90" s="27"/>
      <c r="AU90" s="27"/>
      <c r="AV90" s="12"/>
      <c r="AW90" s="12"/>
      <c r="AX90" s="12"/>
      <c r="AY90" s="12"/>
      <c r="AZ90" s="12"/>
      <c r="BA90" s="12"/>
      <c r="BB90" s="12"/>
    </row>
    <row r="91" spans="1:54" ht="13">
      <c r="A91" s="26" t="s">
        <v>369</v>
      </c>
      <c r="B91" s="236" t="s">
        <v>8</v>
      </c>
      <c r="C91" s="258" t="s">
        <v>370</v>
      </c>
      <c r="D91" s="258" t="s">
        <v>371</v>
      </c>
      <c r="E91" s="236" t="s">
        <v>372</v>
      </c>
      <c r="F91" s="236" t="s">
        <v>83</v>
      </c>
      <c r="G91" s="236" t="s">
        <v>151</v>
      </c>
      <c r="H91" s="236">
        <v>280</v>
      </c>
      <c r="I91" s="236">
        <v>2.5</v>
      </c>
      <c r="J91" s="236">
        <v>2.5</v>
      </c>
      <c r="K91" s="236">
        <v>2.5</v>
      </c>
      <c r="L91" s="236"/>
      <c r="M91" s="236"/>
      <c r="N91" s="236"/>
      <c r="O91" s="236" t="s">
        <v>856</v>
      </c>
      <c r="P91" s="236" t="s">
        <v>34</v>
      </c>
      <c r="Q91" s="236">
        <v>16</v>
      </c>
      <c r="R91" s="236" t="s">
        <v>34</v>
      </c>
      <c r="S91" s="236" t="s">
        <v>374</v>
      </c>
      <c r="T91" s="236">
        <v>6</v>
      </c>
      <c r="U91" s="236">
        <v>12</v>
      </c>
      <c r="V91" s="236" t="s">
        <v>375</v>
      </c>
      <c r="W91" s="236"/>
      <c r="X91" s="236"/>
      <c r="Y91" s="236"/>
      <c r="Z91" s="236"/>
      <c r="AM91" s="236"/>
      <c r="AN91" s="236"/>
      <c r="AO91" s="236"/>
      <c r="AP91" s="236"/>
      <c r="AQ91" s="236"/>
      <c r="AR91" s="236"/>
      <c r="AS91" s="236"/>
      <c r="AT91" s="236"/>
      <c r="AU91" s="236"/>
      <c r="AV91" s="12"/>
      <c r="AW91" s="12"/>
      <c r="AX91" s="12"/>
      <c r="AY91" s="12"/>
      <c r="AZ91" s="12"/>
      <c r="BA91" s="12"/>
      <c r="BB91" s="12"/>
    </row>
    <row r="92" spans="1:54" ht="13">
      <c r="A92" s="26" t="s">
        <v>472</v>
      </c>
      <c r="B92" s="27" t="s">
        <v>8</v>
      </c>
      <c r="C92" s="31" t="s">
        <v>473</v>
      </c>
      <c r="D92" s="31" t="s">
        <v>474</v>
      </c>
      <c r="E92" s="27" t="s">
        <v>476</v>
      </c>
      <c r="F92" s="27" t="s">
        <v>215</v>
      </c>
      <c r="G92" s="27" t="s">
        <v>132</v>
      </c>
      <c r="H92" s="27">
        <v>279</v>
      </c>
      <c r="I92" s="27">
        <v>3.5</v>
      </c>
      <c r="J92" s="27">
        <v>3.5</v>
      </c>
      <c r="K92" s="27">
        <v>4.5</v>
      </c>
      <c r="L92" s="27"/>
      <c r="M92" s="27"/>
      <c r="N92" s="27"/>
      <c r="O92" s="27" t="s">
        <v>856</v>
      </c>
      <c r="P92" s="27" t="s">
        <v>34</v>
      </c>
      <c r="Q92" s="27">
        <v>8</v>
      </c>
      <c r="R92" s="27" t="s">
        <v>34</v>
      </c>
      <c r="S92" s="27"/>
      <c r="T92" s="27"/>
      <c r="U92" s="27"/>
      <c r="V92" s="27"/>
      <c r="W92" s="27"/>
      <c r="X92" s="27"/>
      <c r="Y92" s="27"/>
      <c r="Z92" s="27"/>
      <c r="AM92" s="27"/>
      <c r="AN92" s="27"/>
      <c r="AO92" s="27"/>
      <c r="AP92" s="27"/>
      <c r="AQ92" s="27"/>
      <c r="AR92" s="27"/>
      <c r="AS92" s="27"/>
      <c r="AT92" s="27"/>
      <c r="AU92" s="27"/>
      <c r="AV92" s="12"/>
      <c r="AW92" s="12"/>
      <c r="AX92" s="12"/>
      <c r="AY92" s="12"/>
      <c r="AZ92" s="12"/>
      <c r="BA92" s="12"/>
      <c r="BB92" s="12"/>
    </row>
    <row r="93" spans="1:54" ht="13">
      <c r="A93" s="26" t="s">
        <v>426</v>
      </c>
      <c r="B93" s="236" t="s">
        <v>12</v>
      </c>
      <c r="C93" s="258" t="s">
        <v>427</v>
      </c>
      <c r="D93" s="258" t="s">
        <v>428</v>
      </c>
      <c r="E93" s="236" t="s">
        <v>429</v>
      </c>
      <c r="F93" s="236" t="s">
        <v>103</v>
      </c>
      <c r="G93" s="236" t="s">
        <v>159</v>
      </c>
      <c r="H93" s="236">
        <v>276</v>
      </c>
      <c r="I93" s="236">
        <v>3</v>
      </c>
      <c r="J93" s="236">
        <v>3</v>
      </c>
      <c r="K93" s="236">
        <v>3</v>
      </c>
      <c r="L93" s="236"/>
      <c r="M93" s="236"/>
      <c r="N93" s="236"/>
      <c r="O93" s="236" t="s">
        <v>1048</v>
      </c>
      <c r="P93" s="236" t="s">
        <v>34</v>
      </c>
      <c r="Q93" s="236">
        <v>2</v>
      </c>
      <c r="R93" s="236" t="s">
        <v>34</v>
      </c>
      <c r="S93" s="236" t="s">
        <v>374</v>
      </c>
      <c r="T93" s="236">
        <v>6</v>
      </c>
      <c r="U93" s="236">
        <v>6</v>
      </c>
      <c r="V93" s="236"/>
      <c r="W93" s="236"/>
      <c r="X93" s="236"/>
      <c r="Y93" s="236"/>
      <c r="Z93" s="236">
        <v>3</v>
      </c>
      <c r="AM93" s="236"/>
      <c r="AN93" s="236"/>
      <c r="AO93" s="236"/>
      <c r="AP93" s="236"/>
      <c r="AQ93" s="236"/>
      <c r="AR93" s="236"/>
      <c r="AS93" s="236"/>
      <c r="AT93" s="236"/>
      <c r="AU93" s="236"/>
      <c r="AV93" s="12"/>
      <c r="AW93" s="12"/>
      <c r="AX93" s="12"/>
      <c r="AY93" s="12"/>
      <c r="AZ93" s="12"/>
      <c r="BA93" s="12"/>
      <c r="BB93" s="12"/>
    </row>
    <row r="94" spans="1:54" ht="13">
      <c r="A94" s="26" t="s">
        <v>658</v>
      </c>
      <c r="B94" s="27" t="s">
        <v>10</v>
      </c>
      <c r="C94" s="31" t="s">
        <v>660</v>
      </c>
      <c r="D94" s="31" t="s">
        <v>663</v>
      </c>
      <c r="E94" s="27" t="s">
        <v>2231</v>
      </c>
      <c r="F94" s="27" t="s">
        <v>103</v>
      </c>
      <c r="G94" s="27" t="s">
        <v>159</v>
      </c>
      <c r="H94" s="27">
        <v>276</v>
      </c>
      <c r="I94" s="27"/>
      <c r="J94" s="27"/>
      <c r="K94" s="27"/>
      <c r="L94" s="27"/>
      <c r="M94" s="27"/>
      <c r="N94" s="27"/>
      <c r="O94" s="27"/>
      <c r="P94" s="27" t="s">
        <v>70</v>
      </c>
      <c r="Q94" s="27">
        <v>55</v>
      </c>
      <c r="R94" s="27" t="s">
        <v>70</v>
      </c>
      <c r="S94" s="27"/>
      <c r="T94" s="27"/>
      <c r="U94" s="27"/>
      <c r="V94" s="27"/>
      <c r="W94" s="27">
        <v>0.5</v>
      </c>
      <c r="X94" s="27">
        <v>2.5</v>
      </c>
      <c r="Y94" s="27">
        <v>2.5</v>
      </c>
      <c r="Z94" s="27">
        <v>2</v>
      </c>
      <c r="AM94" s="27"/>
      <c r="AN94" s="27"/>
      <c r="AO94" s="27"/>
      <c r="AP94" s="27"/>
      <c r="AQ94" s="27"/>
      <c r="AR94" s="27"/>
      <c r="AS94" s="27"/>
      <c r="AT94" s="27"/>
      <c r="AU94" s="27"/>
      <c r="AV94" s="12"/>
      <c r="AW94" s="12"/>
      <c r="AX94" s="12"/>
      <c r="AY94" s="12"/>
      <c r="AZ94" s="12"/>
      <c r="BA94" s="12"/>
      <c r="BB94" s="12"/>
    </row>
    <row r="95" spans="1:54" ht="13">
      <c r="A95" s="26" t="s">
        <v>757</v>
      </c>
      <c r="B95" s="236" t="s">
        <v>10</v>
      </c>
      <c r="C95" s="258" t="s">
        <v>758</v>
      </c>
      <c r="D95" s="258" t="s">
        <v>760</v>
      </c>
      <c r="E95" s="236" t="s">
        <v>761</v>
      </c>
      <c r="F95" s="236" t="s">
        <v>83</v>
      </c>
      <c r="G95" s="236" t="s">
        <v>104</v>
      </c>
      <c r="H95" s="236">
        <v>275</v>
      </c>
      <c r="I95" s="236">
        <v>1</v>
      </c>
      <c r="J95" s="236"/>
      <c r="K95" s="236"/>
      <c r="L95" s="236"/>
      <c r="M95" s="236"/>
      <c r="N95" s="236"/>
      <c r="O95" s="236" t="s">
        <v>2219</v>
      </c>
      <c r="P95" s="236" t="s">
        <v>33</v>
      </c>
      <c r="Q95" s="236">
        <v>27</v>
      </c>
      <c r="R95" s="236" t="s">
        <v>32</v>
      </c>
      <c r="S95" s="236"/>
      <c r="T95" s="236"/>
      <c r="U95" s="236"/>
      <c r="V95" s="236"/>
      <c r="W95" s="236"/>
      <c r="X95" s="236">
        <v>2.5</v>
      </c>
      <c r="Y95" s="236">
        <v>1</v>
      </c>
      <c r="Z95" s="236">
        <v>1</v>
      </c>
      <c r="AM95" s="236"/>
      <c r="AN95" s="236"/>
      <c r="AO95" s="236"/>
      <c r="AP95" s="236"/>
      <c r="AQ95" s="236"/>
      <c r="AR95" s="236"/>
      <c r="AS95" s="236"/>
      <c r="AT95" s="236"/>
      <c r="AU95" s="236"/>
      <c r="AV95" s="12"/>
      <c r="AW95" s="12"/>
      <c r="AX95" s="12"/>
      <c r="AY95" s="12"/>
      <c r="AZ95" s="12"/>
      <c r="BA95" s="12"/>
      <c r="BB95" s="12"/>
    </row>
    <row r="96" spans="1:54" ht="13">
      <c r="A96" s="26" t="s">
        <v>418</v>
      </c>
      <c r="B96" s="27" t="s">
        <v>5</v>
      </c>
      <c r="C96" s="31" t="s">
        <v>419</v>
      </c>
      <c r="D96" s="31" t="s">
        <v>420</v>
      </c>
      <c r="E96" s="27" t="s">
        <v>421</v>
      </c>
      <c r="F96" s="27" t="s">
        <v>180</v>
      </c>
      <c r="G96" s="27" t="s">
        <v>192</v>
      </c>
      <c r="H96" s="27">
        <v>271</v>
      </c>
      <c r="I96" s="27">
        <v>2</v>
      </c>
      <c r="J96" s="27">
        <v>2</v>
      </c>
      <c r="K96" s="27"/>
      <c r="L96" s="27"/>
      <c r="M96" s="27"/>
      <c r="N96" s="27"/>
      <c r="O96" s="27" t="s">
        <v>1048</v>
      </c>
      <c r="P96" s="27" t="s">
        <v>34</v>
      </c>
      <c r="Q96" s="27">
        <v>19</v>
      </c>
      <c r="R96" s="27" t="s">
        <v>34</v>
      </c>
      <c r="S96" s="27"/>
      <c r="T96" s="27"/>
      <c r="U96" s="27"/>
      <c r="V96" s="27"/>
      <c r="W96" s="27"/>
      <c r="X96" s="27"/>
      <c r="Y96" s="27"/>
      <c r="Z96" s="27"/>
      <c r="AM96" s="27"/>
      <c r="AN96" s="27"/>
      <c r="AO96" s="27"/>
      <c r="AP96" s="27"/>
      <c r="AQ96" s="27"/>
      <c r="AR96" s="27"/>
      <c r="AS96" s="27"/>
      <c r="AT96" s="27"/>
      <c r="AU96" s="27"/>
      <c r="AV96" s="12"/>
      <c r="AW96" s="12"/>
      <c r="AX96" s="12"/>
      <c r="AY96" s="12"/>
      <c r="AZ96" s="12"/>
      <c r="BA96" s="12"/>
      <c r="BB96" s="12"/>
    </row>
    <row r="97" spans="1:54" ht="13">
      <c r="A97" s="26" t="s">
        <v>2214</v>
      </c>
      <c r="B97" s="236" t="s">
        <v>10</v>
      </c>
      <c r="C97" s="258" t="s">
        <v>592</v>
      </c>
      <c r="D97" s="258" t="s">
        <v>2215</v>
      </c>
      <c r="E97" s="236" t="s">
        <v>595</v>
      </c>
      <c r="F97" s="236" t="s">
        <v>90</v>
      </c>
      <c r="G97" s="236" t="s">
        <v>114</v>
      </c>
      <c r="H97" s="236">
        <v>269</v>
      </c>
      <c r="I97" s="236">
        <v>3</v>
      </c>
      <c r="J97" s="236">
        <v>3</v>
      </c>
      <c r="K97" s="236">
        <v>3</v>
      </c>
      <c r="L97" s="236"/>
      <c r="M97" s="236"/>
      <c r="N97" s="236"/>
      <c r="O97" s="236" t="s">
        <v>1048</v>
      </c>
      <c r="P97" s="236" t="s">
        <v>34</v>
      </c>
      <c r="Q97" s="236">
        <v>10</v>
      </c>
      <c r="R97" s="236" t="s">
        <v>34</v>
      </c>
      <c r="S97" s="236" t="s">
        <v>374</v>
      </c>
      <c r="T97" s="236">
        <v>6</v>
      </c>
      <c r="U97" s="236">
        <v>3</v>
      </c>
      <c r="V97" s="236"/>
      <c r="W97" s="236"/>
      <c r="X97" s="236"/>
      <c r="Y97" s="236"/>
      <c r="Z97" s="236">
        <v>5</v>
      </c>
      <c r="AM97" s="236"/>
      <c r="AN97" s="236"/>
      <c r="AO97" s="236"/>
      <c r="AP97" s="236"/>
      <c r="AQ97" s="236"/>
      <c r="AR97" s="236"/>
      <c r="AS97" s="236"/>
      <c r="AT97" s="236"/>
      <c r="AU97" s="236"/>
      <c r="AV97" s="12"/>
      <c r="AW97" s="12"/>
      <c r="AX97" s="12"/>
      <c r="AY97" s="12"/>
      <c r="AZ97" s="12"/>
      <c r="BA97" s="12"/>
      <c r="BB97" s="12"/>
    </row>
    <row r="98" spans="1:54" ht="13">
      <c r="A98" s="26" t="s">
        <v>613</v>
      </c>
      <c r="B98" s="27" t="s">
        <v>5</v>
      </c>
      <c r="C98" s="31" t="s">
        <v>615</v>
      </c>
      <c r="D98" s="31" t="s">
        <v>617</v>
      </c>
      <c r="E98" s="27" t="s">
        <v>619</v>
      </c>
      <c r="F98" s="27" t="s">
        <v>90</v>
      </c>
      <c r="G98" s="27" t="s">
        <v>109</v>
      </c>
      <c r="H98" s="27">
        <v>269</v>
      </c>
      <c r="I98" s="27">
        <v>3</v>
      </c>
      <c r="J98" s="27">
        <v>3</v>
      </c>
      <c r="K98" s="27"/>
      <c r="L98" s="27"/>
      <c r="M98" s="27"/>
      <c r="N98" s="27"/>
      <c r="O98" s="27" t="s">
        <v>1048</v>
      </c>
      <c r="P98" s="27" t="s">
        <v>34</v>
      </c>
      <c r="Q98" s="27">
        <v>6</v>
      </c>
      <c r="R98" s="27" t="s">
        <v>34</v>
      </c>
      <c r="S98" s="27"/>
      <c r="T98" s="27"/>
      <c r="U98" s="27"/>
      <c r="V98" s="27"/>
      <c r="W98" s="27"/>
      <c r="X98" s="27"/>
      <c r="Y98" s="27"/>
      <c r="Z98" s="27"/>
      <c r="AM98" s="27"/>
      <c r="AN98" s="27"/>
      <c r="AO98" s="27"/>
      <c r="AP98" s="27"/>
      <c r="AQ98" s="27"/>
      <c r="AR98" s="27"/>
      <c r="AS98" s="27"/>
      <c r="AT98" s="27"/>
      <c r="AU98" s="27"/>
      <c r="AV98" s="12"/>
      <c r="AW98" s="12"/>
      <c r="AX98" s="12"/>
      <c r="AY98" s="12"/>
      <c r="AZ98" s="12"/>
      <c r="BA98" s="12"/>
      <c r="BB98" s="12"/>
    </row>
    <row r="99" spans="1:54" ht="13">
      <c r="A99" s="26" t="s">
        <v>446</v>
      </c>
      <c r="B99" s="236" t="s">
        <v>5</v>
      </c>
      <c r="C99" s="258" t="s">
        <v>447</v>
      </c>
      <c r="D99" s="258" t="s">
        <v>448</v>
      </c>
      <c r="E99" s="236" t="s">
        <v>449</v>
      </c>
      <c r="F99" s="236" t="s">
        <v>90</v>
      </c>
      <c r="G99" s="236" t="s">
        <v>55</v>
      </c>
      <c r="H99" s="236">
        <v>265</v>
      </c>
      <c r="I99" s="236">
        <v>0.75</v>
      </c>
      <c r="J99" s="236">
        <v>0.75</v>
      </c>
      <c r="K99" s="236"/>
      <c r="L99" s="236"/>
      <c r="M99" s="236"/>
      <c r="N99" s="236"/>
      <c r="O99" s="236" t="s">
        <v>2211</v>
      </c>
      <c r="P99" s="236" t="s">
        <v>34</v>
      </c>
      <c r="Q99" s="236">
        <v>31</v>
      </c>
      <c r="R99" s="236" t="s">
        <v>34</v>
      </c>
      <c r="S99" s="236" t="s">
        <v>266</v>
      </c>
      <c r="T99" s="236">
        <v>6</v>
      </c>
      <c r="U99" s="236">
        <v>5</v>
      </c>
      <c r="V99" s="236" t="s">
        <v>375</v>
      </c>
      <c r="W99" s="236"/>
      <c r="X99" s="236"/>
      <c r="Y99" s="236"/>
      <c r="Z99" s="236"/>
      <c r="AM99" s="236"/>
      <c r="AN99" s="236"/>
      <c r="AO99" s="236"/>
      <c r="AP99" s="236"/>
      <c r="AQ99" s="236"/>
      <c r="AR99" s="236"/>
      <c r="AS99" s="236"/>
      <c r="AT99" s="236"/>
      <c r="AU99" s="236"/>
      <c r="AV99" s="12"/>
      <c r="AW99" s="12"/>
      <c r="AX99" s="12"/>
      <c r="AY99" s="12"/>
      <c r="AZ99" s="12"/>
      <c r="BA99" s="12"/>
      <c r="BB99" s="12"/>
    </row>
    <row r="100" spans="1:54" ht="13">
      <c r="A100" s="26" t="s">
        <v>836</v>
      </c>
      <c r="B100" s="27" t="s">
        <v>5</v>
      </c>
      <c r="C100" s="31" t="s">
        <v>838</v>
      </c>
      <c r="D100" s="31" t="s">
        <v>840</v>
      </c>
      <c r="E100" s="27" t="s">
        <v>841</v>
      </c>
      <c r="F100" s="27" t="s">
        <v>67</v>
      </c>
      <c r="G100" s="27" t="s">
        <v>166</v>
      </c>
      <c r="H100" s="27">
        <v>262</v>
      </c>
      <c r="I100" s="27">
        <v>3</v>
      </c>
      <c r="J100" s="27">
        <v>3</v>
      </c>
      <c r="K100" s="27"/>
      <c r="L100" s="27"/>
      <c r="M100" s="27"/>
      <c r="N100" s="27"/>
      <c r="O100" s="27" t="s">
        <v>1048</v>
      </c>
      <c r="P100" s="27" t="s">
        <v>34</v>
      </c>
      <c r="Q100" s="27">
        <v>18</v>
      </c>
      <c r="R100" s="27" t="s">
        <v>34</v>
      </c>
      <c r="S100" s="27" t="s">
        <v>374</v>
      </c>
      <c r="T100" s="27">
        <v>6</v>
      </c>
      <c r="U100" s="27">
        <v>11</v>
      </c>
      <c r="V100" s="27" t="s">
        <v>375</v>
      </c>
      <c r="W100" s="27"/>
      <c r="X100" s="27"/>
      <c r="Y100" s="27"/>
      <c r="Z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12"/>
      <c r="AW100" s="12"/>
      <c r="AX100" s="12"/>
      <c r="AY100" s="12"/>
      <c r="AZ100" s="12"/>
      <c r="BA100" s="12"/>
      <c r="BB100" s="12"/>
    </row>
    <row r="101" spans="1:54" ht="13">
      <c r="A101" s="26" t="s">
        <v>852</v>
      </c>
      <c r="B101" s="236" t="s">
        <v>3</v>
      </c>
      <c r="C101" s="258" t="s">
        <v>853</v>
      </c>
      <c r="D101" s="258" t="s">
        <v>854</v>
      </c>
      <c r="E101" s="236" t="s">
        <v>855</v>
      </c>
      <c r="F101" s="236" t="s">
        <v>83</v>
      </c>
      <c r="G101" s="236" t="s">
        <v>104</v>
      </c>
      <c r="H101" s="236">
        <v>260</v>
      </c>
      <c r="I101" s="236">
        <v>1</v>
      </c>
      <c r="J101" s="236">
        <v>1</v>
      </c>
      <c r="K101" s="236"/>
      <c r="L101" s="236"/>
      <c r="M101" s="236"/>
      <c r="N101" s="236"/>
      <c r="O101" s="236" t="s">
        <v>856</v>
      </c>
      <c r="P101" s="236" t="s">
        <v>34</v>
      </c>
      <c r="Q101" s="236">
        <v>29</v>
      </c>
      <c r="R101" s="236" t="s">
        <v>33</v>
      </c>
      <c r="S101" s="236"/>
      <c r="T101" s="236">
        <v>5</v>
      </c>
      <c r="U101" s="236" t="s">
        <v>857</v>
      </c>
      <c r="V101" s="236"/>
      <c r="W101" s="236"/>
      <c r="X101" s="236"/>
      <c r="Y101" s="236"/>
      <c r="Z101" s="236">
        <v>1</v>
      </c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12"/>
      <c r="AW101" s="12"/>
      <c r="AX101" s="12"/>
      <c r="AY101" s="12"/>
      <c r="AZ101" s="12"/>
      <c r="BA101" s="12"/>
      <c r="BB101" s="12"/>
    </row>
    <row r="102" spans="1:54" ht="13">
      <c r="A102" s="26" t="s">
        <v>865</v>
      </c>
      <c r="B102" s="27" t="s">
        <v>304</v>
      </c>
      <c r="C102" s="31" t="s">
        <v>866</v>
      </c>
      <c r="D102" s="31" t="s">
        <v>867</v>
      </c>
      <c r="E102" s="27" t="s">
        <v>868</v>
      </c>
      <c r="F102" s="27" t="s">
        <v>187</v>
      </c>
      <c r="G102" s="27" t="s">
        <v>151</v>
      </c>
      <c r="H102" s="27">
        <v>254</v>
      </c>
      <c r="I102" s="27"/>
      <c r="J102" s="27"/>
      <c r="K102" s="27"/>
      <c r="L102" s="27"/>
      <c r="M102" s="27"/>
      <c r="N102" s="27"/>
      <c r="O102" s="27"/>
      <c r="P102" s="27" t="s">
        <v>126</v>
      </c>
      <c r="Q102" s="27">
        <v>18</v>
      </c>
      <c r="R102" s="27" t="s">
        <v>78</v>
      </c>
      <c r="S102" s="27"/>
      <c r="T102" s="27"/>
      <c r="U102" s="27"/>
      <c r="V102" s="27"/>
      <c r="W102" s="27"/>
      <c r="X102" s="27">
        <v>1.5</v>
      </c>
      <c r="Y102" s="27">
        <v>1.5</v>
      </c>
      <c r="Z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12"/>
      <c r="AW102" s="12"/>
      <c r="AX102" s="12"/>
      <c r="AY102" s="12"/>
      <c r="AZ102" s="12"/>
      <c r="BA102" s="12"/>
      <c r="BB102" s="12"/>
    </row>
    <row r="103" spans="1:54" ht="13">
      <c r="A103" s="26" t="s">
        <v>585</v>
      </c>
      <c r="B103" s="236" t="s">
        <v>11</v>
      </c>
      <c r="C103" s="258" t="s">
        <v>586</v>
      </c>
      <c r="D103" s="258" t="s">
        <v>587</v>
      </c>
      <c r="E103" s="236" t="s">
        <v>588</v>
      </c>
      <c r="F103" s="236" t="s">
        <v>67</v>
      </c>
      <c r="G103" s="236" t="s">
        <v>589</v>
      </c>
      <c r="H103" s="236">
        <v>251</v>
      </c>
      <c r="I103" s="236">
        <v>1.25</v>
      </c>
      <c r="J103" s="236"/>
      <c r="K103" s="236"/>
      <c r="L103" s="236"/>
      <c r="M103" s="236"/>
      <c r="N103" s="236"/>
      <c r="O103" s="236" t="s">
        <v>1284</v>
      </c>
      <c r="P103" s="236" t="s">
        <v>33</v>
      </c>
      <c r="Q103" s="236">
        <v>19</v>
      </c>
      <c r="R103" s="236" t="s">
        <v>33</v>
      </c>
      <c r="S103" s="236" t="s">
        <v>266</v>
      </c>
      <c r="T103" s="236">
        <v>6</v>
      </c>
      <c r="U103" s="236">
        <v>1</v>
      </c>
      <c r="V103" s="236"/>
      <c r="W103" s="236"/>
      <c r="X103" s="236"/>
      <c r="Y103" s="236"/>
      <c r="Z103" s="236">
        <v>1.25</v>
      </c>
      <c r="AM103" s="236"/>
      <c r="AN103" s="236"/>
      <c r="AO103" s="236"/>
      <c r="AP103" s="236"/>
      <c r="AQ103" s="236"/>
      <c r="AR103" s="236"/>
      <c r="AS103" s="236"/>
      <c r="AT103" s="236"/>
      <c r="AU103" s="236"/>
      <c r="AV103" s="12"/>
      <c r="AW103" s="12"/>
      <c r="AX103" s="12"/>
      <c r="AY103" s="12"/>
      <c r="AZ103" s="12"/>
      <c r="BA103" s="12"/>
      <c r="BB103" s="12"/>
    </row>
    <row r="104" spans="1:54" ht="13">
      <c r="A104" s="26" t="s">
        <v>693</v>
      </c>
      <c r="B104" s="27" t="s">
        <v>11</v>
      </c>
      <c r="C104" s="31" t="s">
        <v>695</v>
      </c>
      <c r="D104" s="31" t="s">
        <v>697</v>
      </c>
      <c r="E104" s="27" t="s">
        <v>698</v>
      </c>
      <c r="F104" s="27" t="s">
        <v>336</v>
      </c>
      <c r="G104" s="27" t="s">
        <v>699</v>
      </c>
      <c r="H104" s="27">
        <v>250</v>
      </c>
      <c r="I104" s="27">
        <v>4</v>
      </c>
      <c r="J104" s="27">
        <v>5</v>
      </c>
      <c r="K104" s="27"/>
      <c r="L104" s="27"/>
      <c r="M104" s="27"/>
      <c r="N104" s="27"/>
      <c r="O104" s="27" t="s">
        <v>2224</v>
      </c>
      <c r="P104" s="27" t="s">
        <v>34</v>
      </c>
      <c r="Q104" s="27">
        <v>3</v>
      </c>
      <c r="R104" s="27" t="s">
        <v>34</v>
      </c>
      <c r="S104" s="27"/>
      <c r="T104" s="27"/>
      <c r="U104" s="27"/>
      <c r="V104" s="27"/>
      <c r="W104" s="27"/>
      <c r="X104" s="27"/>
      <c r="Y104" s="27"/>
      <c r="Z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12"/>
      <c r="AW104" s="12"/>
      <c r="AX104" s="12"/>
      <c r="AY104" s="12"/>
      <c r="AZ104" s="12"/>
      <c r="BA104" s="12"/>
      <c r="BB104" s="12"/>
    </row>
    <row r="105" spans="1:54" ht="13">
      <c r="A105" s="26" t="s">
        <v>888</v>
      </c>
      <c r="B105" s="236" t="s">
        <v>5</v>
      </c>
      <c r="C105" s="258" t="s">
        <v>889</v>
      </c>
      <c r="D105" s="258" t="s">
        <v>891</v>
      </c>
      <c r="E105" s="236" t="s">
        <v>893</v>
      </c>
      <c r="F105" s="236" t="s">
        <v>336</v>
      </c>
      <c r="G105" s="236" t="s">
        <v>55</v>
      </c>
      <c r="H105" s="236">
        <v>239</v>
      </c>
      <c r="I105" s="236">
        <v>2.5</v>
      </c>
      <c r="J105" s="236">
        <v>2.5</v>
      </c>
      <c r="K105" s="236"/>
      <c r="L105" s="236"/>
      <c r="M105" s="236"/>
      <c r="N105" s="236"/>
      <c r="O105" s="236"/>
      <c r="P105" s="236" t="s">
        <v>78</v>
      </c>
      <c r="Q105" s="236">
        <v>11</v>
      </c>
      <c r="R105" s="236" t="s">
        <v>78</v>
      </c>
      <c r="S105" s="236"/>
      <c r="T105" s="236"/>
      <c r="U105" s="236"/>
      <c r="V105" s="236"/>
      <c r="W105" s="236"/>
      <c r="X105" s="236">
        <v>3</v>
      </c>
      <c r="Y105" s="236">
        <v>3</v>
      </c>
      <c r="Z105" s="236">
        <v>2.5</v>
      </c>
      <c r="AM105" s="236"/>
      <c r="AN105" s="236"/>
      <c r="AO105" s="236"/>
      <c r="AP105" s="236"/>
      <c r="AQ105" s="236"/>
      <c r="AR105" s="236"/>
      <c r="AS105" s="236"/>
      <c r="AT105" s="236"/>
      <c r="AU105" s="236"/>
      <c r="AV105" s="12"/>
      <c r="AW105" s="12"/>
      <c r="AX105" s="12"/>
      <c r="AY105" s="12"/>
      <c r="AZ105" s="12"/>
      <c r="BA105" s="12"/>
      <c r="BB105" s="12"/>
    </row>
    <row r="106" spans="1:54" ht="13">
      <c r="A106" s="26" t="s">
        <v>596</v>
      </c>
      <c r="B106" s="27" t="s">
        <v>12</v>
      </c>
      <c r="C106" s="31" t="s">
        <v>597</v>
      </c>
      <c r="D106" s="31" t="s">
        <v>598</v>
      </c>
      <c r="E106" s="27" t="s">
        <v>599</v>
      </c>
      <c r="F106" s="27" t="s">
        <v>180</v>
      </c>
      <c r="G106" s="27" t="s">
        <v>76</v>
      </c>
      <c r="H106" s="27">
        <v>235</v>
      </c>
      <c r="I106" s="27">
        <v>1.5</v>
      </c>
      <c r="J106" s="27"/>
      <c r="K106" s="27"/>
      <c r="L106" s="27"/>
      <c r="M106" s="27"/>
      <c r="N106" s="27"/>
      <c r="O106" s="27" t="s">
        <v>1284</v>
      </c>
      <c r="P106" s="27" t="s">
        <v>33</v>
      </c>
      <c r="Q106" s="27">
        <v>18</v>
      </c>
      <c r="R106" s="27" t="s">
        <v>32</v>
      </c>
      <c r="S106" s="27"/>
      <c r="T106" s="27"/>
      <c r="U106" s="27"/>
      <c r="V106" s="27"/>
      <c r="W106" s="27"/>
      <c r="X106" s="27">
        <v>2</v>
      </c>
      <c r="Y106" s="27">
        <v>1.5</v>
      </c>
      <c r="Z106" s="27">
        <v>1.5</v>
      </c>
      <c r="AM106" s="27"/>
      <c r="AN106" s="27"/>
      <c r="AO106" s="27"/>
      <c r="AP106" s="27"/>
      <c r="AQ106" s="27"/>
      <c r="AR106" s="27"/>
      <c r="AS106" s="27"/>
      <c r="AT106" s="27"/>
      <c r="AU106" s="27"/>
      <c r="AV106" s="12"/>
      <c r="AW106" s="12"/>
      <c r="AX106" s="12"/>
      <c r="AY106" s="12"/>
      <c r="AZ106" s="12"/>
      <c r="BA106" s="12"/>
      <c r="BB106" s="12"/>
    </row>
    <row r="107" spans="1:54" ht="13">
      <c r="A107" s="26" t="s">
        <v>1428</v>
      </c>
      <c r="B107" s="236" t="s">
        <v>304</v>
      </c>
      <c r="C107" s="258" t="s">
        <v>1429</v>
      </c>
      <c r="D107" s="258" t="s">
        <v>1431</v>
      </c>
      <c r="E107" s="236" t="s">
        <v>2232</v>
      </c>
      <c r="F107" s="236" t="s">
        <v>180</v>
      </c>
      <c r="G107" s="236" t="s">
        <v>132</v>
      </c>
      <c r="H107" s="236">
        <v>235</v>
      </c>
      <c r="I107" s="236"/>
      <c r="J107" s="236"/>
      <c r="K107" s="236"/>
      <c r="L107" s="236"/>
      <c r="M107" s="236"/>
      <c r="N107" s="236"/>
      <c r="O107" s="236"/>
      <c r="P107" s="236" t="s">
        <v>78</v>
      </c>
      <c r="Q107" s="236">
        <v>42</v>
      </c>
      <c r="R107" s="236" t="s">
        <v>70</v>
      </c>
      <c r="S107" s="236"/>
      <c r="T107" s="236"/>
      <c r="U107" s="236"/>
      <c r="V107" s="236"/>
      <c r="W107" s="236"/>
      <c r="X107" s="236">
        <v>3</v>
      </c>
      <c r="Y107" s="236">
        <v>3</v>
      </c>
      <c r="Z107" s="236"/>
      <c r="AM107" s="236"/>
      <c r="AN107" s="236"/>
      <c r="AO107" s="236"/>
      <c r="AP107" s="236"/>
      <c r="AQ107" s="236"/>
      <c r="AR107" s="236"/>
      <c r="AS107" s="236"/>
      <c r="AT107" s="236"/>
      <c r="AU107" s="236"/>
      <c r="AV107" s="12"/>
      <c r="AW107" s="12"/>
      <c r="AX107" s="12"/>
      <c r="AY107" s="12"/>
      <c r="AZ107" s="12"/>
      <c r="BA107" s="12"/>
      <c r="BB107" s="12"/>
    </row>
    <row r="108" spans="1:54" ht="13">
      <c r="A108" s="26" t="s">
        <v>1708</v>
      </c>
      <c r="B108" s="27" t="s">
        <v>5</v>
      </c>
      <c r="C108" s="31" t="s">
        <v>1008</v>
      </c>
      <c r="D108" s="31" t="s">
        <v>1711</v>
      </c>
      <c r="E108" s="27" t="s">
        <v>2233</v>
      </c>
      <c r="F108" s="27" t="s">
        <v>103</v>
      </c>
      <c r="G108" s="27" t="s">
        <v>159</v>
      </c>
      <c r="H108" s="27">
        <v>234</v>
      </c>
      <c r="I108" s="27">
        <v>2</v>
      </c>
      <c r="J108" s="27"/>
      <c r="K108" s="27"/>
      <c r="L108" s="27"/>
      <c r="M108" s="27"/>
      <c r="N108" s="27"/>
      <c r="O108" s="27"/>
      <c r="P108" s="27" t="s">
        <v>70</v>
      </c>
      <c r="Q108" s="27">
        <v>83</v>
      </c>
      <c r="R108" s="27" t="s">
        <v>70</v>
      </c>
      <c r="S108" s="27"/>
      <c r="T108" s="27"/>
      <c r="U108" s="27"/>
      <c r="V108" s="27"/>
      <c r="W108" s="27"/>
      <c r="X108" s="27">
        <v>2</v>
      </c>
      <c r="Y108" s="27">
        <v>2</v>
      </c>
      <c r="Z108" s="27">
        <v>2</v>
      </c>
      <c r="AM108" s="27"/>
      <c r="AN108" s="27"/>
      <c r="AO108" s="27"/>
      <c r="AP108" s="27"/>
      <c r="AQ108" s="27"/>
      <c r="AR108" s="27"/>
      <c r="AS108" s="27"/>
      <c r="AT108" s="27"/>
      <c r="AU108" s="27"/>
      <c r="AV108" s="12"/>
      <c r="AW108" s="12"/>
      <c r="AX108" s="12"/>
      <c r="AY108" s="12"/>
      <c r="AZ108" s="12"/>
      <c r="BA108" s="12"/>
      <c r="BB108" s="12"/>
    </row>
    <row r="109" spans="1:54" ht="13">
      <c r="A109" s="26" t="s">
        <v>901</v>
      </c>
      <c r="B109" s="236" t="s">
        <v>8</v>
      </c>
      <c r="C109" s="258" t="s">
        <v>903</v>
      </c>
      <c r="D109" s="258" t="s">
        <v>906</v>
      </c>
      <c r="E109" s="236" t="s">
        <v>908</v>
      </c>
      <c r="F109" s="236" t="s">
        <v>90</v>
      </c>
      <c r="G109" s="236" t="s">
        <v>55</v>
      </c>
      <c r="H109" s="236">
        <v>229</v>
      </c>
      <c r="I109" s="236">
        <v>2</v>
      </c>
      <c r="J109" s="236"/>
      <c r="K109" s="236"/>
      <c r="L109" s="236"/>
      <c r="M109" s="236"/>
      <c r="N109" s="236"/>
      <c r="O109" s="236"/>
      <c r="P109" s="236" t="s">
        <v>126</v>
      </c>
      <c r="Q109" s="236">
        <v>4</v>
      </c>
      <c r="R109" s="236" t="s">
        <v>126</v>
      </c>
      <c r="S109" s="236"/>
      <c r="T109" s="236"/>
      <c r="U109" s="236"/>
      <c r="V109" s="236"/>
      <c r="W109" s="236"/>
      <c r="X109" s="236">
        <v>6</v>
      </c>
      <c r="Y109" s="236">
        <v>3</v>
      </c>
      <c r="Z109" s="236">
        <v>3</v>
      </c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12"/>
      <c r="AW109" s="12"/>
      <c r="AX109" s="12"/>
      <c r="AY109" s="12"/>
      <c r="AZ109" s="12"/>
      <c r="BA109" s="12"/>
      <c r="BB109" s="12"/>
    </row>
    <row r="110" spans="1:54" ht="13">
      <c r="A110" s="26" t="s">
        <v>881</v>
      </c>
      <c r="B110" s="27" t="s">
        <v>5</v>
      </c>
      <c r="C110" s="31" t="s">
        <v>882</v>
      </c>
      <c r="D110" s="31" t="s">
        <v>883</v>
      </c>
      <c r="E110" s="27" t="s">
        <v>884</v>
      </c>
      <c r="F110" s="27" t="s">
        <v>90</v>
      </c>
      <c r="G110" s="27" t="s">
        <v>55</v>
      </c>
      <c r="H110" s="27">
        <v>222</v>
      </c>
      <c r="I110" s="27" t="s">
        <v>257</v>
      </c>
      <c r="J110" s="27">
        <v>3</v>
      </c>
      <c r="K110" s="27">
        <v>3</v>
      </c>
      <c r="L110" s="27">
        <v>3</v>
      </c>
      <c r="M110" s="27"/>
      <c r="N110" s="27"/>
      <c r="O110" s="27" t="s">
        <v>417</v>
      </c>
      <c r="P110" s="27" t="s">
        <v>35</v>
      </c>
      <c r="Q110" s="27">
        <v>2</v>
      </c>
      <c r="R110" s="27" t="s">
        <v>35</v>
      </c>
      <c r="S110" s="27"/>
      <c r="T110" s="27"/>
      <c r="U110" s="27"/>
      <c r="V110" s="27"/>
      <c r="W110" s="27"/>
      <c r="X110" s="27"/>
      <c r="Y110" s="27"/>
      <c r="Z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12"/>
      <c r="AW110" s="12"/>
      <c r="AX110" s="12"/>
      <c r="AY110" s="12"/>
      <c r="AZ110" s="12"/>
      <c r="BA110" s="12"/>
      <c r="BB110" s="12"/>
    </row>
    <row r="111" spans="1:54" ht="13">
      <c r="A111" s="26" t="s">
        <v>945</v>
      </c>
      <c r="B111" s="236" t="s">
        <v>5</v>
      </c>
      <c r="C111" s="258" t="s">
        <v>946</v>
      </c>
      <c r="D111" s="258" t="s">
        <v>948</v>
      </c>
      <c r="E111" s="236" t="s">
        <v>2234</v>
      </c>
      <c r="F111" s="236" t="s">
        <v>67</v>
      </c>
      <c r="G111" s="236" t="s">
        <v>950</v>
      </c>
      <c r="H111" s="236">
        <v>218</v>
      </c>
      <c r="I111" s="236">
        <v>2</v>
      </c>
      <c r="J111" s="236"/>
      <c r="K111" s="236"/>
      <c r="L111" s="236"/>
      <c r="M111" s="236"/>
      <c r="N111" s="236"/>
      <c r="O111" s="236"/>
      <c r="P111" s="236" t="s">
        <v>126</v>
      </c>
      <c r="Q111" s="236">
        <v>1</v>
      </c>
      <c r="R111" s="236" t="s">
        <v>78</v>
      </c>
      <c r="S111" s="236"/>
      <c r="T111" s="236"/>
      <c r="U111" s="236"/>
      <c r="V111" s="236"/>
      <c r="W111" s="236"/>
      <c r="X111" s="236">
        <v>4</v>
      </c>
      <c r="Y111" s="236">
        <v>6</v>
      </c>
      <c r="Z111" s="236">
        <v>4</v>
      </c>
      <c r="AM111" s="236"/>
      <c r="AN111" s="236"/>
      <c r="AO111" s="236"/>
      <c r="AP111" s="236"/>
      <c r="AQ111" s="236"/>
      <c r="AR111" s="236"/>
      <c r="AS111" s="236"/>
      <c r="AT111" s="236"/>
      <c r="AU111" s="236"/>
      <c r="AV111" s="12"/>
      <c r="AW111" s="12"/>
      <c r="AX111" s="12"/>
      <c r="AY111" s="12"/>
      <c r="AZ111" s="12"/>
      <c r="BA111" s="12"/>
      <c r="BB111" s="12"/>
    </row>
    <row r="112" spans="1:54" ht="13">
      <c r="A112" s="26" t="s">
        <v>1474</v>
      </c>
      <c r="B112" s="27" t="s">
        <v>304</v>
      </c>
      <c r="C112" s="31" t="s">
        <v>668</v>
      </c>
      <c r="D112" s="31" t="s">
        <v>1479</v>
      </c>
      <c r="E112" s="27" t="s">
        <v>2235</v>
      </c>
      <c r="F112" s="27" t="s">
        <v>131</v>
      </c>
      <c r="G112" s="27" t="s">
        <v>192</v>
      </c>
      <c r="H112" s="27">
        <v>216</v>
      </c>
      <c r="I112" s="27"/>
      <c r="J112" s="27"/>
      <c r="K112" s="27"/>
      <c r="L112" s="27"/>
      <c r="M112" s="27"/>
      <c r="N112" s="27"/>
      <c r="O112" s="27"/>
      <c r="P112" s="27" t="s">
        <v>78</v>
      </c>
      <c r="Q112" s="27">
        <v>19</v>
      </c>
      <c r="R112" s="27" t="s">
        <v>70</v>
      </c>
      <c r="S112" s="27"/>
      <c r="T112" s="27"/>
      <c r="U112" s="27"/>
      <c r="V112" s="27"/>
      <c r="W112" s="27"/>
      <c r="X112" s="27">
        <v>1.75</v>
      </c>
      <c r="Y112" s="27">
        <v>1.75</v>
      </c>
      <c r="Z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12"/>
      <c r="AW112" s="12"/>
      <c r="AX112" s="12"/>
      <c r="AY112" s="12"/>
      <c r="AZ112" s="12"/>
      <c r="BA112" s="12"/>
      <c r="BB112" s="12"/>
    </row>
    <row r="113" spans="1:54" ht="13">
      <c r="A113" s="26" t="s">
        <v>952</v>
      </c>
      <c r="B113" s="236" t="s">
        <v>8</v>
      </c>
      <c r="C113" s="258" t="s">
        <v>953</v>
      </c>
      <c r="D113" s="258" t="s">
        <v>954</v>
      </c>
      <c r="E113" s="236" t="s">
        <v>955</v>
      </c>
      <c r="F113" s="236" t="s">
        <v>90</v>
      </c>
      <c r="G113" s="236" t="s">
        <v>109</v>
      </c>
      <c r="H113" s="236">
        <v>215</v>
      </c>
      <c r="I113" s="236">
        <v>2</v>
      </c>
      <c r="J113" s="236"/>
      <c r="K113" s="236"/>
      <c r="L113" s="236"/>
      <c r="M113" s="236"/>
      <c r="N113" s="236"/>
      <c r="O113" s="236"/>
      <c r="P113" s="236" t="s">
        <v>78</v>
      </c>
      <c r="Q113" s="236">
        <v>2</v>
      </c>
      <c r="R113" s="236" t="s">
        <v>78</v>
      </c>
      <c r="S113" s="236"/>
      <c r="T113" s="236"/>
      <c r="U113" s="236"/>
      <c r="V113" s="236"/>
      <c r="W113" s="236">
        <v>4</v>
      </c>
      <c r="X113" s="236">
        <v>4</v>
      </c>
      <c r="Y113" s="236">
        <v>2</v>
      </c>
      <c r="Z113" s="236">
        <v>2</v>
      </c>
      <c r="AM113" s="236"/>
      <c r="AN113" s="236"/>
      <c r="AO113" s="236"/>
      <c r="AP113" s="236"/>
      <c r="AQ113" s="236"/>
      <c r="AR113" s="236"/>
      <c r="AS113" s="236"/>
      <c r="AT113" s="236"/>
      <c r="AU113" s="236"/>
      <c r="AV113" s="12"/>
      <c r="AW113" s="12"/>
      <c r="AX113" s="12"/>
      <c r="AY113" s="12"/>
      <c r="AZ113" s="12"/>
      <c r="BA113" s="12"/>
      <c r="BB113" s="12"/>
    </row>
    <row r="114" spans="1:54" ht="13">
      <c r="A114" s="26" t="s">
        <v>1031</v>
      </c>
      <c r="B114" s="27" t="s">
        <v>304</v>
      </c>
      <c r="C114" s="31" t="s">
        <v>1032</v>
      </c>
      <c r="D114" s="31" t="s">
        <v>1034</v>
      </c>
      <c r="E114" s="27" t="s">
        <v>1035</v>
      </c>
      <c r="F114" s="27" t="s">
        <v>215</v>
      </c>
      <c r="G114" s="27"/>
      <c r="H114" s="27">
        <v>212</v>
      </c>
      <c r="I114" s="27"/>
      <c r="J114" s="27"/>
      <c r="K114" s="27"/>
      <c r="L114" s="27"/>
      <c r="M114" s="27"/>
      <c r="N114" s="27"/>
      <c r="O114" s="27"/>
      <c r="P114" s="27" t="s">
        <v>70</v>
      </c>
      <c r="Q114" s="27">
        <v>4</v>
      </c>
      <c r="R114" s="27" t="s">
        <v>70</v>
      </c>
      <c r="S114" s="27"/>
      <c r="T114" s="27"/>
      <c r="U114" s="27"/>
      <c r="V114" s="27"/>
      <c r="W114" s="27" t="s">
        <v>1036</v>
      </c>
      <c r="X114" s="27"/>
      <c r="Y114" s="27"/>
      <c r="Z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12"/>
      <c r="AW114" s="12"/>
      <c r="AX114" s="12"/>
      <c r="AY114" s="12"/>
      <c r="AZ114" s="12"/>
      <c r="BA114" s="12"/>
      <c r="BB114" s="12"/>
    </row>
    <row r="115" spans="1:54" ht="13">
      <c r="A115" s="26" t="s">
        <v>1064</v>
      </c>
      <c r="B115" s="236" t="s">
        <v>304</v>
      </c>
      <c r="C115" s="258" t="s">
        <v>1065</v>
      </c>
      <c r="D115" s="258" t="s">
        <v>1066</v>
      </c>
      <c r="E115" s="236" t="s">
        <v>1067</v>
      </c>
      <c r="F115" s="236" t="s">
        <v>83</v>
      </c>
      <c r="G115" s="236" t="s">
        <v>151</v>
      </c>
      <c r="H115" s="236">
        <v>205</v>
      </c>
      <c r="I115" s="236"/>
      <c r="J115" s="236"/>
      <c r="K115" s="236"/>
      <c r="L115" s="236"/>
      <c r="M115" s="236"/>
      <c r="N115" s="236"/>
      <c r="O115" s="236"/>
      <c r="P115" s="236" t="s">
        <v>70</v>
      </c>
      <c r="Q115" s="236">
        <v>13</v>
      </c>
      <c r="R115" s="236" t="s">
        <v>70</v>
      </c>
      <c r="S115" s="236"/>
      <c r="T115" s="236"/>
      <c r="U115" s="236"/>
      <c r="V115" s="236"/>
      <c r="W115" s="236"/>
      <c r="X115" s="236">
        <v>3</v>
      </c>
      <c r="Y115" s="236"/>
      <c r="Z115" s="236"/>
      <c r="AM115" s="236"/>
      <c r="AN115" s="236"/>
      <c r="AO115" s="236"/>
      <c r="AP115" s="236"/>
      <c r="AQ115" s="236"/>
      <c r="AR115" s="236"/>
      <c r="AS115" s="236"/>
      <c r="AT115" s="236"/>
      <c r="AU115" s="236"/>
      <c r="AV115" s="12"/>
      <c r="AW115" s="12"/>
      <c r="AX115" s="12"/>
      <c r="AY115" s="12"/>
      <c r="AZ115" s="12"/>
      <c r="BA115" s="12"/>
      <c r="BB115" s="12"/>
    </row>
    <row r="116" spans="1:54" ht="13">
      <c r="A116" s="26" t="s">
        <v>970</v>
      </c>
      <c r="B116" s="27" t="s">
        <v>5</v>
      </c>
      <c r="C116" s="31" t="s">
        <v>971</v>
      </c>
      <c r="D116" s="31" t="s">
        <v>972</v>
      </c>
      <c r="E116" s="27" t="s">
        <v>974</v>
      </c>
      <c r="F116" s="27" t="s">
        <v>90</v>
      </c>
      <c r="G116" s="27" t="s">
        <v>55</v>
      </c>
      <c r="H116" s="27">
        <v>203</v>
      </c>
      <c r="I116" s="27">
        <v>2</v>
      </c>
      <c r="J116" s="27"/>
      <c r="K116" s="27"/>
      <c r="L116" s="27"/>
      <c r="M116" s="27"/>
      <c r="N116" s="27"/>
      <c r="O116" s="27"/>
      <c r="P116" s="27" t="s">
        <v>126</v>
      </c>
      <c r="Q116" s="27">
        <v>11</v>
      </c>
      <c r="R116" s="27" t="s">
        <v>78</v>
      </c>
      <c r="S116" s="27"/>
      <c r="T116" s="27"/>
      <c r="U116" s="27"/>
      <c r="V116" s="27"/>
      <c r="W116" s="27"/>
      <c r="X116" s="27">
        <v>4</v>
      </c>
      <c r="Y116" s="27">
        <v>5</v>
      </c>
      <c r="Z116" s="27">
        <v>6</v>
      </c>
      <c r="AM116" s="27"/>
      <c r="AN116" s="27"/>
      <c r="AO116" s="27"/>
      <c r="AP116" s="27"/>
      <c r="AQ116" s="27"/>
      <c r="AR116" s="27"/>
      <c r="AS116" s="27"/>
      <c r="AT116" s="27"/>
      <c r="AU116" s="27"/>
      <c r="AV116" s="12"/>
      <c r="AW116" s="12"/>
      <c r="AX116" s="12"/>
      <c r="AY116" s="12"/>
      <c r="AZ116" s="12"/>
      <c r="BA116" s="12"/>
      <c r="BB116" s="12"/>
    </row>
    <row r="117" spans="1:54" ht="13">
      <c r="A117" s="26" t="s">
        <v>1070</v>
      </c>
      <c r="B117" s="236" t="s">
        <v>10</v>
      </c>
      <c r="C117" s="258" t="s">
        <v>1071</v>
      </c>
      <c r="D117" s="258" t="s">
        <v>1072</v>
      </c>
      <c r="E117" s="236" t="s">
        <v>1073</v>
      </c>
      <c r="F117" s="236" t="s">
        <v>103</v>
      </c>
      <c r="G117" s="236" t="s">
        <v>132</v>
      </c>
      <c r="H117" s="236">
        <v>203</v>
      </c>
      <c r="I117" s="236"/>
      <c r="J117" s="236"/>
      <c r="K117" s="236"/>
      <c r="L117" s="236"/>
      <c r="M117" s="236"/>
      <c r="N117" s="236"/>
      <c r="O117" s="236"/>
      <c r="P117" s="236" t="s">
        <v>70</v>
      </c>
      <c r="Q117" s="236">
        <v>87</v>
      </c>
      <c r="R117" s="236" t="s">
        <v>70</v>
      </c>
      <c r="S117" s="236"/>
      <c r="T117" s="236"/>
      <c r="U117" s="236"/>
      <c r="V117" s="236"/>
      <c r="W117" s="236">
        <v>1</v>
      </c>
      <c r="X117" s="236">
        <v>2</v>
      </c>
      <c r="Y117" s="236">
        <v>2</v>
      </c>
      <c r="Z117" s="236">
        <v>0.5</v>
      </c>
      <c r="AM117" s="236"/>
      <c r="AN117" s="236"/>
      <c r="AO117" s="236"/>
      <c r="AP117" s="236"/>
      <c r="AQ117" s="236"/>
      <c r="AR117" s="236"/>
      <c r="AS117" s="236"/>
      <c r="AT117" s="236"/>
      <c r="AU117" s="236"/>
      <c r="AV117" s="12"/>
      <c r="AW117" s="12"/>
      <c r="AX117" s="12"/>
      <c r="AY117" s="12"/>
      <c r="AZ117" s="12"/>
      <c r="BA117" s="12"/>
      <c r="BB117" s="12"/>
    </row>
    <row r="118" spans="1:54" ht="13">
      <c r="A118" s="26" t="s">
        <v>1070</v>
      </c>
      <c r="B118" s="27" t="s">
        <v>304</v>
      </c>
      <c r="C118" s="27" t="s">
        <v>1561</v>
      </c>
      <c r="D118" s="27" t="s">
        <v>1563</v>
      </c>
      <c r="E118" s="27" t="s">
        <v>2236</v>
      </c>
      <c r="F118" s="27" t="s">
        <v>215</v>
      </c>
      <c r="G118" s="27" t="s">
        <v>132</v>
      </c>
      <c r="H118" s="27">
        <v>203</v>
      </c>
      <c r="I118" s="27"/>
      <c r="J118" s="27"/>
      <c r="K118" s="27"/>
      <c r="L118" s="27"/>
      <c r="M118" s="27"/>
      <c r="N118" s="27"/>
      <c r="O118" s="27"/>
      <c r="P118" s="27" t="s">
        <v>70</v>
      </c>
      <c r="Q118" s="27">
        <v>36</v>
      </c>
      <c r="R118" s="27" t="s">
        <v>70</v>
      </c>
      <c r="S118" s="27"/>
      <c r="T118" s="27"/>
      <c r="U118" s="27"/>
      <c r="V118" s="27"/>
      <c r="W118" s="27" t="s">
        <v>1036</v>
      </c>
      <c r="X118" s="27"/>
      <c r="Y118" s="27">
        <v>0.5</v>
      </c>
      <c r="Z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12"/>
      <c r="AW118" s="12"/>
      <c r="AX118" s="12"/>
      <c r="AY118" s="12"/>
      <c r="AZ118" s="12"/>
      <c r="BA118" s="12"/>
      <c r="BB118" s="12"/>
    </row>
    <row r="119" spans="1:54" ht="13">
      <c r="A119" s="26" t="s">
        <v>978</v>
      </c>
      <c r="B119" s="236" t="s">
        <v>5</v>
      </c>
      <c r="C119" s="258" t="s">
        <v>980</v>
      </c>
      <c r="D119" s="258" t="s">
        <v>982</v>
      </c>
      <c r="E119" s="236" t="s">
        <v>984</v>
      </c>
      <c r="F119" s="236" t="s">
        <v>215</v>
      </c>
      <c r="G119" s="236" t="s">
        <v>740</v>
      </c>
      <c r="H119" s="236">
        <v>202</v>
      </c>
      <c r="I119" s="236"/>
      <c r="J119" s="236"/>
      <c r="K119" s="236"/>
      <c r="L119" s="236"/>
      <c r="M119" s="236"/>
      <c r="N119" s="236"/>
      <c r="O119" s="236"/>
      <c r="P119" s="236" t="s">
        <v>70</v>
      </c>
      <c r="Q119" s="236">
        <v>11</v>
      </c>
      <c r="R119" s="236" t="s">
        <v>70</v>
      </c>
      <c r="S119" s="236"/>
      <c r="T119" s="236"/>
      <c r="U119" s="236"/>
      <c r="V119" s="236"/>
      <c r="W119" s="236"/>
      <c r="X119" s="236">
        <v>3</v>
      </c>
      <c r="Y119" s="236">
        <v>2</v>
      </c>
      <c r="Z119" s="236">
        <v>2</v>
      </c>
      <c r="AM119" s="236"/>
      <c r="AN119" s="236"/>
      <c r="AO119" s="236"/>
      <c r="AP119" s="236"/>
      <c r="AQ119" s="236"/>
      <c r="AR119" s="236"/>
      <c r="AS119" s="236"/>
      <c r="AT119" s="236"/>
      <c r="AU119" s="236"/>
      <c r="AV119" s="12"/>
      <c r="AW119" s="12"/>
      <c r="AX119" s="12"/>
      <c r="AY119" s="12"/>
      <c r="AZ119" s="12"/>
      <c r="BA119" s="12"/>
      <c r="BB119" s="12"/>
    </row>
    <row r="120" spans="1:54" ht="13">
      <c r="A120" s="26" t="s">
        <v>725</v>
      </c>
      <c r="B120" s="27" t="s">
        <v>304</v>
      </c>
      <c r="C120" s="31" t="s">
        <v>727</v>
      </c>
      <c r="D120" s="31" t="s">
        <v>730</v>
      </c>
      <c r="E120" s="27" t="s">
        <v>992</v>
      </c>
      <c r="F120" s="27" t="s">
        <v>90</v>
      </c>
      <c r="G120" s="27" t="s">
        <v>114</v>
      </c>
      <c r="H120" s="27">
        <v>198</v>
      </c>
      <c r="I120" s="27"/>
      <c r="J120" s="27"/>
      <c r="K120" s="27"/>
      <c r="L120" s="27"/>
      <c r="M120" s="27"/>
      <c r="N120" s="27"/>
      <c r="O120" s="27"/>
      <c r="P120" s="27" t="s">
        <v>32</v>
      </c>
      <c r="Q120" s="27">
        <v>1</v>
      </c>
      <c r="R120" s="27" t="s">
        <v>32</v>
      </c>
      <c r="S120" s="27"/>
      <c r="T120" s="27"/>
      <c r="U120" s="27"/>
      <c r="V120" s="27"/>
      <c r="W120" s="27"/>
      <c r="X120" s="27"/>
      <c r="Y120" s="27">
        <v>4</v>
      </c>
      <c r="Z120" s="27">
        <v>4</v>
      </c>
      <c r="AM120" s="27"/>
      <c r="AN120" s="27"/>
      <c r="AO120" s="27"/>
      <c r="AP120" s="27"/>
      <c r="AQ120" s="27"/>
      <c r="AR120" s="27"/>
      <c r="AS120" s="27"/>
      <c r="AT120" s="27"/>
      <c r="AU120" s="27"/>
      <c r="AV120" s="12"/>
      <c r="AW120" s="12"/>
      <c r="AX120" s="12"/>
      <c r="AY120" s="12"/>
      <c r="AZ120" s="12"/>
      <c r="BA120" s="12"/>
      <c r="BB120" s="12"/>
    </row>
    <row r="121" spans="1:54" ht="13">
      <c r="A121" s="26" t="s">
        <v>748</v>
      </c>
      <c r="B121" s="236" t="s">
        <v>12</v>
      </c>
      <c r="C121" s="258" t="s">
        <v>751</v>
      </c>
      <c r="D121" s="236" t="s">
        <v>2195</v>
      </c>
      <c r="E121" s="236" t="s">
        <v>754</v>
      </c>
      <c r="F121" s="236" t="s">
        <v>187</v>
      </c>
      <c r="G121" s="236" t="s">
        <v>132</v>
      </c>
      <c r="H121" s="236">
        <v>197</v>
      </c>
      <c r="I121" s="236" t="s">
        <v>257</v>
      </c>
      <c r="J121" s="236">
        <v>3</v>
      </c>
      <c r="K121" s="236">
        <v>3</v>
      </c>
      <c r="L121" s="236">
        <v>3</v>
      </c>
      <c r="M121" s="236"/>
      <c r="N121" s="236"/>
      <c r="O121" s="236" t="s">
        <v>417</v>
      </c>
      <c r="P121" s="236" t="s">
        <v>35</v>
      </c>
      <c r="Q121" s="236">
        <v>6</v>
      </c>
      <c r="R121" s="236" t="s">
        <v>34</v>
      </c>
      <c r="S121" s="236"/>
      <c r="T121" s="236"/>
      <c r="U121" s="236"/>
      <c r="V121" s="236"/>
      <c r="W121" s="236"/>
      <c r="X121" s="236"/>
      <c r="Y121" s="236"/>
      <c r="Z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12"/>
      <c r="AW121" s="12"/>
      <c r="AX121" s="12"/>
      <c r="AY121" s="12"/>
      <c r="AZ121" s="12"/>
      <c r="BA121" s="12"/>
      <c r="BB121" s="12"/>
    </row>
    <row r="122" spans="1:54" ht="13">
      <c r="A122" s="26" t="s">
        <v>998</v>
      </c>
      <c r="B122" s="27" t="s">
        <v>5</v>
      </c>
      <c r="C122" s="31" t="s">
        <v>999</v>
      </c>
      <c r="D122" s="31" t="s">
        <v>1001</v>
      </c>
      <c r="E122" s="27" t="s">
        <v>1002</v>
      </c>
      <c r="F122" s="27" t="s">
        <v>131</v>
      </c>
      <c r="G122" s="27" t="s">
        <v>132</v>
      </c>
      <c r="H122" s="27">
        <v>196</v>
      </c>
      <c r="I122" s="27">
        <v>3</v>
      </c>
      <c r="J122" s="27"/>
      <c r="K122" s="27"/>
      <c r="L122" s="27"/>
      <c r="M122" s="27"/>
      <c r="N122" s="27"/>
      <c r="O122" s="27" t="s">
        <v>1284</v>
      </c>
      <c r="P122" s="27" t="s">
        <v>33</v>
      </c>
      <c r="Q122" s="27">
        <v>14</v>
      </c>
      <c r="R122" s="27" t="s">
        <v>33</v>
      </c>
      <c r="S122" s="27"/>
      <c r="T122" s="27"/>
      <c r="U122" s="27"/>
      <c r="V122" s="27"/>
      <c r="W122" s="27"/>
      <c r="X122" s="27"/>
      <c r="Y122" s="27"/>
      <c r="Z122" s="27">
        <v>6</v>
      </c>
      <c r="AM122" s="27"/>
      <c r="AN122" s="27"/>
      <c r="AO122" s="27"/>
      <c r="AP122" s="27"/>
      <c r="AQ122" s="27"/>
      <c r="AR122" s="27"/>
      <c r="AS122" s="27"/>
      <c r="AT122" s="27"/>
      <c r="AU122" s="27"/>
      <c r="AV122" s="12"/>
      <c r="AW122" s="12"/>
      <c r="AX122" s="12"/>
      <c r="AY122" s="12"/>
      <c r="AZ122" s="12"/>
      <c r="BA122" s="12"/>
      <c r="BB122" s="12"/>
    </row>
    <row r="123" spans="1:54" ht="13">
      <c r="A123" s="26" t="s">
        <v>1093</v>
      </c>
      <c r="B123" s="236" t="s">
        <v>304</v>
      </c>
      <c r="C123" s="258" t="s">
        <v>1094</v>
      </c>
      <c r="D123" s="258" t="s">
        <v>1095</v>
      </c>
      <c r="E123" s="236" t="s">
        <v>1096</v>
      </c>
      <c r="F123" s="236" t="s">
        <v>215</v>
      </c>
      <c r="G123" s="236" t="s">
        <v>159</v>
      </c>
      <c r="H123" s="236">
        <v>193</v>
      </c>
      <c r="I123" s="236"/>
      <c r="J123" s="236"/>
      <c r="K123" s="236"/>
      <c r="L123" s="236"/>
      <c r="M123" s="236"/>
      <c r="N123" s="236"/>
      <c r="O123" s="236"/>
      <c r="P123" s="236" t="s">
        <v>70</v>
      </c>
      <c r="Q123" s="236">
        <v>27</v>
      </c>
      <c r="R123" s="236" t="s">
        <v>70</v>
      </c>
      <c r="S123" s="236"/>
      <c r="T123" s="236"/>
      <c r="U123" s="236"/>
      <c r="V123" s="236"/>
      <c r="W123" s="236"/>
      <c r="X123" s="236">
        <v>0.5</v>
      </c>
      <c r="Y123" s="236"/>
      <c r="Z123" s="236"/>
      <c r="AM123" s="236"/>
      <c r="AN123" s="236"/>
      <c r="AO123" s="236"/>
      <c r="AP123" s="236"/>
      <c r="AQ123" s="236"/>
      <c r="AR123" s="236"/>
      <c r="AS123" s="236"/>
      <c r="AT123" s="236"/>
      <c r="AU123" s="236"/>
      <c r="AV123" s="12"/>
      <c r="AW123" s="12"/>
      <c r="AX123" s="12"/>
      <c r="AY123" s="12"/>
      <c r="AZ123" s="12"/>
      <c r="BA123" s="12"/>
      <c r="BB123" s="12"/>
    </row>
    <row r="124" spans="1:54" ht="13">
      <c r="A124" s="26" t="s">
        <v>1099</v>
      </c>
      <c r="B124" s="27" t="s">
        <v>5</v>
      </c>
      <c r="C124" s="31" t="s">
        <v>1100</v>
      </c>
      <c r="D124" s="31" t="s">
        <v>1101</v>
      </c>
      <c r="E124" s="27" t="s">
        <v>1102</v>
      </c>
      <c r="F124" s="27" t="s">
        <v>336</v>
      </c>
      <c r="G124" s="27" t="s">
        <v>55</v>
      </c>
      <c r="H124" s="27">
        <v>192</v>
      </c>
      <c r="I124" s="27">
        <v>0.5</v>
      </c>
      <c r="J124" s="27"/>
      <c r="K124" s="27"/>
      <c r="L124" s="27"/>
      <c r="M124" s="27"/>
      <c r="N124" s="27"/>
      <c r="O124" s="27"/>
      <c r="P124" s="27" t="s">
        <v>78</v>
      </c>
      <c r="Q124" s="27">
        <v>5</v>
      </c>
      <c r="R124" s="27" t="s">
        <v>70</v>
      </c>
      <c r="S124" s="27"/>
      <c r="T124" s="27"/>
      <c r="U124" s="27"/>
      <c r="V124" s="27"/>
      <c r="W124" s="27"/>
      <c r="X124" s="27">
        <v>3</v>
      </c>
      <c r="Y124" s="27">
        <v>3</v>
      </c>
      <c r="Z124" s="27">
        <v>0.5</v>
      </c>
      <c r="AM124" s="27"/>
      <c r="AN124" s="27"/>
      <c r="AO124" s="27"/>
      <c r="AP124" s="27"/>
      <c r="AQ124" s="27"/>
      <c r="AR124" s="27"/>
      <c r="AS124" s="27"/>
      <c r="AT124" s="27"/>
      <c r="AU124" s="27"/>
      <c r="AV124" s="12"/>
      <c r="AW124" s="12"/>
      <c r="AX124" s="12"/>
      <c r="AY124" s="12"/>
      <c r="AZ124" s="12"/>
      <c r="BA124" s="12"/>
      <c r="BB124" s="12"/>
    </row>
    <row r="125" spans="1:54" ht="13">
      <c r="A125" s="26" t="s">
        <v>512</v>
      </c>
      <c r="B125" s="236" t="s">
        <v>304</v>
      </c>
      <c r="C125" s="258" t="s">
        <v>513</v>
      </c>
      <c r="D125" s="258" t="s">
        <v>514</v>
      </c>
      <c r="E125" s="236" t="s">
        <v>1010</v>
      </c>
      <c r="F125" s="236" t="s">
        <v>336</v>
      </c>
      <c r="G125" s="236" t="s">
        <v>114</v>
      </c>
      <c r="H125" s="236">
        <v>192</v>
      </c>
      <c r="I125" s="236"/>
      <c r="J125" s="236"/>
      <c r="K125" s="236"/>
      <c r="L125" s="236"/>
      <c r="M125" s="236"/>
      <c r="N125" s="236"/>
      <c r="O125" s="236"/>
      <c r="P125" s="236" t="s">
        <v>78</v>
      </c>
      <c r="Q125" s="236">
        <v>22</v>
      </c>
      <c r="R125" s="236" t="s">
        <v>78</v>
      </c>
      <c r="S125" s="236"/>
      <c r="T125" s="236"/>
      <c r="U125" s="236"/>
      <c r="V125" s="236"/>
      <c r="W125" s="236"/>
      <c r="X125" s="236">
        <v>2</v>
      </c>
      <c r="Y125" s="236">
        <v>2</v>
      </c>
      <c r="Z125" s="236">
        <v>0.5</v>
      </c>
      <c r="AY125" s="12"/>
      <c r="AZ125" s="12"/>
      <c r="BA125" s="12"/>
      <c r="BB125" s="12"/>
    </row>
    <row r="126" spans="1:54" ht="13">
      <c r="A126" s="26" t="s">
        <v>1016</v>
      </c>
      <c r="B126" s="27" t="s">
        <v>10</v>
      </c>
      <c r="C126" s="31" t="s">
        <v>1017</v>
      </c>
      <c r="D126" s="31" t="s">
        <v>1018</v>
      </c>
      <c r="E126" s="27" t="s">
        <v>2237</v>
      </c>
      <c r="F126" s="27" t="s">
        <v>215</v>
      </c>
      <c r="G126" s="27" t="s">
        <v>76</v>
      </c>
      <c r="H126" s="27">
        <v>190</v>
      </c>
      <c r="I126" s="27"/>
      <c r="J126" s="27"/>
      <c r="K126" s="27"/>
      <c r="L126" s="27"/>
      <c r="M126" s="27"/>
      <c r="N126" s="27"/>
      <c r="O126" s="27"/>
      <c r="P126" s="27" t="s">
        <v>32</v>
      </c>
      <c r="Q126" s="27">
        <v>4</v>
      </c>
      <c r="R126" s="27" t="s">
        <v>32</v>
      </c>
      <c r="S126" s="27"/>
      <c r="T126" s="27"/>
      <c r="U126" s="27"/>
      <c r="V126" s="27"/>
      <c r="W126" s="27"/>
      <c r="X126" s="27">
        <v>5</v>
      </c>
      <c r="Y126" s="27">
        <v>5</v>
      </c>
      <c r="Z126" s="27">
        <v>0.5</v>
      </c>
      <c r="AM126" s="27"/>
      <c r="AN126" s="27"/>
      <c r="AO126" s="27"/>
      <c r="AP126" s="27"/>
      <c r="AQ126" s="27"/>
      <c r="AR126" s="27"/>
      <c r="AS126" s="27"/>
      <c r="AT126" s="27"/>
      <c r="AU126" s="27"/>
      <c r="AV126" s="12"/>
      <c r="AW126" s="12"/>
      <c r="AX126" s="12"/>
      <c r="AY126" s="12"/>
      <c r="AZ126" s="12"/>
      <c r="BA126" s="12"/>
      <c r="BB126" s="12"/>
    </row>
    <row r="127" spans="1:54" ht="13">
      <c r="A127" s="26" t="s">
        <v>1103</v>
      </c>
      <c r="B127" s="236" t="s">
        <v>304</v>
      </c>
      <c r="C127" s="258" t="s">
        <v>1104</v>
      </c>
      <c r="D127" s="258" t="s">
        <v>1105</v>
      </c>
      <c r="E127" s="236" t="s">
        <v>1106</v>
      </c>
      <c r="F127" s="236" t="s">
        <v>131</v>
      </c>
      <c r="G127" s="236" t="s">
        <v>192</v>
      </c>
      <c r="H127" s="236">
        <v>190</v>
      </c>
      <c r="I127" s="236"/>
      <c r="J127" s="236"/>
      <c r="K127" s="236"/>
      <c r="L127" s="236"/>
      <c r="M127" s="236"/>
      <c r="N127" s="236"/>
      <c r="O127" s="236"/>
      <c r="P127" s="236" t="s">
        <v>70</v>
      </c>
      <c r="Q127" s="236">
        <v>31</v>
      </c>
      <c r="R127" s="236" t="s">
        <v>70</v>
      </c>
      <c r="S127" s="236"/>
      <c r="T127" s="236"/>
      <c r="U127" s="236"/>
      <c r="V127" s="236"/>
      <c r="W127" s="236"/>
      <c r="X127" s="236">
        <v>0.5</v>
      </c>
      <c r="Y127" s="236"/>
      <c r="Z127" s="236"/>
      <c r="AM127" s="236"/>
      <c r="AN127" s="236"/>
      <c r="AO127" s="236"/>
      <c r="AP127" s="236"/>
      <c r="AQ127" s="236"/>
      <c r="AR127" s="236"/>
      <c r="AS127" s="236"/>
      <c r="AT127" s="236"/>
      <c r="AU127" s="236"/>
      <c r="AV127" s="12"/>
      <c r="AW127" s="12"/>
      <c r="AX127" s="12"/>
      <c r="AY127" s="12"/>
      <c r="AZ127" s="12"/>
      <c r="BA127" s="12"/>
      <c r="BB127" s="12"/>
    </row>
    <row r="128" spans="1:54" ht="13">
      <c r="A128" s="26" t="s">
        <v>536</v>
      </c>
      <c r="B128" s="27" t="s">
        <v>5</v>
      </c>
      <c r="C128" s="31" t="s">
        <v>537</v>
      </c>
      <c r="D128" s="31" t="s">
        <v>538</v>
      </c>
      <c r="E128" s="27" t="s">
        <v>539</v>
      </c>
      <c r="F128" s="27" t="s">
        <v>90</v>
      </c>
      <c r="G128" s="27" t="s">
        <v>55</v>
      </c>
      <c r="H128" s="27">
        <v>189</v>
      </c>
      <c r="I128" s="27" t="s">
        <v>257</v>
      </c>
      <c r="J128" s="27">
        <v>3</v>
      </c>
      <c r="K128" s="27">
        <v>3</v>
      </c>
      <c r="L128" s="27">
        <v>3</v>
      </c>
      <c r="M128" s="27"/>
      <c r="N128" s="27"/>
      <c r="O128" s="27" t="s">
        <v>540</v>
      </c>
      <c r="P128" s="27" t="s">
        <v>35</v>
      </c>
      <c r="Q128" s="27">
        <v>3</v>
      </c>
      <c r="R128" s="27" t="s">
        <v>35</v>
      </c>
      <c r="S128" s="27"/>
      <c r="T128" s="27"/>
      <c r="U128" s="27"/>
      <c r="V128" s="27"/>
      <c r="W128" s="27"/>
      <c r="X128" s="27"/>
      <c r="Y128" s="27"/>
      <c r="Z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12"/>
      <c r="AW128" s="12"/>
      <c r="AX128" s="12"/>
      <c r="AY128" s="12"/>
      <c r="AZ128" s="12"/>
      <c r="BA128" s="12"/>
      <c r="BB128" s="12"/>
    </row>
    <row r="129" spans="1:54" ht="13">
      <c r="A129" s="26" t="s">
        <v>1040</v>
      </c>
      <c r="B129" s="236" t="s">
        <v>10</v>
      </c>
      <c r="C129" s="258" t="s">
        <v>1042</v>
      </c>
      <c r="D129" s="258" t="s">
        <v>1044</v>
      </c>
      <c r="E129" s="236" t="s">
        <v>1045</v>
      </c>
      <c r="F129" s="236" t="s">
        <v>75</v>
      </c>
      <c r="G129" s="236" t="s">
        <v>1047</v>
      </c>
      <c r="H129" s="236">
        <v>186</v>
      </c>
      <c r="I129" s="236">
        <v>1.5</v>
      </c>
      <c r="J129" s="236">
        <v>2</v>
      </c>
      <c r="K129" s="236">
        <v>2</v>
      </c>
      <c r="L129" s="236"/>
      <c r="M129" s="236"/>
      <c r="N129" s="236"/>
      <c r="O129" s="236" t="s">
        <v>1048</v>
      </c>
      <c r="P129" s="236" t="s">
        <v>34</v>
      </c>
      <c r="Q129" s="236">
        <v>22</v>
      </c>
      <c r="R129" s="236" t="s">
        <v>34</v>
      </c>
      <c r="S129" s="236"/>
      <c r="T129" s="236"/>
      <c r="U129" s="236"/>
      <c r="V129" s="236"/>
      <c r="W129" s="236"/>
      <c r="X129" s="236"/>
      <c r="Y129" s="236"/>
      <c r="Z129" s="236">
        <v>4.5</v>
      </c>
      <c r="AM129" s="236"/>
      <c r="AN129" s="236"/>
      <c r="AO129" s="236"/>
      <c r="AP129" s="236"/>
      <c r="AQ129" s="236"/>
      <c r="AR129" s="236"/>
      <c r="AS129" s="236"/>
      <c r="AT129" s="236"/>
      <c r="AU129" s="236"/>
      <c r="AV129" s="12"/>
      <c r="AW129" s="12"/>
      <c r="AX129" s="12"/>
      <c r="AY129" s="12"/>
      <c r="AZ129" s="12"/>
      <c r="BA129" s="12"/>
      <c r="BB129" s="12"/>
    </row>
    <row r="130" spans="1:54" ht="13">
      <c r="A130" s="26" t="s">
        <v>627</v>
      </c>
      <c r="B130" s="27" t="s">
        <v>10</v>
      </c>
      <c r="C130" s="31" t="s">
        <v>629</v>
      </c>
      <c r="D130" s="27" t="s">
        <v>630</v>
      </c>
      <c r="E130" s="27" t="s">
        <v>918</v>
      </c>
      <c r="F130" s="27" t="s">
        <v>90</v>
      </c>
      <c r="G130" s="27" t="s">
        <v>55</v>
      </c>
      <c r="H130" s="27">
        <v>184</v>
      </c>
      <c r="I130" s="27" t="s">
        <v>257</v>
      </c>
      <c r="J130" s="27"/>
      <c r="K130" s="27"/>
      <c r="L130" s="27"/>
      <c r="M130" s="27"/>
      <c r="N130" s="27"/>
      <c r="O130" s="27"/>
      <c r="P130" s="27" t="s">
        <v>35</v>
      </c>
      <c r="Q130" s="27">
        <v>8</v>
      </c>
      <c r="R130" s="27" t="s">
        <v>35</v>
      </c>
      <c r="S130" s="27"/>
      <c r="T130" s="27"/>
      <c r="U130" s="27"/>
      <c r="V130" s="27"/>
      <c r="W130" s="27"/>
      <c r="X130" s="27"/>
      <c r="Y130" s="27"/>
      <c r="Z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12"/>
      <c r="AW130" s="12"/>
      <c r="AX130" s="12"/>
      <c r="AY130" s="12"/>
      <c r="AZ130" s="12"/>
      <c r="BA130" s="12"/>
      <c r="BB130" s="12"/>
    </row>
    <row r="131" spans="1:54" ht="13">
      <c r="A131" s="26" t="s">
        <v>275</v>
      </c>
      <c r="B131" s="236" t="s">
        <v>304</v>
      </c>
      <c r="C131" s="258" t="s">
        <v>277</v>
      </c>
      <c r="D131" s="258" t="s">
        <v>279</v>
      </c>
      <c r="E131" s="236" t="s">
        <v>1060</v>
      </c>
      <c r="F131" s="236" t="s">
        <v>336</v>
      </c>
      <c r="G131" s="236" t="s">
        <v>55</v>
      </c>
      <c r="H131" s="236">
        <v>183</v>
      </c>
      <c r="I131" s="236"/>
      <c r="J131" s="236"/>
      <c r="K131" s="236"/>
      <c r="L131" s="236"/>
      <c r="M131" s="236"/>
      <c r="N131" s="236"/>
      <c r="O131" s="236"/>
      <c r="P131" s="236" t="s">
        <v>126</v>
      </c>
      <c r="Q131" s="236">
        <v>8</v>
      </c>
      <c r="R131" s="236" t="s">
        <v>126</v>
      </c>
      <c r="S131" s="236"/>
      <c r="T131" s="236"/>
      <c r="U131" s="236"/>
      <c r="V131" s="236"/>
      <c r="W131" s="236"/>
      <c r="X131" s="236">
        <v>4</v>
      </c>
      <c r="Y131" s="236">
        <v>4</v>
      </c>
      <c r="Z131" s="236">
        <v>4</v>
      </c>
      <c r="AM131" s="236"/>
      <c r="AN131" s="236"/>
      <c r="AO131" s="236"/>
      <c r="AP131" s="236"/>
      <c r="AQ131" s="236"/>
      <c r="AR131" s="236"/>
      <c r="AS131" s="236"/>
      <c r="AT131" s="236"/>
      <c r="AU131" s="236"/>
      <c r="AV131" s="12"/>
      <c r="AW131" s="12"/>
      <c r="AX131" s="12"/>
      <c r="AY131" s="12"/>
      <c r="AZ131" s="12"/>
      <c r="BA131" s="12"/>
      <c r="BB131" s="12"/>
    </row>
    <row r="132" spans="1:54" ht="13">
      <c r="A132" s="26" t="s">
        <v>1127</v>
      </c>
      <c r="B132" s="27" t="s">
        <v>304</v>
      </c>
      <c r="C132" s="31" t="s">
        <v>1128</v>
      </c>
      <c r="D132" s="31" t="s">
        <v>1129</v>
      </c>
      <c r="E132" s="27" t="s">
        <v>1130</v>
      </c>
      <c r="F132" s="27" t="s">
        <v>90</v>
      </c>
      <c r="G132" s="27" t="s">
        <v>109</v>
      </c>
      <c r="H132" s="27">
        <v>181</v>
      </c>
      <c r="I132" s="27"/>
      <c r="J132" s="27"/>
      <c r="K132" s="27"/>
      <c r="L132" s="27"/>
      <c r="M132" s="27"/>
      <c r="N132" s="27"/>
      <c r="O132" s="27"/>
      <c r="P132" s="27" t="s">
        <v>70</v>
      </c>
      <c r="Q132" s="27" t="s">
        <v>141</v>
      </c>
      <c r="R132" s="27" t="s">
        <v>70</v>
      </c>
      <c r="S132" s="27"/>
      <c r="T132" s="27"/>
      <c r="U132" s="27"/>
      <c r="V132" s="27"/>
      <c r="W132" s="27"/>
      <c r="X132" s="27">
        <v>2</v>
      </c>
      <c r="Y132" s="27">
        <v>0.5</v>
      </c>
      <c r="Z132" s="27">
        <v>0.5</v>
      </c>
      <c r="AM132" s="27"/>
      <c r="AN132" s="27"/>
      <c r="AO132" s="27"/>
      <c r="AP132" s="27"/>
      <c r="AQ132" s="27"/>
      <c r="AR132" s="27"/>
      <c r="AS132" s="27"/>
      <c r="AT132" s="27"/>
      <c r="AU132" s="27"/>
      <c r="AV132" s="12"/>
      <c r="AW132" s="12"/>
      <c r="AX132" s="12"/>
      <c r="AY132" s="12"/>
      <c r="AZ132" s="12"/>
      <c r="BA132" s="12"/>
      <c r="BB132" s="12"/>
    </row>
    <row r="133" spans="1:54" ht="13">
      <c r="A133" s="26" t="s">
        <v>1145</v>
      </c>
      <c r="B133" s="236" t="s">
        <v>3</v>
      </c>
      <c r="C133" s="258">
        <v>124715</v>
      </c>
      <c r="D133" s="258" t="s">
        <v>1147</v>
      </c>
      <c r="E133" s="236" t="s">
        <v>1149</v>
      </c>
      <c r="F133" s="236" t="s">
        <v>187</v>
      </c>
      <c r="G133" s="236" t="s">
        <v>298</v>
      </c>
      <c r="H133" s="236">
        <v>177</v>
      </c>
      <c r="I133" s="236"/>
      <c r="J133" s="236"/>
      <c r="K133" s="236"/>
      <c r="L133" s="236"/>
      <c r="M133" s="236"/>
      <c r="N133" s="236"/>
      <c r="O133" s="236"/>
      <c r="P133" s="236" t="s">
        <v>70</v>
      </c>
      <c r="Q133" s="236">
        <v>24</v>
      </c>
      <c r="R133" s="236" t="s">
        <v>70</v>
      </c>
      <c r="S133" s="236"/>
      <c r="T133" s="236"/>
      <c r="U133" s="236"/>
      <c r="V133" s="236"/>
      <c r="W133" s="236">
        <v>1</v>
      </c>
      <c r="X133" s="236">
        <v>3</v>
      </c>
      <c r="Y133" s="236">
        <v>0.5</v>
      </c>
      <c r="Z133" s="236">
        <v>0.5</v>
      </c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12"/>
      <c r="AW133" s="12"/>
      <c r="AX133" s="12"/>
      <c r="AY133" s="12"/>
      <c r="AZ133" s="12"/>
      <c r="BA133" s="12"/>
      <c r="BB133" s="12"/>
    </row>
    <row r="134" spans="1:54" ht="13">
      <c r="A134" s="26" t="s">
        <v>1081</v>
      </c>
      <c r="B134" s="27" t="s">
        <v>3</v>
      </c>
      <c r="C134" s="31" t="s">
        <v>1082</v>
      </c>
      <c r="D134" s="31" t="s">
        <v>1083</v>
      </c>
      <c r="E134" s="27" t="s">
        <v>1084</v>
      </c>
      <c r="F134" s="27" t="s">
        <v>187</v>
      </c>
      <c r="G134" s="27" t="s">
        <v>132</v>
      </c>
      <c r="H134" s="27">
        <v>172</v>
      </c>
      <c r="I134" s="27">
        <v>1.5</v>
      </c>
      <c r="J134" s="27"/>
      <c r="K134" s="27"/>
      <c r="L134" s="27"/>
      <c r="M134" s="27"/>
      <c r="N134" s="27"/>
      <c r="O134" s="27" t="s">
        <v>2219</v>
      </c>
      <c r="P134" s="27" t="s">
        <v>33</v>
      </c>
      <c r="Q134" s="27">
        <v>16</v>
      </c>
      <c r="R134" s="27" t="s">
        <v>32</v>
      </c>
      <c r="S134" s="27"/>
      <c r="T134" s="27"/>
      <c r="U134" s="27"/>
      <c r="V134" s="27"/>
      <c r="W134" s="27"/>
      <c r="X134" s="27">
        <v>1</v>
      </c>
      <c r="Y134" s="27">
        <v>3</v>
      </c>
      <c r="Z134" s="27">
        <v>1.5</v>
      </c>
      <c r="AM134" s="27"/>
      <c r="AN134" s="27"/>
      <c r="AO134" s="27"/>
      <c r="AP134" s="27"/>
      <c r="AQ134" s="27"/>
      <c r="AR134" s="27"/>
      <c r="AS134" s="27"/>
      <c r="AT134" s="27"/>
      <c r="AU134" s="27"/>
      <c r="AV134" s="12"/>
      <c r="AW134" s="12"/>
      <c r="AX134" s="12"/>
      <c r="AY134" s="12"/>
      <c r="AZ134" s="12"/>
      <c r="BA134" s="12"/>
      <c r="BB134" s="12"/>
    </row>
    <row r="135" spans="1:54" ht="13">
      <c r="A135" s="26" t="s">
        <v>1087</v>
      </c>
      <c r="B135" s="236" t="s">
        <v>304</v>
      </c>
      <c r="C135" s="258" t="s">
        <v>1088</v>
      </c>
      <c r="D135" s="258" t="s">
        <v>1089</v>
      </c>
      <c r="E135" s="236" t="s">
        <v>1090</v>
      </c>
      <c r="F135" s="236" t="s">
        <v>83</v>
      </c>
      <c r="G135" s="236" t="s">
        <v>740</v>
      </c>
      <c r="H135" s="236">
        <v>172</v>
      </c>
      <c r="I135" s="236"/>
      <c r="J135" s="236"/>
      <c r="K135" s="236"/>
      <c r="L135" s="236"/>
      <c r="M135" s="236"/>
      <c r="N135" s="236"/>
      <c r="O135" s="236"/>
      <c r="P135" s="236" t="s">
        <v>78</v>
      </c>
      <c r="Q135" s="236">
        <v>40</v>
      </c>
      <c r="R135" s="236" t="s">
        <v>78</v>
      </c>
      <c r="S135" s="236"/>
      <c r="T135" s="236"/>
      <c r="U135" s="236"/>
      <c r="V135" s="236"/>
      <c r="W135" s="236"/>
      <c r="X135" s="236">
        <v>1</v>
      </c>
      <c r="Y135" s="236">
        <v>1</v>
      </c>
      <c r="Z135" s="236"/>
      <c r="AM135" s="236"/>
      <c r="AN135" s="236"/>
      <c r="AO135" s="236"/>
      <c r="AP135" s="236"/>
      <c r="AQ135" s="236"/>
      <c r="AR135" s="236"/>
      <c r="AS135" s="236"/>
      <c r="AT135" s="236"/>
      <c r="AU135" s="236"/>
      <c r="AV135" s="12"/>
      <c r="AW135" s="12"/>
      <c r="AX135" s="12"/>
      <c r="AY135" s="12"/>
      <c r="AZ135" s="12"/>
      <c r="BA135" s="12"/>
      <c r="BB135" s="12"/>
    </row>
    <row r="136" spans="1:54" ht="13">
      <c r="A136" s="26" t="s">
        <v>1109</v>
      </c>
      <c r="B136" s="27" t="s">
        <v>304</v>
      </c>
      <c r="C136" s="31" t="s">
        <v>1110</v>
      </c>
      <c r="D136" s="31" t="s">
        <v>1111</v>
      </c>
      <c r="E136" s="27" t="s">
        <v>2238</v>
      </c>
      <c r="F136" s="27" t="s">
        <v>103</v>
      </c>
      <c r="G136" s="27" t="s">
        <v>265</v>
      </c>
      <c r="H136" s="27">
        <v>168</v>
      </c>
      <c r="I136" s="27"/>
      <c r="J136" s="27"/>
      <c r="K136" s="27"/>
      <c r="L136" s="27"/>
      <c r="M136" s="27"/>
      <c r="N136" s="27"/>
      <c r="O136" s="27"/>
      <c r="P136" s="27" t="s">
        <v>126</v>
      </c>
      <c r="Q136" s="27">
        <v>13</v>
      </c>
      <c r="R136" s="27" t="s">
        <v>126</v>
      </c>
      <c r="S136" s="27"/>
      <c r="T136" s="27"/>
      <c r="U136" s="27"/>
      <c r="V136" s="27"/>
      <c r="W136" s="27"/>
      <c r="X136" s="27">
        <v>4</v>
      </c>
      <c r="Y136" s="27">
        <v>4</v>
      </c>
      <c r="Z136" s="27">
        <v>3</v>
      </c>
      <c r="AM136" s="27"/>
      <c r="AN136" s="27"/>
      <c r="AO136" s="27"/>
      <c r="AP136" s="27"/>
      <c r="AQ136" s="27"/>
      <c r="AR136" s="27"/>
      <c r="AS136" s="27"/>
      <c r="AT136" s="27"/>
      <c r="AU136" s="27"/>
      <c r="AV136" s="12"/>
      <c r="AW136" s="12"/>
      <c r="AX136" s="12"/>
      <c r="AY136" s="12"/>
      <c r="AZ136" s="12"/>
      <c r="BA136" s="12"/>
      <c r="BB136" s="12"/>
    </row>
    <row r="137" spans="1:54" ht="13">
      <c r="A137" s="26" t="s">
        <v>1541</v>
      </c>
      <c r="B137" s="236" t="s">
        <v>3</v>
      </c>
      <c r="C137" s="258" t="s">
        <v>1543</v>
      </c>
      <c r="D137" s="258" t="s">
        <v>1545</v>
      </c>
      <c r="E137" s="236" t="s">
        <v>2239</v>
      </c>
      <c r="F137" s="236" t="s">
        <v>90</v>
      </c>
      <c r="G137" s="236" t="s">
        <v>109</v>
      </c>
      <c r="H137" s="236">
        <v>166</v>
      </c>
      <c r="I137" s="236">
        <v>0.5</v>
      </c>
      <c r="J137" s="236"/>
      <c r="K137" s="236"/>
      <c r="L137" s="236"/>
      <c r="M137" s="236"/>
      <c r="N137" s="236"/>
      <c r="O137" s="236"/>
      <c r="P137" s="236" t="s">
        <v>78</v>
      </c>
      <c r="Q137" s="236">
        <v>34</v>
      </c>
      <c r="R137" s="236" t="s">
        <v>70</v>
      </c>
      <c r="S137" s="236"/>
      <c r="T137" s="236"/>
      <c r="U137" s="236"/>
      <c r="V137" s="236"/>
      <c r="W137" s="236">
        <v>1</v>
      </c>
      <c r="X137" s="236">
        <v>1</v>
      </c>
      <c r="Y137" s="236">
        <v>0.5</v>
      </c>
      <c r="Z137" s="236">
        <v>0.5</v>
      </c>
      <c r="AM137" s="236"/>
      <c r="AN137" s="236"/>
      <c r="AO137" s="236"/>
      <c r="AP137" s="236"/>
      <c r="AQ137" s="236"/>
      <c r="AR137" s="236"/>
      <c r="AS137" s="236"/>
      <c r="AT137" s="236"/>
      <c r="AU137" s="236"/>
      <c r="AV137" s="12"/>
      <c r="AW137" s="12"/>
      <c r="AX137" s="12"/>
      <c r="AY137" s="12"/>
      <c r="AZ137" s="12"/>
      <c r="BA137" s="12"/>
      <c r="BB137" s="12"/>
    </row>
    <row r="138" spans="1:54" ht="13">
      <c r="A138" s="26" t="s">
        <v>1122</v>
      </c>
      <c r="B138" s="27" t="s">
        <v>12</v>
      </c>
      <c r="C138" s="31" t="s">
        <v>1123</v>
      </c>
      <c r="D138" s="31" t="s">
        <v>1124</v>
      </c>
      <c r="E138" s="27" t="s">
        <v>1125</v>
      </c>
      <c r="F138" s="27" t="s">
        <v>90</v>
      </c>
      <c r="G138" s="27" t="s">
        <v>55</v>
      </c>
      <c r="H138" s="27">
        <v>164</v>
      </c>
      <c r="I138" s="27">
        <v>2.5</v>
      </c>
      <c r="J138" s="27">
        <v>1</v>
      </c>
      <c r="K138" s="27">
        <v>2.5</v>
      </c>
      <c r="L138" s="27"/>
      <c r="M138" s="27"/>
      <c r="N138" s="27"/>
      <c r="O138" s="27" t="s">
        <v>856</v>
      </c>
      <c r="P138" s="27" t="s">
        <v>34</v>
      </c>
      <c r="Q138" s="27">
        <v>20</v>
      </c>
      <c r="R138" s="27" t="s">
        <v>34</v>
      </c>
      <c r="S138" s="27" t="s">
        <v>374</v>
      </c>
      <c r="T138" s="27">
        <v>6</v>
      </c>
      <c r="U138" s="27">
        <v>9</v>
      </c>
      <c r="V138" s="27" t="s">
        <v>375</v>
      </c>
      <c r="W138" s="27"/>
      <c r="X138" s="27"/>
      <c r="Y138" s="27"/>
      <c r="Z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12"/>
      <c r="AW138" s="12"/>
      <c r="AX138" s="12"/>
      <c r="AY138" s="12"/>
      <c r="AZ138" s="12"/>
      <c r="BA138" s="12"/>
      <c r="BB138" s="12"/>
    </row>
    <row r="139" spans="1:54" ht="13">
      <c r="A139" s="26" t="s">
        <v>1548</v>
      </c>
      <c r="B139" s="236" t="s">
        <v>304</v>
      </c>
      <c r="C139" s="258" t="s">
        <v>1354</v>
      </c>
      <c r="D139" s="258" t="s">
        <v>1553</v>
      </c>
      <c r="E139" s="236" t="s">
        <v>2240</v>
      </c>
      <c r="F139" s="236" t="s">
        <v>67</v>
      </c>
      <c r="G139" s="236" t="s">
        <v>192</v>
      </c>
      <c r="H139" s="236">
        <v>161</v>
      </c>
      <c r="I139" s="236"/>
      <c r="J139" s="236"/>
      <c r="K139" s="236"/>
      <c r="L139" s="236"/>
      <c r="M139" s="236"/>
      <c r="N139" s="236"/>
      <c r="O139" s="236"/>
      <c r="P139" s="236" t="s">
        <v>70</v>
      </c>
      <c r="Q139" s="236">
        <v>37</v>
      </c>
      <c r="R139" s="236" t="s">
        <v>70</v>
      </c>
      <c r="S139" s="236"/>
      <c r="T139" s="236"/>
      <c r="U139" s="236"/>
      <c r="V139" s="236"/>
      <c r="W139" s="236"/>
      <c r="X139" s="236">
        <v>0.5</v>
      </c>
      <c r="Y139" s="236">
        <v>0.5</v>
      </c>
      <c r="Z139" s="236"/>
      <c r="AM139" s="236"/>
      <c r="AN139" s="236"/>
      <c r="AO139" s="236"/>
      <c r="AP139" s="236"/>
      <c r="AQ139" s="236"/>
      <c r="AR139" s="236"/>
      <c r="AS139" s="236"/>
      <c r="AT139" s="236"/>
      <c r="AU139" s="236"/>
      <c r="AV139" s="12"/>
      <c r="AW139" s="12"/>
      <c r="AX139" s="12"/>
      <c r="AY139" s="12"/>
      <c r="AZ139" s="12"/>
      <c r="BA139" s="12"/>
      <c r="BB139" s="12"/>
    </row>
    <row r="140" spans="1:54" ht="13">
      <c r="A140" s="26" t="s">
        <v>1434</v>
      </c>
      <c r="B140" s="27" t="s">
        <v>304</v>
      </c>
      <c r="C140" s="31" t="s">
        <v>892</v>
      </c>
      <c r="D140" s="31" t="s">
        <v>1437</v>
      </c>
      <c r="E140" s="27" t="s">
        <v>2241</v>
      </c>
      <c r="F140" s="27" t="s">
        <v>90</v>
      </c>
      <c r="G140" s="27" t="s">
        <v>109</v>
      </c>
      <c r="H140" s="27">
        <v>160</v>
      </c>
      <c r="I140" s="27"/>
      <c r="J140" s="27"/>
      <c r="K140" s="27"/>
      <c r="L140" s="27"/>
      <c r="M140" s="27"/>
      <c r="N140" s="27"/>
      <c r="O140" s="27" t="s">
        <v>1439</v>
      </c>
      <c r="P140" s="27" t="s">
        <v>78</v>
      </c>
      <c r="Q140" s="27">
        <v>7</v>
      </c>
      <c r="R140" s="27" t="s">
        <v>78</v>
      </c>
      <c r="S140" s="27"/>
      <c r="T140" s="27"/>
      <c r="U140" s="27"/>
      <c r="V140" s="27"/>
      <c r="W140" s="27"/>
      <c r="X140" s="27">
        <v>3</v>
      </c>
      <c r="Y140" s="27">
        <v>3</v>
      </c>
      <c r="Z140" s="27">
        <v>0.5</v>
      </c>
      <c r="AY140" s="12"/>
      <c r="AZ140" s="12"/>
      <c r="BA140" s="12"/>
      <c r="BB140" s="12"/>
    </row>
    <row r="141" spans="1:54" ht="13">
      <c r="A141" s="26" t="s">
        <v>1511</v>
      </c>
      <c r="B141" s="236" t="s">
        <v>3</v>
      </c>
      <c r="C141" s="258" t="s">
        <v>281</v>
      </c>
      <c r="D141" s="258" t="s">
        <v>1518</v>
      </c>
      <c r="E141" s="236" t="s">
        <v>2242</v>
      </c>
      <c r="F141" s="236" t="s">
        <v>103</v>
      </c>
      <c r="G141" s="236" t="s">
        <v>265</v>
      </c>
      <c r="H141" s="236">
        <v>159</v>
      </c>
      <c r="I141" s="236">
        <v>0.5</v>
      </c>
      <c r="J141" s="236"/>
      <c r="K141" s="236"/>
      <c r="L141" s="236"/>
      <c r="M141" s="236"/>
      <c r="N141" s="236"/>
      <c r="O141" s="236" t="s">
        <v>2219</v>
      </c>
      <c r="P141" s="236" t="s">
        <v>33</v>
      </c>
      <c r="Q141" s="236">
        <v>10</v>
      </c>
      <c r="R141" s="236" t="s">
        <v>32</v>
      </c>
      <c r="S141" s="236"/>
      <c r="T141" s="236"/>
      <c r="U141" s="236"/>
      <c r="V141" s="236"/>
      <c r="W141" s="236"/>
      <c r="X141" s="236">
        <v>1</v>
      </c>
      <c r="Y141" s="236">
        <v>2</v>
      </c>
      <c r="Z141" s="236">
        <v>2</v>
      </c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12"/>
      <c r="AW141" s="12"/>
      <c r="AX141" s="12"/>
      <c r="AY141" s="12"/>
      <c r="AZ141" s="12"/>
      <c r="BA141" s="12"/>
      <c r="BB141" s="12"/>
    </row>
    <row r="142" spans="1:54" ht="13">
      <c r="A142" s="26" t="s">
        <v>252</v>
      </c>
      <c r="B142" s="27" t="s">
        <v>10</v>
      </c>
      <c r="C142" s="31" t="s">
        <v>253</v>
      </c>
      <c r="D142" s="31" t="s">
        <v>254</v>
      </c>
      <c r="E142" s="27" t="s">
        <v>515</v>
      </c>
      <c r="F142" s="27" t="s">
        <v>131</v>
      </c>
      <c r="G142" s="27" t="s">
        <v>132</v>
      </c>
      <c r="H142" s="27">
        <v>159</v>
      </c>
      <c r="I142" s="27" t="s">
        <v>257</v>
      </c>
      <c r="J142" s="27"/>
      <c r="K142" s="27"/>
      <c r="L142" s="27"/>
      <c r="M142" s="27"/>
      <c r="N142" s="27"/>
      <c r="O142" s="27"/>
      <c r="P142" s="27" t="s">
        <v>35</v>
      </c>
      <c r="Q142" s="27">
        <v>1</v>
      </c>
      <c r="R142" s="27" t="s">
        <v>35</v>
      </c>
      <c r="S142" s="27"/>
      <c r="T142" s="27"/>
      <c r="U142" s="27"/>
      <c r="V142" s="27"/>
      <c r="W142" s="27"/>
      <c r="X142" s="27"/>
      <c r="Y142" s="27"/>
      <c r="Z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12"/>
      <c r="AW142" s="12"/>
      <c r="AX142" s="12"/>
      <c r="AY142" s="12"/>
      <c r="AZ142" s="12"/>
      <c r="BA142" s="12"/>
      <c r="BB142" s="12"/>
    </row>
    <row r="143" spans="1:54" ht="13">
      <c r="A143" s="26" t="s">
        <v>1566</v>
      </c>
      <c r="B143" s="236" t="s">
        <v>304</v>
      </c>
      <c r="C143" s="258" t="s">
        <v>1567</v>
      </c>
      <c r="D143" s="258" t="s">
        <v>1569</v>
      </c>
      <c r="E143" s="236" t="s">
        <v>2243</v>
      </c>
      <c r="F143" s="236" t="s">
        <v>180</v>
      </c>
      <c r="G143" s="236" t="s">
        <v>76</v>
      </c>
      <c r="H143" s="236">
        <v>158</v>
      </c>
      <c r="I143" s="236"/>
      <c r="J143" s="236"/>
      <c r="K143" s="236"/>
      <c r="L143" s="236"/>
      <c r="M143" s="236"/>
      <c r="N143" s="236"/>
      <c r="O143" s="236" t="s">
        <v>1174</v>
      </c>
      <c r="P143" s="236" t="s">
        <v>70</v>
      </c>
      <c r="Q143" s="236">
        <v>47</v>
      </c>
      <c r="R143" s="236" t="s">
        <v>70</v>
      </c>
      <c r="S143" s="236"/>
      <c r="T143" s="236"/>
      <c r="U143" s="236"/>
      <c r="V143" s="236"/>
      <c r="W143" s="236"/>
      <c r="X143" s="236">
        <v>3</v>
      </c>
      <c r="Y143" s="236">
        <v>0.5</v>
      </c>
      <c r="Z143" s="236">
        <v>0.5</v>
      </c>
      <c r="AM143" s="236"/>
      <c r="AN143" s="236"/>
      <c r="AO143" s="236"/>
      <c r="AP143" s="236"/>
      <c r="AQ143" s="236"/>
      <c r="AR143" s="236"/>
      <c r="AS143" s="236"/>
      <c r="AT143" s="236"/>
      <c r="AU143" s="236"/>
      <c r="AV143" s="12"/>
      <c r="AW143" s="12"/>
      <c r="AX143" s="12"/>
      <c r="AY143" s="12"/>
      <c r="AZ143" s="12"/>
      <c r="BA143" s="12"/>
      <c r="BB143" s="12"/>
    </row>
    <row r="144" spans="1:54" ht="13">
      <c r="A144" s="26" t="s">
        <v>1530</v>
      </c>
      <c r="B144" s="27" t="s">
        <v>10</v>
      </c>
      <c r="C144" s="31" t="s">
        <v>1531</v>
      </c>
      <c r="D144" s="31" t="s">
        <v>1532</v>
      </c>
      <c r="E144" s="27" t="s">
        <v>2244</v>
      </c>
      <c r="F144" s="27" t="s">
        <v>90</v>
      </c>
      <c r="G144" s="27" t="s">
        <v>55</v>
      </c>
      <c r="H144" s="27">
        <v>156</v>
      </c>
      <c r="I144" s="27">
        <v>0.5</v>
      </c>
      <c r="J144" s="27"/>
      <c r="K144" s="27"/>
      <c r="L144" s="27"/>
      <c r="M144" s="27"/>
      <c r="N144" s="27"/>
      <c r="O144" s="27"/>
      <c r="P144" s="27" t="s">
        <v>70</v>
      </c>
      <c r="Q144" s="27">
        <v>14</v>
      </c>
      <c r="R144" s="27" t="s">
        <v>70</v>
      </c>
      <c r="S144" s="27"/>
      <c r="T144" s="27"/>
      <c r="U144" s="27"/>
      <c r="V144" s="27"/>
      <c r="W144" s="27"/>
      <c r="X144" s="27">
        <v>0.5</v>
      </c>
      <c r="Y144" s="27">
        <v>0.5</v>
      </c>
      <c r="Z144" s="27">
        <v>0.5</v>
      </c>
      <c r="AM144" s="27"/>
      <c r="AN144" s="27"/>
      <c r="AO144" s="27"/>
      <c r="AP144" s="27"/>
      <c r="AQ144" s="27"/>
      <c r="AR144" s="27"/>
      <c r="AS144" s="27"/>
      <c r="AT144" s="27"/>
      <c r="AU144" s="27"/>
      <c r="AV144" s="12"/>
      <c r="AW144" s="12"/>
      <c r="AX144" s="12"/>
      <c r="AY144" s="12"/>
      <c r="AZ144" s="12"/>
      <c r="BA144" s="12"/>
      <c r="BB144" s="12"/>
    </row>
    <row r="145" spans="1:54" ht="13">
      <c r="A145" s="26" t="s">
        <v>422</v>
      </c>
      <c r="B145" s="236" t="s">
        <v>5</v>
      </c>
      <c r="C145" s="258" t="s">
        <v>423</v>
      </c>
      <c r="D145" s="236" t="s">
        <v>424</v>
      </c>
      <c r="E145" s="236" t="s">
        <v>425</v>
      </c>
      <c r="F145" s="236" t="s">
        <v>336</v>
      </c>
      <c r="G145" s="236" t="s">
        <v>109</v>
      </c>
      <c r="H145" s="236">
        <v>156</v>
      </c>
      <c r="I145" s="236" t="s">
        <v>257</v>
      </c>
      <c r="J145" s="236">
        <v>3.5</v>
      </c>
      <c r="K145" s="236">
        <v>4</v>
      </c>
      <c r="L145" s="236">
        <v>4.5</v>
      </c>
      <c r="M145" s="236"/>
      <c r="N145" s="236"/>
      <c r="O145" s="236" t="s">
        <v>417</v>
      </c>
      <c r="P145" s="236" t="s">
        <v>35</v>
      </c>
      <c r="Q145" s="236">
        <v>7</v>
      </c>
      <c r="R145" s="236" t="s">
        <v>35</v>
      </c>
      <c r="S145" s="236"/>
      <c r="T145" s="236"/>
      <c r="U145" s="236"/>
      <c r="V145" s="236"/>
      <c r="W145" s="236"/>
      <c r="X145" s="236"/>
      <c r="Y145" s="236"/>
      <c r="Z145" s="236"/>
      <c r="AM145" s="236"/>
      <c r="AN145" s="236"/>
      <c r="AO145" s="236"/>
      <c r="AP145" s="236"/>
      <c r="AQ145" s="236"/>
      <c r="AR145" s="236"/>
      <c r="AS145" s="236"/>
      <c r="AT145" s="236"/>
      <c r="AU145" s="236"/>
      <c r="AV145" s="12"/>
      <c r="AW145" s="12"/>
      <c r="AX145" s="12"/>
      <c r="AY145" s="12"/>
      <c r="AZ145" s="12"/>
      <c r="BA145" s="12"/>
      <c r="BB145" s="12"/>
    </row>
    <row r="146" spans="1:54" ht="13">
      <c r="A146" s="26" t="s">
        <v>938</v>
      </c>
      <c r="B146" s="27" t="s">
        <v>10</v>
      </c>
      <c r="C146" s="31" t="s">
        <v>939</v>
      </c>
      <c r="D146" s="31" t="s">
        <v>940</v>
      </c>
      <c r="E146" s="27" t="s">
        <v>941</v>
      </c>
      <c r="F146" s="27" t="s">
        <v>180</v>
      </c>
      <c r="G146" s="27" t="s">
        <v>84</v>
      </c>
      <c r="H146" s="27">
        <v>153</v>
      </c>
      <c r="I146" s="27">
        <v>1</v>
      </c>
      <c r="J146" s="27">
        <v>1</v>
      </c>
      <c r="K146" s="27"/>
      <c r="L146" s="27"/>
      <c r="M146" s="27"/>
      <c r="N146" s="27"/>
      <c r="O146" s="27" t="s">
        <v>942</v>
      </c>
      <c r="P146" s="27" t="s">
        <v>34</v>
      </c>
      <c r="Q146" s="27">
        <v>33</v>
      </c>
      <c r="R146" s="27" t="s">
        <v>34</v>
      </c>
      <c r="S146" s="27"/>
      <c r="T146" s="27"/>
      <c r="U146" s="27"/>
      <c r="V146" s="27"/>
      <c r="W146" s="27"/>
      <c r="X146" s="27"/>
      <c r="Y146" s="27"/>
      <c r="Z146" s="27">
        <v>1</v>
      </c>
      <c r="AM146" s="27"/>
      <c r="AN146" s="27"/>
      <c r="AO146" s="27"/>
      <c r="AP146" s="27"/>
      <c r="AQ146" s="27"/>
      <c r="AR146" s="27"/>
      <c r="AS146" s="27"/>
      <c r="AT146" s="27"/>
      <c r="AU146" s="27"/>
      <c r="AV146" s="12"/>
      <c r="AW146" s="12"/>
      <c r="AX146" s="12"/>
      <c r="AY146" s="12"/>
      <c r="AZ146" s="12"/>
      <c r="BA146" s="12"/>
      <c r="BB146" s="12"/>
    </row>
    <row r="147" spans="1:54" ht="13">
      <c r="A147" s="26" t="s">
        <v>1571</v>
      </c>
      <c r="B147" s="236" t="s">
        <v>304</v>
      </c>
      <c r="C147" s="258" t="s">
        <v>1573</v>
      </c>
      <c r="D147" s="258" t="s">
        <v>1576</v>
      </c>
      <c r="E147" s="236" t="s">
        <v>2245</v>
      </c>
      <c r="F147" s="236" t="s">
        <v>187</v>
      </c>
      <c r="G147" s="236" t="s">
        <v>132</v>
      </c>
      <c r="H147" s="236">
        <v>153</v>
      </c>
      <c r="I147" s="236"/>
      <c r="J147" s="236"/>
      <c r="K147" s="236"/>
      <c r="L147" s="236"/>
      <c r="M147" s="236"/>
      <c r="N147" s="236"/>
      <c r="O147" s="236" t="s">
        <v>1174</v>
      </c>
      <c r="P147" s="236" t="s">
        <v>70</v>
      </c>
      <c r="Q147" s="236">
        <v>74</v>
      </c>
      <c r="R147" s="236" t="s">
        <v>70</v>
      </c>
      <c r="S147" s="236"/>
      <c r="T147" s="236"/>
      <c r="U147" s="236"/>
      <c r="V147" s="236"/>
      <c r="W147" s="236"/>
      <c r="X147" s="236">
        <v>2</v>
      </c>
      <c r="Y147" s="236">
        <v>0.5</v>
      </c>
      <c r="Z147" s="236">
        <v>0.5</v>
      </c>
      <c r="AM147" s="236"/>
      <c r="AN147" s="236"/>
      <c r="AO147" s="236"/>
      <c r="AP147" s="236"/>
      <c r="AQ147" s="236"/>
      <c r="AR147" s="236"/>
      <c r="AS147" s="236"/>
      <c r="AT147" s="236"/>
      <c r="AU147" s="236"/>
      <c r="AV147" s="12"/>
      <c r="AW147" s="12"/>
      <c r="AX147" s="12"/>
      <c r="AY147" s="12"/>
      <c r="AZ147" s="12"/>
      <c r="BA147" s="12"/>
      <c r="BB147" s="12"/>
    </row>
    <row r="148" spans="1:54" ht="13">
      <c r="A148" s="26" t="s">
        <v>876</v>
      </c>
      <c r="B148" s="27" t="s">
        <v>12</v>
      </c>
      <c r="C148" s="31" t="s">
        <v>877</v>
      </c>
      <c r="D148" s="31" t="s">
        <v>878</v>
      </c>
      <c r="E148" s="27" t="s">
        <v>879</v>
      </c>
      <c r="F148" s="27" t="s">
        <v>131</v>
      </c>
      <c r="G148" s="27" t="s">
        <v>132</v>
      </c>
      <c r="H148" s="27">
        <v>152</v>
      </c>
      <c r="I148" s="27" t="s">
        <v>257</v>
      </c>
      <c r="J148" s="27">
        <v>1.25</v>
      </c>
      <c r="K148" s="27">
        <v>1.25</v>
      </c>
      <c r="L148" s="27">
        <v>1.25</v>
      </c>
      <c r="M148" s="27"/>
      <c r="N148" s="27"/>
      <c r="O148" s="27" t="s">
        <v>417</v>
      </c>
      <c r="P148" s="27" t="s">
        <v>35</v>
      </c>
      <c r="Q148" s="27">
        <v>24</v>
      </c>
      <c r="R148" s="27" t="s">
        <v>34</v>
      </c>
      <c r="S148" s="27"/>
      <c r="T148" s="27"/>
      <c r="U148" s="27"/>
      <c r="V148" s="27"/>
      <c r="W148" s="27"/>
      <c r="X148" s="27"/>
      <c r="Y148" s="27"/>
      <c r="Z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12"/>
      <c r="AW148" s="12"/>
      <c r="AX148" s="12"/>
      <c r="AY148" s="12"/>
      <c r="AZ148" s="12"/>
      <c r="BA148" s="12"/>
      <c r="BB148" s="12"/>
    </row>
    <row r="149" spans="1:54" ht="13">
      <c r="A149" s="26" t="s">
        <v>413</v>
      </c>
      <c r="B149" s="236" t="s">
        <v>5</v>
      </c>
      <c r="C149" s="258" t="s">
        <v>414</v>
      </c>
      <c r="D149" s="258" t="s">
        <v>415</v>
      </c>
      <c r="E149" s="236" t="s">
        <v>416</v>
      </c>
      <c r="F149" s="236" t="s">
        <v>336</v>
      </c>
      <c r="G149" s="236" t="s">
        <v>55</v>
      </c>
      <c r="H149" s="236">
        <v>148</v>
      </c>
      <c r="I149" s="236" t="s">
        <v>257</v>
      </c>
      <c r="J149" s="236">
        <v>3</v>
      </c>
      <c r="K149" s="236">
        <v>3</v>
      </c>
      <c r="L149" s="236">
        <v>3</v>
      </c>
      <c r="M149" s="236"/>
      <c r="N149" s="236"/>
      <c r="O149" s="236" t="s">
        <v>417</v>
      </c>
      <c r="P149" s="236" t="s">
        <v>35</v>
      </c>
      <c r="Q149" s="236">
        <v>9</v>
      </c>
      <c r="R149" s="236" t="s">
        <v>35</v>
      </c>
      <c r="S149" s="236"/>
      <c r="T149" s="236"/>
      <c r="U149" s="236"/>
      <c r="V149" s="236"/>
      <c r="W149" s="236"/>
      <c r="X149" s="236"/>
      <c r="Y149" s="236"/>
      <c r="Z149" s="236"/>
      <c r="AM149" s="236"/>
      <c r="AN149" s="236"/>
      <c r="AO149" s="236"/>
      <c r="AP149" s="236"/>
      <c r="AQ149" s="236"/>
      <c r="AR149" s="236"/>
      <c r="AS149" s="236"/>
      <c r="AT149" s="236"/>
      <c r="AU149" s="236"/>
      <c r="AV149" s="12"/>
      <c r="AW149" s="12"/>
      <c r="AX149" s="12"/>
      <c r="AY149" s="12"/>
      <c r="AZ149" s="12"/>
      <c r="BA149" s="12"/>
      <c r="BB149" s="12"/>
    </row>
    <row r="150" spans="1:54" ht="13">
      <c r="A150" s="26" t="s">
        <v>577</v>
      </c>
      <c r="B150" s="27" t="s">
        <v>8</v>
      </c>
      <c r="C150" s="31" t="s">
        <v>578</v>
      </c>
      <c r="D150" s="31" t="s">
        <v>579</v>
      </c>
      <c r="E150" s="27" t="s">
        <v>580</v>
      </c>
      <c r="F150" s="27" t="s">
        <v>90</v>
      </c>
      <c r="G150" s="27" t="s">
        <v>109</v>
      </c>
      <c r="H150" s="27">
        <v>147</v>
      </c>
      <c r="I150" s="27" t="s">
        <v>257</v>
      </c>
      <c r="J150" s="27">
        <v>4</v>
      </c>
      <c r="K150" s="27">
        <v>4</v>
      </c>
      <c r="L150" s="27">
        <v>4</v>
      </c>
      <c r="M150" s="27"/>
      <c r="N150" s="27"/>
      <c r="O150" s="27" t="s">
        <v>417</v>
      </c>
      <c r="P150" s="27" t="s">
        <v>35</v>
      </c>
      <c r="Q150" s="27">
        <v>5</v>
      </c>
      <c r="R150" s="27" t="s">
        <v>35</v>
      </c>
      <c r="S150" s="27"/>
      <c r="T150" s="27"/>
      <c r="U150" s="27"/>
      <c r="V150" s="27"/>
      <c r="W150" s="27"/>
      <c r="X150" s="27"/>
      <c r="Y150" s="27"/>
      <c r="Z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12"/>
      <c r="AW150" s="12"/>
      <c r="AX150" s="12"/>
      <c r="AY150" s="12"/>
      <c r="AZ150" s="12"/>
      <c r="BA150" s="12"/>
      <c r="BB150" s="12"/>
    </row>
    <row r="151" spans="1:54" ht="13">
      <c r="A151" s="26" t="s">
        <v>802</v>
      </c>
      <c r="B151" s="236" t="s">
        <v>5</v>
      </c>
      <c r="C151" s="258" t="s">
        <v>803</v>
      </c>
      <c r="D151" s="258" t="s">
        <v>804</v>
      </c>
      <c r="E151" s="236" t="s">
        <v>805</v>
      </c>
      <c r="F151" s="236" t="s">
        <v>75</v>
      </c>
      <c r="G151" s="236" t="s">
        <v>104</v>
      </c>
      <c r="H151" s="236">
        <v>147</v>
      </c>
      <c r="I151" s="236" t="s">
        <v>257</v>
      </c>
      <c r="J151" s="236">
        <v>3</v>
      </c>
      <c r="K151" s="236">
        <v>3</v>
      </c>
      <c r="L151" s="236">
        <v>3</v>
      </c>
      <c r="M151" s="236"/>
      <c r="N151" s="236"/>
      <c r="O151" s="236" t="s">
        <v>417</v>
      </c>
      <c r="P151" s="236" t="s">
        <v>35</v>
      </c>
      <c r="Q151" s="236">
        <v>25</v>
      </c>
      <c r="R151" s="236" t="s">
        <v>35</v>
      </c>
      <c r="S151" s="236"/>
      <c r="T151" s="236"/>
      <c r="U151" s="236"/>
      <c r="V151" s="236"/>
      <c r="W151" s="236"/>
      <c r="X151" s="236"/>
      <c r="Y151" s="236"/>
      <c r="Z151" s="236"/>
      <c r="AM151" s="236"/>
      <c r="AN151" s="236"/>
      <c r="AO151" s="236"/>
      <c r="AP151" s="236"/>
      <c r="AQ151" s="236"/>
      <c r="AR151" s="236"/>
      <c r="AS151" s="236"/>
      <c r="AT151" s="236"/>
      <c r="AU151" s="236"/>
      <c r="AV151" s="12"/>
      <c r="AW151" s="12"/>
      <c r="AX151" s="12"/>
      <c r="AY151" s="12"/>
      <c r="AZ151" s="12"/>
      <c r="BA151" s="12"/>
      <c r="BB151" s="12"/>
    </row>
    <row r="152" spans="1:54" ht="13">
      <c r="A152" s="26" t="s">
        <v>1578</v>
      </c>
      <c r="B152" s="27" t="s">
        <v>304</v>
      </c>
      <c r="C152" s="31" t="s">
        <v>1579</v>
      </c>
      <c r="D152" s="31" t="s">
        <v>1580</v>
      </c>
      <c r="E152" s="27" t="s">
        <v>2246</v>
      </c>
      <c r="F152" s="27" t="s">
        <v>131</v>
      </c>
      <c r="G152" s="27" t="s">
        <v>159</v>
      </c>
      <c r="H152" s="27">
        <v>147</v>
      </c>
      <c r="I152" s="27"/>
      <c r="J152" s="27"/>
      <c r="K152" s="27"/>
      <c r="L152" s="27"/>
      <c r="M152" s="27"/>
      <c r="N152" s="27"/>
      <c r="O152" s="27" t="s">
        <v>1174</v>
      </c>
      <c r="P152" s="27" t="s">
        <v>70</v>
      </c>
      <c r="Q152" s="27">
        <v>62</v>
      </c>
      <c r="R152" s="27" t="s">
        <v>70</v>
      </c>
      <c r="S152" s="27"/>
      <c r="T152" s="27"/>
      <c r="U152" s="27"/>
      <c r="V152" s="27"/>
      <c r="W152" s="27"/>
      <c r="X152" s="27">
        <v>3</v>
      </c>
      <c r="Y152" s="27">
        <v>0.5</v>
      </c>
      <c r="Z152" s="27">
        <v>0.5</v>
      </c>
      <c r="AM152" s="27"/>
      <c r="AN152" s="27"/>
      <c r="AO152" s="27"/>
      <c r="AP152" s="27"/>
      <c r="AQ152" s="27"/>
      <c r="AR152" s="27"/>
      <c r="AS152" s="27"/>
      <c r="AT152" s="27"/>
      <c r="AU152" s="27"/>
      <c r="AV152" s="12"/>
      <c r="AW152" s="12"/>
      <c r="AX152" s="12"/>
      <c r="AY152" s="12"/>
      <c r="AZ152" s="12"/>
      <c r="BA152" s="12"/>
      <c r="BB152" s="12"/>
    </row>
    <row r="153" spans="1:54" ht="13">
      <c r="A153" s="26" t="s">
        <v>1163</v>
      </c>
      <c r="B153" s="236" t="s">
        <v>11</v>
      </c>
      <c r="C153" s="258" t="s">
        <v>1164</v>
      </c>
      <c r="D153" s="258" t="s">
        <v>1165</v>
      </c>
      <c r="E153" s="236" t="s">
        <v>2247</v>
      </c>
      <c r="F153" s="236" t="s">
        <v>103</v>
      </c>
      <c r="G153" s="236" t="s">
        <v>46</v>
      </c>
      <c r="H153" s="236">
        <v>146</v>
      </c>
      <c r="I153" s="236">
        <v>3</v>
      </c>
      <c r="J153" s="236">
        <v>4</v>
      </c>
      <c r="K153" s="236"/>
      <c r="L153" s="236"/>
      <c r="M153" s="236"/>
      <c r="N153" s="236"/>
      <c r="O153" s="236" t="s">
        <v>2224</v>
      </c>
      <c r="P153" s="236" t="s">
        <v>34</v>
      </c>
      <c r="Q153" s="236">
        <v>15</v>
      </c>
      <c r="R153" s="236" t="s">
        <v>34</v>
      </c>
      <c r="S153" s="236" t="s">
        <v>374</v>
      </c>
      <c r="T153" s="236">
        <v>6</v>
      </c>
      <c r="U153" s="236">
        <v>14</v>
      </c>
      <c r="V153" s="236"/>
      <c r="W153" s="236"/>
      <c r="X153" s="236"/>
      <c r="Y153" s="236"/>
      <c r="Z153" s="236"/>
      <c r="AM153" s="236"/>
      <c r="AN153" s="236"/>
      <c r="AO153" s="236"/>
      <c r="AP153" s="236"/>
      <c r="AQ153" s="236"/>
      <c r="AR153" s="236"/>
      <c r="AS153" s="236"/>
      <c r="AT153" s="236"/>
      <c r="AU153" s="236"/>
      <c r="AV153" s="12"/>
      <c r="AW153" s="12"/>
      <c r="AX153" s="12"/>
      <c r="AY153" s="12"/>
      <c r="AZ153" s="12"/>
      <c r="BA153" s="12"/>
      <c r="BB153" s="12"/>
    </row>
    <row r="154" spans="1:54" ht="13">
      <c r="A154" s="26" t="s">
        <v>1138</v>
      </c>
      <c r="B154" s="27" t="s">
        <v>304</v>
      </c>
      <c r="C154" s="31" t="s">
        <v>1139</v>
      </c>
      <c r="D154" s="31" t="s">
        <v>1140</v>
      </c>
      <c r="E154" s="27" t="s">
        <v>1161</v>
      </c>
      <c r="F154" s="27" t="s">
        <v>90</v>
      </c>
      <c r="G154" s="27" t="s">
        <v>114</v>
      </c>
      <c r="H154" s="27">
        <v>146</v>
      </c>
      <c r="I154" s="27"/>
      <c r="J154" s="27"/>
      <c r="K154" s="27"/>
      <c r="L154" s="27"/>
      <c r="M154" s="27"/>
      <c r="N154" s="27"/>
      <c r="O154" s="27"/>
      <c r="P154" s="27" t="s">
        <v>32</v>
      </c>
      <c r="Q154" s="27" t="s">
        <v>1142</v>
      </c>
      <c r="R154" s="27" t="s">
        <v>126</v>
      </c>
      <c r="S154" s="27"/>
      <c r="T154" s="27"/>
      <c r="U154" s="27"/>
      <c r="V154" s="27"/>
      <c r="W154" s="27"/>
      <c r="X154" s="27">
        <v>1</v>
      </c>
      <c r="Y154" s="27"/>
      <c r="Z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12"/>
      <c r="AW154" s="12"/>
      <c r="AX154" s="12"/>
      <c r="AY154" s="12"/>
      <c r="AZ154" s="12"/>
      <c r="BA154" s="12"/>
      <c r="BB154" s="12"/>
    </row>
    <row r="155" spans="1:54" ht="13">
      <c r="A155" s="26" t="s">
        <v>1582</v>
      </c>
      <c r="B155" s="236" t="s">
        <v>304</v>
      </c>
      <c r="C155" s="258" t="s">
        <v>1584</v>
      </c>
      <c r="D155" s="258" t="s">
        <v>1586</v>
      </c>
      <c r="E155" s="236" t="s">
        <v>2248</v>
      </c>
      <c r="F155" s="236" t="s">
        <v>180</v>
      </c>
      <c r="G155" s="236"/>
      <c r="H155" s="236">
        <v>146</v>
      </c>
      <c r="I155" s="236"/>
      <c r="J155" s="236"/>
      <c r="K155" s="236"/>
      <c r="L155" s="236"/>
      <c r="M155" s="236"/>
      <c r="N155" s="236"/>
      <c r="O155" s="236"/>
      <c r="P155" s="236" t="s">
        <v>70</v>
      </c>
      <c r="Q155" s="236">
        <v>29</v>
      </c>
      <c r="R155" s="236" t="s">
        <v>70</v>
      </c>
      <c r="S155" s="236"/>
      <c r="T155" s="236"/>
      <c r="U155" s="236"/>
      <c r="V155" s="236"/>
      <c r="W155" s="236"/>
      <c r="X155" s="236">
        <v>1</v>
      </c>
      <c r="Y155" s="236"/>
      <c r="Z155" s="236"/>
      <c r="AM155" s="236"/>
      <c r="AN155" s="236"/>
      <c r="AO155" s="236"/>
      <c r="AP155" s="236"/>
      <c r="AQ155" s="236"/>
      <c r="AR155" s="236"/>
      <c r="AS155" s="236"/>
      <c r="AT155" s="236"/>
      <c r="AU155" s="236"/>
      <c r="AV155" s="12"/>
      <c r="AW155" s="12"/>
      <c r="AX155" s="12"/>
      <c r="AY155" s="12"/>
      <c r="AZ155" s="12"/>
      <c r="BA155" s="12"/>
      <c r="BB155" s="12"/>
    </row>
    <row r="156" spans="1:54" ht="13">
      <c r="A156" s="26" t="s">
        <v>927</v>
      </c>
      <c r="B156" s="27" t="s">
        <v>10</v>
      </c>
      <c r="C156" s="31" t="s">
        <v>928</v>
      </c>
      <c r="D156" s="31" t="s">
        <v>929</v>
      </c>
      <c r="E156" s="27" t="s">
        <v>931</v>
      </c>
      <c r="F156" s="27" t="s">
        <v>83</v>
      </c>
      <c r="G156" s="27" t="s">
        <v>740</v>
      </c>
      <c r="H156" s="27">
        <v>142</v>
      </c>
      <c r="I156" s="27" t="s">
        <v>257</v>
      </c>
      <c r="J156" s="27"/>
      <c r="K156" s="27"/>
      <c r="L156" s="27"/>
      <c r="M156" s="27"/>
      <c r="N156" s="27"/>
      <c r="O156" s="27"/>
      <c r="P156" s="27" t="s">
        <v>35</v>
      </c>
      <c r="Q156" s="27">
        <v>11</v>
      </c>
      <c r="R156" s="27" t="s">
        <v>35</v>
      </c>
      <c r="S156" s="27"/>
      <c r="T156" s="27"/>
      <c r="U156" s="27"/>
      <c r="V156" s="27"/>
      <c r="W156" s="27"/>
      <c r="X156" s="27"/>
      <c r="Y156" s="27"/>
      <c r="Z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12"/>
      <c r="AW156" s="12"/>
      <c r="AX156" s="12"/>
      <c r="AY156" s="12"/>
      <c r="AZ156" s="12"/>
      <c r="BA156" s="12"/>
      <c r="BB156" s="12"/>
    </row>
    <row r="157" spans="1:54" ht="13">
      <c r="A157" s="26" t="s">
        <v>504</v>
      </c>
      <c r="B157" s="236" t="s">
        <v>5</v>
      </c>
      <c r="C157" s="258" t="s">
        <v>506</v>
      </c>
      <c r="D157" s="258" t="s">
        <v>507</v>
      </c>
      <c r="E157" s="236" t="s">
        <v>509</v>
      </c>
      <c r="F157" s="236" t="s">
        <v>90</v>
      </c>
      <c r="G157" s="236" t="s">
        <v>55</v>
      </c>
      <c r="H157" s="236">
        <v>142</v>
      </c>
      <c r="I157" s="236" t="s">
        <v>257</v>
      </c>
      <c r="J157" s="236">
        <v>3</v>
      </c>
      <c r="K157" s="236">
        <v>3</v>
      </c>
      <c r="L157" s="236">
        <v>3</v>
      </c>
      <c r="M157" s="236"/>
      <c r="N157" s="236"/>
      <c r="O157" s="236" t="s">
        <v>417</v>
      </c>
      <c r="P157" s="236" t="s">
        <v>35</v>
      </c>
      <c r="Q157" s="236">
        <v>12</v>
      </c>
      <c r="R157" s="236" t="s">
        <v>35</v>
      </c>
      <c r="S157" s="236"/>
      <c r="T157" s="236"/>
      <c r="U157" s="236"/>
      <c r="V157" s="236"/>
      <c r="W157" s="236"/>
      <c r="X157" s="236"/>
      <c r="Y157" s="236"/>
      <c r="Z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12"/>
      <c r="AW157" s="12"/>
      <c r="AX157" s="12"/>
      <c r="AY157" s="12"/>
      <c r="AZ157" s="12"/>
      <c r="BA157" s="12"/>
      <c r="BB157" s="12"/>
    </row>
    <row r="158" spans="1:54" ht="13">
      <c r="A158" s="26" t="s">
        <v>1154</v>
      </c>
      <c r="B158" s="27" t="s">
        <v>304</v>
      </c>
      <c r="C158" s="31" t="s">
        <v>1155</v>
      </c>
      <c r="D158" s="31" t="s">
        <v>1157</v>
      </c>
      <c r="E158" s="27" t="s">
        <v>1173</v>
      </c>
      <c r="F158" s="27" t="s">
        <v>336</v>
      </c>
      <c r="G158" s="27" t="s">
        <v>55</v>
      </c>
      <c r="H158" s="27">
        <v>141</v>
      </c>
      <c r="I158" s="27"/>
      <c r="J158" s="27"/>
      <c r="K158" s="27"/>
      <c r="L158" s="27"/>
      <c r="M158" s="27"/>
      <c r="N158" s="27"/>
      <c r="O158" s="27" t="s">
        <v>1174</v>
      </c>
      <c r="P158" s="27" t="s">
        <v>33</v>
      </c>
      <c r="Q158" s="27">
        <v>26</v>
      </c>
      <c r="R158" s="27" t="s">
        <v>32</v>
      </c>
      <c r="S158" s="27"/>
      <c r="T158" s="27"/>
      <c r="U158" s="27"/>
      <c r="V158" s="27"/>
      <c r="W158" s="27"/>
      <c r="X158" s="27"/>
      <c r="Y158" s="27">
        <v>2</v>
      </c>
      <c r="Z158" s="27">
        <v>3</v>
      </c>
      <c r="AM158" s="27"/>
      <c r="AN158" s="27"/>
      <c r="AO158" s="27"/>
      <c r="AP158" s="27"/>
      <c r="AQ158" s="27"/>
      <c r="AR158" s="27"/>
      <c r="AS158" s="27"/>
      <c r="AT158" s="27"/>
      <c r="AU158" s="27"/>
      <c r="AV158" s="12"/>
      <c r="AW158" s="12"/>
      <c r="AX158" s="12"/>
      <c r="AY158" s="12"/>
      <c r="AZ158" s="12"/>
      <c r="BA158" s="12"/>
      <c r="BB158" s="12"/>
    </row>
    <row r="159" spans="1:54" ht="13">
      <c r="A159" s="26" t="s">
        <v>1504</v>
      </c>
      <c r="B159" s="236" t="s">
        <v>304</v>
      </c>
      <c r="C159" s="258" t="s">
        <v>1506</v>
      </c>
      <c r="D159" s="258" t="s">
        <v>1508</v>
      </c>
      <c r="E159" s="236" t="s">
        <v>2249</v>
      </c>
      <c r="F159" s="236" t="s">
        <v>336</v>
      </c>
      <c r="G159" s="236" t="s">
        <v>109</v>
      </c>
      <c r="H159" s="236">
        <v>140</v>
      </c>
      <c r="I159" s="236"/>
      <c r="J159" s="236"/>
      <c r="K159" s="236"/>
      <c r="L159" s="236"/>
      <c r="M159" s="236"/>
      <c r="N159" s="236"/>
      <c r="O159" s="236"/>
      <c r="P159" s="236" t="s">
        <v>70</v>
      </c>
      <c r="Q159" s="236">
        <v>59</v>
      </c>
      <c r="R159" s="236" t="s">
        <v>70</v>
      </c>
      <c r="S159" s="236"/>
      <c r="T159" s="236"/>
      <c r="U159" s="236"/>
      <c r="V159" s="236"/>
      <c r="W159" s="236"/>
      <c r="X159" s="236">
        <v>3</v>
      </c>
      <c r="Y159" s="236">
        <v>0.5</v>
      </c>
      <c r="Z159" s="236">
        <v>0.5</v>
      </c>
      <c r="AM159" s="236"/>
      <c r="AN159" s="236"/>
      <c r="AO159" s="236"/>
      <c r="AP159" s="236"/>
      <c r="AQ159" s="236"/>
      <c r="AR159" s="236"/>
      <c r="AS159" s="236"/>
      <c r="AT159" s="236"/>
      <c r="AU159" s="236"/>
      <c r="AV159" s="12"/>
      <c r="AW159" s="12"/>
      <c r="AX159" s="12"/>
      <c r="AY159" s="12"/>
      <c r="AZ159" s="12"/>
      <c r="BA159" s="12"/>
      <c r="BB159" s="12"/>
    </row>
    <row r="160" spans="1:54" ht="13">
      <c r="A160" s="26" t="s">
        <v>1176</v>
      </c>
      <c r="B160" s="27" t="s">
        <v>304</v>
      </c>
      <c r="C160" s="31" t="s">
        <v>1177</v>
      </c>
      <c r="D160" s="31" t="s">
        <v>1178</v>
      </c>
      <c r="E160" s="27" t="s">
        <v>1179</v>
      </c>
      <c r="F160" s="27" t="s">
        <v>67</v>
      </c>
      <c r="G160" s="27" t="s">
        <v>1180</v>
      </c>
      <c r="H160" s="27">
        <v>140</v>
      </c>
      <c r="I160" s="27"/>
      <c r="J160" s="27"/>
      <c r="K160" s="27"/>
      <c r="L160" s="27"/>
      <c r="M160" s="27"/>
      <c r="N160" s="27"/>
      <c r="O160" s="27"/>
      <c r="P160" s="27" t="s">
        <v>126</v>
      </c>
      <c r="Q160" s="27">
        <v>16</v>
      </c>
      <c r="R160" s="27" t="s">
        <v>126</v>
      </c>
      <c r="S160" s="27"/>
      <c r="T160" s="27"/>
      <c r="U160" s="27"/>
      <c r="V160" s="27"/>
      <c r="W160" s="27"/>
      <c r="X160" s="27">
        <v>4</v>
      </c>
      <c r="Y160" s="27">
        <v>4</v>
      </c>
      <c r="Z160" s="27">
        <v>5</v>
      </c>
      <c r="AM160" s="27"/>
      <c r="AN160" s="27"/>
      <c r="AO160" s="27"/>
      <c r="AP160" s="27"/>
      <c r="AQ160" s="27"/>
      <c r="AR160" s="27"/>
      <c r="AS160" s="27"/>
      <c r="AT160" s="27"/>
      <c r="AU160" s="27"/>
      <c r="AV160" s="12"/>
      <c r="AW160" s="12"/>
      <c r="AX160" s="12"/>
      <c r="AY160" s="12"/>
      <c r="AZ160" s="12"/>
      <c r="BA160" s="12"/>
      <c r="BB160" s="12"/>
    </row>
    <row r="161" spans="1:54" ht="13">
      <c r="A161" s="26" t="s">
        <v>1187</v>
      </c>
      <c r="B161" s="236" t="s">
        <v>12</v>
      </c>
      <c r="C161" s="258" t="s">
        <v>1188</v>
      </c>
      <c r="D161" s="258" t="s">
        <v>1189</v>
      </c>
      <c r="E161" s="236" t="s">
        <v>2250</v>
      </c>
      <c r="F161" s="236" t="s">
        <v>103</v>
      </c>
      <c r="G161" s="236" t="s">
        <v>46</v>
      </c>
      <c r="H161" s="236">
        <v>139</v>
      </c>
      <c r="I161" s="236"/>
      <c r="J161" s="236"/>
      <c r="K161" s="236"/>
      <c r="L161" s="236"/>
      <c r="M161" s="236"/>
      <c r="N161" s="236"/>
      <c r="O161" s="236"/>
      <c r="P161" s="236" t="s">
        <v>126</v>
      </c>
      <c r="Q161" s="236">
        <v>17</v>
      </c>
      <c r="R161" s="236" t="s">
        <v>78</v>
      </c>
      <c r="S161" s="236"/>
      <c r="T161" s="236"/>
      <c r="U161" s="236"/>
      <c r="V161" s="236"/>
      <c r="W161" s="236">
        <v>1.5</v>
      </c>
      <c r="X161" s="236">
        <v>1.5</v>
      </c>
      <c r="Y161" s="236">
        <v>1.5</v>
      </c>
      <c r="Z161" s="236">
        <v>0.5</v>
      </c>
      <c r="AM161" s="236"/>
      <c r="AN161" s="236"/>
      <c r="AO161" s="236"/>
      <c r="AP161" s="236"/>
      <c r="AQ161" s="236"/>
      <c r="AR161" s="236"/>
      <c r="AS161" s="236"/>
      <c r="AT161" s="236"/>
      <c r="AU161" s="236"/>
      <c r="AV161" s="12"/>
      <c r="AW161" s="12"/>
      <c r="AX161" s="12"/>
      <c r="AY161" s="12"/>
      <c r="AZ161" s="12"/>
      <c r="BA161" s="12"/>
      <c r="BB161" s="12"/>
    </row>
    <row r="162" spans="1:54" ht="13">
      <c r="A162" s="26" t="s">
        <v>1192</v>
      </c>
      <c r="B162" s="27" t="s">
        <v>10</v>
      </c>
      <c r="C162" s="31" t="s">
        <v>1193</v>
      </c>
      <c r="D162" s="31" t="s">
        <v>1194</v>
      </c>
      <c r="E162" s="27" t="s">
        <v>1195</v>
      </c>
      <c r="F162" s="27" t="s">
        <v>215</v>
      </c>
      <c r="G162" s="27" t="s">
        <v>225</v>
      </c>
      <c r="H162" s="27">
        <v>138</v>
      </c>
      <c r="I162" s="27" t="s">
        <v>257</v>
      </c>
      <c r="J162" s="27"/>
      <c r="K162" s="27"/>
      <c r="L162" s="27"/>
      <c r="M162" s="27"/>
      <c r="N162" s="27"/>
      <c r="O162" s="27"/>
      <c r="P162" s="27" t="s">
        <v>35</v>
      </c>
      <c r="Q162" s="27">
        <v>10</v>
      </c>
      <c r="R162" s="27" t="s">
        <v>34</v>
      </c>
      <c r="S162" s="27"/>
      <c r="T162" s="27"/>
      <c r="U162" s="27"/>
      <c r="V162" s="27"/>
      <c r="W162" s="27"/>
      <c r="X162" s="27"/>
      <c r="Y162" s="27"/>
      <c r="Z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12"/>
      <c r="AW162" s="12"/>
      <c r="AX162" s="12"/>
      <c r="AY162" s="12"/>
      <c r="AZ162" s="12"/>
      <c r="BA162" s="12"/>
      <c r="BB162" s="12"/>
    </row>
    <row r="163" spans="1:54" ht="13">
      <c r="A163" s="26" t="s">
        <v>1587</v>
      </c>
      <c r="B163" s="236" t="s">
        <v>304</v>
      </c>
      <c r="C163" s="258" t="s">
        <v>1588</v>
      </c>
      <c r="D163" s="258" t="s">
        <v>1591</v>
      </c>
      <c r="E163" s="236" t="s">
        <v>2251</v>
      </c>
      <c r="F163" s="236" t="s">
        <v>187</v>
      </c>
      <c r="G163" s="236"/>
      <c r="H163" s="236">
        <v>135</v>
      </c>
      <c r="I163" s="236"/>
      <c r="J163" s="236"/>
      <c r="K163" s="236"/>
      <c r="L163" s="236"/>
      <c r="M163" s="236"/>
      <c r="N163" s="236"/>
      <c r="O163" s="236"/>
      <c r="P163" s="236" t="s">
        <v>70</v>
      </c>
      <c r="Q163" s="236">
        <v>61</v>
      </c>
      <c r="R163" s="236" t="s">
        <v>70</v>
      </c>
      <c r="S163" s="236"/>
      <c r="T163" s="236"/>
      <c r="U163" s="236"/>
      <c r="V163" s="236"/>
      <c r="W163" s="236" t="s">
        <v>1036</v>
      </c>
      <c r="X163" s="236"/>
      <c r="Y163" s="236"/>
      <c r="Z163" s="236">
        <v>0.5</v>
      </c>
      <c r="AM163" s="236"/>
      <c r="AN163" s="236"/>
      <c r="AO163" s="236"/>
      <c r="AP163" s="236"/>
      <c r="AQ163" s="236"/>
      <c r="AR163" s="236"/>
      <c r="AS163" s="236"/>
      <c r="AT163" s="236"/>
      <c r="AU163" s="236"/>
      <c r="AV163" s="12"/>
      <c r="AW163" s="12"/>
      <c r="AX163" s="12"/>
      <c r="AY163" s="12"/>
      <c r="AZ163" s="12"/>
      <c r="BA163" s="12"/>
      <c r="BB163" s="12"/>
    </row>
    <row r="164" spans="1:54" ht="13">
      <c r="A164" s="26" t="s">
        <v>1293</v>
      </c>
      <c r="B164" s="27" t="s">
        <v>5</v>
      </c>
      <c r="C164" s="31" t="s">
        <v>1296</v>
      </c>
      <c r="D164" s="31" t="s">
        <v>1299</v>
      </c>
      <c r="E164" s="27" t="s">
        <v>1301</v>
      </c>
      <c r="F164" s="27" t="s">
        <v>90</v>
      </c>
      <c r="G164" s="27" t="s">
        <v>114</v>
      </c>
      <c r="H164" s="27">
        <v>133</v>
      </c>
      <c r="I164" s="27">
        <v>0.5</v>
      </c>
      <c r="J164" s="27"/>
      <c r="K164" s="27"/>
      <c r="L164" s="27"/>
      <c r="M164" s="27"/>
      <c r="N164" s="27"/>
      <c r="O164" s="27"/>
      <c r="P164" s="27" t="s">
        <v>70</v>
      </c>
      <c r="Q164" s="27">
        <v>20</v>
      </c>
      <c r="R164" s="27" t="s">
        <v>70</v>
      </c>
      <c r="S164" s="27"/>
      <c r="T164" s="27"/>
      <c r="U164" s="27"/>
      <c r="V164" s="27"/>
      <c r="W164" s="27"/>
      <c r="X164" s="27">
        <v>3</v>
      </c>
      <c r="Y164" s="27">
        <v>0.5</v>
      </c>
      <c r="Z164" s="27">
        <v>0.5</v>
      </c>
      <c r="AM164" s="27"/>
      <c r="AN164" s="27"/>
      <c r="AO164" s="27"/>
      <c r="AP164" s="27"/>
      <c r="AQ164" s="27"/>
      <c r="AR164" s="27"/>
      <c r="AS164" s="27"/>
      <c r="AT164" s="27"/>
      <c r="AU164" s="27"/>
      <c r="AV164" s="12"/>
      <c r="AW164" s="12"/>
      <c r="AX164" s="12"/>
      <c r="AY164" s="12"/>
      <c r="AZ164" s="12"/>
      <c r="BA164" s="12"/>
      <c r="BB164" s="12"/>
    </row>
    <row r="165" spans="1:54" ht="13">
      <c r="A165" s="26" t="s">
        <v>1200</v>
      </c>
      <c r="B165" s="236" t="s">
        <v>304</v>
      </c>
      <c r="C165" s="258" t="s">
        <v>1201</v>
      </c>
      <c r="D165" s="258" t="s">
        <v>1202</v>
      </c>
      <c r="E165" s="236" t="s">
        <v>1203</v>
      </c>
      <c r="F165" s="236" t="s">
        <v>67</v>
      </c>
      <c r="G165" s="236" t="s">
        <v>159</v>
      </c>
      <c r="H165" s="236">
        <v>132</v>
      </c>
      <c r="I165" s="236"/>
      <c r="J165" s="236"/>
      <c r="K165" s="236"/>
      <c r="L165" s="236"/>
      <c r="M165" s="236"/>
      <c r="N165" s="236"/>
      <c r="O165" s="236" t="s">
        <v>1174</v>
      </c>
      <c r="P165" s="236" t="s">
        <v>33</v>
      </c>
      <c r="Q165" s="236">
        <v>31</v>
      </c>
      <c r="R165" s="236" t="s">
        <v>33</v>
      </c>
      <c r="S165" s="236"/>
      <c r="T165" s="236"/>
      <c r="U165" s="236"/>
      <c r="V165" s="236"/>
      <c r="W165" s="236"/>
      <c r="X165" s="236"/>
      <c r="Y165" s="236"/>
      <c r="Z165" s="236">
        <v>5</v>
      </c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12"/>
      <c r="AW165" s="12"/>
      <c r="AX165" s="12"/>
      <c r="AY165" s="12"/>
      <c r="AZ165" s="12"/>
      <c r="BA165" s="12"/>
      <c r="BB165" s="12"/>
    </row>
    <row r="166" spans="1:54" ht="13">
      <c r="A166" s="26" t="s">
        <v>1205</v>
      </c>
      <c r="B166" s="27" t="s">
        <v>304</v>
      </c>
      <c r="C166" s="31" t="s">
        <v>1206</v>
      </c>
      <c r="D166" s="31" t="s">
        <v>1207</v>
      </c>
      <c r="E166" s="27" t="s">
        <v>1208</v>
      </c>
      <c r="F166" s="27" t="s">
        <v>83</v>
      </c>
      <c r="G166" s="27" t="s">
        <v>151</v>
      </c>
      <c r="H166" s="27">
        <v>132</v>
      </c>
      <c r="I166" s="27"/>
      <c r="J166" s="27"/>
      <c r="K166" s="27"/>
      <c r="L166" s="27"/>
      <c r="M166" s="27"/>
      <c r="N166" s="27"/>
      <c r="O166" s="27"/>
      <c r="P166" s="27" t="s">
        <v>126</v>
      </c>
      <c r="Q166" s="27">
        <v>20</v>
      </c>
      <c r="R166" s="27" t="s">
        <v>126</v>
      </c>
      <c r="S166" s="27"/>
      <c r="T166" s="27"/>
      <c r="U166" s="27"/>
      <c r="V166" s="27"/>
      <c r="W166" s="27"/>
      <c r="X166" s="27">
        <v>4</v>
      </c>
      <c r="Y166" s="27">
        <v>4.5</v>
      </c>
      <c r="Z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12"/>
      <c r="AW166" s="12"/>
      <c r="AX166" s="12"/>
      <c r="AY166" s="12"/>
      <c r="AZ166" s="12"/>
      <c r="BA166" s="12"/>
      <c r="BB166" s="12"/>
    </row>
    <row r="167" spans="1:54" ht="13">
      <c r="A167" s="26" t="s">
        <v>1212</v>
      </c>
      <c r="B167" s="236" t="s">
        <v>8</v>
      </c>
      <c r="C167" s="258" t="s">
        <v>1213</v>
      </c>
      <c r="D167" s="258" t="s">
        <v>1214</v>
      </c>
      <c r="E167" s="236" t="s">
        <v>1215</v>
      </c>
      <c r="F167" s="236" t="s">
        <v>67</v>
      </c>
      <c r="G167" s="236" t="s">
        <v>84</v>
      </c>
      <c r="H167" s="236">
        <v>131</v>
      </c>
      <c r="I167" s="236" t="s">
        <v>257</v>
      </c>
      <c r="J167" s="236">
        <v>1.5</v>
      </c>
      <c r="K167" s="236">
        <v>1.5</v>
      </c>
      <c r="L167" s="236">
        <v>1.5</v>
      </c>
      <c r="M167" s="236"/>
      <c r="N167" s="236"/>
      <c r="O167" s="236" t="s">
        <v>417</v>
      </c>
      <c r="P167" s="236" t="s">
        <v>35</v>
      </c>
      <c r="Q167" s="236">
        <v>21</v>
      </c>
      <c r="R167" s="236" t="s">
        <v>35</v>
      </c>
      <c r="S167" s="236"/>
      <c r="T167" s="236"/>
      <c r="U167" s="236"/>
      <c r="V167" s="236"/>
      <c r="W167" s="236"/>
      <c r="X167" s="236"/>
      <c r="Y167" s="236"/>
      <c r="Z167" s="236"/>
      <c r="AM167" s="236"/>
      <c r="AN167" s="236"/>
      <c r="AO167" s="236"/>
      <c r="AP167" s="236"/>
      <c r="AQ167" s="236"/>
      <c r="AR167" s="236"/>
      <c r="AS167" s="236"/>
      <c r="AT167" s="236"/>
      <c r="AU167" s="236"/>
      <c r="AV167" s="12"/>
      <c r="AW167" s="12"/>
      <c r="AX167" s="12"/>
      <c r="AY167" s="12"/>
      <c r="AZ167" s="12"/>
      <c r="BA167" s="12"/>
      <c r="BB167" s="12"/>
    </row>
    <row r="168" spans="1:54" ht="13">
      <c r="A168" s="26" t="s">
        <v>1523</v>
      </c>
      <c r="B168" s="27" t="s">
        <v>304</v>
      </c>
      <c r="C168" s="31" t="s">
        <v>1525</v>
      </c>
      <c r="D168" s="31" t="s">
        <v>1527</v>
      </c>
      <c r="E168" s="27" t="s">
        <v>2252</v>
      </c>
      <c r="F168" s="27" t="s">
        <v>103</v>
      </c>
      <c r="G168" s="27" t="s">
        <v>132</v>
      </c>
      <c r="H168" s="27">
        <v>131</v>
      </c>
      <c r="I168" s="27"/>
      <c r="J168" s="27"/>
      <c r="K168" s="27"/>
      <c r="L168" s="27"/>
      <c r="M168" s="27"/>
      <c r="N168" s="27"/>
      <c r="O168" s="27"/>
      <c r="P168" s="27" t="s">
        <v>70</v>
      </c>
      <c r="Q168" s="27">
        <v>57</v>
      </c>
      <c r="R168" s="27" t="s">
        <v>70</v>
      </c>
      <c r="S168" s="27"/>
      <c r="T168" s="27"/>
      <c r="U168" s="27"/>
      <c r="V168" s="27"/>
      <c r="W168" s="27"/>
      <c r="X168" s="27">
        <v>1</v>
      </c>
      <c r="Y168" s="27">
        <v>0.5</v>
      </c>
      <c r="Z168" s="27">
        <v>0.5</v>
      </c>
      <c r="AM168" s="27"/>
      <c r="AN168" s="27"/>
      <c r="AO168" s="27"/>
      <c r="AP168" s="27"/>
      <c r="AQ168" s="27"/>
      <c r="AR168" s="27"/>
      <c r="AS168" s="27"/>
      <c r="AT168" s="27"/>
      <c r="AU168" s="27"/>
      <c r="AV168" s="12"/>
      <c r="AW168" s="12"/>
      <c r="AX168" s="12"/>
      <c r="AY168" s="12"/>
      <c r="AZ168" s="12"/>
      <c r="BA168" s="12"/>
      <c r="BB168" s="12"/>
    </row>
    <row r="169" spans="1:54" ht="13">
      <c r="A169" s="26" t="s">
        <v>1219</v>
      </c>
      <c r="B169" s="236" t="s">
        <v>12</v>
      </c>
      <c r="C169" s="258" t="s">
        <v>1221</v>
      </c>
      <c r="D169" s="258" t="s">
        <v>1222</v>
      </c>
      <c r="E169" s="236" t="s">
        <v>1224</v>
      </c>
      <c r="F169" s="236" t="s">
        <v>180</v>
      </c>
      <c r="G169" s="236" t="s">
        <v>298</v>
      </c>
      <c r="H169" s="236">
        <v>129</v>
      </c>
      <c r="I169" s="236">
        <v>3</v>
      </c>
      <c r="J169" s="236"/>
      <c r="K169" s="236"/>
      <c r="L169" s="236"/>
      <c r="M169" s="236"/>
      <c r="N169" s="236"/>
      <c r="O169" s="236" t="s">
        <v>1225</v>
      </c>
      <c r="P169" s="236" t="s">
        <v>33</v>
      </c>
      <c r="Q169" s="236">
        <v>6</v>
      </c>
      <c r="R169" s="236" t="s">
        <v>33</v>
      </c>
      <c r="S169" s="236"/>
      <c r="T169" s="236"/>
      <c r="U169" s="236"/>
      <c r="V169" s="236"/>
      <c r="W169" s="236"/>
      <c r="X169" s="236"/>
      <c r="Y169" s="236">
        <v>3</v>
      </c>
      <c r="Z169" s="236">
        <v>3</v>
      </c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12"/>
      <c r="AW169" s="12"/>
      <c r="AX169" s="12"/>
      <c r="AY169" s="12"/>
      <c r="AZ169" s="12"/>
      <c r="BA169" s="12"/>
      <c r="BB169" s="12"/>
    </row>
    <row r="170" spans="1:54" ht="13">
      <c r="A170" s="26" t="s">
        <v>1593</v>
      </c>
      <c r="B170" s="27" t="s">
        <v>304</v>
      </c>
      <c r="C170" s="31" t="s">
        <v>1594</v>
      </c>
      <c r="D170" s="31" t="s">
        <v>1595</v>
      </c>
      <c r="E170" s="27" t="s">
        <v>2253</v>
      </c>
      <c r="F170" s="27" t="s">
        <v>83</v>
      </c>
      <c r="G170" s="27" t="s">
        <v>740</v>
      </c>
      <c r="H170" s="27">
        <v>129</v>
      </c>
      <c r="I170" s="27"/>
      <c r="J170" s="27"/>
      <c r="K170" s="27"/>
      <c r="L170" s="27"/>
      <c r="M170" s="27"/>
      <c r="N170" s="27"/>
      <c r="O170" s="27"/>
      <c r="P170" s="27" t="s">
        <v>78</v>
      </c>
      <c r="Q170" s="27">
        <v>43</v>
      </c>
      <c r="R170" s="27" t="s">
        <v>70</v>
      </c>
      <c r="S170" s="27"/>
      <c r="T170" s="27"/>
      <c r="U170" s="27"/>
      <c r="V170" s="27"/>
      <c r="W170" s="27"/>
      <c r="X170" s="27">
        <v>0.5</v>
      </c>
      <c r="Y170" s="27">
        <v>0.5</v>
      </c>
      <c r="Z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12"/>
      <c r="AW170" s="12"/>
      <c r="AX170" s="12"/>
      <c r="AY170" s="12"/>
      <c r="AZ170" s="12"/>
      <c r="BA170" s="12"/>
      <c r="BB170" s="12"/>
    </row>
    <row r="171" spans="1:54" ht="13">
      <c r="A171" s="26" t="s">
        <v>1228</v>
      </c>
      <c r="B171" s="236" t="s">
        <v>304</v>
      </c>
      <c r="C171" s="258" t="s">
        <v>1230</v>
      </c>
      <c r="D171" s="258" t="s">
        <v>1231</v>
      </c>
      <c r="E171" s="236" t="s">
        <v>2254</v>
      </c>
      <c r="F171" s="236" t="s">
        <v>103</v>
      </c>
      <c r="G171" s="236" t="s">
        <v>132</v>
      </c>
      <c r="H171" s="236">
        <v>129</v>
      </c>
      <c r="I171" s="236"/>
      <c r="J171" s="236"/>
      <c r="K171" s="236"/>
      <c r="L171" s="236"/>
      <c r="M171" s="236"/>
      <c r="N171" s="236"/>
      <c r="O171" s="236"/>
      <c r="P171" s="236" t="s">
        <v>78</v>
      </c>
      <c r="Q171" s="236">
        <v>26</v>
      </c>
      <c r="R171" s="236" t="s">
        <v>78</v>
      </c>
      <c r="S171" s="236"/>
      <c r="T171" s="236"/>
      <c r="U171" s="236"/>
      <c r="V171" s="236"/>
      <c r="W171" s="236"/>
      <c r="X171" s="236">
        <v>1</v>
      </c>
      <c r="Y171" s="236">
        <v>1</v>
      </c>
      <c r="Z171" s="236">
        <v>1</v>
      </c>
      <c r="AM171" s="236"/>
      <c r="AN171" s="236"/>
      <c r="AO171" s="236"/>
      <c r="AP171" s="236"/>
      <c r="AQ171" s="236"/>
      <c r="AR171" s="236"/>
      <c r="AS171" s="236"/>
      <c r="AT171" s="236"/>
      <c r="AU171" s="236"/>
      <c r="AV171" s="12"/>
      <c r="AW171" s="12"/>
      <c r="AX171" s="12"/>
      <c r="AY171" s="12"/>
      <c r="AZ171" s="12"/>
      <c r="BA171" s="12"/>
      <c r="BB171" s="12"/>
    </row>
    <row r="172" spans="1:54" ht="13">
      <c r="A172" s="26" t="s">
        <v>1598</v>
      </c>
      <c r="B172" s="27" t="s">
        <v>304</v>
      </c>
      <c r="C172" s="31" t="s">
        <v>1600</v>
      </c>
      <c r="D172" s="31" t="s">
        <v>1601</v>
      </c>
      <c r="E172" s="27" t="s">
        <v>2255</v>
      </c>
      <c r="F172" s="27" t="s">
        <v>75</v>
      </c>
      <c r="G172" s="27"/>
      <c r="H172" s="27">
        <v>128</v>
      </c>
      <c r="I172" s="27"/>
      <c r="J172" s="27"/>
      <c r="K172" s="27"/>
      <c r="L172" s="27"/>
      <c r="M172" s="27"/>
      <c r="N172" s="27"/>
      <c r="O172" s="27"/>
      <c r="P172" s="27" t="s">
        <v>70</v>
      </c>
      <c r="Q172" s="27">
        <v>54</v>
      </c>
      <c r="R172" s="27" t="s">
        <v>70</v>
      </c>
      <c r="S172" s="27"/>
      <c r="T172" s="27"/>
      <c r="U172" s="27"/>
      <c r="V172" s="27"/>
      <c r="W172" s="27"/>
      <c r="X172" s="27">
        <v>0.5</v>
      </c>
      <c r="Y172" s="27"/>
      <c r="Z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12"/>
      <c r="AW172" s="12"/>
      <c r="AX172" s="12"/>
      <c r="AY172" s="12"/>
      <c r="AZ172" s="12"/>
      <c r="BA172" s="12"/>
      <c r="BB172" s="12"/>
    </row>
    <row r="173" spans="1:54" ht="13">
      <c r="A173" s="26" t="s">
        <v>1238</v>
      </c>
      <c r="B173" s="236" t="s">
        <v>5</v>
      </c>
      <c r="C173" s="258" t="s">
        <v>1240</v>
      </c>
      <c r="D173" s="258" t="s">
        <v>1242</v>
      </c>
      <c r="E173" s="236" t="s">
        <v>2256</v>
      </c>
      <c r="F173" s="236" t="s">
        <v>103</v>
      </c>
      <c r="G173" s="236" t="s">
        <v>294</v>
      </c>
      <c r="H173" s="236">
        <v>126</v>
      </c>
      <c r="I173" s="236" t="s">
        <v>257</v>
      </c>
      <c r="J173" s="236">
        <v>3</v>
      </c>
      <c r="K173" s="236">
        <v>3</v>
      </c>
      <c r="L173" s="236">
        <v>3</v>
      </c>
      <c r="M173" s="236"/>
      <c r="N173" s="236"/>
      <c r="O173" s="236" t="s">
        <v>417</v>
      </c>
      <c r="P173" s="236" t="s">
        <v>35</v>
      </c>
      <c r="Q173" s="236">
        <v>23</v>
      </c>
      <c r="R173" s="236" t="s">
        <v>34</v>
      </c>
      <c r="S173" s="236"/>
      <c r="T173" s="236"/>
      <c r="U173" s="236"/>
      <c r="V173" s="236"/>
      <c r="W173" s="236"/>
      <c r="X173" s="236"/>
      <c r="Y173" s="236"/>
      <c r="Z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12"/>
      <c r="AW173" s="12"/>
      <c r="AX173" s="12"/>
      <c r="AY173" s="12"/>
      <c r="AZ173" s="12"/>
      <c r="BA173" s="12"/>
      <c r="BB173" s="12"/>
    </row>
    <row r="174" spans="1:54" ht="13">
      <c r="A174" s="26" t="s">
        <v>1602</v>
      </c>
      <c r="B174" s="27" t="s">
        <v>304</v>
      </c>
      <c r="C174" s="31" t="s">
        <v>1605</v>
      </c>
      <c r="D174" s="31" t="s">
        <v>1607</v>
      </c>
      <c r="E174" s="27" t="s">
        <v>2257</v>
      </c>
      <c r="F174" s="27" t="s">
        <v>187</v>
      </c>
      <c r="G174" s="27"/>
      <c r="H174" s="27">
        <v>126</v>
      </c>
      <c r="I174" s="27"/>
      <c r="J174" s="27"/>
      <c r="K174" s="27"/>
      <c r="L174" s="27"/>
      <c r="M174" s="27"/>
      <c r="N174" s="27"/>
      <c r="O174" s="27"/>
      <c r="P174" s="27" t="s">
        <v>70</v>
      </c>
      <c r="Q174" s="27">
        <v>67</v>
      </c>
      <c r="R174" s="27" t="s">
        <v>70</v>
      </c>
      <c r="S174" s="27"/>
      <c r="T174" s="27"/>
      <c r="U174" s="27"/>
      <c r="V174" s="27"/>
      <c r="W174" s="27" t="s">
        <v>1036</v>
      </c>
      <c r="X174" s="27"/>
      <c r="Y174" s="27"/>
      <c r="Z174" s="27">
        <v>0.5</v>
      </c>
      <c r="AM174" s="27"/>
      <c r="AN174" s="27"/>
      <c r="AO174" s="27"/>
      <c r="AP174" s="27"/>
      <c r="AQ174" s="27"/>
      <c r="AR174" s="27"/>
      <c r="AS174" s="27"/>
      <c r="AT174" s="27"/>
      <c r="AU174" s="27"/>
      <c r="AV174" s="12"/>
      <c r="AW174" s="12"/>
      <c r="AX174" s="12"/>
      <c r="AY174" s="12"/>
      <c r="AZ174" s="12"/>
      <c r="BA174" s="12"/>
      <c r="BB174" s="12"/>
    </row>
    <row r="175" spans="1:54" ht="13">
      <c r="A175" s="26" t="s">
        <v>934</v>
      </c>
      <c r="B175" s="236" t="s">
        <v>12</v>
      </c>
      <c r="C175" s="258" t="s">
        <v>649</v>
      </c>
      <c r="D175" s="258" t="s">
        <v>935</v>
      </c>
      <c r="E175" s="236" t="s">
        <v>936</v>
      </c>
      <c r="F175" s="236" t="s">
        <v>336</v>
      </c>
      <c r="G175" s="236" t="s">
        <v>109</v>
      </c>
      <c r="H175" s="236">
        <v>121</v>
      </c>
      <c r="I175" s="236">
        <v>2.75</v>
      </c>
      <c r="J175" s="236">
        <v>3</v>
      </c>
      <c r="K175" s="236">
        <v>3</v>
      </c>
      <c r="L175" s="236"/>
      <c r="M175" s="236"/>
      <c r="N175" s="236"/>
      <c r="O175" s="236" t="s">
        <v>1048</v>
      </c>
      <c r="P175" s="236" t="s">
        <v>34</v>
      </c>
      <c r="Q175" s="236">
        <v>7</v>
      </c>
      <c r="R175" s="236" t="s">
        <v>34</v>
      </c>
      <c r="S175" s="236"/>
      <c r="T175" s="236"/>
      <c r="U175" s="236"/>
      <c r="V175" s="236"/>
      <c r="W175" s="236"/>
      <c r="X175" s="236"/>
      <c r="Y175" s="236"/>
      <c r="Z175" s="236">
        <v>2.5</v>
      </c>
      <c r="AM175" s="236"/>
      <c r="AN175" s="236"/>
      <c r="AO175" s="236"/>
      <c r="AP175" s="236"/>
      <c r="AQ175" s="236"/>
      <c r="AR175" s="236"/>
      <c r="AS175" s="236"/>
      <c r="AT175" s="236"/>
      <c r="AU175" s="236"/>
      <c r="AV175" s="12"/>
      <c r="AW175" s="12"/>
      <c r="AX175" s="12"/>
      <c r="AY175" s="12"/>
      <c r="AZ175" s="12"/>
      <c r="BA175" s="12"/>
      <c r="BB175" s="12"/>
    </row>
    <row r="176" spans="1:54" ht="13">
      <c r="A176" s="26" t="s">
        <v>559</v>
      </c>
      <c r="B176" s="27" t="s">
        <v>5</v>
      </c>
      <c r="C176" s="31" t="s">
        <v>560</v>
      </c>
      <c r="D176" s="31" t="s">
        <v>561</v>
      </c>
      <c r="E176" s="27" t="s">
        <v>562</v>
      </c>
      <c r="F176" s="27" t="s">
        <v>75</v>
      </c>
      <c r="G176" s="27" t="s">
        <v>84</v>
      </c>
      <c r="H176" s="27">
        <v>121</v>
      </c>
      <c r="I176" s="27" t="s">
        <v>257</v>
      </c>
      <c r="J176" s="27">
        <v>3</v>
      </c>
      <c r="K176" s="27">
        <v>4</v>
      </c>
      <c r="L176" s="27">
        <v>4</v>
      </c>
      <c r="M176" s="27"/>
      <c r="N176" s="27"/>
      <c r="O176" s="27" t="s">
        <v>417</v>
      </c>
      <c r="P176" s="27" t="s">
        <v>35</v>
      </c>
      <c r="Q176" s="27">
        <v>30</v>
      </c>
      <c r="R176" s="27" t="s">
        <v>35</v>
      </c>
      <c r="S176" s="27"/>
      <c r="T176" s="27"/>
      <c r="U176" s="27"/>
      <c r="V176" s="27"/>
      <c r="W176" s="27"/>
      <c r="X176" s="27"/>
      <c r="Y176" s="27"/>
      <c r="Z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12"/>
      <c r="AW176" s="12"/>
      <c r="AX176" s="12"/>
      <c r="AY176" s="12"/>
      <c r="AZ176" s="12"/>
      <c r="BA176" s="12"/>
      <c r="BB176" s="12"/>
    </row>
    <row r="177" spans="1:54" ht="13">
      <c r="A177" s="26" t="s">
        <v>1608</v>
      </c>
      <c r="B177" s="236" t="s">
        <v>304</v>
      </c>
      <c r="C177" s="258" t="s">
        <v>1609</v>
      </c>
      <c r="D177" s="258" t="s">
        <v>1611</v>
      </c>
      <c r="E177" s="236" t="s">
        <v>2258</v>
      </c>
      <c r="F177" s="236" t="s">
        <v>215</v>
      </c>
      <c r="G177" s="236"/>
      <c r="H177" s="236">
        <v>121</v>
      </c>
      <c r="I177" s="236"/>
      <c r="J177" s="236"/>
      <c r="K177" s="236"/>
      <c r="L177" s="236"/>
      <c r="M177" s="236"/>
      <c r="N177" s="236"/>
      <c r="O177" s="236"/>
      <c r="P177" s="236" t="s">
        <v>78</v>
      </c>
      <c r="Q177" s="236" t="s">
        <v>1232</v>
      </c>
      <c r="R177" s="236" t="s">
        <v>70</v>
      </c>
      <c r="S177" s="236"/>
      <c r="T177" s="236"/>
      <c r="U177" s="236"/>
      <c r="V177" s="236"/>
      <c r="W177" s="236" t="s">
        <v>1036</v>
      </c>
      <c r="X177" s="236"/>
      <c r="Y177" s="236"/>
      <c r="Z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12"/>
      <c r="AW177" s="12"/>
      <c r="AX177" s="12"/>
      <c r="AY177" s="12"/>
      <c r="AZ177" s="12"/>
      <c r="BA177" s="12"/>
      <c r="BB177" s="12"/>
    </row>
    <row r="178" spans="1:54" ht="13">
      <c r="A178" s="26" t="s">
        <v>1440</v>
      </c>
      <c r="B178" s="27" t="s">
        <v>304</v>
      </c>
      <c r="C178" s="31" t="s">
        <v>1442</v>
      </c>
      <c r="D178" s="31" t="s">
        <v>1444</v>
      </c>
      <c r="E178" s="27" t="s">
        <v>2259</v>
      </c>
      <c r="F178" s="27" t="s">
        <v>336</v>
      </c>
      <c r="G178" s="27"/>
      <c r="H178" s="27">
        <v>121</v>
      </c>
      <c r="I178" s="27"/>
      <c r="J178" s="27"/>
      <c r="K178" s="27"/>
      <c r="L178" s="27"/>
      <c r="M178" s="27"/>
      <c r="N178" s="27"/>
      <c r="O178" s="27"/>
      <c r="P178" s="27" t="s">
        <v>78</v>
      </c>
      <c r="Q178" s="27">
        <v>27</v>
      </c>
      <c r="R178" s="27" t="s">
        <v>70</v>
      </c>
      <c r="S178" s="27"/>
      <c r="T178" s="27"/>
      <c r="U178" s="27"/>
      <c r="V178" s="27"/>
      <c r="W178" s="27"/>
      <c r="X178" s="27">
        <v>4</v>
      </c>
      <c r="Y178" s="27"/>
      <c r="Z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12"/>
      <c r="AW178" s="12"/>
      <c r="AX178" s="12"/>
      <c r="AY178" s="12"/>
      <c r="AZ178" s="12"/>
      <c r="BA178" s="12"/>
      <c r="BB178" s="12"/>
    </row>
    <row r="179" spans="1:54" ht="13">
      <c r="A179" s="26" t="s">
        <v>1446</v>
      </c>
      <c r="B179" s="236" t="s">
        <v>304</v>
      </c>
      <c r="C179" s="258" t="s">
        <v>1449</v>
      </c>
      <c r="D179" s="258" t="s">
        <v>1451</v>
      </c>
      <c r="E179" s="236" t="s">
        <v>1449</v>
      </c>
      <c r="F179" s="236" t="s">
        <v>83</v>
      </c>
      <c r="G179" s="236"/>
      <c r="H179" s="236">
        <v>121</v>
      </c>
      <c r="I179" s="236"/>
      <c r="J179" s="236"/>
      <c r="K179" s="236"/>
      <c r="L179" s="236"/>
      <c r="M179" s="236"/>
      <c r="N179" s="236"/>
      <c r="O179" s="236"/>
      <c r="P179" s="236" t="s">
        <v>70</v>
      </c>
      <c r="Q179" s="236">
        <v>60</v>
      </c>
      <c r="R179" s="236" t="s">
        <v>70</v>
      </c>
      <c r="S179" s="236"/>
      <c r="T179" s="236"/>
      <c r="U179" s="236"/>
      <c r="V179" s="236"/>
      <c r="W179" s="236" t="s">
        <v>1036</v>
      </c>
      <c r="X179" s="236"/>
      <c r="Y179" s="236"/>
      <c r="Z179" s="236"/>
      <c r="AM179" s="236"/>
      <c r="AN179" s="236"/>
      <c r="AO179" s="236"/>
      <c r="AP179" s="236"/>
      <c r="AQ179" s="236"/>
      <c r="AR179" s="236"/>
      <c r="AS179" s="236"/>
      <c r="AT179" s="236"/>
      <c r="AU179" s="236"/>
      <c r="AV179" s="12"/>
      <c r="AW179" s="12"/>
      <c r="AX179" s="12"/>
      <c r="AY179" s="12"/>
      <c r="AZ179" s="12"/>
      <c r="BA179" s="12"/>
      <c r="BB179" s="12"/>
    </row>
    <row r="180" spans="1:54" ht="13">
      <c r="A180" s="26" t="s">
        <v>1263</v>
      </c>
      <c r="B180" s="27" t="s">
        <v>3</v>
      </c>
      <c r="C180" s="31" t="s">
        <v>1481</v>
      </c>
      <c r="D180" s="31" t="s">
        <v>1484</v>
      </c>
      <c r="E180" s="27" t="s">
        <v>2260</v>
      </c>
      <c r="F180" s="27" t="s">
        <v>215</v>
      </c>
      <c r="G180" s="27" t="s">
        <v>159</v>
      </c>
      <c r="H180" s="27">
        <v>118</v>
      </c>
      <c r="I180" s="27">
        <v>1.5</v>
      </c>
      <c r="J180" s="27">
        <v>1.5</v>
      </c>
      <c r="K180" s="27"/>
      <c r="L180" s="27"/>
      <c r="M180" s="27"/>
      <c r="N180" s="27"/>
      <c r="O180" s="27" t="s">
        <v>942</v>
      </c>
      <c r="P180" s="27" t="s">
        <v>34</v>
      </c>
      <c r="Q180" s="27">
        <v>17</v>
      </c>
      <c r="R180" s="27" t="s">
        <v>34</v>
      </c>
      <c r="S180" s="27" t="s">
        <v>374</v>
      </c>
      <c r="T180" s="27">
        <v>6</v>
      </c>
      <c r="U180" s="27">
        <v>10</v>
      </c>
      <c r="V180" s="27"/>
      <c r="W180" s="27"/>
      <c r="X180" s="27"/>
      <c r="Y180" s="27"/>
      <c r="Z180" s="27">
        <v>1.5</v>
      </c>
      <c r="AM180" s="27"/>
      <c r="AN180" s="27"/>
      <c r="AO180" s="27"/>
      <c r="AP180" s="27"/>
      <c r="AQ180" s="27"/>
      <c r="AR180" s="27"/>
      <c r="AS180" s="27"/>
      <c r="AT180" s="27"/>
      <c r="AU180" s="27"/>
      <c r="AV180" s="12"/>
      <c r="AW180" s="12"/>
      <c r="AX180" s="12"/>
      <c r="AY180" s="12"/>
      <c r="AZ180" s="12"/>
      <c r="BA180" s="12"/>
      <c r="BB180" s="12"/>
    </row>
    <row r="181" spans="1:54" ht="13">
      <c r="A181" s="26" t="s">
        <v>1263</v>
      </c>
      <c r="B181" s="236" t="s">
        <v>5</v>
      </c>
      <c r="C181" s="258" t="s">
        <v>1265</v>
      </c>
      <c r="D181" s="258" t="s">
        <v>1267</v>
      </c>
      <c r="E181" s="236" t="s">
        <v>1290</v>
      </c>
      <c r="F181" s="236" t="s">
        <v>215</v>
      </c>
      <c r="G181" s="236" t="s">
        <v>97</v>
      </c>
      <c r="H181" s="236">
        <v>118</v>
      </c>
      <c r="I181" s="236">
        <v>1</v>
      </c>
      <c r="J181" s="236">
        <v>1</v>
      </c>
      <c r="K181" s="236"/>
      <c r="L181" s="236"/>
      <c r="M181" s="236"/>
      <c r="N181" s="236"/>
      <c r="O181" s="236" t="s">
        <v>1048</v>
      </c>
      <c r="P181" s="236" t="s">
        <v>34</v>
      </c>
      <c r="Q181" s="236">
        <v>25</v>
      </c>
      <c r="R181" s="236" t="s">
        <v>34</v>
      </c>
      <c r="S181" s="236" t="s">
        <v>266</v>
      </c>
      <c r="T181" s="236">
        <v>6</v>
      </c>
      <c r="U181" s="236">
        <v>8</v>
      </c>
      <c r="V181" s="236" t="s">
        <v>375</v>
      </c>
      <c r="W181" s="236"/>
      <c r="X181" s="236"/>
      <c r="Y181" s="236"/>
      <c r="Z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12"/>
      <c r="AW181" s="12"/>
      <c r="AX181" s="12"/>
      <c r="AY181" s="12"/>
      <c r="AZ181" s="12"/>
      <c r="BA181" s="12"/>
      <c r="BB181" s="12"/>
    </row>
    <row r="182" spans="1:54" ht="13">
      <c r="A182" s="26" t="s">
        <v>496</v>
      </c>
      <c r="B182" s="27" t="s">
        <v>8</v>
      </c>
      <c r="C182" s="31" t="s">
        <v>498</v>
      </c>
      <c r="D182" s="31" t="s">
        <v>501</v>
      </c>
      <c r="E182" s="27" t="s">
        <v>1169</v>
      </c>
      <c r="F182" s="27" t="s">
        <v>336</v>
      </c>
      <c r="G182" s="27" t="s">
        <v>55</v>
      </c>
      <c r="H182" s="27">
        <v>116</v>
      </c>
      <c r="I182" s="27" t="s">
        <v>257</v>
      </c>
      <c r="J182" s="27">
        <v>1.5</v>
      </c>
      <c r="K182" s="27">
        <v>1.5</v>
      </c>
      <c r="L182" s="27">
        <v>1.5</v>
      </c>
      <c r="M182" s="27"/>
      <c r="N182" s="27"/>
      <c r="O182" s="27" t="s">
        <v>417</v>
      </c>
      <c r="P182" s="27" t="s">
        <v>35</v>
      </c>
      <c r="Q182" s="27">
        <v>20</v>
      </c>
      <c r="R182" s="27" t="s">
        <v>34</v>
      </c>
      <c r="S182" s="27"/>
      <c r="T182" s="27"/>
      <c r="U182" s="27"/>
      <c r="V182" s="27"/>
      <c r="W182" s="27"/>
      <c r="X182" s="27"/>
      <c r="Y182" s="27"/>
      <c r="Z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12"/>
      <c r="AW182" s="12"/>
      <c r="AX182" s="12"/>
      <c r="AY182" s="12"/>
      <c r="AZ182" s="12"/>
      <c r="BA182" s="12"/>
      <c r="BB182" s="12"/>
    </row>
    <row r="183" spans="1:54" ht="13">
      <c r="A183" s="26" t="s">
        <v>1614</v>
      </c>
      <c r="B183" s="236" t="s">
        <v>304</v>
      </c>
      <c r="C183" s="258" t="s">
        <v>1615</v>
      </c>
      <c r="D183" s="258" t="s">
        <v>1617</v>
      </c>
      <c r="E183" s="236" t="s">
        <v>2261</v>
      </c>
      <c r="F183" s="236" t="s">
        <v>131</v>
      </c>
      <c r="G183" s="236" t="s">
        <v>132</v>
      </c>
      <c r="H183" s="236">
        <v>116</v>
      </c>
      <c r="I183" s="236"/>
      <c r="J183" s="236"/>
      <c r="K183" s="236"/>
      <c r="L183" s="236"/>
      <c r="M183" s="236"/>
      <c r="N183" s="236"/>
      <c r="O183" s="236"/>
      <c r="P183" s="236" t="s">
        <v>70</v>
      </c>
      <c r="Q183" s="236">
        <v>68</v>
      </c>
      <c r="R183" s="236" t="s">
        <v>70</v>
      </c>
      <c r="S183" s="236"/>
      <c r="T183" s="236"/>
      <c r="U183" s="236"/>
      <c r="V183" s="236"/>
      <c r="W183" s="236"/>
      <c r="X183" s="236">
        <v>0.5</v>
      </c>
      <c r="Y183" s="236"/>
      <c r="Z183" s="236"/>
      <c r="AM183" s="236"/>
      <c r="AN183" s="236"/>
      <c r="AO183" s="236"/>
      <c r="AP183" s="236"/>
      <c r="AQ183" s="236"/>
      <c r="AR183" s="236"/>
      <c r="AS183" s="236"/>
      <c r="AT183" s="236"/>
      <c r="AU183" s="236"/>
      <c r="AV183" s="12"/>
      <c r="AW183" s="12"/>
      <c r="AX183" s="12"/>
      <c r="AY183" s="12"/>
      <c r="AZ183" s="12"/>
      <c r="BA183" s="12"/>
      <c r="BB183" s="12"/>
    </row>
    <row r="184" spans="1:54" ht="13">
      <c r="A184" s="26" t="s">
        <v>1619</v>
      </c>
      <c r="B184" s="27" t="s">
        <v>304</v>
      </c>
      <c r="C184" s="31" t="s">
        <v>1621</v>
      </c>
      <c r="D184" s="31" t="s">
        <v>1623</v>
      </c>
      <c r="E184" s="27" t="s">
        <v>2262</v>
      </c>
      <c r="F184" s="27" t="s">
        <v>131</v>
      </c>
      <c r="G184" s="27"/>
      <c r="H184" s="27">
        <v>115</v>
      </c>
      <c r="I184" s="27"/>
      <c r="J184" s="27"/>
      <c r="K184" s="27"/>
      <c r="L184" s="27"/>
      <c r="M184" s="27"/>
      <c r="N184" s="27"/>
      <c r="O184" s="27"/>
      <c r="P184" s="27" t="s">
        <v>70</v>
      </c>
      <c r="Q184" s="27">
        <v>78</v>
      </c>
      <c r="R184" s="27" t="s">
        <v>70</v>
      </c>
      <c r="S184" s="27"/>
      <c r="T184" s="27"/>
      <c r="U184" s="27"/>
      <c r="V184" s="27"/>
      <c r="W184" s="27" t="s">
        <v>1036</v>
      </c>
      <c r="X184" s="27"/>
      <c r="Y184" s="27"/>
      <c r="Z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12"/>
      <c r="AW184" s="12"/>
      <c r="AX184" s="12"/>
      <c r="AY184" s="12"/>
      <c r="AZ184" s="12"/>
      <c r="BA184" s="12"/>
      <c r="BB184" s="12"/>
    </row>
    <row r="185" spans="1:54" ht="13">
      <c r="A185" s="26" t="s">
        <v>1278</v>
      </c>
      <c r="B185" s="236" t="s">
        <v>12</v>
      </c>
      <c r="C185" s="258" t="s">
        <v>1279</v>
      </c>
      <c r="D185" s="258" t="s">
        <v>1281</v>
      </c>
      <c r="E185" s="236" t="s">
        <v>1322</v>
      </c>
      <c r="F185" s="236" t="s">
        <v>83</v>
      </c>
      <c r="G185" s="236" t="s">
        <v>192</v>
      </c>
      <c r="H185" s="236">
        <v>114</v>
      </c>
      <c r="I185" s="236">
        <v>2</v>
      </c>
      <c r="J185" s="236"/>
      <c r="K185" s="236"/>
      <c r="L185" s="236"/>
      <c r="M185" s="236"/>
      <c r="N185" s="236"/>
      <c r="O185" s="236" t="s">
        <v>1284</v>
      </c>
      <c r="P185" s="236" t="s">
        <v>33</v>
      </c>
      <c r="Q185" s="236">
        <v>11</v>
      </c>
      <c r="R185" s="236" t="s">
        <v>33</v>
      </c>
      <c r="S185" s="236"/>
      <c r="T185" s="236"/>
      <c r="U185" s="236"/>
      <c r="V185" s="236"/>
      <c r="W185" s="236"/>
      <c r="X185" s="236"/>
      <c r="Y185" s="236">
        <v>2</v>
      </c>
      <c r="Z185" s="236">
        <v>2</v>
      </c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12"/>
      <c r="AW185" s="12"/>
      <c r="AX185" s="12"/>
      <c r="AY185" s="12"/>
      <c r="AZ185" s="12"/>
      <c r="BA185" s="12"/>
      <c r="BB185" s="12"/>
    </row>
    <row r="186" spans="1:54" ht="13">
      <c r="A186" s="26" t="s">
        <v>1308</v>
      </c>
      <c r="B186" s="27" t="s">
        <v>12</v>
      </c>
      <c r="C186" s="31" t="s">
        <v>1311</v>
      </c>
      <c r="D186" s="31" t="s">
        <v>1313</v>
      </c>
      <c r="E186" s="27" t="s">
        <v>1316</v>
      </c>
      <c r="F186" s="27" t="s">
        <v>90</v>
      </c>
      <c r="G186" s="27" t="s">
        <v>114</v>
      </c>
      <c r="H186" s="27">
        <v>114</v>
      </c>
      <c r="I186" s="27">
        <v>0.5</v>
      </c>
      <c r="J186" s="27"/>
      <c r="K186" s="27"/>
      <c r="L186" s="27"/>
      <c r="M186" s="27"/>
      <c r="N186" s="27"/>
      <c r="O186" s="27"/>
      <c r="P186" s="27" t="s">
        <v>78</v>
      </c>
      <c r="Q186" s="27">
        <v>35</v>
      </c>
      <c r="R186" s="27" t="s">
        <v>78</v>
      </c>
      <c r="S186" s="27"/>
      <c r="T186" s="27"/>
      <c r="U186" s="27"/>
      <c r="V186" s="27"/>
      <c r="W186" s="27"/>
      <c r="X186" s="27">
        <v>1</v>
      </c>
      <c r="Y186" s="27">
        <v>1</v>
      </c>
      <c r="Z186" s="27">
        <v>0.5</v>
      </c>
      <c r="AM186" s="27"/>
      <c r="AN186" s="27"/>
      <c r="AO186" s="27"/>
      <c r="AP186" s="27"/>
      <c r="AQ186" s="27"/>
      <c r="AR186" s="27"/>
      <c r="AS186" s="27"/>
      <c r="AT186" s="27"/>
      <c r="AU186" s="27"/>
      <c r="AV186" s="12"/>
      <c r="AW186" s="12"/>
      <c r="AX186" s="12"/>
      <c r="AY186" s="12"/>
      <c r="AZ186" s="12"/>
      <c r="BA186" s="12"/>
      <c r="BB186" s="12"/>
    </row>
    <row r="187" spans="1:54" ht="13">
      <c r="A187" s="26" t="s">
        <v>1294</v>
      </c>
      <c r="B187" s="236" t="s">
        <v>10</v>
      </c>
      <c r="C187" s="258" t="s">
        <v>1297</v>
      </c>
      <c r="D187" s="258" t="s">
        <v>1300</v>
      </c>
      <c r="E187" s="236" t="s">
        <v>1336</v>
      </c>
      <c r="F187" s="236" t="s">
        <v>131</v>
      </c>
      <c r="G187" s="236" t="s">
        <v>68</v>
      </c>
      <c r="H187" s="236">
        <v>113</v>
      </c>
      <c r="I187" s="236" t="s">
        <v>257</v>
      </c>
      <c r="J187" s="236"/>
      <c r="K187" s="236"/>
      <c r="L187" s="236"/>
      <c r="M187" s="236"/>
      <c r="N187" s="236"/>
      <c r="O187" s="236"/>
      <c r="P187" s="236" t="s">
        <v>35</v>
      </c>
      <c r="Q187" s="236">
        <v>17</v>
      </c>
      <c r="R187" s="236" t="s">
        <v>35</v>
      </c>
      <c r="S187" s="236"/>
      <c r="T187" s="236"/>
      <c r="U187" s="236"/>
      <c r="V187" s="236"/>
      <c r="W187" s="236"/>
      <c r="X187" s="236"/>
      <c r="Y187" s="236"/>
      <c r="Z187" s="236"/>
      <c r="AM187" s="236"/>
      <c r="AN187" s="236"/>
      <c r="AO187" s="236"/>
      <c r="AP187" s="236"/>
      <c r="AQ187" s="236"/>
      <c r="AR187" s="236"/>
      <c r="AS187" s="236"/>
      <c r="AT187" s="236"/>
      <c r="AU187" s="236"/>
      <c r="AV187" s="12"/>
      <c r="AW187" s="12"/>
      <c r="AX187" s="12"/>
      <c r="AY187" s="12"/>
      <c r="AZ187" s="12"/>
      <c r="BA187" s="12"/>
      <c r="BB187" s="12"/>
    </row>
    <row r="188" spans="1:54" ht="13">
      <c r="A188" s="26" t="s">
        <v>1705</v>
      </c>
      <c r="B188" s="27" t="s">
        <v>304</v>
      </c>
      <c r="C188" s="31" t="s">
        <v>1706</v>
      </c>
      <c r="D188" s="31" t="s">
        <v>1707</v>
      </c>
      <c r="E188" s="27" t="s">
        <v>2263</v>
      </c>
      <c r="F188" s="27" t="s">
        <v>336</v>
      </c>
      <c r="G188" s="27"/>
      <c r="H188" s="27">
        <v>113</v>
      </c>
      <c r="I188" s="27"/>
      <c r="J188" s="27"/>
      <c r="K188" s="27"/>
      <c r="L188" s="27"/>
      <c r="M188" s="27"/>
      <c r="N188" s="27"/>
      <c r="O188" s="27"/>
      <c r="P188" s="27" t="s">
        <v>70</v>
      </c>
      <c r="Q188" s="27">
        <v>80</v>
      </c>
      <c r="R188" s="27" t="s">
        <v>70</v>
      </c>
      <c r="S188" s="27"/>
      <c r="T188" s="27"/>
      <c r="U188" s="27"/>
      <c r="V188" s="27"/>
      <c r="W188" s="27"/>
      <c r="X188" s="27">
        <v>0.5</v>
      </c>
      <c r="Y188" s="27"/>
      <c r="Z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12"/>
      <c r="AW188" s="12"/>
      <c r="AX188" s="12"/>
      <c r="AY188" s="12"/>
      <c r="AZ188" s="12"/>
      <c r="BA188" s="12"/>
      <c r="BB188" s="12"/>
    </row>
    <row r="189" spans="1:54" ht="13">
      <c r="A189" s="26" t="s">
        <v>1625</v>
      </c>
      <c r="B189" s="236" t="s">
        <v>304</v>
      </c>
      <c r="C189" s="258" t="s">
        <v>1626</v>
      </c>
      <c r="D189" s="258" t="s">
        <v>1627</v>
      </c>
      <c r="E189" s="236" t="s">
        <v>2264</v>
      </c>
      <c r="F189" s="236" t="s">
        <v>83</v>
      </c>
      <c r="G189" s="236"/>
      <c r="H189" s="236">
        <v>113</v>
      </c>
      <c r="I189" s="236"/>
      <c r="J189" s="236"/>
      <c r="K189" s="236"/>
      <c r="L189" s="236"/>
      <c r="M189" s="236"/>
      <c r="N189" s="236"/>
      <c r="O189" s="236"/>
      <c r="P189" s="236" t="s">
        <v>70</v>
      </c>
      <c r="Q189" s="236">
        <v>81</v>
      </c>
      <c r="R189" s="236" t="s">
        <v>70</v>
      </c>
      <c r="S189" s="236"/>
      <c r="T189" s="236"/>
      <c r="U189" s="236"/>
      <c r="V189" s="236"/>
      <c r="W189" s="236" t="s">
        <v>1036</v>
      </c>
      <c r="X189" s="236"/>
      <c r="Y189" s="236"/>
      <c r="Z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12"/>
      <c r="AW189" s="12"/>
      <c r="AX189" s="12"/>
      <c r="AY189" s="12"/>
      <c r="AZ189" s="12"/>
      <c r="BA189" s="12"/>
      <c r="BB189" s="12"/>
    </row>
    <row r="190" spans="1:54" ht="13">
      <c r="A190" s="26" t="s">
        <v>1629</v>
      </c>
      <c r="B190" s="27" t="s">
        <v>304</v>
      </c>
      <c r="C190" s="31" t="s">
        <v>1630</v>
      </c>
      <c r="D190" s="31" t="s">
        <v>1632</v>
      </c>
      <c r="E190" s="27" t="s">
        <v>2265</v>
      </c>
      <c r="F190" s="27" t="s">
        <v>67</v>
      </c>
      <c r="G190" s="27"/>
      <c r="H190" s="27">
        <v>113</v>
      </c>
      <c r="I190" s="27"/>
      <c r="J190" s="27"/>
      <c r="K190" s="27"/>
      <c r="L190" s="27"/>
      <c r="M190" s="27"/>
      <c r="N190" s="27"/>
      <c r="O190" s="27"/>
      <c r="P190" s="27" t="s">
        <v>70</v>
      </c>
      <c r="Q190" s="27">
        <v>79</v>
      </c>
      <c r="R190" s="27" t="s">
        <v>70</v>
      </c>
      <c r="S190" s="27"/>
      <c r="T190" s="27"/>
      <c r="U190" s="27"/>
      <c r="V190" s="27"/>
      <c r="W190" s="27" t="s">
        <v>1036</v>
      </c>
      <c r="X190" s="27"/>
      <c r="Y190" s="27"/>
      <c r="Z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12"/>
      <c r="AW190" s="12"/>
      <c r="AX190" s="12"/>
      <c r="AY190" s="12"/>
      <c r="AZ190" s="12"/>
      <c r="BA190" s="12"/>
      <c r="BB190" s="12"/>
    </row>
    <row r="191" spans="1:54" ht="13">
      <c r="A191" s="26" t="s">
        <v>1286</v>
      </c>
      <c r="B191" s="236" t="s">
        <v>304</v>
      </c>
      <c r="C191" s="258" t="s">
        <v>1288</v>
      </c>
      <c r="D191" s="258" t="s">
        <v>1289</v>
      </c>
      <c r="E191" s="236" t="s">
        <v>2266</v>
      </c>
      <c r="F191" s="236" t="s">
        <v>103</v>
      </c>
      <c r="G191" s="236"/>
      <c r="H191" s="236">
        <v>113</v>
      </c>
      <c r="I191" s="236"/>
      <c r="J191" s="236"/>
      <c r="K191" s="236"/>
      <c r="L191" s="236"/>
      <c r="M191" s="236"/>
      <c r="N191" s="236"/>
      <c r="O191" s="236"/>
      <c r="P191" s="236" t="s">
        <v>126</v>
      </c>
      <c r="Q191" s="236">
        <v>15</v>
      </c>
      <c r="R191" s="236" t="s">
        <v>126</v>
      </c>
      <c r="S191" s="236"/>
      <c r="T191" s="236"/>
      <c r="U191" s="236"/>
      <c r="V191" s="236"/>
      <c r="W191" s="236"/>
      <c r="X191" s="236">
        <v>2</v>
      </c>
      <c r="Y191" s="236"/>
      <c r="Z191" s="236"/>
      <c r="AM191" s="236"/>
      <c r="AN191" s="236"/>
      <c r="AO191" s="236"/>
      <c r="AP191" s="236"/>
      <c r="AQ191" s="236"/>
      <c r="AR191" s="236"/>
      <c r="AS191" s="236"/>
      <c r="AT191" s="236"/>
      <c r="AU191" s="236"/>
      <c r="AV191" s="12"/>
      <c r="AW191" s="12"/>
      <c r="AX191" s="12"/>
      <c r="AY191" s="12"/>
      <c r="AZ191" s="12"/>
      <c r="BA191" s="12"/>
      <c r="BB191" s="12"/>
    </row>
    <row r="192" spans="1:54" ht="13">
      <c r="A192" s="26" t="s">
        <v>1356</v>
      </c>
      <c r="B192" s="27" t="s">
        <v>304</v>
      </c>
      <c r="C192" s="31" t="s">
        <v>1358</v>
      </c>
      <c r="D192" s="31" t="s">
        <v>1360</v>
      </c>
      <c r="E192" s="27" t="s">
        <v>1362</v>
      </c>
      <c r="F192" s="27" t="s">
        <v>67</v>
      </c>
      <c r="G192" s="27" t="s">
        <v>1363</v>
      </c>
      <c r="H192" s="27">
        <v>113</v>
      </c>
      <c r="I192" s="27"/>
      <c r="J192" s="27"/>
      <c r="K192" s="27"/>
      <c r="L192" s="27"/>
      <c r="M192" s="27"/>
      <c r="N192" s="27"/>
      <c r="O192" s="27"/>
      <c r="P192" s="27" t="s">
        <v>78</v>
      </c>
      <c r="Q192" s="27">
        <v>37</v>
      </c>
      <c r="R192" s="27" t="s">
        <v>78</v>
      </c>
      <c r="S192" s="27"/>
      <c r="T192" s="27"/>
      <c r="U192" s="27"/>
      <c r="V192" s="27"/>
      <c r="W192" s="27"/>
      <c r="X192" s="27">
        <v>0.6</v>
      </c>
      <c r="Y192" s="27">
        <v>0.6</v>
      </c>
      <c r="Z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12"/>
      <c r="AW192" s="12"/>
      <c r="AX192" s="12"/>
      <c r="AY192" s="12"/>
      <c r="AZ192" s="12"/>
      <c r="BA192" s="12"/>
      <c r="BB192" s="12"/>
    </row>
    <row r="193" spans="1:54" ht="13">
      <c r="A193" s="26" t="s">
        <v>1634</v>
      </c>
      <c r="B193" s="236" t="s">
        <v>304</v>
      </c>
      <c r="C193" s="258" t="s">
        <v>1635</v>
      </c>
      <c r="D193" s="258" t="s">
        <v>1636</v>
      </c>
      <c r="E193" s="236" t="s">
        <v>2267</v>
      </c>
      <c r="F193" s="236" t="s">
        <v>90</v>
      </c>
      <c r="G193" s="236"/>
      <c r="H193" s="236">
        <v>112</v>
      </c>
      <c r="I193" s="236"/>
      <c r="J193" s="236"/>
      <c r="K193" s="236"/>
      <c r="L193" s="236"/>
      <c r="M193" s="236"/>
      <c r="N193" s="236"/>
      <c r="O193" s="236"/>
      <c r="P193" s="236" t="s">
        <v>70</v>
      </c>
      <c r="Q193" s="236">
        <v>22</v>
      </c>
      <c r="R193" s="236" t="s">
        <v>70</v>
      </c>
      <c r="S193" s="236"/>
      <c r="T193" s="236"/>
      <c r="U193" s="236"/>
      <c r="V193" s="236"/>
      <c r="W193" s="236"/>
      <c r="X193" s="236">
        <v>0.5</v>
      </c>
      <c r="Y193" s="236"/>
      <c r="Z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12"/>
      <c r="AW193" s="12"/>
      <c r="AX193" s="12"/>
      <c r="AY193" s="12"/>
      <c r="AZ193" s="12"/>
      <c r="BA193" s="12"/>
      <c r="BB193" s="12"/>
    </row>
    <row r="194" spans="1:54" ht="13">
      <c r="A194" s="26" t="s">
        <v>1303</v>
      </c>
      <c r="B194" s="27" t="s">
        <v>304</v>
      </c>
      <c r="C194" s="31" t="s">
        <v>1304</v>
      </c>
      <c r="D194" s="31" t="s">
        <v>1306</v>
      </c>
      <c r="E194" s="27" t="s">
        <v>1351</v>
      </c>
      <c r="F194" s="27" t="s">
        <v>67</v>
      </c>
      <c r="G194" s="27" t="s">
        <v>68</v>
      </c>
      <c r="H194" s="27">
        <v>112</v>
      </c>
      <c r="I194" s="27"/>
      <c r="J194" s="27"/>
      <c r="K194" s="27"/>
      <c r="L194" s="27"/>
      <c r="M194" s="27"/>
      <c r="N194" s="27"/>
      <c r="O194" s="27"/>
      <c r="P194" s="27" t="s">
        <v>34</v>
      </c>
      <c r="Q194" s="27">
        <v>21</v>
      </c>
      <c r="R194" s="27" t="s">
        <v>34</v>
      </c>
      <c r="S194" s="27"/>
      <c r="T194" s="27"/>
      <c r="U194" s="27"/>
      <c r="V194" s="27"/>
      <c r="W194" s="27"/>
      <c r="X194" s="27"/>
      <c r="Y194" s="27"/>
      <c r="Z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12"/>
      <c r="AW194" s="12"/>
      <c r="AX194" s="12"/>
      <c r="AY194" s="12"/>
      <c r="AZ194" s="12"/>
      <c r="BA194" s="12"/>
      <c r="BB194" s="12"/>
    </row>
    <row r="195" spans="1:54" ht="13">
      <c r="A195" s="26" t="s">
        <v>1310</v>
      </c>
      <c r="B195" s="236" t="s">
        <v>3</v>
      </c>
      <c r="C195" s="258" t="s">
        <v>1312</v>
      </c>
      <c r="D195" s="258" t="s">
        <v>1314</v>
      </c>
      <c r="E195" s="236" t="s">
        <v>1382</v>
      </c>
      <c r="F195" s="236" t="s">
        <v>90</v>
      </c>
      <c r="G195" s="236" t="s">
        <v>114</v>
      </c>
      <c r="H195" s="236">
        <v>111</v>
      </c>
      <c r="I195" s="236">
        <v>0.5</v>
      </c>
      <c r="J195" s="236"/>
      <c r="K195" s="236"/>
      <c r="L195" s="236"/>
      <c r="M195" s="236"/>
      <c r="N195" s="236"/>
      <c r="O195" s="236"/>
      <c r="P195" s="236" t="s">
        <v>70</v>
      </c>
      <c r="Q195" s="236">
        <v>65</v>
      </c>
      <c r="R195" s="236" t="s">
        <v>70</v>
      </c>
      <c r="S195" s="236"/>
      <c r="T195" s="236"/>
      <c r="U195" s="236"/>
      <c r="V195" s="236"/>
      <c r="W195" s="236">
        <v>0.5</v>
      </c>
      <c r="X195" s="236">
        <v>0.5</v>
      </c>
      <c r="Y195" s="236">
        <v>0.5</v>
      </c>
      <c r="Z195" s="236">
        <v>0.5</v>
      </c>
      <c r="AM195" s="236"/>
      <c r="AN195" s="236"/>
      <c r="AO195" s="236"/>
      <c r="AP195" s="236"/>
      <c r="AQ195" s="236"/>
      <c r="AR195" s="236"/>
      <c r="AS195" s="236"/>
      <c r="AT195" s="236"/>
      <c r="AU195" s="236"/>
      <c r="AV195" s="12"/>
      <c r="AW195" s="12"/>
      <c r="AX195" s="12"/>
      <c r="AY195" s="12"/>
      <c r="AZ195" s="12"/>
      <c r="BA195" s="12"/>
      <c r="BB195" s="12"/>
    </row>
    <row r="196" spans="1:54" ht="13">
      <c r="A196" s="26" t="s">
        <v>1318</v>
      </c>
      <c r="B196" s="27" t="s">
        <v>304</v>
      </c>
      <c r="C196" s="31" t="s">
        <v>1319</v>
      </c>
      <c r="D196" s="31" t="s">
        <v>1320</v>
      </c>
      <c r="E196" s="27" t="s">
        <v>2268</v>
      </c>
      <c r="F196" s="27" t="s">
        <v>103</v>
      </c>
      <c r="G196" s="27" t="s">
        <v>265</v>
      </c>
      <c r="H196" s="27">
        <v>111</v>
      </c>
      <c r="I196" s="27"/>
      <c r="J196" s="27"/>
      <c r="K196" s="27"/>
      <c r="L196" s="27"/>
      <c r="M196" s="27"/>
      <c r="N196" s="27"/>
      <c r="O196" s="27"/>
      <c r="P196" s="27" t="s">
        <v>32</v>
      </c>
      <c r="Q196" s="27">
        <v>13</v>
      </c>
      <c r="R196" s="27" t="s">
        <v>32</v>
      </c>
      <c r="S196" s="27"/>
      <c r="T196" s="27"/>
      <c r="U196" s="27"/>
      <c r="V196" s="27"/>
      <c r="W196" s="27"/>
      <c r="X196" s="27"/>
      <c r="Y196" s="27">
        <v>2.5</v>
      </c>
      <c r="Z196" s="27">
        <v>1.25</v>
      </c>
      <c r="AM196" s="27"/>
      <c r="AN196" s="27"/>
      <c r="AO196" s="27"/>
      <c r="AP196" s="27"/>
      <c r="AQ196" s="27"/>
      <c r="AR196" s="27"/>
      <c r="AS196" s="27"/>
      <c r="AT196" s="27"/>
      <c r="AU196" s="27"/>
      <c r="AV196" s="12"/>
      <c r="AW196" s="12"/>
      <c r="AX196" s="12"/>
      <c r="AY196" s="12"/>
      <c r="AZ196" s="12"/>
      <c r="BA196" s="12"/>
      <c r="BB196" s="12"/>
    </row>
    <row r="197" spans="1:54" ht="13">
      <c r="A197" s="26" t="s">
        <v>1393</v>
      </c>
      <c r="B197" s="236" t="s">
        <v>304</v>
      </c>
      <c r="C197" s="258" t="s">
        <v>1396</v>
      </c>
      <c r="D197" s="258" t="s">
        <v>1398</v>
      </c>
      <c r="E197" s="236" t="s">
        <v>1401</v>
      </c>
      <c r="F197" s="236" t="s">
        <v>90</v>
      </c>
      <c r="G197" s="236" t="s">
        <v>55</v>
      </c>
      <c r="H197" s="236">
        <v>111</v>
      </c>
      <c r="I197" s="236"/>
      <c r="J197" s="236"/>
      <c r="K197" s="236"/>
      <c r="L197" s="236"/>
      <c r="M197" s="236"/>
      <c r="N197" s="236"/>
      <c r="O197" s="236"/>
      <c r="P197" s="236" t="s">
        <v>78</v>
      </c>
      <c r="Q197" s="236">
        <v>30</v>
      </c>
      <c r="R197" s="236" t="s">
        <v>78</v>
      </c>
      <c r="S197" s="236"/>
      <c r="T197" s="236"/>
      <c r="U197" s="236"/>
      <c r="V197" s="236"/>
      <c r="W197" s="236"/>
      <c r="X197" s="236">
        <v>4</v>
      </c>
      <c r="Y197" s="236">
        <v>4</v>
      </c>
      <c r="Z197" s="236">
        <v>0.5</v>
      </c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12"/>
      <c r="AW197" s="12"/>
      <c r="AX197" s="12"/>
      <c r="AY197" s="12"/>
      <c r="AZ197" s="12"/>
      <c r="BA197" s="12"/>
      <c r="BB197" s="12"/>
    </row>
    <row r="198" spans="1:54" ht="13">
      <c r="A198" s="26" t="s">
        <v>1637</v>
      </c>
      <c r="B198" s="27" t="s">
        <v>304</v>
      </c>
      <c r="C198" s="31" t="s">
        <v>1638</v>
      </c>
      <c r="D198" s="31" t="s">
        <v>1640</v>
      </c>
      <c r="E198" s="27" t="s">
        <v>2269</v>
      </c>
      <c r="F198" s="27" t="s">
        <v>215</v>
      </c>
      <c r="G198" s="27"/>
      <c r="H198" s="27">
        <v>109</v>
      </c>
      <c r="I198" s="27"/>
      <c r="J198" s="27"/>
      <c r="K198" s="27"/>
      <c r="L198" s="27"/>
      <c r="M198" s="27"/>
      <c r="N198" s="27"/>
      <c r="O198" s="27"/>
      <c r="P198" s="27" t="s">
        <v>70</v>
      </c>
      <c r="Q198" s="27">
        <v>86</v>
      </c>
      <c r="R198" s="27" t="s">
        <v>70</v>
      </c>
      <c r="S198" s="27"/>
      <c r="T198" s="27"/>
      <c r="U198" s="27"/>
      <c r="V198" s="27"/>
      <c r="W198" s="27" t="s">
        <v>1036</v>
      </c>
      <c r="X198" s="27"/>
      <c r="Y198" s="27"/>
      <c r="Z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12"/>
      <c r="AW198" s="12"/>
      <c r="AX198" s="12"/>
      <c r="AY198" s="12"/>
      <c r="AZ198" s="12"/>
      <c r="BA198" s="12"/>
      <c r="BB198" s="12"/>
    </row>
    <row r="199" spans="1:54" ht="13">
      <c r="A199" s="26" t="s">
        <v>1352</v>
      </c>
      <c r="B199" s="236" t="s">
        <v>8</v>
      </c>
      <c r="C199" s="258" t="s">
        <v>1354</v>
      </c>
      <c r="D199" s="258" t="s">
        <v>1357</v>
      </c>
      <c r="E199" s="236" t="s">
        <v>1476</v>
      </c>
      <c r="F199" s="236" t="s">
        <v>67</v>
      </c>
      <c r="G199" s="236" t="s">
        <v>68</v>
      </c>
      <c r="H199" s="236">
        <v>108</v>
      </c>
      <c r="I199" s="236" t="s">
        <v>257</v>
      </c>
      <c r="J199" s="236">
        <v>3</v>
      </c>
      <c r="K199" s="236">
        <v>3</v>
      </c>
      <c r="L199" s="236">
        <v>3</v>
      </c>
      <c r="M199" s="236"/>
      <c r="N199" s="236"/>
      <c r="O199" s="236" t="s">
        <v>417</v>
      </c>
      <c r="P199" s="236" t="s">
        <v>35</v>
      </c>
      <c r="Q199" s="236">
        <v>15</v>
      </c>
      <c r="R199" s="236" t="s">
        <v>35</v>
      </c>
      <c r="S199" s="236"/>
      <c r="T199" s="236"/>
      <c r="U199" s="236"/>
      <c r="V199" s="236"/>
      <c r="W199" s="236"/>
      <c r="X199" s="236"/>
      <c r="Y199" s="236"/>
      <c r="Z199" s="236"/>
      <c r="AM199" s="236"/>
      <c r="AN199" s="236"/>
      <c r="AO199" s="236"/>
      <c r="AP199" s="236"/>
      <c r="AQ199" s="236"/>
      <c r="AR199" s="236"/>
      <c r="AS199" s="236"/>
      <c r="AT199" s="236"/>
      <c r="AU199" s="236"/>
      <c r="AV199" s="12"/>
      <c r="AW199" s="12"/>
      <c r="AX199" s="12"/>
      <c r="AY199" s="12"/>
      <c r="AZ199" s="12"/>
      <c r="BA199" s="12"/>
      <c r="BB199" s="12"/>
    </row>
    <row r="200" spans="1:54" ht="13">
      <c r="A200" s="26" t="s">
        <v>1344</v>
      </c>
      <c r="B200" s="27" t="s">
        <v>12</v>
      </c>
      <c r="C200" s="31" t="s">
        <v>1348</v>
      </c>
      <c r="D200" s="31" t="s">
        <v>1349</v>
      </c>
      <c r="E200" s="27" t="s">
        <v>1455</v>
      </c>
      <c r="F200" s="27" t="s">
        <v>75</v>
      </c>
      <c r="G200" s="27" t="s">
        <v>740</v>
      </c>
      <c r="H200" s="27">
        <v>108</v>
      </c>
      <c r="I200" s="27">
        <v>1</v>
      </c>
      <c r="J200" s="27">
        <v>1</v>
      </c>
      <c r="K200" s="27">
        <v>1</v>
      </c>
      <c r="L200" s="27">
        <v>1</v>
      </c>
      <c r="M200" s="27"/>
      <c r="N200" s="27"/>
      <c r="O200" s="27" t="s">
        <v>417</v>
      </c>
      <c r="P200" s="27" t="s">
        <v>35</v>
      </c>
      <c r="Q200" s="27">
        <v>13</v>
      </c>
      <c r="R200" s="27" t="s">
        <v>34</v>
      </c>
      <c r="S200" s="27"/>
      <c r="T200" s="27"/>
      <c r="U200" s="27"/>
      <c r="V200" s="27"/>
      <c r="W200" s="27"/>
      <c r="X200" s="27"/>
      <c r="Y200" s="27"/>
      <c r="Z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12"/>
      <c r="AW200" s="12"/>
      <c r="AX200" s="12"/>
      <c r="AY200" s="12"/>
      <c r="AZ200" s="12"/>
      <c r="BA200" s="12"/>
      <c r="BB200" s="12"/>
    </row>
    <row r="201" spans="1:54" ht="13">
      <c r="A201" s="26" t="s">
        <v>773</v>
      </c>
      <c r="B201" s="236" t="s">
        <v>3</v>
      </c>
      <c r="C201" s="258" t="s">
        <v>775</v>
      </c>
      <c r="D201" s="258" t="s">
        <v>776</v>
      </c>
      <c r="E201" s="236" t="s">
        <v>778</v>
      </c>
      <c r="F201" s="236" t="s">
        <v>180</v>
      </c>
      <c r="G201" s="236" t="s">
        <v>166</v>
      </c>
      <c r="H201" s="236">
        <v>108</v>
      </c>
      <c r="I201" s="236" t="s">
        <v>257</v>
      </c>
      <c r="J201" s="236">
        <v>2</v>
      </c>
      <c r="K201" s="236">
        <v>2</v>
      </c>
      <c r="L201" s="236">
        <v>2</v>
      </c>
      <c r="M201" s="236"/>
      <c r="N201" s="236"/>
      <c r="O201" s="236" t="s">
        <v>516</v>
      </c>
      <c r="P201" s="236" t="s">
        <v>35</v>
      </c>
      <c r="Q201" s="236">
        <v>16</v>
      </c>
      <c r="R201" s="236" t="s">
        <v>35</v>
      </c>
      <c r="S201" s="236"/>
      <c r="T201" s="236"/>
      <c r="U201" s="236"/>
      <c r="V201" s="236"/>
      <c r="W201" s="236"/>
      <c r="X201" s="236"/>
      <c r="Y201" s="236"/>
      <c r="Z201" s="236"/>
      <c r="AM201" s="236"/>
      <c r="AN201" s="236"/>
      <c r="AO201" s="236"/>
      <c r="AP201" s="236"/>
      <c r="AQ201" s="236"/>
      <c r="AR201" s="236"/>
      <c r="AS201" s="236"/>
      <c r="AT201" s="236"/>
      <c r="AU201" s="236"/>
      <c r="AV201" s="12"/>
      <c r="AW201" s="12"/>
      <c r="AX201" s="12"/>
      <c r="AY201" s="12"/>
      <c r="AZ201" s="12"/>
      <c r="BA201" s="12"/>
      <c r="BB201" s="12"/>
    </row>
    <row r="202" spans="1:54" ht="13">
      <c r="A202" s="26" t="s">
        <v>1365</v>
      </c>
      <c r="B202" s="27" t="s">
        <v>10</v>
      </c>
      <c r="C202" s="31" t="s">
        <v>1368</v>
      </c>
      <c r="D202" s="31" t="s">
        <v>1370</v>
      </c>
      <c r="E202" s="27" t="s">
        <v>1482</v>
      </c>
      <c r="F202" s="27" t="s">
        <v>90</v>
      </c>
      <c r="G202" s="27" t="s">
        <v>820</v>
      </c>
      <c r="H202" s="27">
        <v>108</v>
      </c>
      <c r="I202" s="27" t="s">
        <v>257</v>
      </c>
      <c r="J202" s="27"/>
      <c r="K202" s="27"/>
      <c r="L202" s="27"/>
      <c r="M202" s="27"/>
      <c r="N202" s="27"/>
      <c r="O202" s="27"/>
      <c r="P202" s="27" t="s">
        <v>35</v>
      </c>
      <c r="Q202" s="27">
        <v>14</v>
      </c>
      <c r="R202" s="27" t="s">
        <v>35</v>
      </c>
      <c r="S202" s="27"/>
      <c r="T202" s="27"/>
      <c r="U202" s="27"/>
      <c r="V202" s="27"/>
      <c r="W202" s="27"/>
      <c r="X202" s="27"/>
      <c r="Y202" s="27"/>
      <c r="Z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12"/>
      <c r="AW202" s="12"/>
      <c r="AX202" s="12"/>
      <c r="AY202" s="12"/>
      <c r="AZ202" s="12"/>
      <c r="BA202" s="12"/>
      <c r="BB202" s="12"/>
    </row>
    <row r="203" spans="1:54" ht="13">
      <c r="A203" s="26" t="s">
        <v>1373</v>
      </c>
      <c r="B203" s="236" t="s">
        <v>5</v>
      </c>
      <c r="C203" s="258" t="s">
        <v>1376</v>
      </c>
      <c r="D203" s="236" t="s">
        <v>1377</v>
      </c>
      <c r="E203" s="236" t="s">
        <v>1491</v>
      </c>
      <c r="F203" s="236" t="s">
        <v>215</v>
      </c>
      <c r="G203" s="236" t="s">
        <v>97</v>
      </c>
      <c r="H203" s="236">
        <v>108</v>
      </c>
      <c r="I203" s="236" t="s">
        <v>257</v>
      </c>
      <c r="J203" s="236">
        <v>3</v>
      </c>
      <c r="K203" s="236">
        <v>3</v>
      </c>
      <c r="L203" s="236">
        <v>1</v>
      </c>
      <c r="M203" s="236"/>
      <c r="N203" s="236"/>
      <c r="O203" s="236" t="s">
        <v>110</v>
      </c>
      <c r="P203" s="236" t="s">
        <v>35</v>
      </c>
      <c r="Q203" s="236">
        <v>19</v>
      </c>
      <c r="R203" s="236" t="s">
        <v>35</v>
      </c>
      <c r="S203" s="236"/>
      <c r="T203" s="236"/>
      <c r="U203" s="236"/>
      <c r="V203" s="236"/>
      <c r="W203" s="236"/>
      <c r="X203" s="236"/>
      <c r="Y203" s="236"/>
      <c r="Z203" s="236"/>
      <c r="AM203" s="236"/>
      <c r="AN203" s="236"/>
      <c r="AO203" s="236"/>
      <c r="AP203" s="236"/>
      <c r="AQ203" s="236"/>
      <c r="AR203" s="236"/>
      <c r="AS203" s="236"/>
      <c r="AT203" s="236"/>
      <c r="AU203" s="236"/>
      <c r="AV203" s="12"/>
      <c r="AW203" s="12"/>
      <c r="AX203" s="12"/>
      <c r="AY203" s="12"/>
      <c r="AZ203" s="12"/>
      <c r="BA203" s="12"/>
      <c r="BB203" s="12"/>
    </row>
    <row r="204" spans="1:54" ht="13">
      <c r="A204" s="26" t="s">
        <v>1338</v>
      </c>
      <c r="B204" s="27" t="s">
        <v>304</v>
      </c>
      <c r="C204" s="31" t="s">
        <v>1339</v>
      </c>
      <c r="D204" s="31" t="s">
        <v>1340</v>
      </c>
      <c r="E204" s="27" t="s">
        <v>2270</v>
      </c>
      <c r="F204" s="27" t="s">
        <v>131</v>
      </c>
      <c r="G204" s="27" t="s">
        <v>192</v>
      </c>
      <c r="H204" s="27">
        <v>108</v>
      </c>
      <c r="I204" s="27"/>
      <c r="J204" s="27"/>
      <c r="K204" s="27"/>
      <c r="L204" s="27"/>
      <c r="M204" s="27"/>
      <c r="N204" s="27"/>
      <c r="O204" s="27" t="s">
        <v>1174</v>
      </c>
      <c r="P204" s="27" t="s">
        <v>33</v>
      </c>
      <c r="Q204" s="27">
        <v>22</v>
      </c>
      <c r="R204" s="27" t="s">
        <v>33</v>
      </c>
      <c r="S204" s="27"/>
      <c r="T204" s="27"/>
      <c r="U204" s="27"/>
      <c r="V204" s="27"/>
      <c r="W204" s="27"/>
      <c r="X204" s="27"/>
      <c r="Y204" s="27"/>
      <c r="Z204" s="27">
        <v>2</v>
      </c>
      <c r="AM204" s="27"/>
      <c r="AN204" s="27"/>
      <c r="AO204" s="27"/>
      <c r="AP204" s="27"/>
      <c r="AQ204" s="27"/>
      <c r="AR204" s="27"/>
      <c r="AS204" s="27"/>
      <c r="AT204" s="27"/>
      <c r="AU204" s="27"/>
      <c r="AV204" s="12"/>
      <c r="AW204" s="12"/>
      <c r="AX204" s="12"/>
      <c r="AY204" s="12"/>
      <c r="AZ204" s="12"/>
      <c r="BA204" s="12"/>
      <c r="BB204" s="12"/>
    </row>
    <row r="205" spans="1:54" ht="13">
      <c r="A205" s="26" t="s">
        <v>1330</v>
      </c>
      <c r="B205" s="236" t="s">
        <v>304</v>
      </c>
      <c r="C205" s="258" t="s">
        <v>1332</v>
      </c>
      <c r="D205" s="258" t="s">
        <v>1333</v>
      </c>
      <c r="E205" s="236" t="s">
        <v>1507</v>
      </c>
      <c r="F205" s="236" t="s">
        <v>90</v>
      </c>
      <c r="G205" s="236" t="s">
        <v>114</v>
      </c>
      <c r="H205" s="236">
        <v>108</v>
      </c>
      <c r="I205" s="236"/>
      <c r="J205" s="236"/>
      <c r="K205" s="236"/>
      <c r="L205" s="236"/>
      <c r="M205" s="236"/>
      <c r="N205" s="236"/>
      <c r="O205" s="236"/>
      <c r="P205" s="236" t="s">
        <v>32</v>
      </c>
      <c r="Q205" s="236">
        <v>8</v>
      </c>
      <c r="R205" s="236" t="s">
        <v>32</v>
      </c>
      <c r="S205" s="236"/>
      <c r="T205" s="236"/>
      <c r="U205" s="236"/>
      <c r="V205" s="236"/>
      <c r="W205" s="236"/>
      <c r="X205" s="236"/>
      <c r="Y205" s="236">
        <v>3</v>
      </c>
      <c r="Z205" s="236">
        <v>1.75</v>
      </c>
      <c r="AM205" s="236"/>
      <c r="AN205" s="236"/>
      <c r="AO205" s="236"/>
      <c r="AP205" s="236"/>
      <c r="AQ205" s="236"/>
      <c r="AR205" s="236"/>
      <c r="AS205" s="236"/>
      <c r="AT205" s="236"/>
      <c r="AU205" s="236"/>
      <c r="AV205" s="12"/>
      <c r="AW205" s="12"/>
      <c r="AX205" s="12"/>
      <c r="AY205" s="12"/>
      <c r="AZ205" s="12"/>
      <c r="BA205" s="12"/>
      <c r="BB205" s="12"/>
    </row>
    <row r="206" spans="1:54" ht="13">
      <c r="A206" s="26" t="s">
        <v>1642</v>
      </c>
      <c r="B206" s="27" t="s">
        <v>304</v>
      </c>
      <c r="C206" s="31" t="s">
        <v>1644</v>
      </c>
      <c r="D206" s="31" t="s">
        <v>1646</v>
      </c>
      <c r="E206" s="27" t="s">
        <v>2271</v>
      </c>
      <c r="F206" s="27" t="s">
        <v>187</v>
      </c>
      <c r="G206" s="27"/>
      <c r="H206" s="27">
        <v>107</v>
      </c>
      <c r="I206" s="27"/>
      <c r="J206" s="27"/>
      <c r="K206" s="27"/>
      <c r="L206" s="27"/>
      <c r="M206" s="27"/>
      <c r="N206" s="27"/>
      <c r="O206" s="27"/>
      <c r="P206" s="27" t="s">
        <v>70</v>
      </c>
      <c r="Q206" s="27" t="s">
        <v>1232</v>
      </c>
      <c r="R206" s="27" t="s">
        <v>70</v>
      </c>
      <c r="S206" s="27"/>
      <c r="T206" s="27"/>
      <c r="U206" s="27"/>
      <c r="V206" s="27"/>
      <c r="W206" s="27" t="s">
        <v>1036</v>
      </c>
      <c r="X206" s="27"/>
      <c r="Y206" s="27"/>
      <c r="Z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12"/>
      <c r="AW206" s="12"/>
      <c r="AX206" s="12"/>
      <c r="AY206" s="12"/>
      <c r="AZ206" s="12"/>
      <c r="BA206" s="12"/>
      <c r="BB206" s="12"/>
    </row>
    <row r="207" spans="1:54" ht="13">
      <c r="A207" s="26" t="s">
        <v>1480</v>
      </c>
      <c r="B207" s="236" t="s">
        <v>304</v>
      </c>
      <c r="C207" s="258" t="s">
        <v>1483</v>
      </c>
      <c r="D207" s="258" t="s">
        <v>1486</v>
      </c>
      <c r="E207" s="236" t="s">
        <v>2272</v>
      </c>
      <c r="F207" s="236" t="s">
        <v>336</v>
      </c>
      <c r="G207" s="236"/>
      <c r="H207" s="236">
        <v>105</v>
      </c>
      <c r="I207" s="236"/>
      <c r="J207" s="236"/>
      <c r="K207" s="236"/>
      <c r="L207" s="236"/>
      <c r="M207" s="236"/>
      <c r="N207" s="236"/>
      <c r="O207" s="236"/>
      <c r="P207" s="236" t="s">
        <v>70</v>
      </c>
      <c r="Q207" s="236">
        <v>82</v>
      </c>
      <c r="R207" s="236" t="s">
        <v>70</v>
      </c>
      <c r="S207" s="236"/>
      <c r="T207" s="236"/>
      <c r="U207" s="236"/>
      <c r="V207" s="236"/>
      <c r="W207" s="236" t="s">
        <v>1036</v>
      </c>
      <c r="X207" s="236"/>
      <c r="Y207" s="236"/>
      <c r="Z207" s="236"/>
      <c r="AM207" s="236"/>
      <c r="AN207" s="236"/>
      <c r="AO207" s="236"/>
      <c r="AP207" s="236"/>
      <c r="AQ207" s="236"/>
      <c r="AR207" s="236"/>
      <c r="AS207" s="236"/>
      <c r="AT207" s="236"/>
      <c r="AU207" s="236"/>
      <c r="AV207" s="12"/>
      <c r="AW207" s="12"/>
      <c r="AX207" s="12"/>
      <c r="AY207" s="12"/>
      <c r="AZ207" s="12"/>
      <c r="BA207" s="12"/>
      <c r="BB207" s="12"/>
    </row>
    <row r="208" spans="1:54" ht="13">
      <c r="A208" s="26" t="s">
        <v>1400</v>
      </c>
      <c r="B208" s="27" t="s">
        <v>304</v>
      </c>
      <c r="C208" s="31" t="s">
        <v>1403</v>
      </c>
      <c r="D208" s="31" t="s">
        <v>1406</v>
      </c>
      <c r="E208" s="27" t="s">
        <v>1535</v>
      </c>
      <c r="F208" s="27" t="s">
        <v>90</v>
      </c>
      <c r="G208" s="27" t="s">
        <v>114</v>
      </c>
      <c r="H208" s="27">
        <v>105</v>
      </c>
      <c r="I208" s="27"/>
      <c r="J208" s="27"/>
      <c r="K208" s="27"/>
      <c r="L208" s="27"/>
      <c r="M208" s="27"/>
      <c r="N208" s="27"/>
      <c r="O208" s="27"/>
      <c r="P208" s="27" t="s">
        <v>32</v>
      </c>
      <c r="Q208" s="27">
        <v>12</v>
      </c>
      <c r="R208" s="27" t="s">
        <v>32</v>
      </c>
      <c r="S208" s="27"/>
      <c r="T208" s="27"/>
      <c r="U208" s="27"/>
      <c r="V208" s="27"/>
      <c r="W208" s="27"/>
      <c r="X208" s="27"/>
      <c r="Y208" s="27">
        <v>3</v>
      </c>
      <c r="Z208" s="27">
        <v>1.5</v>
      </c>
      <c r="AM208" s="27"/>
      <c r="AN208" s="27"/>
      <c r="AO208" s="27"/>
      <c r="AP208" s="27"/>
      <c r="AQ208" s="27"/>
      <c r="AR208" s="27"/>
      <c r="AS208" s="27"/>
      <c r="AT208" s="27"/>
      <c r="AU208" s="27"/>
      <c r="AV208" s="12"/>
      <c r="AW208" s="12"/>
      <c r="AX208" s="12"/>
      <c r="AY208" s="12"/>
      <c r="AZ208" s="12"/>
      <c r="BA208" s="12"/>
      <c r="BB208" s="12"/>
    </row>
    <row r="209" spans="1:54" ht="13">
      <c r="A209" s="26" t="s">
        <v>1547</v>
      </c>
      <c r="B209" s="236" t="s">
        <v>304</v>
      </c>
      <c r="C209" s="258" t="s">
        <v>1550</v>
      </c>
      <c r="D209" s="258" t="s">
        <v>1552</v>
      </c>
      <c r="E209" s="236" t="s">
        <v>1554</v>
      </c>
      <c r="F209" s="236" t="s">
        <v>90</v>
      </c>
      <c r="G209" s="236" t="s">
        <v>55</v>
      </c>
      <c r="H209" s="236">
        <v>103</v>
      </c>
      <c r="I209" s="236"/>
      <c r="J209" s="236"/>
      <c r="K209" s="236"/>
      <c r="L209" s="236"/>
      <c r="M209" s="236"/>
      <c r="N209" s="236"/>
      <c r="O209" s="236" t="s">
        <v>1174</v>
      </c>
      <c r="P209" s="236" t="s">
        <v>78</v>
      </c>
      <c r="Q209" s="236">
        <v>8</v>
      </c>
      <c r="R209" s="236" t="s">
        <v>78</v>
      </c>
      <c r="S209" s="236"/>
      <c r="T209" s="236"/>
      <c r="U209" s="236"/>
      <c r="V209" s="236"/>
      <c r="W209" s="236"/>
      <c r="X209" s="236">
        <v>3</v>
      </c>
      <c r="Y209" s="236">
        <v>3</v>
      </c>
      <c r="Z209" s="236">
        <v>0.5</v>
      </c>
      <c r="AM209" s="236"/>
      <c r="AN209" s="236"/>
      <c r="AO209" s="236"/>
      <c r="AP209" s="236"/>
      <c r="AQ209" s="236"/>
      <c r="AR209" s="236"/>
      <c r="AS209" s="236"/>
      <c r="AT209" s="236"/>
      <c r="AU209" s="236"/>
      <c r="AV209" s="12"/>
      <c r="AW209" s="12"/>
      <c r="AX209" s="12"/>
      <c r="AY209" s="12"/>
      <c r="AZ209" s="12"/>
      <c r="BA209" s="12"/>
      <c r="BB209" s="12"/>
    </row>
    <row r="210" spans="1:54" ht="13">
      <c r="A210" s="26" t="s">
        <v>1461</v>
      </c>
      <c r="B210" s="27" t="s">
        <v>8</v>
      </c>
      <c r="C210" s="31" t="s">
        <v>1462</v>
      </c>
      <c r="D210" s="31" t="s">
        <v>1464</v>
      </c>
      <c r="E210" s="27" t="s">
        <v>1722</v>
      </c>
      <c r="F210" s="27" t="s">
        <v>336</v>
      </c>
      <c r="G210" s="27" t="s">
        <v>55</v>
      </c>
      <c r="H210" s="27">
        <v>100</v>
      </c>
      <c r="I210" s="27">
        <v>1</v>
      </c>
      <c r="J210" s="27"/>
      <c r="K210" s="27"/>
      <c r="L210" s="27"/>
      <c r="M210" s="27"/>
      <c r="N210" s="27"/>
      <c r="O210" s="27" t="s">
        <v>2219</v>
      </c>
      <c r="P210" s="27" t="s">
        <v>33</v>
      </c>
      <c r="Q210" s="27">
        <v>31</v>
      </c>
      <c r="R210" s="27" t="s">
        <v>33</v>
      </c>
      <c r="S210" s="27"/>
      <c r="T210" s="27"/>
      <c r="U210" s="27"/>
      <c r="V210" s="27"/>
      <c r="W210" s="27"/>
      <c r="X210" s="27"/>
      <c r="Y210" s="27"/>
      <c r="Z210" s="27">
        <v>1</v>
      </c>
      <c r="AM210" s="27"/>
      <c r="AN210" s="27"/>
      <c r="AO210" s="27"/>
      <c r="AP210" s="27"/>
      <c r="AQ210" s="27"/>
      <c r="AR210" s="27"/>
      <c r="AS210" s="27"/>
      <c r="AT210" s="27"/>
      <c r="AU210" s="27"/>
      <c r="AV210" s="12"/>
      <c r="AW210" s="12"/>
      <c r="AX210" s="12"/>
      <c r="AY210" s="12"/>
      <c r="AZ210" s="12"/>
      <c r="BA210" s="12"/>
      <c r="BB210" s="12"/>
    </row>
    <row r="211" spans="1:54" ht="13">
      <c r="A211" s="26" t="s">
        <v>1467</v>
      </c>
      <c r="B211" s="236" t="s">
        <v>12</v>
      </c>
      <c r="C211" s="258" t="s">
        <v>1469</v>
      </c>
      <c r="D211" s="258" t="s">
        <v>1471</v>
      </c>
      <c r="E211" s="236" t="s">
        <v>2273</v>
      </c>
      <c r="F211" s="236" t="s">
        <v>83</v>
      </c>
      <c r="G211" s="236" t="s">
        <v>151</v>
      </c>
      <c r="H211" s="236">
        <v>100</v>
      </c>
      <c r="I211" s="236">
        <v>2</v>
      </c>
      <c r="J211" s="236">
        <v>2</v>
      </c>
      <c r="K211" s="236">
        <v>2</v>
      </c>
      <c r="L211" s="236"/>
      <c r="M211" s="236"/>
      <c r="N211" s="236"/>
      <c r="O211" s="236" t="s">
        <v>1048</v>
      </c>
      <c r="P211" s="236" t="s">
        <v>34</v>
      </c>
      <c r="Q211" s="236">
        <v>12</v>
      </c>
      <c r="R211" s="236" t="s">
        <v>34</v>
      </c>
      <c r="S211" s="236" t="s">
        <v>374</v>
      </c>
      <c r="T211" s="236">
        <v>6</v>
      </c>
      <c r="U211" s="236">
        <v>7</v>
      </c>
      <c r="V211" s="236"/>
      <c r="W211" s="236"/>
      <c r="X211" s="236"/>
      <c r="Y211" s="236"/>
      <c r="Z211" s="236">
        <v>2</v>
      </c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12"/>
      <c r="AW211" s="12"/>
      <c r="AX211" s="12"/>
      <c r="AY211" s="12"/>
      <c r="AZ211" s="12"/>
      <c r="BA211" s="12"/>
      <c r="BB211" s="12"/>
    </row>
    <row r="212" spans="1:54" ht="13">
      <c r="A212" s="26" t="s">
        <v>1473</v>
      </c>
      <c r="B212" s="27" t="s">
        <v>12</v>
      </c>
      <c r="C212" s="31" t="s">
        <v>1475</v>
      </c>
      <c r="D212" s="31" t="s">
        <v>1478</v>
      </c>
      <c r="E212" s="27" t="s">
        <v>2274</v>
      </c>
      <c r="F212" s="27" t="s">
        <v>90</v>
      </c>
      <c r="G212" s="27" t="s">
        <v>699</v>
      </c>
      <c r="H212" s="27">
        <v>100</v>
      </c>
      <c r="I212" s="27">
        <v>1.5</v>
      </c>
      <c r="J212" s="27">
        <v>1.5</v>
      </c>
      <c r="K212" s="27">
        <v>1.5</v>
      </c>
      <c r="L212" s="27"/>
      <c r="M212" s="27"/>
      <c r="N212" s="27"/>
      <c r="O212" s="27" t="s">
        <v>1048</v>
      </c>
      <c r="P212" s="27" t="s">
        <v>34</v>
      </c>
      <c r="Q212" s="27">
        <v>14</v>
      </c>
      <c r="R212" s="27" t="s">
        <v>34</v>
      </c>
      <c r="S212" s="27" t="s">
        <v>374</v>
      </c>
      <c r="T212" s="27">
        <v>6</v>
      </c>
      <c r="U212" s="27">
        <v>13</v>
      </c>
      <c r="V212" s="27"/>
      <c r="W212" s="27"/>
      <c r="X212" s="27"/>
      <c r="Y212" s="27"/>
      <c r="Z212" s="27">
        <v>1.5</v>
      </c>
      <c r="AM212" s="27"/>
      <c r="AN212" s="27"/>
      <c r="AO212" s="27"/>
      <c r="AP212" s="27"/>
      <c r="AQ212" s="27"/>
      <c r="AR212" s="27"/>
      <c r="AS212" s="27"/>
      <c r="AT212" s="27"/>
      <c r="AU212" s="27"/>
      <c r="AV212" s="12"/>
      <c r="AW212" s="12"/>
      <c r="AX212" s="12"/>
      <c r="AY212" s="12"/>
      <c r="AZ212" s="12"/>
      <c r="BA212" s="12"/>
      <c r="BB212" s="12"/>
    </row>
    <row r="213" spans="1:54" ht="13">
      <c r="A213" s="26" t="s">
        <v>720</v>
      </c>
      <c r="B213" s="236" t="s">
        <v>12</v>
      </c>
      <c r="C213" s="258" t="s">
        <v>722</v>
      </c>
      <c r="D213" s="258" t="s">
        <v>723</v>
      </c>
      <c r="E213" s="236" t="s">
        <v>724</v>
      </c>
      <c r="F213" s="236" t="s">
        <v>215</v>
      </c>
      <c r="G213" s="236" t="s">
        <v>132</v>
      </c>
      <c r="H213" s="236">
        <v>100</v>
      </c>
      <c r="I213" s="236" t="s">
        <v>257</v>
      </c>
      <c r="J213" s="236">
        <v>1.5</v>
      </c>
      <c r="K213" s="236">
        <v>1.5</v>
      </c>
      <c r="L213" s="236">
        <v>1.5</v>
      </c>
      <c r="M213" s="236"/>
      <c r="N213" s="236"/>
      <c r="O213" s="236" t="s">
        <v>417</v>
      </c>
      <c r="P213" s="236" t="s">
        <v>35</v>
      </c>
      <c r="Q213" s="236">
        <v>18</v>
      </c>
      <c r="R213" s="236" t="s">
        <v>35</v>
      </c>
      <c r="S213" s="236"/>
      <c r="T213" s="236"/>
      <c r="U213" s="236"/>
      <c r="V213" s="236"/>
      <c r="W213" s="236"/>
      <c r="X213" s="236"/>
      <c r="Y213" s="236"/>
      <c r="Z213" s="236"/>
      <c r="AM213" s="236"/>
      <c r="AN213" s="236"/>
      <c r="AO213" s="236"/>
      <c r="AP213" s="236"/>
      <c r="AQ213" s="236"/>
      <c r="AR213" s="236"/>
      <c r="AS213" s="236"/>
      <c r="AT213" s="236"/>
      <c r="AU213" s="236"/>
      <c r="AV213" s="12"/>
      <c r="AW213" s="12"/>
      <c r="AX213" s="12"/>
      <c r="AY213" s="12"/>
      <c r="AZ213" s="12"/>
      <c r="BA213" s="12"/>
      <c r="BB213" s="12"/>
    </row>
    <row r="214" spans="1:54" ht="13">
      <c r="A214" s="26" t="s">
        <v>606</v>
      </c>
      <c r="B214" s="27" t="s">
        <v>3</v>
      </c>
      <c r="C214" s="31" t="s">
        <v>607</v>
      </c>
      <c r="D214" s="31" t="s">
        <v>608</v>
      </c>
      <c r="E214" s="27" t="s">
        <v>610</v>
      </c>
      <c r="F214" s="27" t="s">
        <v>90</v>
      </c>
      <c r="G214" s="27" t="s">
        <v>114</v>
      </c>
      <c r="H214" s="27">
        <v>100</v>
      </c>
      <c r="I214" s="27" t="s">
        <v>257</v>
      </c>
      <c r="J214" s="27">
        <v>3</v>
      </c>
      <c r="K214" s="27">
        <v>3</v>
      </c>
      <c r="L214" s="27">
        <v>3</v>
      </c>
      <c r="M214" s="27"/>
      <c r="N214" s="27"/>
      <c r="O214" s="27" t="s">
        <v>516</v>
      </c>
      <c r="P214" s="27" t="s">
        <v>35</v>
      </c>
      <c r="Q214" s="27">
        <v>4</v>
      </c>
      <c r="R214" s="27" t="s">
        <v>34</v>
      </c>
      <c r="S214" s="27"/>
      <c r="T214" s="27"/>
      <c r="U214" s="27"/>
      <c r="V214" s="27"/>
      <c r="W214" s="27"/>
      <c r="X214" s="27"/>
      <c r="Y214" s="27"/>
      <c r="Z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12"/>
      <c r="AW214" s="12"/>
      <c r="AX214" s="12"/>
      <c r="AY214" s="12"/>
      <c r="AZ214" s="12"/>
      <c r="BA214" s="12"/>
      <c r="BB214" s="12"/>
    </row>
    <row r="215" spans="1:54" ht="13">
      <c r="A215" s="26" t="s">
        <v>1534</v>
      </c>
      <c r="B215" s="236" t="s">
        <v>3</v>
      </c>
      <c r="C215" s="258" t="s">
        <v>1483</v>
      </c>
      <c r="D215" s="236" t="s">
        <v>1540</v>
      </c>
      <c r="E215" s="236" t="s">
        <v>2275</v>
      </c>
      <c r="F215" s="236" t="s">
        <v>103</v>
      </c>
      <c r="G215" s="236" t="s">
        <v>132</v>
      </c>
      <c r="H215" s="236">
        <v>100</v>
      </c>
      <c r="I215" s="236" t="s">
        <v>257</v>
      </c>
      <c r="J215" s="236">
        <v>1</v>
      </c>
      <c r="K215" s="236">
        <v>1</v>
      </c>
      <c r="L215" s="236">
        <v>2</v>
      </c>
      <c r="M215" s="236"/>
      <c r="N215" s="236"/>
      <c r="O215" s="236" t="s">
        <v>516</v>
      </c>
      <c r="P215" s="236" t="s">
        <v>35</v>
      </c>
      <c r="Q215" s="236">
        <v>28</v>
      </c>
      <c r="R215" s="236" t="s">
        <v>35</v>
      </c>
      <c r="S215" s="236"/>
      <c r="T215" s="236"/>
      <c r="U215" s="236"/>
      <c r="V215" s="236"/>
      <c r="W215" s="236"/>
      <c r="X215" s="236"/>
      <c r="Y215" s="236"/>
      <c r="Z215" s="236"/>
      <c r="AM215" s="236"/>
      <c r="AN215" s="236"/>
      <c r="AO215" s="236"/>
      <c r="AP215" s="236"/>
      <c r="AQ215" s="236"/>
      <c r="AR215" s="236"/>
      <c r="AS215" s="236"/>
      <c r="AT215" s="236"/>
      <c r="AU215" s="236"/>
      <c r="AV215" s="12"/>
      <c r="AW215" s="12"/>
      <c r="AX215" s="12"/>
      <c r="AY215" s="12"/>
      <c r="AZ215" s="12"/>
      <c r="BA215" s="12"/>
      <c r="BB215" s="12"/>
    </row>
    <row r="216" spans="1:54" ht="13">
      <c r="A216" s="26" t="s">
        <v>1487</v>
      </c>
      <c r="B216" s="27" t="s">
        <v>304</v>
      </c>
      <c r="C216" s="31" t="s">
        <v>1489</v>
      </c>
      <c r="D216" s="31" t="s">
        <v>1492</v>
      </c>
      <c r="E216" s="27" t="s">
        <v>1709</v>
      </c>
      <c r="F216" s="27" t="s">
        <v>90</v>
      </c>
      <c r="G216" s="27" t="s">
        <v>109</v>
      </c>
      <c r="H216" s="27">
        <v>100</v>
      </c>
      <c r="I216" s="27">
        <v>0.5</v>
      </c>
      <c r="J216" s="27">
        <v>1</v>
      </c>
      <c r="K216" s="27">
        <v>1</v>
      </c>
      <c r="L216" s="27"/>
      <c r="M216" s="27"/>
      <c r="N216" s="27"/>
      <c r="O216" s="27" t="s">
        <v>1048</v>
      </c>
      <c r="P216" s="27" t="s">
        <v>34</v>
      </c>
      <c r="Q216" s="27">
        <v>27</v>
      </c>
      <c r="R216" s="27" t="s">
        <v>34</v>
      </c>
      <c r="S216" s="27"/>
      <c r="T216" s="27"/>
      <c r="U216" s="27"/>
      <c r="V216" s="27"/>
      <c r="W216" s="27"/>
      <c r="X216" s="27"/>
      <c r="Y216" s="27"/>
      <c r="Z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12"/>
      <c r="AW216" s="12"/>
      <c r="AX216" s="12"/>
      <c r="AY216" s="12"/>
      <c r="AZ216" s="12"/>
      <c r="BA216" s="12"/>
      <c r="BB216" s="12"/>
    </row>
    <row r="217" spans="1:54" ht="13">
      <c r="A217" s="26" t="s">
        <v>1495</v>
      </c>
      <c r="B217" s="236" t="s">
        <v>304</v>
      </c>
      <c r="C217" s="258" t="s">
        <v>1497</v>
      </c>
      <c r="D217" s="258" t="s">
        <v>1498</v>
      </c>
      <c r="E217" s="236" t="s">
        <v>1712</v>
      </c>
      <c r="F217" s="236" t="s">
        <v>90</v>
      </c>
      <c r="G217" s="236" t="s">
        <v>109</v>
      </c>
      <c r="H217" s="236">
        <v>100</v>
      </c>
      <c r="I217" s="236"/>
      <c r="J217" s="236"/>
      <c r="K217" s="236"/>
      <c r="L217" s="236"/>
      <c r="M217" s="236"/>
      <c r="N217" s="236"/>
      <c r="O217" s="236"/>
      <c r="P217" s="236" t="s">
        <v>34</v>
      </c>
      <c r="Q217" s="236">
        <v>39</v>
      </c>
      <c r="R217" s="236" t="s">
        <v>34</v>
      </c>
      <c r="S217" s="236"/>
      <c r="T217" s="236"/>
      <c r="U217" s="236"/>
      <c r="V217" s="236"/>
      <c r="W217" s="236"/>
      <c r="X217" s="236"/>
      <c r="Y217" s="236"/>
      <c r="Z217" s="236"/>
      <c r="AM217" s="236"/>
      <c r="AN217" s="236"/>
      <c r="AO217" s="236"/>
      <c r="AP217" s="236"/>
      <c r="AQ217" s="236"/>
      <c r="AR217" s="236"/>
      <c r="AS217" s="236"/>
      <c r="AT217" s="236"/>
      <c r="AU217" s="236"/>
      <c r="AV217" s="12"/>
      <c r="AW217" s="12"/>
      <c r="AX217" s="12"/>
      <c r="AY217" s="12"/>
      <c r="AZ217" s="12"/>
      <c r="BA217" s="12"/>
      <c r="BB217" s="12"/>
    </row>
    <row r="218" spans="1:54" ht="13">
      <c r="A218" s="26" t="s">
        <v>1418</v>
      </c>
      <c r="B218" s="27" t="s">
        <v>304</v>
      </c>
      <c r="C218" s="31" t="s">
        <v>1419</v>
      </c>
      <c r="D218" s="31" t="s">
        <v>1421</v>
      </c>
      <c r="E218" s="27" t="s">
        <v>1419</v>
      </c>
      <c r="F218" s="27" t="s">
        <v>336</v>
      </c>
      <c r="G218" s="27"/>
      <c r="H218" s="27">
        <v>100</v>
      </c>
      <c r="I218" s="27"/>
      <c r="J218" s="27"/>
      <c r="K218" s="27"/>
      <c r="L218" s="27"/>
      <c r="M218" s="27"/>
      <c r="N218" s="27"/>
      <c r="O218" s="27"/>
      <c r="P218" s="27" t="s">
        <v>78</v>
      </c>
      <c r="Q218" s="27" t="s">
        <v>1232</v>
      </c>
      <c r="R218" s="27" t="s">
        <v>78</v>
      </c>
      <c r="S218" s="27"/>
      <c r="T218" s="27"/>
      <c r="U218" s="27"/>
      <c r="V218" s="27"/>
      <c r="W218" s="27" t="s">
        <v>1036</v>
      </c>
      <c r="X218" s="27"/>
      <c r="Y218" s="27"/>
      <c r="Z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12"/>
      <c r="AW218" s="12"/>
      <c r="AX218" s="12"/>
      <c r="AY218" s="12"/>
      <c r="AZ218" s="12"/>
      <c r="BA218" s="12"/>
      <c r="BB218" s="12"/>
    </row>
    <row r="219" spans="1:54" ht="13">
      <c r="A219" s="26" t="s">
        <v>1648</v>
      </c>
      <c r="B219" s="236" t="s">
        <v>304</v>
      </c>
      <c r="C219" s="258" t="s">
        <v>1650</v>
      </c>
      <c r="D219" s="258" t="s">
        <v>1651</v>
      </c>
      <c r="E219" s="236" t="s">
        <v>2276</v>
      </c>
      <c r="F219" s="236" t="s">
        <v>336</v>
      </c>
      <c r="G219" s="236"/>
      <c r="H219" s="236">
        <v>100</v>
      </c>
      <c r="I219" s="236"/>
      <c r="J219" s="236"/>
      <c r="K219" s="236"/>
      <c r="L219" s="236"/>
      <c r="M219" s="236"/>
      <c r="N219" s="236"/>
      <c r="O219" s="236"/>
      <c r="P219" s="236" t="s">
        <v>70</v>
      </c>
      <c r="Q219" s="236">
        <v>41</v>
      </c>
      <c r="R219" s="236" t="s">
        <v>70</v>
      </c>
      <c r="S219" s="236"/>
      <c r="T219" s="236"/>
      <c r="U219" s="236"/>
      <c r="V219" s="236"/>
      <c r="W219" s="236"/>
      <c r="X219" s="236">
        <v>1</v>
      </c>
      <c r="Y219" s="236"/>
      <c r="Z219" s="236"/>
      <c r="AM219" s="236"/>
      <c r="AN219" s="236"/>
      <c r="AO219" s="236"/>
      <c r="AP219" s="236"/>
      <c r="AQ219" s="236"/>
      <c r="AR219" s="236"/>
      <c r="AS219" s="236"/>
      <c r="AT219" s="236"/>
      <c r="AU219" s="236"/>
      <c r="AV219" s="12"/>
      <c r="AW219" s="12"/>
      <c r="AX219" s="12"/>
      <c r="AY219" s="12"/>
      <c r="AZ219" s="12"/>
      <c r="BA219" s="12"/>
      <c r="BB219" s="12"/>
    </row>
    <row r="220" spans="1:54" ht="13">
      <c r="A220" s="26" t="s">
        <v>1654</v>
      </c>
      <c r="B220" s="27" t="s">
        <v>304</v>
      </c>
      <c r="C220" s="31" t="s">
        <v>1656</v>
      </c>
      <c r="D220" s="31" t="s">
        <v>1657</v>
      </c>
      <c r="E220" s="27" t="s">
        <v>2277</v>
      </c>
      <c r="F220" s="27" t="s">
        <v>90</v>
      </c>
      <c r="G220" s="27"/>
      <c r="H220" s="27">
        <v>100</v>
      </c>
      <c r="I220" s="27"/>
      <c r="J220" s="27"/>
      <c r="K220" s="27"/>
      <c r="L220" s="27"/>
      <c r="M220" s="27"/>
      <c r="N220" s="27"/>
      <c r="O220" s="27"/>
      <c r="P220" s="27" t="s">
        <v>70</v>
      </c>
      <c r="Q220" s="27">
        <v>66</v>
      </c>
      <c r="R220" s="27" t="s">
        <v>70</v>
      </c>
      <c r="S220" s="27"/>
      <c r="T220" s="27"/>
      <c r="U220" s="27"/>
      <c r="V220" s="27"/>
      <c r="W220" s="27" t="s">
        <v>1036</v>
      </c>
      <c r="X220" s="27"/>
      <c r="Y220" s="27"/>
      <c r="Z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12"/>
      <c r="AW220" s="12"/>
      <c r="AX220" s="12"/>
      <c r="AY220" s="12"/>
      <c r="AZ220" s="12"/>
      <c r="BA220" s="12"/>
      <c r="BB220" s="12"/>
    </row>
    <row r="221" spans="1:54" ht="13">
      <c r="A221" s="26" t="s">
        <v>1658</v>
      </c>
      <c r="B221" s="236" t="s">
        <v>304</v>
      </c>
      <c r="C221" s="258" t="s">
        <v>1660</v>
      </c>
      <c r="D221" s="258" t="s">
        <v>1661</v>
      </c>
      <c r="E221" s="236" t="s">
        <v>2278</v>
      </c>
      <c r="F221" s="236" t="s">
        <v>90</v>
      </c>
      <c r="G221" s="236"/>
      <c r="H221" s="236">
        <v>100</v>
      </c>
      <c r="I221" s="236"/>
      <c r="J221" s="236"/>
      <c r="K221" s="236"/>
      <c r="L221" s="236"/>
      <c r="M221" s="236"/>
      <c r="N221" s="236"/>
      <c r="O221" s="236"/>
      <c r="P221" s="236" t="s">
        <v>70</v>
      </c>
      <c r="Q221" s="236" t="s">
        <v>1232</v>
      </c>
      <c r="R221" s="236" t="s">
        <v>70</v>
      </c>
      <c r="S221" s="236"/>
      <c r="T221" s="236"/>
      <c r="U221" s="236"/>
      <c r="V221" s="236"/>
      <c r="W221" s="236" t="s">
        <v>1036</v>
      </c>
      <c r="X221" s="236"/>
      <c r="Y221" s="236"/>
      <c r="Z221" s="236"/>
      <c r="AM221" s="236"/>
      <c r="AN221" s="236"/>
      <c r="AO221" s="236"/>
      <c r="AP221" s="236"/>
      <c r="AQ221" s="236"/>
      <c r="AR221" s="236"/>
      <c r="AS221" s="236"/>
      <c r="AT221" s="236"/>
      <c r="AU221" s="236"/>
      <c r="AV221" s="12"/>
      <c r="AW221" s="12"/>
      <c r="AX221" s="12"/>
      <c r="AY221" s="12"/>
      <c r="AZ221" s="12"/>
      <c r="BA221" s="12"/>
      <c r="BB221" s="12"/>
    </row>
    <row r="222" spans="1:54" ht="13">
      <c r="A222" s="26" t="s">
        <v>1662</v>
      </c>
      <c r="B222" s="27" t="s">
        <v>304</v>
      </c>
      <c r="C222" s="31" t="s">
        <v>1664</v>
      </c>
      <c r="D222" s="31" t="s">
        <v>1666</v>
      </c>
      <c r="E222" s="27" t="s">
        <v>2279</v>
      </c>
      <c r="F222" s="27" t="s">
        <v>90</v>
      </c>
      <c r="G222" s="27"/>
      <c r="H222" s="27">
        <v>100</v>
      </c>
      <c r="I222" s="27"/>
      <c r="J222" s="27"/>
      <c r="K222" s="27"/>
      <c r="L222" s="27"/>
      <c r="M222" s="27"/>
      <c r="N222" s="27"/>
      <c r="O222" s="27"/>
      <c r="P222" s="27" t="s">
        <v>70</v>
      </c>
      <c r="Q222" s="27">
        <v>64</v>
      </c>
      <c r="R222" s="27" t="s">
        <v>70</v>
      </c>
      <c r="S222" s="27"/>
      <c r="T222" s="27"/>
      <c r="U222" s="27"/>
      <c r="V222" s="27"/>
      <c r="W222" s="27"/>
      <c r="X222" s="27"/>
      <c r="Y222" s="27"/>
      <c r="Z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12"/>
      <c r="AW222" s="12"/>
      <c r="AX222" s="12"/>
      <c r="AY222" s="12"/>
      <c r="AZ222" s="12"/>
      <c r="BA222" s="12"/>
      <c r="BB222" s="12"/>
    </row>
    <row r="223" spans="1:54" ht="13">
      <c r="A223" s="26" t="s">
        <v>1731</v>
      </c>
      <c r="B223" s="236" t="s">
        <v>304</v>
      </c>
      <c r="C223" s="258" t="s">
        <v>1732</v>
      </c>
      <c r="D223" s="258" t="s">
        <v>1733</v>
      </c>
      <c r="E223" s="236" t="s">
        <v>1734</v>
      </c>
      <c r="F223" s="236" t="s">
        <v>83</v>
      </c>
      <c r="G223" s="236"/>
      <c r="H223" s="236">
        <v>100</v>
      </c>
      <c r="I223" s="236"/>
      <c r="J223" s="236"/>
      <c r="K223" s="236"/>
      <c r="L223" s="236"/>
      <c r="M223" s="236"/>
      <c r="N223" s="236"/>
      <c r="O223" s="236"/>
      <c r="P223" s="236" t="s">
        <v>78</v>
      </c>
      <c r="Q223" s="236">
        <v>41</v>
      </c>
      <c r="R223" s="236" t="s">
        <v>78</v>
      </c>
      <c r="S223" s="236"/>
      <c r="T223" s="236"/>
      <c r="U223" s="236"/>
      <c r="V223" s="236"/>
      <c r="W223" s="236"/>
      <c r="X223" s="236">
        <v>0.5</v>
      </c>
      <c r="Y223" s="236"/>
      <c r="Z223" s="236"/>
      <c r="AM223" s="236"/>
      <c r="AN223" s="236"/>
      <c r="AO223" s="236"/>
      <c r="AP223" s="236"/>
      <c r="AQ223" s="236"/>
      <c r="AR223" s="236"/>
      <c r="AS223" s="236"/>
      <c r="AT223" s="236"/>
      <c r="AU223" s="236"/>
      <c r="AV223" s="12"/>
      <c r="AW223" s="12"/>
      <c r="AX223" s="12"/>
      <c r="AY223" s="12"/>
      <c r="AZ223" s="12"/>
      <c r="BA223" s="12"/>
      <c r="BB223" s="12"/>
    </row>
    <row r="224" spans="1:54" ht="13">
      <c r="A224" s="26" t="s">
        <v>1737</v>
      </c>
      <c r="B224" s="27" t="s">
        <v>304</v>
      </c>
      <c r="C224" s="31" t="s">
        <v>1738</v>
      </c>
      <c r="D224" s="31" t="s">
        <v>1739</v>
      </c>
      <c r="E224" s="27" t="s">
        <v>1740</v>
      </c>
      <c r="F224" s="27" t="s">
        <v>75</v>
      </c>
      <c r="G224" s="27"/>
      <c r="H224" s="27">
        <v>100</v>
      </c>
      <c r="I224" s="27"/>
      <c r="J224" s="27"/>
      <c r="K224" s="27"/>
      <c r="L224" s="27"/>
      <c r="M224" s="27"/>
      <c r="N224" s="27"/>
      <c r="O224" s="27"/>
      <c r="P224" s="27" t="s">
        <v>78</v>
      </c>
      <c r="Q224" s="27">
        <v>29</v>
      </c>
      <c r="R224" s="27" t="s">
        <v>78</v>
      </c>
      <c r="S224" s="27"/>
      <c r="T224" s="27"/>
      <c r="U224" s="27"/>
      <c r="V224" s="27"/>
      <c r="W224" s="27"/>
      <c r="X224" s="27">
        <v>2</v>
      </c>
      <c r="Y224" s="27"/>
      <c r="Z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12"/>
      <c r="AW224" s="12"/>
      <c r="AX224" s="12"/>
      <c r="AY224" s="12"/>
      <c r="AZ224" s="12"/>
      <c r="BA224" s="12"/>
      <c r="BB224" s="12"/>
    </row>
    <row r="225" spans="1:54" ht="13">
      <c r="A225" s="26" t="s">
        <v>1668</v>
      </c>
      <c r="B225" s="236" t="s">
        <v>304</v>
      </c>
      <c r="C225" s="258" t="s">
        <v>1669</v>
      </c>
      <c r="D225" s="258" t="s">
        <v>1671</v>
      </c>
      <c r="E225" s="236" t="s">
        <v>2280</v>
      </c>
      <c r="F225" s="236" t="s">
        <v>75</v>
      </c>
      <c r="G225" s="236"/>
      <c r="H225" s="236">
        <v>100</v>
      </c>
      <c r="I225" s="236"/>
      <c r="J225" s="236"/>
      <c r="K225" s="236"/>
      <c r="L225" s="236"/>
      <c r="M225" s="236"/>
      <c r="N225" s="236"/>
      <c r="O225" s="236"/>
      <c r="P225" s="236" t="s">
        <v>70</v>
      </c>
      <c r="Q225" s="236">
        <v>77</v>
      </c>
      <c r="R225" s="236" t="s">
        <v>70</v>
      </c>
      <c r="S225" s="236"/>
      <c r="T225" s="236"/>
      <c r="U225" s="236"/>
      <c r="V225" s="236"/>
      <c r="W225" s="236"/>
      <c r="X225" s="236">
        <v>0.5</v>
      </c>
      <c r="Y225" s="236"/>
      <c r="Z225" s="236"/>
      <c r="AM225" s="236"/>
      <c r="AN225" s="236"/>
      <c r="AO225" s="236"/>
      <c r="AP225" s="236"/>
      <c r="AQ225" s="236"/>
      <c r="AR225" s="236"/>
      <c r="AS225" s="236"/>
      <c r="AT225" s="236"/>
      <c r="AU225" s="236"/>
      <c r="AV225" s="12"/>
      <c r="AW225" s="12"/>
      <c r="AX225" s="12"/>
      <c r="AY225" s="12"/>
      <c r="AZ225" s="12"/>
      <c r="BA225" s="12"/>
      <c r="BB225" s="12"/>
    </row>
    <row r="226" spans="1:54" ht="13">
      <c r="A226" s="26" t="s">
        <v>1743</v>
      </c>
      <c r="B226" s="27" t="s">
        <v>304</v>
      </c>
      <c r="C226" s="31" t="s">
        <v>1744</v>
      </c>
      <c r="D226" s="31" t="s">
        <v>1745</v>
      </c>
      <c r="E226" s="27" t="s">
        <v>1746</v>
      </c>
      <c r="F226" s="27" t="s">
        <v>336</v>
      </c>
      <c r="G226" s="27"/>
      <c r="H226" s="27">
        <v>100</v>
      </c>
      <c r="I226" s="27"/>
      <c r="J226" s="27"/>
      <c r="K226" s="27"/>
      <c r="L226" s="27"/>
      <c r="M226" s="27"/>
      <c r="N226" s="27"/>
      <c r="O226" s="27"/>
      <c r="P226" s="27" t="s">
        <v>78</v>
      </c>
      <c r="Q226" s="27">
        <v>18</v>
      </c>
      <c r="R226" s="27" t="s">
        <v>78</v>
      </c>
      <c r="S226" s="27"/>
      <c r="T226" s="27"/>
      <c r="U226" s="27"/>
      <c r="V226" s="27"/>
      <c r="W226" s="27"/>
      <c r="X226" s="27">
        <v>0.5</v>
      </c>
      <c r="Y226" s="27"/>
      <c r="Z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12"/>
      <c r="AW226" s="12"/>
      <c r="AX226" s="12"/>
      <c r="AY226" s="12"/>
      <c r="AZ226" s="12"/>
      <c r="BA226" s="12"/>
      <c r="BB226" s="12"/>
    </row>
    <row r="227" spans="1:54" ht="13">
      <c r="A227" s="26" t="s">
        <v>1673</v>
      </c>
      <c r="B227" s="236" t="s">
        <v>304</v>
      </c>
      <c r="C227" s="258" t="s">
        <v>1675</v>
      </c>
      <c r="D227" s="258" t="s">
        <v>1676</v>
      </c>
      <c r="E227" s="236" t="s">
        <v>2281</v>
      </c>
      <c r="F227" s="236" t="s">
        <v>90</v>
      </c>
      <c r="G227" s="236" t="s">
        <v>109</v>
      </c>
      <c r="H227" s="236">
        <v>100</v>
      </c>
      <c r="I227" s="236"/>
      <c r="J227" s="236"/>
      <c r="K227" s="236"/>
      <c r="L227" s="236"/>
      <c r="M227" s="236"/>
      <c r="N227" s="236"/>
      <c r="O227" s="236"/>
      <c r="P227" s="236" t="s">
        <v>70</v>
      </c>
      <c r="Q227" s="236" t="s">
        <v>1232</v>
      </c>
      <c r="R227" s="236" t="s">
        <v>70</v>
      </c>
      <c r="S227" s="236"/>
      <c r="T227" s="236"/>
      <c r="U227" s="236"/>
      <c r="V227" s="236"/>
      <c r="W227" s="236" t="s">
        <v>1036</v>
      </c>
      <c r="X227" s="236"/>
      <c r="Y227" s="236"/>
      <c r="Z227" s="236"/>
      <c r="AM227" s="236"/>
      <c r="AN227" s="236"/>
      <c r="AO227" s="236"/>
      <c r="AP227" s="236"/>
      <c r="AQ227" s="236"/>
      <c r="AR227" s="236"/>
      <c r="AS227" s="236"/>
      <c r="AT227" s="236"/>
      <c r="AU227" s="236"/>
      <c r="AV227" s="12"/>
      <c r="AW227" s="12"/>
      <c r="AX227" s="12"/>
      <c r="AY227" s="12"/>
      <c r="AZ227" s="12"/>
      <c r="BA227" s="12"/>
      <c r="BB227" s="12"/>
    </row>
    <row r="228" spans="1:54" ht="13">
      <c r="A228" s="26" t="s">
        <v>1749</v>
      </c>
      <c r="B228" s="27" t="s">
        <v>304</v>
      </c>
      <c r="C228" s="31" t="s">
        <v>1750</v>
      </c>
      <c r="D228" s="31" t="s">
        <v>1751</v>
      </c>
      <c r="E228" s="27" t="s">
        <v>1752</v>
      </c>
      <c r="F228" s="27" t="s">
        <v>336</v>
      </c>
      <c r="G228" s="27" t="s">
        <v>55</v>
      </c>
      <c r="H228" s="27">
        <v>100</v>
      </c>
      <c r="I228" s="27"/>
      <c r="J228" s="27"/>
      <c r="K228" s="27"/>
      <c r="L228" s="27"/>
      <c r="M228" s="27"/>
      <c r="N228" s="27"/>
      <c r="O228" s="27"/>
      <c r="P228" s="27" t="s">
        <v>78</v>
      </c>
      <c r="Q228" s="27">
        <v>44</v>
      </c>
      <c r="R228" s="27" t="s">
        <v>78</v>
      </c>
      <c r="S228" s="27"/>
      <c r="T228" s="27"/>
      <c r="U228" s="27"/>
      <c r="V228" s="27"/>
      <c r="W228" s="27"/>
      <c r="X228" s="27">
        <v>0.5</v>
      </c>
      <c r="Y228" s="27"/>
      <c r="Z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12"/>
      <c r="AW228" s="12"/>
      <c r="AX228" s="12"/>
      <c r="AY228" s="12"/>
      <c r="AZ228" s="12"/>
      <c r="BA228" s="12"/>
      <c r="BB228" s="12"/>
    </row>
    <row r="229" spans="1:54" ht="13">
      <c r="A229" s="26" t="s">
        <v>1755</v>
      </c>
      <c r="B229" s="236" t="s">
        <v>304</v>
      </c>
      <c r="C229" s="258" t="s">
        <v>1756</v>
      </c>
      <c r="D229" s="258" t="s">
        <v>1757</v>
      </c>
      <c r="E229" s="236" t="s">
        <v>1758</v>
      </c>
      <c r="F229" s="236" t="s">
        <v>336</v>
      </c>
      <c r="G229" s="236" t="s">
        <v>55</v>
      </c>
      <c r="H229" s="236">
        <v>100</v>
      </c>
      <c r="I229" s="236"/>
      <c r="J229" s="236"/>
      <c r="K229" s="236"/>
      <c r="L229" s="236"/>
      <c r="M229" s="236"/>
      <c r="N229" s="236"/>
      <c r="O229" s="236"/>
      <c r="P229" s="236" t="s">
        <v>78</v>
      </c>
      <c r="Q229" s="236">
        <v>39</v>
      </c>
      <c r="R229" s="236" t="s">
        <v>78</v>
      </c>
      <c r="S229" s="236"/>
      <c r="T229" s="236"/>
      <c r="U229" s="236"/>
      <c r="V229" s="236"/>
      <c r="W229" s="236"/>
      <c r="X229" s="236">
        <v>0.5</v>
      </c>
      <c r="Y229" s="236"/>
      <c r="Z229" s="236"/>
      <c r="AM229" s="236"/>
      <c r="AN229" s="236"/>
      <c r="AO229" s="236"/>
      <c r="AP229" s="236"/>
      <c r="AQ229" s="236"/>
      <c r="AR229" s="236"/>
      <c r="AS229" s="236"/>
      <c r="AT229" s="236"/>
      <c r="AU229" s="236"/>
      <c r="AV229" s="12"/>
      <c r="AW229" s="12"/>
      <c r="AX229" s="12"/>
      <c r="AY229" s="12"/>
      <c r="AZ229" s="12"/>
      <c r="BA229" s="12"/>
      <c r="BB229" s="12"/>
    </row>
    <row r="230" spans="1:54" ht="13">
      <c r="A230" s="26" t="s">
        <v>1761</v>
      </c>
      <c r="B230" s="27" t="s">
        <v>304</v>
      </c>
      <c r="C230" s="31" t="s">
        <v>1762</v>
      </c>
      <c r="D230" s="31" t="s">
        <v>1763</v>
      </c>
      <c r="E230" s="27" t="s">
        <v>1764</v>
      </c>
      <c r="F230" s="27" t="s">
        <v>336</v>
      </c>
      <c r="G230" s="27" t="s">
        <v>109</v>
      </c>
      <c r="H230" s="27">
        <v>100</v>
      </c>
      <c r="I230" s="27"/>
      <c r="J230" s="27"/>
      <c r="K230" s="27"/>
      <c r="L230" s="27"/>
      <c r="M230" s="27"/>
      <c r="N230" s="27"/>
      <c r="O230" s="27"/>
      <c r="P230" s="27" t="s">
        <v>126</v>
      </c>
      <c r="Q230" s="27">
        <v>21</v>
      </c>
      <c r="R230" s="27" t="s">
        <v>78</v>
      </c>
      <c r="S230" s="27"/>
      <c r="T230" s="27"/>
      <c r="U230" s="27"/>
      <c r="V230" s="27"/>
      <c r="W230" s="27" t="s">
        <v>1036</v>
      </c>
      <c r="X230" s="27"/>
      <c r="Y230" s="27">
        <v>0.5</v>
      </c>
      <c r="Z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12"/>
      <c r="AW230" s="12"/>
      <c r="AX230" s="12"/>
      <c r="AY230" s="12"/>
      <c r="AZ230" s="12"/>
      <c r="BA230" s="12"/>
      <c r="BB230" s="12"/>
    </row>
    <row r="231" spans="1:54" ht="13">
      <c r="A231" s="26" t="s">
        <v>1767</v>
      </c>
      <c r="B231" s="236" t="s">
        <v>304</v>
      </c>
      <c r="C231" s="258" t="s">
        <v>1768</v>
      </c>
      <c r="D231" s="258" t="s">
        <v>1769</v>
      </c>
      <c r="E231" s="236" t="s">
        <v>2282</v>
      </c>
      <c r="F231" s="236" t="s">
        <v>103</v>
      </c>
      <c r="G231" s="236" t="s">
        <v>132</v>
      </c>
      <c r="H231" s="236">
        <v>100</v>
      </c>
      <c r="I231" s="236"/>
      <c r="J231" s="236"/>
      <c r="K231" s="236"/>
      <c r="L231" s="236"/>
      <c r="M231" s="236"/>
      <c r="N231" s="236"/>
      <c r="O231" s="236"/>
      <c r="P231" s="236" t="s">
        <v>78</v>
      </c>
      <c r="Q231" s="236">
        <v>26</v>
      </c>
      <c r="R231" s="236" t="s">
        <v>78</v>
      </c>
      <c r="S231" s="236"/>
      <c r="T231" s="236"/>
      <c r="U231" s="236"/>
      <c r="V231" s="236"/>
      <c r="W231" s="236"/>
      <c r="X231" s="236">
        <v>2</v>
      </c>
      <c r="Y231" s="236">
        <v>1</v>
      </c>
      <c r="Z231" s="236"/>
      <c r="AM231" s="236"/>
      <c r="AN231" s="236"/>
      <c r="AO231" s="236"/>
      <c r="AP231" s="236"/>
      <c r="AQ231" s="236"/>
      <c r="AR231" s="236"/>
      <c r="AS231" s="236"/>
      <c r="AT231" s="236"/>
      <c r="AU231" s="236"/>
      <c r="AV231" s="12"/>
      <c r="AW231" s="12"/>
      <c r="AX231" s="12"/>
      <c r="AY231" s="12"/>
      <c r="AZ231" s="12"/>
      <c r="BA231" s="12"/>
      <c r="BB231" s="12"/>
    </row>
    <row r="232" spans="1:54" ht="13">
      <c r="A232" s="26" t="s">
        <v>1503</v>
      </c>
      <c r="B232" s="27" t="s">
        <v>304</v>
      </c>
      <c r="C232" s="31" t="s">
        <v>1449</v>
      </c>
      <c r="D232" s="31" t="s">
        <v>1505</v>
      </c>
      <c r="E232" s="27" t="s">
        <v>1715</v>
      </c>
      <c r="F232" s="27" t="s">
        <v>90</v>
      </c>
      <c r="G232" s="27" t="s">
        <v>55</v>
      </c>
      <c r="H232" s="27">
        <v>100</v>
      </c>
      <c r="I232" s="27"/>
      <c r="J232" s="27"/>
      <c r="K232" s="27"/>
      <c r="L232" s="27"/>
      <c r="M232" s="27"/>
      <c r="N232" s="27"/>
      <c r="O232" s="27"/>
      <c r="P232" s="27" t="s">
        <v>34</v>
      </c>
      <c r="Q232" s="27">
        <v>28</v>
      </c>
      <c r="R232" s="27" t="s">
        <v>34</v>
      </c>
      <c r="S232" s="27" t="s">
        <v>266</v>
      </c>
      <c r="T232" s="27">
        <v>6</v>
      </c>
      <c r="U232" s="27">
        <v>16</v>
      </c>
      <c r="V232" s="27" t="s">
        <v>375</v>
      </c>
      <c r="W232" s="27"/>
      <c r="X232" s="27"/>
      <c r="Y232" s="27"/>
      <c r="Z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12"/>
      <c r="AW232" s="12"/>
      <c r="AX232" s="12"/>
      <c r="AY232" s="12"/>
      <c r="AZ232" s="12"/>
      <c r="BA232" s="12"/>
      <c r="BB232" s="12"/>
    </row>
    <row r="233" spans="1:54" ht="13">
      <c r="A233" s="26" t="s">
        <v>1513</v>
      </c>
      <c r="B233" s="236" t="s">
        <v>304</v>
      </c>
      <c r="C233" s="258" t="s">
        <v>1515</v>
      </c>
      <c r="D233" s="258" t="s">
        <v>1517</v>
      </c>
      <c r="E233" s="236" t="s">
        <v>1718</v>
      </c>
      <c r="F233" s="236" t="s">
        <v>187</v>
      </c>
      <c r="G233" s="236" t="s">
        <v>225</v>
      </c>
      <c r="H233" s="236">
        <v>100</v>
      </c>
      <c r="I233" s="236"/>
      <c r="J233" s="236"/>
      <c r="K233" s="236"/>
      <c r="L233" s="236"/>
      <c r="M233" s="236"/>
      <c r="N233" s="236"/>
      <c r="O233" s="236"/>
      <c r="P233" s="236" t="s">
        <v>34</v>
      </c>
      <c r="Q233" s="236">
        <v>26</v>
      </c>
      <c r="R233" s="236" t="s">
        <v>34</v>
      </c>
      <c r="S233" s="236" t="s">
        <v>266</v>
      </c>
      <c r="T233" s="236">
        <v>6</v>
      </c>
      <c r="U233" s="236">
        <v>12</v>
      </c>
      <c r="V233" s="236" t="s">
        <v>375</v>
      </c>
      <c r="W233" s="236"/>
      <c r="X233" s="236"/>
      <c r="Y233" s="236"/>
      <c r="Z233" s="236"/>
      <c r="AM233" s="236"/>
      <c r="AN233" s="236"/>
      <c r="AO233" s="236"/>
      <c r="AP233" s="236"/>
      <c r="AQ233" s="236"/>
      <c r="AR233" s="236"/>
      <c r="AS233" s="236"/>
      <c r="AT233" s="236"/>
      <c r="AU233" s="236"/>
      <c r="AV233" s="12"/>
      <c r="AW233" s="12"/>
      <c r="AX233" s="12"/>
      <c r="AY233" s="12"/>
      <c r="AZ233" s="12"/>
      <c r="BA233" s="12"/>
      <c r="BB233" s="12"/>
    </row>
    <row r="234" spans="1:54" ht="13">
      <c r="A234" s="26" t="s">
        <v>1521</v>
      </c>
      <c r="B234" s="27" t="s">
        <v>304</v>
      </c>
      <c r="C234" s="31" t="s">
        <v>1528</v>
      </c>
      <c r="D234" s="31" t="s">
        <v>1529</v>
      </c>
      <c r="E234" s="27" t="s">
        <v>1720</v>
      </c>
      <c r="F234" s="27" t="s">
        <v>131</v>
      </c>
      <c r="G234" s="27" t="s">
        <v>159</v>
      </c>
      <c r="H234" s="27">
        <v>100</v>
      </c>
      <c r="I234" s="27"/>
      <c r="J234" s="27"/>
      <c r="K234" s="27"/>
      <c r="L234" s="27"/>
      <c r="M234" s="27"/>
      <c r="N234" s="27"/>
      <c r="O234" s="27"/>
      <c r="P234" s="27" t="s">
        <v>34</v>
      </c>
      <c r="Q234" s="27">
        <v>45</v>
      </c>
      <c r="R234" s="27" t="s">
        <v>34</v>
      </c>
      <c r="S234" s="27"/>
      <c r="T234" s="27"/>
      <c r="U234" s="27"/>
      <c r="V234" s="27"/>
      <c r="W234" s="27"/>
      <c r="X234" s="27"/>
      <c r="Y234" s="27"/>
      <c r="Z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12"/>
      <c r="AW234" s="12"/>
      <c r="AX234" s="12"/>
      <c r="AY234" s="12"/>
      <c r="AZ234" s="12"/>
      <c r="BA234" s="12"/>
      <c r="BB234" s="12"/>
    </row>
    <row r="235" spans="1:54" ht="13">
      <c r="A235" s="26" t="s">
        <v>1409</v>
      </c>
      <c r="B235" s="236" t="s">
        <v>304</v>
      </c>
      <c r="C235" s="258" t="s">
        <v>1411</v>
      </c>
      <c r="D235" s="258" t="s">
        <v>1413</v>
      </c>
      <c r="E235" s="236" t="s">
        <v>1773</v>
      </c>
      <c r="F235" s="236" t="s">
        <v>336</v>
      </c>
      <c r="G235" s="236"/>
      <c r="H235" s="236">
        <v>100</v>
      </c>
      <c r="I235" s="236"/>
      <c r="J235" s="236"/>
      <c r="K235" s="236"/>
      <c r="L235" s="236"/>
      <c r="M235" s="236"/>
      <c r="N235" s="236"/>
      <c r="O235" s="236"/>
      <c r="P235" s="236" t="s">
        <v>126</v>
      </c>
      <c r="Q235" s="236">
        <v>24</v>
      </c>
      <c r="R235" s="236" t="s">
        <v>78</v>
      </c>
      <c r="S235" s="236"/>
      <c r="T235" s="236"/>
      <c r="U235" s="236"/>
      <c r="V235" s="236"/>
      <c r="W235" s="236" t="s">
        <v>1036</v>
      </c>
      <c r="X235" s="236"/>
      <c r="Y235" s="236"/>
      <c r="Z235" s="236"/>
      <c r="AM235" s="236"/>
      <c r="AN235" s="236"/>
      <c r="AO235" s="236"/>
      <c r="AP235" s="236"/>
      <c r="AQ235" s="236"/>
      <c r="AR235" s="236"/>
      <c r="AS235" s="236"/>
      <c r="AT235" s="236"/>
      <c r="AU235" s="236"/>
      <c r="AV235" s="12"/>
      <c r="AW235" s="12"/>
      <c r="AX235" s="12"/>
      <c r="AY235" s="12"/>
      <c r="AZ235" s="12"/>
      <c r="BA235" s="12"/>
      <c r="BB235" s="12"/>
    </row>
    <row r="236" spans="1:54" ht="13">
      <c r="A236" s="26" t="s">
        <v>1678</v>
      </c>
      <c r="B236" s="27" t="s">
        <v>304</v>
      </c>
      <c r="C236" s="31" t="s">
        <v>1679</v>
      </c>
      <c r="D236" s="31" t="s">
        <v>1680</v>
      </c>
      <c r="E236" s="27" t="s">
        <v>2283</v>
      </c>
      <c r="F236" s="27" t="s">
        <v>75</v>
      </c>
      <c r="G236" s="27"/>
      <c r="H236" s="27">
        <v>100</v>
      </c>
      <c r="I236" s="27"/>
      <c r="J236" s="27"/>
      <c r="K236" s="27"/>
      <c r="L236" s="27"/>
      <c r="M236" s="27"/>
      <c r="N236" s="27"/>
      <c r="O236" s="27"/>
      <c r="P236" s="27" t="s">
        <v>78</v>
      </c>
      <c r="Q236" s="27" t="s">
        <v>1232</v>
      </c>
      <c r="R236" s="27" t="s">
        <v>70</v>
      </c>
      <c r="S236" s="27"/>
      <c r="T236" s="27"/>
      <c r="U236" s="27"/>
      <c r="V236" s="27"/>
      <c r="W236" s="27" t="s">
        <v>1036</v>
      </c>
      <c r="X236" s="27"/>
      <c r="Y236" s="27"/>
      <c r="Z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12"/>
      <c r="AW236" s="12"/>
      <c r="AX236" s="12"/>
      <c r="AY236" s="12"/>
      <c r="AZ236" s="12"/>
      <c r="BA236" s="12"/>
      <c r="BB236" s="12"/>
    </row>
    <row r="237" spans="1:54" ht="13">
      <c r="A237" s="26" t="s">
        <v>1776</v>
      </c>
      <c r="B237" s="236" t="s">
        <v>304</v>
      </c>
      <c r="C237" s="258" t="s">
        <v>1777</v>
      </c>
      <c r="D237" s="258" t="s">
        <v>1778</v>
      </c>
      <c r="E237" s="236" t="s">
        <v>2284</v>
      </c>
      <c r="F237" s="236" t="s">
        <v>187</v>
      </c>
      <c r="G237" s="236"/>
      <c r="H237" s="236">
        <v>100</v>
      </c>
      <c r="I237" s="236"/>
      <c r="J237" s="236"/>
      <c r="K237" s="236"/>
      <c r="L237" s="236"/>
      <c r="M237" s="236"/>
      <c r="N237" s="236"/>
      <c r="O237" s="236"/>
      <c r="P237" s="236" t="s">
        <v>78</v>
      </c>
      <c r="Q237" s="236" t="s">
        <v>1232</v>
      </c>
      <c r="R237" s="236" t="s">
        <v>78</v>
      </c>
      <c r="S237" s="236"/>
      <c r="T237" s="236"/>
      <c r="U237" s="236"/>
      <c r="V237" s="236"/>
      <c r="W237" s="236" t="s">
        <v>1036</v>
      </c>
      <c r="X237" s="236"/>
      <c r="Y237" s="236"/>
      <c r="Z237" s="236"/>
      <c r="AM237" s="236"/>
      <c r="AN237" s="236"/>
      <c r="AO237" s="236"/>
      <c r="AP237" s="236"/>
      <c r="AQ237" s="236"/>
      <c r="AR237" s="236"/>
      <c r="AS237" s="236"/>
      <c r="AT237" s="236"/>
      <c r="AU237" s="236"/>
      <c r="AV237" s="12"/>
      <c r="AW237" s="12"/>
      <c r="AX237" s="12"/>
      <c r="AY237" s="12"/>
      <c r="AZ237" s="12"/>
      <c r="BA237" s="12"/>
      <c r="BB237" s="12"/>
    </row>
    <row r="238" spans="1:54" ht="13">
      <c r="A238" s="26" t="s">
        <v>1683</v>
      </c>
      <c r="B238" s="27" t="s">
        <v>304</v>
      </c>
      <c r="C238" s="31" t="s">
        <v>1685</v>
      </c>
      <c r="D238" s="31" t="s">
        <v>1686</v>
      </c>
      <c r="E238" s="27" t="s">
        <v>2285</v>
      </c>
      <c r="F238" s="27" t="s">
        <v>215</v>
      </c>
      <c r="G238" s="27"/>
      <c r="H238" s="27">
        <v>100</v>
      </c>
      <c r="I238" s="27"/>
      <c r="J238" s="27"/>
      <c r="K238" s="27"/>
      <c r="L238" s="27"/>
      <c r="M238" s="27"/>
      <c r="N238" s="27"/>
      <c r="O238" s="27"/>
      <c r="P238" s="27" t="s">
        <v>70</v>
      </c>
      <c r="Q238" s="27" t="s">
        <v>1232</v>
      </c>
      <c r="R238" s="27" t="s">
        <v>70</v>
      </c>
      <c r="S238" s="27"/>
      <c r="T238" s="27"/>
      <c r="U238" s="27"/>
      <c r="V238" s="27"/>
      <c r="W238" s="27" t="s">
        <v>1036</v>
      </c>
      <c r="X238" s="27"/>
      <c r="Y238" s="27"/>
      <c r="Z238" s="27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</row>
    <row r="239" spans="1:54" ht="13">
      <c r="A239" s="26" t="s">
        <v>1445</v>
      </c>
      <c r="B239" s="236" t="s">
        <v>304</v>
      </c>
      <c r="C239" s="258" t="s">
        <v>1448</v>
      </c>
      <c r="D239" s="258" t="s">
        <v>1450</v>
      </c>
      <c r="E239" s="236" t="s">
        <v>1724</v>
      </c>
      <c r="F239" s="236" t="s">
        <v>215</v>
      </c>
      <c r="G239" s="236"/>
      <c r="H239" s="236">
        <v>100</v>
      </c>
      <c r="I239" s="236"/>
      <c r="J239" s="236"/>
      <c r="K239" s="236"/>
      <c r="L239" s="236"/>
      <c r="M239" s="236"/>
      <c r="N239" s="236"/>
      <c r="O239" s="236"/>
      <c r="P239" s="236" t="s">
        <v>126</v>
      </c>
      <c r="Q239" s="236">
        <v>35</v>
      </c>
      <c r="R239" s="236" t="s">
        <v>126</v>
      </c>
      <c r="S239" s="236"/>
      <c r="T239" s="236"/>
      <c r="U239" s="236"/>
      <c r="V239" s="236"/>
      <c r="W239" s="236" t="s">
        <v>1036</v>
      </c>
      <c r="X239" s="236"/>
      <c r="Y239" s="236"/>
      <c r="Z239" s="236"/>
      <c r="AM239" s="236"/>
      <c r="AN239" s="236"/>
      <c r="AO239" s="236"/>
      <c r="AP239" s="236"/>
      <c r="AQ239" s="236"/>
      <c r="AR239" s="236"/>
      <c r="AS239" s="236"/>
      <c r="AT239" s="236"/>
      <c r="AU239" s="236"/>
      <c r="AV239" s="12"/>
      <c r="AW239" s="12"/>
      <c r="AX239" s="12"/>
      <c r="AY239" s="12"/>
      <c r="AZ239" s="12"/>
      <c r="BA239" s="12"/>
      <c r="BB239" s="12"/>
    </row>
    <row r="240" spans="1:54" ht="13">
      <c r="A240" s="26" t="s">
        <v>1687</v>
      </c>
      <c r="B240" s="27" t="s">
        <v>304</v>
      </c>
      <c r="C240" s="31" t="s">
        <v>1689</v>
      </c>
      <c r="D240" s="31" t="s">
        <v>1691</v>
      </c>
      <c r="E240" s="27" t="s">
        <v>2286</v>
      </c>
      <c r="F240" s="27" t="s">
        <v>67</v>
      </c>
      <c r="G240" s="27"/>
      <c r="H240" s="27">
        <v>100</v>
      </c>
      <c r="I240" s="27"/>
      <c r="J240" s="27"/>
      <c r="K240" s="27"/>
      <c r="L240" s="27"/>
      <c r="M240" s="27"/>
      <c r="N240" s="27"/>
      <c r="O240" s="27"/>
      <c r="P240" s="27" t="s">
        <v>70</v>
      </c>
      <c r="Q240" s="27">
        <v>88</v>
      </c>
      <c r="R240" s="27" t="s">
        <v>70</v>
      </c>
      <c r="S240" s="27"/>
      <c r="T240" s="27"/>
      <c r="U240" s="27"/>
      <c r="V240" s="27"/>
      <c r="W240" s="27" t="s">
        <v>1036</v>
      </c>
      <c r="X240" s="27"/>
      <c r="Y240" s="27"/>
      <c r="Z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12"/>
      <c r="AW240" s="12"/>
      <c r="AX240" s="12"/>
      <c r="AY240" s="12"/>
      <c r="AZ240" s="12"/>
      <c r="BA240" s="12"/>
      <c r="BB240" s="12"/>
    </row>
    <row r="241" spans="1:54" ht="13">
      <c r="A241" s="26" t="s">
        <v>1782</v>
      </c>
      <c r="B241" s="236" t="s">
        <v>304</v>
      </c>
      <c r="C241" s="258" t="s">
        <v>1783</v>
      </c>
      <c r="D241" s="258" t="s">
        <v>1784</v>
      </c>
      <c r="E241" s="236" t="s">
        <v>1785</v>
      </c>
      <c r="F241" s="236" t="s">
        <v>67</v>
      </c>
      <c r="G241" s="236"/>
      <c r="H241" s="236">
        <v>100</v>
      </c>
      <c r="I241" s="236"/>
      <c r="J241" s="236"/>
      <c r="K241" s="236"/>
      <c r="L241" s="236"/>
      <c r="M241" s="236"/>
      <c r="N241" s="236"/>
      <c r="O241" s="236"/>
      <c r="P241" s="236" t="s">
        <v>126</v>
      </c>
      <c r="Q241" s="236">
        <v>29</v>
      </c>
      <c r="R241" s="236" t="s">
        <v>78</v>
      </c>
      <c r="S241" s="236"/>
      <c r="T241" s="236"/>
      <c r="U241" s="236"/>
      <c r="V241" s="236"/>
      <c r="W241" s="236" t="s">
        <v>1036</v>
      </c>
      <c r="X241" s="236"/>
      <c r="Y241" s="236"/>
      <c r="Z241" s="236"/>
      <c r="AM241" s="236"/>
      <c r="AN241" s="236"/>
      <c r="AO241" s="236"/>
      <c r="AP241" s="236"/>
      <c r="AQ241" s="236"/>
      <c r="AR241" s="236"/>
      <c r="AS241" s="236"/>
      <c r="AT241" s="236"/>
      <c r="AU241" s="236"/>
      <c r="AV241" s="12"/>
      <c r="AW241" s="12"/>
      <c r="AX241" s="12"/>
      <c r="AY241" s="12"/>
      <c r="AZ241" s="12"/>
      <c r="BA241" s="12"/>
      <c r="BB241" s="12"/>
    </row>
    <row r="242" spans="1:54" ht="13">
      <c r="A242" s="26" t="s">
        <v>1692</v>
      </c>
      <c r="B242" s="27" t="s">
        <v>304</v>
      </c>
      <c r="C242" s="31" t="s">
        <v>1693</v>
      </c>
      <c r="D242" s="31" t="s">
        <v>1694</v>
      </c>
      <c r="E242" s="27" t="s">
        <v>2287</v>
      </c>
      <c r="F242" s="27" t="s">
        <v>180</v>
      </c>
      <c r="G242" s="27"/>
      <c r="H242" s="27">
        <v>100</v>
      </c>
      <c r="I242" s="27"/>
      <c r="J242" s="27"/>
      <c r="K242" s="27"/>
      <c r="L242" s="27"/>
      <c r="M242" s="27"/>
      <c r="N242" s="27"/>
      <c r="O242" s="27"/>
      <c r="P242" s="27" t="s">
        <v>70</v>
      </c>
      <c r="Q242" s="27" t="s">
        <v>1232</v>
      </c>
      <c r="R242" s="27" t="s">
        <v>70</v>
      </c>
      <c r="S242" s="27"/>
      <c r="T242" s="27"/>
      <c r="U242" s="27"/>
      <c r="V242" s="27"/>
      <c r="W242" s="27" t="s">
        <v>1036</v>
      </c>
      <c r="X242" s="27"/>
      <c r="Y242" s="27"/>
      <c r="Z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12"/>
      <c r="AW242" s="12"/>
      <c r="AX242" s="12"/>
      <c r="AY242" s="12"/>
      <c r="AZ242" s="12"/>
      <c r="BA242" s="12"/>
      <c r="BB242" s="12"/>
    </row>
    <row r="243" spans="1:54" ht="13">
      <c r="A243" s="26" t="s">
        <v>1696</v>
      </c>
      <c r="B243" s="236" t="s">
        <v>304</v>
      </c>
      <c r="C243" s="258" t="s">
        <v>1698</v>
      </c>
      <c r="D243" s="258" t="s">
        <v>1699</v>
      </c>
      <c r="E243" s="236" t="s">
        <v>2288</v>
      </c>
      <c r="F243" s="236" t="s">
        <v>131</v>
      </c>
      <c r="G243" s="236"/>
      <c r="H243" s="236">
        <v>100</v>
      </c>
      <c r="I243" s="236"/>
      <c r="J243" s="236"/>
      <c r="K243" s="236"/>
      <c r="L243" s="236"/>
      <c r="M243" s="236"/>
      <c r="N243" s="236"/>
      <c r="O243" s="236"/>
      <c r="P243" s="236" t="s">
        <v>70</v>
      </c>
      <c r="Q243" s="236" t="s">
        <v>1232</v>
      </c>
      <c r="R243" s="236" t="s">
        <v>70</v>
      </c>
      <c r="S243" s="236"/>
      <c r="T243" s="236"/>
      <c r="U243" s="236"/>
      <c r="V243" s="236"/>
      <c r="W243" s="236" t="s">
        <v>1036</v>
      </c>
      <c r="X243" s="236"/>
      <c r="Y243" s="236"/>
      <c r="Z243" s="236"/>
      <c r="AM243" s="236"/>
      <c r="AN243" s="236"/>
      <c r="AO243" s="236"/>
      <c r="AP243" s="236"/>
      <c r="AQ243" s="236"/>
      <c r="AR243" s="236"/>
      <c r="AS243" s="236"/>
      <c r="AT243" s="236"/>
      <c r="AU243" s="236"/>
      <c r="AV243" s="12"/>
      <c r="AW243" s="12"/>
      <c r="AX243" s="12"/>
      <c r="AY243" s="12"/>
      <c r="AZ243" s="12"/>
      <c r="BA243" s="12"/>
      <c r="BB243" s="12"/>
    </row>
    <row r="244" spans="1:54" ht="13">
      <c r="A244" s="26" t="s">
        <v>1788</v>
      </c>
      <c r="B244" s="27" t="s">
        <v>304</v>
      </c>
      <c r="C244" s="31" t="s">
        <v>1789</v>
      </c>
      <c r="D244" s="31" t="s">
        <v>1790</v>
      </c>
      <c r="E244" s="27" t="s">
        <v>2289</v>
      </c>
      <c r="F244" s="27" t="s">
        <v>90</v>
      </c>
      <c r="G244" s="27"/>
      <c r="H244" s="27">
        <v>100</v>
      </c>
      <c r="I244" s="27"/>
      <c r="J244" s="27"/>
      <c r="K244" s="27"/>
      <c r="L244" s="27"/>
      <c r="M244" s="27"/>
      <c r="N244" s="27"/>
      <c r="O244" s="27"/>
      <c r="P244" s="27" t="s">
        <v>78</v>
      </c>
      <c r="Q244" s="27" t="s">
        <v>1232</v>
      </c>
      <c r="R244" s="27" t="s">
        <v>78</v>
      </c>
      <c r="S244" s="27"/>
      <c r="T244" s="27"/>
      <c r="U244" s="27"/>
      <c r="V244" s="27"/>
      <c r="W244" s="27" t="s">
        <v>1036</v>
      </c>
      <c r="X244" s="27"/>
      <c r="Y244" s="27"/>
      <c r="Z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12"/>
      <c r="AW244" s="12"/>
      <c r="AX244" s="12"/>
      <c r="AY244" s="12"/>
      <c r="AZ244" s="12"/>
      <c r="BA244" s="12"/>
      <c r="BB244" s="12"/>
    </row>
    <row r="245" spans="1:54" ht="13">
      <c r="A245" s="26" t="s">
        <v>1700</v>
      </c>
      <c r="B245" s="236" t="s">
        <v>304</v>
      </c>
      <c r="C245" s="258" t="s">
        <v>1701</v>
      </c>
      <c r="D245" s="258" t="s">
        <v>1703</v>
      </c>
      <c r="E245" s="236" t="s">
        <v>2290</v>
      </c>
      <c r="F245" s="236" t="s">
        <v>75</v>
      </c>
      <c r="G245" s="236"/>
      <c r="H245" s="236">
        <v>100</v>
      </c>
      <c r="I245" s="236"/>
      <c r="J245" s="236"/>
      <c r="K245" s="236"/>
      <c r="L245" s="236"/>
      <c r="M245" s="236"/>
      <c r="N245" s="236"/>
      <c r="O245" s="236"/>
      <c r="P245" s="236" t="s">
        <v>70</v>
      </c>
      <c r="Q245" s="236">
        <v>84</v>
      </c>
      <c r="R245" s="236" t="s">
        <v>70</v>
      </c>
      <c r="S245" s="236"/>
      <c r="T245" s="236"/>
      <c r="U245" s="236"/>
      <c r="V245" s="236"/>
      <c r="W245" s="236" t="s">
        <v>1036</v>
      </c>
      <c r="X245" s="236"/>
      <c r="Y245" s="236"/>
      <c r="Z245" s="236"/>
      <c r="AM245" s="236"/>
      <c r="AN245" s="236"/>
      <c r="AO245" s="236"/>
      <c r="AP245" s="236"/>
      <c r="AQ245" s="236"/>
      <c r="AR245" s="236"/>
      <c r="AS245" s="236"/>
      <c r="AT245" s="236"/>
      <c r="AU245" s="236"/>
      <c r="AV245" s="12"/>
      <c r="AW245" s="12"/>
      <c r="AX245" s="12"/>
      <c r="AY245" s="12"/>
      <c r="AZ245" s="12"/>
      <c r="BA245" s="12"/>
      <c r="BB245" s="12"/>
    </row>
    <row r="246" spans="1:54" ht="13">
      <c r="A246" s="26" t="s">
        <v>1794</v>
      </c>
      <c r="B246" s="27" t="s">
        <v>304</v>
      </c>
      <c r="C246" s="31" t="s">
        <v>1795</v>
      </c>
      <c r="D246" s="31" t="s">
        <v>1796</v>
      </c>
      <c r="E246" s="27" t="s">
        <v>1797</v>
      </c>
      <c r="F246" s="27" t="s">
        <v>75</v>
      </c>
      <c r="G246" s="27"/>
      <c r="H246" s="27">
        <v>100</v>
      </c>
      <c r="I246" s="27"/>
      <c r="J246" s="27"/>
      <c r="K246" s="27"/>
      <c r="L246" s="27"/>
      <c r="M246" s="27"/>
      <c r="N246" s="27"/>
      <c r="O246" s="27"/>
      <c r="P246" s="27" t="s">
        <v>78</v>
      </c>
      <c r="Q246" s="27" t="s">
        <v>1232</v>
      </c>
      <c r="R246" s="27" t="s">
        <v>78</v>
      </c>
      <c r="S246" s="27"/>
      <c r="T246" s="27"/>
      <c r="U246" s="27"/>
      <c r="V246" s="27"/>
      <c r="W246" s="27" t="s">
        <v>1036</v>
      </c>
      <c r="X246" s="27"/>
      <c r="Y246" s="27"/>
      <c r="Z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12"/>
      <c r="AW246" s="12"/>
      <c r="AX246" s="12"/>
      <c r="AY246" s="12"/>
      <c r="AZ246" s="12"/>
      <c r="BA246" s="12"/>
      <c r="BB246" s="12"/>
    </row>
    <row r="247" spans="1:54" ht="13">
      <c r="A247" s="26" t="s">
        <v>1800</v>
      </c>
      <c r="B247" s="236" t="s">
        <v>304</v>
      </c>
      <c r="C247" s="258" t="s">
        <v>1801</v>
      </c>
      <c r="D247" s="258" t="s">
        <v>1802</v>
      </c>
      <c r="E247" s="236" t="s">
        <v>1803</v>
      </c>
      <c r="F247" s="236" t="s">
        <v>215</v>
      </c>
      <c r="G247" s="236" t="s">
        <v>132</v>
      </c>
      <c r="H247" s="236">
        <v>100</v>
      </c>
      <c r="I247" s="236"/>
      <c r="J247" s="236"/>
      <c r="K247" s="236"/>
      <c r="L247" s="236"/>
      <c r="M247" s="236"/>
      <c r="N247" s="236"/>
      <c r="O247" s="236"/>
      <c r="P247" s="236" t="s">
        <v>78</v>
      </c>
      <c r="Q247" s="236">
        <v>31</v>
      </c>
      <c r="R247" s="236" t="s">
        <v>78</v>
      </c>
      <c r="S247" s="236"/>
      <c r="T247" s="236"/>
      <c r="U247" s="236"/>
      <c r="V247" s="236"/>
      <c r="W247" s="236"/>
      <c r="X247" s="236">
        <v>0.75</v>
      </c>
      <c r="Y247" s="236">
        <v>0.75</v>
      </c>
      <c r="Z247" s="236"/>
      <c r="AM247" s="236"/>
      <c r="AN247" s="236"/>
      <c r="AO247" s="236"/>
      <c r="AP247" s="236"/>
      <c r="AQ247" s="236"/>
      <c r="AR247" s="236"/>
      <c r="AS247" s="236"/>
      <c r="AT247" s="236"/>
      <c r="AU247" s="236"/>
      <c r="AV247" s="12"/>
      <c r="AW247" s="12"/>
      <c r="AX247" s="12"/>
      <c r="AY247" s="12"/>
      <c r="AZ247" s="12"/>
      <c r="BA247" s="12"/>
      <c r="BB247" s="12"/>
    </row>
    <row r="248" spans="1:54" ht="13">
      <c r="A248" s="26" t="s">
        <v>741</v>
      </c>
      <c r="B248" s="27" t="s">
        <v>304</v>
      </c>
      <c r="C248" s="31" t="s">
        <v>742</v>
      </c>
      <c r="D248" s="31" t="s">
        <v>744</v>
      </c>
      <c r="E248" s="27" t="s">
        <v>1727</v>
      </c>
      <c r="F248" s="27" t="s">
        <v>336</v>
      </c>
      <c r="G248" s="27" t="s">
        <v>109</v>
      </c>
      <c r="H248" s="27">
        <v>100</v>
      </c>
      <c r="I248" s="27"/>
      <c r="J248" s="27"/>
      <c r="K248" s="27"/>
      <c r="L248" s="27"/>
      <c r="M248" s="27"/>
      <c r="N248" s="27"/>
      <c r="O248" s="27"/>
      <c r="P248" s="27" t="s">
        <v>126</v>
      </c>
      <c r="Q248" s="27">
        <v>19</v>
      </c>
      <c r="R248" s="27" t="s">
        <v>126</v>
      </c>
      <c r="S248" s="27"/>
      <c r="T248" s="27"/>
      <c r="U248" s="27"/>
      <c r="V248" s="27"/>
      <c r="W248" s="27"/>
      <c r="X248" s="27">
        <v>3</v>
      </c>
      <c r="Y248" s="27"/>
      <c r="Z248" s="27">
        <v>0.37</v>
      </c>
      <c r="AM248" s="27"/>
      <c r="AN248" s="27"/>
      <c r="AO248" s="27"/>
      <c r="AP248" s="27"/>
      <c r="AQ248" s="27"/>
      <c r="AR248" s="27"/>
      <c r="AS248" s="27"/>
      <c r="AT248" s="27"/>
      <c r="AU248" s="27"/>
      <c r="AV248" s="12"/>
      <c r="AW248" s="12"/>
      <c r="AX248" s="12"/>
      <c r="AY248" s="12"/>
      <c r="AZ248" s="12"/>
      <c r="BA248" s="12"/>
      <c r="BB248" s="12"/>
    </row>
    <row r="249" spans="1:54" ht="13">
      <c r="A249" s="26" t="s">
        <v>1452</v>
      </c>
      <c r="B249" s="236" t="s">
        <v>304</v>
      </c>
      <c r="C249" s="258" t="s">
        <v>1454</v>
      </c>
      <c r="D249" s="258" t="s">
        <v>1457</v>
      </c>
      <c r="E249" s="236" t="s">
        <v>2291</v>
      </c>
      <c r="F249" s="236" t="s">
        <v>90</v>
      </c>
      <c r="G249" s="236" t="s">
        <v>55</v>
      </c>
      <c r="H249" s="236">
        <v>100</v>
      </c>
      <c r="I249" s="236"/>
      <c r="J249" s="236"/>
      <c r="K249" s="236"/>
      <c r="L249" s="236"/>
      <c r="M249" s="236"/>
      <c r="N249" s="236"/>
      <c r="O249" s="236"/>
      <c r="P249" s="236" t="s">
        <v>32</v>
      </c>
      <c r="Q249" s="236">
        <v>6</v>
      </c>
      <c r="R249" s="236" t="s">
        <v>32</v>
      </c>
      <c r="S249" s="236"/>
      <c r="T249" s="236"/>
      <c r="U249" s="236"/>
      <c r="V249" s="236"/>
      <c r="W249" s="236"/>
      <c r="X249" s="236"/>
      <c r="Y249" s="236">
        <v>7</v>
      </c>
      <c r="Z249" s="236">
        <v>4</v>
      </c>
      <c r="AM249" s="236"/>
      <c r="AN249" s="236"/>
      <c r="AO249" s="236"/>
      <c r="AP249" s="236"/>
      <c r="AQ249" s="236"/>
      <c r="AR249" s="236"/>
      <c r="AS249" s="236"/>
      <c r="AT249" s="236"/>
      <c r="AU249" s="236"/>
      <c r="AV249" s="12"/>
      <c r="AW249" s="12"/>
      <c r="AX249" s="12"/>
      <c r="AY249" s="12"/>
      <c r="AZ249" s="12"/>
      <c r="BA249" s="12"/>
      <c r="BB249" s="12"/>
    </row>
    <row r="250" spans="1:54" ht="13">
      <c r="A250" s="26" t="s">
        <v>1488</v>
      </c>
      <c r="B250" s="27" t="s">
        <v>304</v>
      </c>
      <c r="C250" s="31" t="s">
        <v>1490</v>
      </c>
      <c r="D250" s="31" t="s">
        <v>1493</v>
      </c>
      <c r="E250" s="27" t="s">
        <v>2292</v>
      </c>
      <c r="F250" s="27" t="s">
        <v>336</v>
      </c>
      <c r="G250" s="27" t="s">
        <v>55</v>
      </c>
      <c r="H250" s="27">
        <v>100</v>
      </c>
      <c r="I250" s="27"/>
      <c r="J250" s="27"/>
      <c r="K250" s="27"/>
      <c r="L250" s="27"/>
      <c r="M250" s="27"/>
      <c r="N250" s="27"/>
      <c r="O250" s="27"/>
      <c r="P250" s="27" t="s">
        <v>78</v>
      </c>
      <c r="Q250" s="27">
        <v>47</v>
      </c>
      <c r="R250" s="27" t="s">
        <v>70</v>
      </c>
      <c r="S250" s="27"/>
      <c r="T250" s="27"/>
      <c r="U250" s="27"/>
      <c r="V250" s="27"/>
      <c r="W250" s="27"/>
      <c r="X250" s="27">
        <v>0.5</v>
      </c>
      <c r="Y250" s="27">
        <v>0.5</v>
      </c>
      <c r="Z250" s="27">
        <v>0.5</v>
      </c>
      <c r="AM250" s="27"/>
      <c r="AN250" s="27"/>
      <c r="AO250" s="27"/>
      <c r="AP250" s="27"/>
      <c r="AQ250" s="27"/>
      <c r="AR250" s="27"/>
      <c r="AS250" s="27"/>
      <c r="AT250" s="27"/>
      <c r="AU250" s="27"/>
      <c r="AV250" s="12"/>
      <c r="AW250" s="12"/>
      <c r="AX250" s="12"/>
      <c r="AY250" s="12"/>
      <c r="AZ250" s="12"/>
      <c r="BA250" s="12"/>
      <c r="BB250" s="12"/>
    </row>
    <row r="251" spans="1:54" ht="13">
      <c r="A251" s="26" t="s">
        <v>1806</v>
      </c>
      <c r="B251" s="236" t="s">
        <v>304</v>
      </c>
      <c r="C251" s="258" t="s">
        <v>1807</v>
      </c>
      <c r="D251" s="258" t="s">
        <v>1808</v>
      </c>
      <c r="E251" s="236" t="s">
        <v>1809</v>
      </c>
      <c r="F251" s="236" t="s">
        <v>67</v>
      </c>
      <c r="G251" s="236" t="s">
        <v>904</v>
      </c>
      <c r="H251" s="236">
        <v>100</v>
      </c>
      <c r="I251" s="236"/>
      <c r="J251" s="236"/>
      <c r="K251" s="236"/>
      <c r="L251" s="236"/>
      <c r="M251" s="236"/>
      <c r="N251" s="236"/>
      <c r="O251" s="236"/>
      <c r="P251" s="236" t="s">
        <v>78</v>
      </c>
      <c r="Q251" s="236">
        <v>23</v>
      </c>
      <c r="R251" s="236" t="s">
        <v>78</v>
      </c>
      <c r="S251" s="236"/>
      <c r="T251" s="236"/>
      <c r="U251" s="236"/>
      <c r="V251" s="236"/>
      <c r="W251" s="236"/>
      <c r="X251" s="236">
        <v>2</v>
      </c>
      <c r="Y251" s="236">
        <v>2</v>
      </c>
      <c r="Z251" s="236">
        <v>0.5</v>
      </c>
      <c r="AM251" s="236"/>
      <c r="AN251" s="236"/>
      <c r="AO251" s="236"/>
      <c r="AP251" s="236"/>
      <c r="AQ251" s="236"/>
      <c r="AR251" s="236"/>
      <c r="AS251" s="236"/>
      <c r="AT251" s="236"/>
      <c r="AU251" s="236"/>
      <c r="AV251" s="12"/>
      <c r="AW251" s="12"/>
      <c r="AX251" s="12"/>
      <c r="AY251" s="12"/>
      <c r="AZ251" s="12"/>
      <c r="BA251" s="12"/>
      <c r="BB251" s="12"/>
    </row>
    <row r="252" spans="1:54" ht="13">
      <c r="AM252" s="27"/>
      <c r="AN252" s="27"/>
      <c r="AO252" s="27"/>
      <c r="AP252" s="27"/>
      <c r="AQ252" s="27"/>
      <c r="AR252" s="27"/>
      <c r="AS252" s="27"/>
      <c r="AT252" s="27"/>
      <c r="AU252" s="27"/>
      <c r="AV252" s="12"/>
      <c r="AW252" s="12"/>
      <c r="AX252" s="12"/>
      <c r="AY252" s="12"/>
      <c r="AZ252" s="12"/>
      <c r="BA252" s="12"/>
      <c r="BB252" s="12"/>
    </row>
    <row r="253" spans="1:54" ht="13">
      <c r="AM253" s="236"/>
      <c r="AN253" s="236"/>
      <c r="AO253" s="236"/>
      <c r="AP253" s="236"/>
      <c r="AQ253" s="236"/>
      <c r="AR253" s="236"/>
      <c r="AS253" s="236"/>
      <c r="AT253" s="236"/>
      <c r="AU253" s="236"/>
      <c r="AV253" s="12"/>
      <c r="AW253" s="12"/>
      <c r="AX253" s="12"/>
      <c r="AY253" s="12"/>
      <c r="AZ253" s="12"/>
      <c r="BA253" s="12"/>
      <c r="BB253" s="12"/>
    </row>
    <row r="254" spans="1:54" ht="13">
      <c r="AM254" s="27"/>
      <c r="AN254" s="27"/>
      <c r="AO254" s="27"/>
      <c r="AP254" s="27"/>
      <c r="AQ254" s="27"/>
      <c r="AR254" s="27"/>
      <c r="AS254" s="27"/>
      <c r="AT254" s="27"/>
      <c r="AU254" s="27"/>
      <c r="AV254" s="12"/>
      <c r="AW254" s="12"/>
      <c r="AX254" s="12"/>
      <c r="AY254" s="12"/>
      <c r="AZ254" s="12"/>
      <c r="BA254" s="12"/>
      <c r="BB254" s="12"/>
    </row>
    <row r="255" spans="1:54" ht="13">
      <c r="A255" s="12"/>
      <c r="B255" s="236"/>
      <c r="C255" s="236"/>
      <c r="D255" s="405"/>
      <c r="E255" s="236"/>
      <c r="F255" s="236"/>
      <c r="G255" s="236"/>
      <c r="H255" s="406"/>
      <c r="I255" s="236"/>
      <c r="J255" s="236"/>
      <c r="K255" s="236"/>
      <c r="L255" s="236"/>
      <c r="M255" s="236"/>
      <c r="N255" s="236"/>
      <c r="O255" s="236"/>
      <c r="P255" s="236"/>
      <c r="Q255" s="236"/>
      <c r="R255" s="236"/>
      <c r="S255" s="236"/>
      <c r="T255" s="236"/>
      <c r="U255" s="236"/>
      <c r="V255" s="236"/>
      <c r="W255" s="236"/>
      <c r="X255" s="236"/>
      <c r="Y255" s="236"/>
      <c r="Z255" s="236"/>
      <c r="AA255" s="236"/>
      <c r="AB255" s="236"/>
      <c r="AC255" s="236"/>
      <c r="AD255" s="236"/>
      <c r="AE255" s="236"/>
      <c r="AF255" s="236"/>
      <c r="AG255" s="236"/>
      <c r="AH255" s="236"/>
      <c r="AI255" s="236"/>
      <c r="AJ255" s="236"/>
      <c r="AK255" s="236"/>
      <c r="AL255" s="236"/>
      <c r="AM255" s="236"/>
      <c r="AN255" s="236"/>
      <c r="AO255" s="236"/>
      <c r="AP255" s="236"/>
      <c r="AQ255" s="236"/>
      <c r="AR255" s="236"/>
      <c r="AS255" s="236"/>
      <c r="AT255" s="236"/>
      <c r="AU255" s="236"/>
      <c r="AV255" s="12"/>
      <c r="AW255" s="12"/>
      <c r="AX255" s="12"/>
      <c r="AY255" s="12"/>
      <c r="AZ255" s="12"/>
      <c r="BA255" s="12"/>
      <c r="BB255" s="12"/>
    </row>
    <row r="256" spans="1:54" ht="13">
      <c r="A256" s="12"/>
      <c r="B256" s="27"/>
      <c r="C256" s="27"/>
      <c r="D256" s="407"/>
      <c r="E256" s="27"/>
      <c r="F256" s="27"/>
      <c r="G256" s="27"/>
      <c r="H256" s="408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12"/>
      <c r="AW256" s="12"/>
      <c r="AX256" s="12"/>
      <c r="AY256" s="12"/>
      <c r="AZ256" s="12"/>
      <c r="BA256" s="12"/>
      <c r="BB256" s="12"/>
    </row>
    <row r="257" spans="1:54" ht="13">
      <c r="A257" s="12"/>
      <c r="B257" s="236"/>
      <c r="C257" s="236"/>
      <c r="D257" s="405"/>
      <c r="E257" s="236"/>
      <c r="F257" s="236"/>
      <c r="G257" s="236"/>
      <c r="H257" s="406"/>
      <c r="I257" s="236"/>
      <c r="J257" s="236"/>
      <c r="K257" s="236"/>
      <c r="L257" s="236"/>
      <c r="M257" s="236"/>
      <c r="N257" s="236"/>
      <c r="O257" s="236"/>
      <c r="P257" s="236"/>
      <c r="Q257" s="236"/>
      <c r="R257" s="236"/>
      <c r="S257" s="236"/>
      <c r="T257" s="236"/>
      <c r="U257" s="236"/>
      <c r="V257" s="236"/>
      <c r="W257" s="236"/>
      <c r="X257" s="236"/>
      <c r="Y257" s="236"/>
      <c r="Z257" s="236"/>
      <c r="AA257" s="236"/>
      <c r="AB257" s="236"/>
      <c r="AC257" s="236"/>
      <c r="AD257" s="236"/>
      <c r="AE257" s="236"/>
      <c r="AF257" s="236"/>
      <c r="AG257" s="236"/>
      <c r="AH257" s="236"/>
      <c r="AI257" s="236"/>
      <c r="AJ257" s="236"/>
      <c r="AK257" s="236"/>
      <c r="AL257" s="236"/>
      <c r="AM257" s="236"/>
      <c r="AN257" s="236"/>
      <c r="AO257" s="236"/>
      <c r="AP257" s="236"/>
      <c r="AQ257" s="236"/>
      <c r="AR257" s="236"/>
      <c r="AS257" s="236"/>
      <c r="AT257" s="236"/>
      <c r="AU257" s="236"/>
      <c r="AV257" s="12"/>
      <c r="AW257" s="12"/>
      <c r="AX257" s="12"/>
      <c r="AY257" s="12"/>
      <c r="AZ257" s="12"/>
      <c r="BA257" s="12"/>
      <c r="BB257" s="12"/>
    </row>
    <row r="258" spans="1:54" ht="13">
      <c r="A258" s="12"/>
      <c r="B258" s="27"/>
      <c r="C258" s="27"/>
      <c r="D258" s="407"/>
      <c r="E258" s="27"/>
      <c r="F258" s="27"/>
      <c r="G258" s="27"/>
      <c r="H258" s="408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12"/>
      <c r="AW258" s="12"/>
      <c r="AX258" s="12"/>
      <c r="AY258" s="12"/>
      <c r="AZ258" s="12"/>
      <c r="BA258" s="12"/>
      <c r="BB258" s="12"/>
    </row>
    <row r="259" spans="1:54" ht="13">
      <c r="A259" s="12"/>
      <c r="B259" s="236"/>
      <c r="C259" s="236"/>
      <c r="D259" s="405"/>
      <c r="E259" s="236"/>
      <c r="F259" s="236"/>
      <c r="G259" s="236"/>
      <c r="H259" s="406"/>
      <c r="I259" s="236"/>
      <c r="J259" s="236"/>
      <c r="K259" s="236"/>
      <c r="L259" s="236"/>
      <c r="M259" s="236"/>
      <c r="N259" s="236"/>
      <c r="O259" s="236"/>
      <c r="P259" s="236"/>
      <c r="Q259" s="236"/>
      <c r="R259" s="236"/>
      <c r="S259" s="236"/>
      <c r="T259" s="236"/>
      <c r="U259" s="236"/>
      <c r="V259" s="236"/>
      <c r="W259" s="236"/>
      <c r="X259" s="236"/>
      <c r="Y259" s="236"/>
      <c r="Z259" s="236"/>
      <c r="AA259" s="236"/>
      <c r="AB259" s="236"/>
      <c r="AC259" s="236"/>
      <c r="AD259" s="236"/>
      <c r="AE259" s="236"/>
      <c r="AF259" s="236"/>
      <c r="AG259" s="236"/>
      <c r="AH259" s="236"/>
      <c r="AI259" s="236"/>
      <c r="AJ259" s="236"/>
      <c r="AK259" s="236"/>
      <c r="AL259" s="236"/>
      <c r="AM259" s="236"/>
      <c r="AN259" s="236"/>
      <c r="AO259" s="236"/>
      <c r="AP259" s="236"/>
      <c r="AQ259" s="236"/>
      <c r="AR259" s="236"/>
      <c r="AS259" s="236"/>
      <c r="AT259" s="236"/>
      <c r="AU259" s="236"/>
      <c r="AV259" s="12"/>
      <c r="AW259" s="12"/>
      <c r="AX259" s="12"/>
      <c r="AY259" s="12"/>
      <c r="AZ259" s="12"/>
      <c r="BA259" s="12"/>
      <c r="BB259" s="12"/>
    </row>
    <row r="260" spans="1:54" ht="13">
      <c r="A260" s="12"/>
      <c r="B260" s="27"/>
      <c r="C260" s="27"/>
      <c r="D260" s="407"/>
      <c r="E260" s="27"/>
      <c r="F260" s="27"/>
      <c r="G260" s="27"/>
      <c r="H260" s="408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12"/>
      <c r="AW260" s="12"/>
      <c r="AX260" s="12"/>
      <c r="AY260" s="12"/>
      <c r="AZ260" s="12"/>
      <c r="BA260" s="12"/>
      <c r="BB260" s="12"/>
    </row>
    <row r="261" spans="1:54" ht="13">
      <c r="A261" s="12"/>
      <c r="B261" s="236"/>
      <c r="C261" s="236"/>
      <c r="D261" s="405"/>
      <c r="E261" s="236"/>
      <c r="F261" s="236"/>
      <c r="G261" s="236"/>
      <c r="H261" s="406"/>
      <c r="I261" s="236"/>
      <c r="J261" s="236"/>
      <c r="K261" s="236"/>
      <c r="L261" s="236"/>
      <c r="M261" s="236"/>
      <c r="N261" s="236"/>
      <c r="O261" s="236"/>
      <c r="P261" s="236"/>
      <c r="Q261" s="236"/>
      <c r="R261" s="236"/>
      <c r="S261" s="236"/>
      <c r="T261" s="236"/>
      <c r="U261" s="236"/>
      <c r="V261" s="236"/>
      <c r="W261" s="236"/>
      <c r="X261" s="236"/>
      <c r="Y261" s="236"/>
      <c r="Z261" s="236"/>
      <c r="AA261" s="236"/>
      <c r="AB261" s="236"/>
      <c r="AC261" s="236"/>
      <c r="AD261" s="236"/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236"/>
      <c r="AQ261" s="236"/>
      <c r="AR261" s="236"/>
      <c r="AS261" s="236"/>
      <c r="AT261" s="236"/>
      <c r="AU261" s="236"/>
      <c r="AV261" s="12"/>
      <c r="AW261" s="12"/>
      <c r="AX261" s="12"/>
      <c r="AY261" s="12"/>
      <c r="AZ261" s="12"/>
      <c r="BA261" s="12"/>
      <c r="BB261" s="12"/>
    </row>
    <row r="262" spans="1:54" ht="13">
      <c r="A262" s="12"/>
      <c r="B262" s="27"/>
      <c r="C262" s="27"/>
      <c r="D262" s="407"/>
      <c r="E262" s="27"/>
      <c r="F262" s="27"/>
      <c r="G262" s="27"/>
      <c r="H262" s="408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12"/>
      <c r="AW262" s="12"/>
      <c r="AX262" s="12"/>
      <c r="AY262" s="12"/>
      <c r="AZ262" s="12"/>
      <c r="BA262" s="12"/>
      <c r="BB262" s="12"/>
    </row>
    <row r="263" spans="1:54" ht="13">
      <c r="A263" s="12"/>
      <c r="B263" s="236"/>
      <c r="C263" s="236"/>
      <c r="D263" s="405"/>
      <c r="E263" s="236"/>
      <c r="F263" s="236"/>
      <c r="G263" s="236"/>
      <c r="H263" s="406"/>
      <c r="I263" s="236"/>
      <c r="J263" s="236"/>
      <c r="K263" s="236"/>
      <c r="L263" s="236"/>
      <c r="M263" s="236"/>
      <c r="N263" s="236"/>
      <c r="O263" s="236"/>
      <c r="P263" s="236"/>
      <c r="Q263" s="236"/>
      <c r="R263" s="236"/>
      <c r="S263" s="236"/>
      <c r="T263" s="236"/>
      <c r="U263" s="236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236"/>
      <c r="AH263" s="236"/>
      <c r="AI263" s="236"/>
      <c r="AJ263" s="236"/>
      <c r="AK263" s="236"/>
      <c r="AL263" s="236"/>
      <c r="AM263" s="236"/>
      <c r="AN263" s="236"/>
      <c r="AO263" s="236"/>
      <c r="AP263" s="236"/>
      <c r="AQ263" s="236"/>
      <c r="AR263" s="236"/>
      <c r="AS263" s="236"/>
      <c r="AT263" s="236"/>
      <c r="AU263" s="236"/>
      <c r="AV263" s="12"/>
      <c r="AW263" s="12"/>
      <c r="AX263" s="12"/>
      <c r="AY263" s="12"/>
      <c r="AZ263" s="12"/>
      <c r="BA263" s="12"/>
      <c r="BB263" s="12"/>
    </row>
    <row r="264" spans="1:54" ht="13">
      <c r="A264" s="12"/>
      <c r="B264" s="27"/>
      <c r="C264" s="27"/>
      <c r="D264" s="407"/>
      <c r="E264" s="27"/>
      <c r="F264" s="27"/>
      <c r="G264" s="27"/>
      <c r="H264" s="408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12"/>
      <c r="AW264" s="12"/>
      <c r="AX264" s="12"/>
      <c r="AY264" s="12"/>
      <c r="AZ264" s="12"/>
      <c r="BA264" s="12"/>
      <c r="BB264" s="12"/>
    </row>
    <row r="265" spans="1:54" ht="13">
      <c r="A265" s="12"/>
      <c r="B265" s="236"/>
      <c r="C265" s="236"/>
      <c r="D265" s="405"/>
      <c r="E265" s="236"/>
      <c r="F265" s="236"/>
      <c r="G265" s="236"/>
      <c r="H265" s="406"/>
      <c r="I265" s="236"/>
      <c r="J265" s="236"/>
      <c r="K265" s="236"/>
      <c r="L265" s="236"/>
      <c r="M265" s="236"/>
      <c r="N265" s="236"/>
      <c r="O265" s="236"/>
      <c r="P265" s="236"/>
      <c r="Q265" s="236"/>
      <c r="R265" s="236"/>
      <c r="S265" s="236"/>
      <c r="T265" s="236"/>
      <c r="U265" s="236"/>
      <c r="V265" s="236"/>
      <c r="W265" s="236"/>
      <c r="X265" s="236"/>
      <c r="Y265" s="236"/>
      <c r="Z265" s="236"/>
      <c r="AA265" s="236"/>
      <c r="AB265" s="236"/>
      <c r="AC265" s="236"/>
      <c r="AD265" s="236"/>
      <c r="AE265" s="236"/>
      <c r="AF265" s="236"/>
      <c r="AG265" s="236"/>
      <c r="AH265" s="236"/>
      <c r="AI265" s="236"/>
      <c r="AJ265" s="236"/>
      <c r="AK265" s="236"/>
      <c r="AL265" s="236"/>
      <c r="AM265" s="236"/>
      <c r="AN265" s="236"/>
      <c r="AO265" s="236"/>
      <c r="AP265" s="236"/>
      <c r="AQ265" s="236"/>
      <c r="AR265" s="236"/>
      <c r="AS265" s="236"/>
      <c r="AT265" s="236"/>
      <c r="AU265" s="236"/>
      <c r="AV265" s="12"/>
      <c r="AW265" s="12"/>
      <c r="AX265" s="12"/>
      <c r="AY265" s="12"/>
      <c r="AZ265" s="12"/>
      <c r="BA265" s="12"/>
      <c r="BB265" s="12"/>
    </row>
    <row r="266" spans="1:54" ht="13">
      <c r="A266" s="12"/>
      <c r="B266" s="27"/>
      <c r="C266" s="27"/>
      <c r="D266" s="407"/>
      <c r="E266" s="27"/>
      <c r="F266" s="27"/>
      <c r="G266" s="27"/>
      <c r="H266" s="408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12"/>
      <c r="AW266" s="12"/>
      <c r="AX266" s="12"/>
      <c r="AY266" s="12"/>
      <c r="AZ266" s="12"/>
      <c r="BA266" s="12"/>
      <c r="BB266" s="12"/>
    </row>
    <row r="267" spans="1:54" ht="13">
      <c r="A267" s="12"/>
      <c r="B267" s="236"/>
      <c r="C267" s="236"/>
      <c r="D267" s="405"/>
      <c r="E267" s="236"/>
      <c r="F267" s="236"/>
      <c r="G267" s="236"/>
      <c r="H267" s="406"/>
      <c r="I267" s="236"/>
      <c r="J267" s="236"/>
      <c r="K267" s="236"/>
      <c r="L267" s="236"/>
      <c r="M267" s="236"/>
      <c r="N267" s="236"/>
      <c r="O267" s="236"/>
      <c r="P267" s="236"/>
      <c r="Q267" s="236"/>
      <c r="R267" s="236"/>
      <c r="S267" s="236"/>
      <c r="T267" s="236"/>
      <c r="U267" s="236"/>
      <c r="V267" s="236"/>
      <c r="W267" s="236"/>
      <c r="X267" s="236"/>
      <c r="Y267" s="236"/>
      <c r="Z267" s="236"/>
      <c r="AA267" s="236"/>
      <c r="AB267" s="236"/>
      <c r="AC267" s="236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12"/>
      <c r="AW267" s="12"/>
      <c r="AX267" s="12"/>
      <c r="AY267" s="12"/>
      <c r="AZ267" s="12"/>
      <c r="BA267" s="12"/>
      <c r="BB267" s="12"/>
    </row>
    <row r="268" spans="1:54" ht="13">
      <c r="A268" s="12"/>
      <c r="B268" s="27"/>
      <c r="C268" s="27"/>
      <c r="D268" s="407"/>
      <c r="E268" s="27"/>
      <c r="F268" s="27"/>
      <c r="G268" s="27"/>
      <c r="H268" s="408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12"/>
      <c r="AW268" s="12"/>
      <c r="AX268" s="12"/>
      <c r="AY268" s="12"/>
      <c r="AZ268" s="12"/>
      <c r="BA268" s="12"/>
      <c r="BB268" s="12"/>
    </row>
    <row r="269" spans="1:54" ht="13">
      <c r="A269" s="12"/>
      <c r="B269" s="236"/>
      <c r="C269" s="236"/>
      <c r="D269" s="405"/>
      <c r="E269" s="236"/>
      <c r="F269" s="236"/>
      <c r="G269" s="236"/>
      <c r="H269" s="40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6"/>
      <c r="U269" s="236"/>
      <c r="V269" s="236"/>
      <c r="W269" s="236"/>
      <c r="X269" s="236"/>
      <c r="Y269" s="236"/>
      <c r="Z269" s="236"/>
      <c r="AA269" s="236"/>
      <c r="AB269" s="236"/>
      <c r="AC269" s="236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  <c r="AN269" s="236"/>
      <c r="AO269" s="236"/>
      <c r="AP269" s="236"/>
      <c r="AQ269" s="236"/>
      <c r="AR269" s="236"/>
      <c r="AS269" s="236"/>
      <c r="AT269" s="236"/>
      <c r="AU269" s="236"/>
      <c r="AV269" s="12"/>
      <c r="AW269" s="12"/>
      <c r="AX269" s="12"/>
      <c r="AY269" s="12"/>
      <c r="AZ269" s="12"/>
      <c r="BA269" s="12"/>
      <c r="BB269" s="12"/>
    </row>
    <row r="270" spans="1:54" ht="13">
      <c r="A270" s="12"/>
      <c r="B270" s="27"/>
      <c r="C270" s="27"/>
      <c r="D270" s="407"/>
      <c r="E270" s="27"/>
      <c r="F270" s="27"/>
      <c r="G270" s="27"/>
      <c r="H270" s="408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12"/>
      <c r="AW270" s="12"/>
      <c r="AX270" s="12"/>
      <c r="AY270" s="12"/>
      <c r="AZ270" s="12"/>
      <c r="BA270" s="12"/>
      <c r="BB270" s="12"/>
    </row>
    <row r="271" spans="1:54" ht="13">
      <c r="A271" s="12"/>
      <c r="B271" s="236"/>
      <c r="C271" s="236"/>
      <c r="D271" s="405"/>
      <c r="E271" s="236"/>
      <c r="F271" s="236"/>
      <c r="G271" s="236"/>
      <c r="H271" s="406"/>
      <c r="I271" s="236"/>
      <c r="J271" s="236"/>
      <c r="K271" s="236"/>
      <c r="L271" s="236"/>
      <c r="M271" s="236"/>
      <c r="N271" s="236"/>
      <c r="O271" s="236"/>
      <c r="P271" s="236"/>
      <c r="Q271" s="236"/>
      <c r="R271" s="236"/>
      <c r="S271" s="236"/>
      <c r="T271" s="236"/>
      <c r="U271" s="236"/>
      <c r="V271" s="236"/>
      <c r="W271" s="236"/>
      <c r="X271" s="236"/>
      <c r="Y271" s="236"/>
      <c r="Z271" s="236"/>
      <c r="AA271" s="236"/>
      <c r="AB271" s="236"/>
      <c r="AC271" s="236"/>
      <c r="AD271" s="236"/>
      <c r="AE271" s="236"/>
      <c r="AF271" s="236"/>
      <c r="AG271" s="236"/>
      <c r="AH271" s="236"/>
      <c r="AI271" s="236"/>
      <c r="AJ271" s="236"/>
      <c r="AK271" s="236"/>
      <c r="AL271" s="236"/>
      <c r="AM271" s="236"/>
      <c r="AN271" s="236"/>
      <c r="AO271" s="236"/>
      <c r="AP271" s="236"/>
      <c r="AQ271" s="236"/>
      <c r="AR271" s="236"/>
      <c r="AS271" s="236"/>
      <c r="AT271" s="236"/>
      <c r="AU271" s="236"/>
      <c r="AV271" s="12"/>
      <c r="AW271" s="12"/>
      <c r="AX271" s="12"/>
      <c r="AY271" s="12"/>
      <c r="AZ271" s="12"/>
      <c r="BA271" s="12"/>
      <c r="BB271" s="12"/>
    </row>
    <row r="272" spans="1:54" ht="13">
      <c r="A272" s="12"/>
      <c r="B272" s="27"/>
      <c r="C272" s="27"/>
      <c r="D272" s="407"/>
      <c r="E272" s="27"/>
      <c r="F272" s="27"/>
      <c r="G272" s="27"/>
      <c r="H272" s="408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12"/>
      <c r="AW272" s="12"/>
      <c r="AX272" s="12"/>
      <c r="AY272" s="12"/>
      <c r="AZ272" s="12"/>
      <c r="BA272" s="12"/>
      <c r="BB272" s="12"/>
    </row>
    <row r="273" spans="1:54" ht="13">
      <c r="A273" s="12"/>
      <c r="B273" s="236"/>
      <c r="C273" s="236"/>
      <c r="D273" s="405"/>
      <c r="E273" s="236"/>
      <c r="F273" s="236"/>
      <c r="G273" s="236"/>
      <c r="H273" s="406"/>
      <c r="I273" s="236"/>
      <c r="J273" s="236"/>
      <c r="K273" s="236"/>
      <c r="L273" s="236"/>
      <c r="M273" s="236"/>
      <c r="N273" s="236"/>
      <c r="O273" s="236"/>
      <c r="P273" s="236"/>
      <c r="Q273" s="236"/>
      <c r="R273" s="236"/>
      <c r="S273" s="236"/>
      <c r="T273" s="236"/>
      <c r="U273" s="236"/>
      <c r="V273" s="236"/>
      <c r="W273" s="236"/>
      <c r="X273" s="236"/>
      <c r="Y273" s="236"/>
      <c r="Z273" s="236"/>
      <c r="AA273" s="236"/>
      <c r="AB273" s="236"/>
      <c r="AC273" s="236"/>
      <c r="AD273" s="236"/>
      <c r="AE273" s="236"/>
      <c r="AF273" s="236"/>
      <c r="AG273" s="236"/>
      <c r="AH273" s="236"/>
      <c r="AI273" s="236"/>
      <c r="AJ273" s="236"/>
      <c r="AK273" s="236"/>
      <c r="AL273" s="236"/>
      <c r="AM273" s="236"/>
      <c r="AN273" s="236"/>
      <c r="AO273" s="236"/>
      <c r="AP273" s="236"/>
      <c r="AQ273" s="236"/>
      <c r="AR273" s="236"/>
      <c r="AS273" s="236"/>
      <c r="AT273" s="236"/>
      <c r="AU273" s="236"/>
      <c r="AV273" s="12"/>
      <c r="AW273" s="12"/>
      <c r="AX273" s="12"/>
      <c r="AY273" s="12"/>
      <c r="AZ273" s="12"/>
      <c r="BA273" s="12"/>
      <c r="BB273" s="12"/>
    </row>
    <row r="274" spans="1:54" ht="13">
      <c r="A274" s="12"/>
      <c r="B274" s="27"/>
      <c r="C274" s="27"/>
      <c r="D274" s="407"/>
      <c r="E274" s="27"/>
      <c r="F274" s="27"/>
      <c r="G274" s="27"/>
      <c r="H274" s="408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12"/>
      <c r="AW274" s="12"/>
      <c r="AX274" s="12"/>
      <c r="AY274" s="12"/>
      <c r="AZ274" s="12"/>
      <c r="BA274" s="12"/>
      <c r="BB274" s="12"/>
    </row>
    <row r="275" spans="1:54" ht="13">
      <c r="A275" s="12"/>
      <c r="B275" s="236"/>
      <c r="C275" s="236"/>
      <c r="D275" s="405"/>
      <c r="E275" s="236"/>
      <c r="F275" s="236"/>
      <c r="G275" s="236"/>
      <c r="H275" s="406"/>
      <c r="I275" s="236"/>
      <c r="J275" s="236"/>
      <c r="K275" s="236"/>
      <c r="L275" s="236"/>
      <c r="M275" s="236"/>
      <c r="N275" s="236"/>
      <c r="O275" s="236"/>
      <c r="P275" s="236"/>
      <c r="Q275" s="236"/>
      <c r="R275" s="236"/>
      <c r="S275" s="236"/>
      <c r="T275" s="236"/>
      <c r="U275" s="236"/>
      <c r="V275" s="236"/>
      <c r="W275" s="236"/>
      <c r="X275" s="236"/>
      <c r="Y275" s="236"/>
      <c r="Z275" s="236"/>
      <c r="AA275" s="236"/>
      <c r="AB275" s="236"/>
      <c r="AC275" s="236"/>
      <c r="AD275" s="236"/>
      <c r="AE275" s="236"/>
      <c r="AF275" s="236"/>
      <c r="AG275" s="236"/>
      <c r="AH275" s="236"/>
      <c r="AI275" s="236"/>
      <c r="AJ275" s="236"/>
      <c r="AK275" s="236"/>
      <c r="AL275" s="236"/>
      <c r="AM275" s="236"/>
      <c r="AN275" s="236"/>
      <c r="AO275" s="236"/>
      <c r="AP275" s="236"/>
      <c r="AQ275" s="236"/>
      <c r="AR275" s="236"/>
      <c r="AS275" s="236"/>
      <c r="AT275" s="236"/>
      <c r="AU275" s="236"/>
      <c r="AV275" s="12"/>
      <c r="AW275" s="12"/>
      <c r="AX275" s="12"/>
      <c r="AY275" s="12"/>
      <c r="AZ275" s="12"/>
      <c r="BA275" s="12"/>
      <c r="BB275" s="12"/>
    </row>
    <row r="276" spans="1:54" ht="13">
      <c r="A276" s="12"/>
      <c r="B276" s="27"/>
      <c r="C276" s="27"/>
      <c r="D276" s="407"/>
      <c r="E276" s="27"/>
      <c r="F276" s="27"/>
      <c r="G276" s="27"/>
      <c r="H276" s="408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12"/>
      <c r="AW276" s="12"/>
      <c r="AX276" s="12"/>
      <c r="AY276" s="12"/>
      <c r="AZ276" s="12"/>
      <c r="BA276" s="12"/>
      <c r="BB276" s="12"/>
    </row>
    <row r="277" spans="1:54" ht="13">
      <c r="A277" s="12"/>
      <c r="B277" s="236"/>
      <c r="C277" s="236"/>
      <c r="D277" s="405"/>
      <c r="E277" s="236"/>
      <c r="F277" s="236"/>
      <c r="G277" s="236"/>
      <c r="H277" s="406"/>
      <c r="I277" s="236"/>
      <c r="J277" s="236"/>
      <c r="K277" s="236"/>
      <c r="L277" s="236"/>
      <c r="M277" s="236"/>
      <c r="N277" s="236"/>
      <c r="O277" s="236"/>
      <c r="P277" s="236"/>
      <c r="Q277" s="236"/>
      <c r="R277" s="236"/>
      <c r="S277" s="236"/>
      <c r="T277" s="236"/>
      <c r="U277" s="236"/>
      <c r="V277" s="236"/>
      <c r="W277" s="236"/>
      <c r="X277" s="236"/>
      <c r="Y277" s="236"/>
      <c r="Z277" s="236"/>
      <c r="AA277" s="236"/>
      <c r="AB277" s="236"/>
      <c r="AC277" s="236"/>
      <c r="AD277" s="236"/>
      <c r="AE277" s="236"/>
      <c r="AF277" s="236"/>
      <c r="AG277" s="236"/>
      <c r="AH277" s="236"/>
      <c r="AI277" s="236"/>
      <c r="AJ277" s="236"/>
      <c r="AK277" s="236"/>
      <c r="AL277" s="236"/>
      <c r="AM277" s="236"/>
      <c r="AN277" s="236"/>
      <c r="AO277" s="236"/>
      <c r="AP277" s="236"/>
      <c r="AQ277" s="236"/>
      <c r="AR277" s="236"/>
      <c r="AS277" s="236"/>
      <c r="AT277" s="236"/>
      <c r="AU277" s="236"/>
      <c r="AV277" s="12"/>
      <c r="AW277" s="12"/>
      <c r="AX277" s="12"/>
      <c r="AY277" s="12"/>
      <c r="AZ277" s="12"/>
      <c r="BA277" s="12"/>
      <c r="BB277" s="12"/>
    </row>
    <row r="278" spans="1:54" ht="13">
      <c r="A278" s="12"/>
      <c r="B278" s="27"/>
      <c r="C278" s="27"/>
      <c r="D278" s="407"/>
      <c r="E278" s="27"/>
      <c r="F278" s="27"/>
      <c r="G278" s="27"/>
      <c r="H278" s="408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12"/>
      <c r="AW278" s="12"/>
      <c r="AX278" s="12"/>
      <c r="AY278" s="12"/>
      <c r="AZ278" s="12"/>
      <c r="BA278" s="12"/>
      <c r="BB278" s="12"/>
    </row>
    <row r="279" spans="1:54" ht="13">
      <c r="A279" s="12"/>
      <c r="B279" s="236"/>
      <c r="C279" s="236"/>
      <c r="D279" s="405"/>
      <c r="E279" s="236"/>
      <c r="F279" s="236"/>
      <c r="G279" s="236"/>
      <c r="H279" s="406"/>
      <c r="I279" s="236"/>
      <c r="J279" s="236"/>
      <c r="K279" s="236"/>
      <c r="L279" s="236"/>
      <c r="M279" s="236"/>
      <c r="N279" s="236"/>
      <c r="O279" s="236"/>
      <c r="P279" s="236"/>
      <c r="Q279" s="236"/>
      <c r="R279" s="236"/>
      <c r="S279" s="236"/>
      <c r="T279" s="236"/>
      <c r="U279" s="236"/>
      <c r="V279" s="236"/>
      <c r="W279" s="236"/>
      <c r="X279" s="236"/>
      <c r="Y279" s="236"/>
      <c r="Z279" s="236"/>
      <c r="AA279" s="236"/>
      <c r="AB279" s="236"/>
      <c r="AC279" s="236"/>
      <c r="AD279" s="236"/>
      <c r="AE279" s="236"/>
      <c r="AF279" s="236"/>
      <c r="AG279" s="236"/>
      <c r="AH279" s="236"/>
      <c r="AI279" s="236"/>
      <c r="AJ279" s="236"/>
      <c r="AK279" s="236"/>
      <c r="AL279" s="236"/>
      <c r="AM279" s="236"/>
      <c r="AN279" s="236"/>
      <c r="AO279" s="236"/>
      <c r="AP279" s="236"/>
      <c r="AQ279" s="236"/>
      <c r="AR279" s="236"/>
      <c r="AS279" s="236"/>
      <c r="AT279" s="236"/>
      <c r="AU279" s="236"/>
      <c r="AV279" s="12"/>
      <c r="AW279" s="12"/>
      <c r="AX279" s="12"/>
      <c r="AY279" s="12"/>
      <c r="AZ279" s="12"/>
      <c r="BA279" s="12"/>
      <c r="BB279" s="12"/>
    </row>
    <row r="280" spans="1:54" ht="13">
      <c r="A280" s="12"/>
      <c r="B280" s="27"/>
      <c r="C280" s="27"/>
      <c r="D280" s="407"/>
      <c r="E280" s="27"/>
      <c r="F280" s="27"/>
      <c r="G280" s="27"/>
      <c r="H280" s="408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12"/>
      <c r="AW280" s="12"/>
      <c r="AX280" s="12"/>
      <c r="AY280" s="12"/>
      <c r="AZ280" s="12"/>
      <c r="BA280" s="12"/>
      <c r="BB280" s="12"/>
    </row>
    <row r="281" spans="1:54" ht="13">
      <c r="A281" s="12"/>
      <c r="B281" s="236"/>
      <c r="C281" s="236"/>
      <c r="D281" s="405"/>
      <c r="E281" s="236"/>
      <c r="F281" s="236"/>
      <c r="G281" s="236"/>
      <c r="H281" s="406"/>
      <c r="I281" s="236"/>
      <c r="J281" s="236"/>
      <c r="K281" s="236"/>
      <c r="L281" s="236"/>
      <c r="M281" s="236"/>
      <c r="N281" s="236"/>
      <c r="O281" s="236"/>
      <c r="P281" s="236"/>
      <c r="Q281" s="236"/>
      <c r="R281" s="236"/>
      <c r="S281" s="236"/>
      <c r="T281" s="236"/>
      <c r="U281" s="236"/>
      <c r="V281" s="236"/>
      <c r="W281" s="236"/>
      <c r="X281" s="236"/>
      <c r="Y281" s="236"/>
      <c r="Z281" s="236"/>
      <c r="AA281" s="236"/>
      <c r="AB281" s="236"/>
      <c r="AC281" s="236"/>
      <c r="AD281" s="236"/>
      <c r="AE281" s="236"/>
      <c r="AF281" s="236"/>
      <c r="AG281" s="236"/>
      <c r="AH281" s="236"/>
      <c r="AI281" s="236"/>
      <c r="AJ281" s="236"/>
      <c r="AK281" s="236"/>
      <c r="AL281" s="236"/>
      <c r="AM281" s="236"/>
      <c r="AN281" s="236"/>
      <c r="AO281" s="236"/>
      <c r="AP281" s="236"/>
      <c r="AQ281" s="236"/>
      <c r="AR281" s="236"/>
      <c r="AS281" s="236"/>
      <c r="AT281" s="236"/>
      <c r="AU281" s="236"/>
      <c r="AV281" s="12"/>
      <c r="AW281" s="12"/>
      <c r="AX281" s="12"/>
      <c r="AY281" s="12"/>
      <c r="AZ281" s="12"/>
      <c r="BA281" s="12"/>
      <c r="BB281" s="12"/>
    </row>
    <row r="282" spans="1:54" ht="13">
      <c r="A282" s="12"/>
      <c r="B282" s="27"/>
      <c r="C282" s="27"/>
      <c r="D282" s="407"/>
      <c r="E282" s="27"/>
      <c r="F282" s="27"/>
      <c r="G282" s="27"/>
      <c r="H282" s="408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12"/>
      <c r="AW282" s="12"/>
      <c r="AX282" s="12"/>
      <c r="AY282" s="12"/>
      <c r="AZ282" s="12"/>
      <c r="BA282" s="12"/>
      <c r="BB282" s="12"/>
    </row>
    <row r="283" spans="1:54" ht="13">
      <c r="A283" s="12"/>
      <c r="B283" s="236"/>
      <c r="C283" s="236"/>
      <c r="D283" s="405"/>
      <c r="E283" s="236"/>
      <c r="F283" s="236"/>
      <c r="G283" s="236"/>
      <c r="H283" s="406"/>
      <c r="I283" s="236"/>
      <c r="J283" s="236"/>
      <c r="K283" s="236"/>
      <c r="L283" s="236"/>
      <c r="M283" s="236"/>
      <c r="N283" s="236"/>
      <c r="O283" s="236"/>
      <c r="P283" s="236"/>
      <c r="Q283" s="236"/>
      <c r="R283" s="236"/>
      <c r="S283" s="236"/>
      <c r="T283" s="236"/>
      <c r="U283" s="236"/>
      <c r="V283" s="236"/>
      <c r="W283" s="236"/>
      <c r="X283" s="236"/>
      <c r="Y283" s="236"/>
      <c r="Z283" s="236"/>
      <c r="AA283" s="236"/>
      <c r="AB283" s="236"/>
      <c r="AC283" s="236"/>
      <c r="AD283" s="236"/>
      <c r="AE283" s="236"/>
      <c r="AF283" s="236"/>
      <c r="AG283" s="236"/>
      <c r="AH283" s="236"/>
      <c r="AI283" s="236"/>
      <c r="AJ283" s="236"/>
      <c r="AK283" s="236"/>
      <c r="AL283" s="236"/>
      <c r="AM283" s="236"/>
      <c r="AN283" s="236"/>
      <c r="AO283" s="236"/>
      <c r="AP283" s="236"/>
      <c r="AQ283" s="236"/>
      <c r="AR283" s="236"/>
      <c r="AS283" s="236"/>
      <c r="AT283" s="236"/>
      <c r="AU283" s="236"/>
      <c r="AV283" s="12"/>
      <c r="AW283" s="12"/>
      <c r="AX283" s="12"/>
      <c r="AY283" s="12"/>
      <c r="AZ283" s="12"/>
      <c r="BA283" s="12"/>
      <c r="BB283" s="12"/>
    </row>
    <row r="284" spans="1:54" ht="13">
      <c r="A284" s="12"/>
      <c r="B284" s="27"/>
      <c r="C284" s="27"/>
      <c r="D284" s="407"/>
      <c r="E284" s="27"/>
      <c r="F284" s="27"/>
      <c r="G284" s="27"/>
      <c r="H284" s="408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12"/>
      <c r="AW284" s="12"/>
      <c r="AX284" s="12"/>
      <c r="AY284" s="12"/>
      <c r="AZ284" s="12"/>
      <c r="BA284" s="12"/>
      <c r="BB284" s="12"/>
    </row>
    <row r="285" spans="1:54" ht="13">
      <c r="A285" s="12"/>
      <c r="B285" s="236"/>
      <c r="C285" s="236"/>
      <c r="D285" s="405"/>
      <c r="E285" s="236"/>
      <c r="F285" s="236"/>
      <c r="G285" s="236"/>
      <c r="H285" s="406"/>
      <c r="I285" s="236"/>
      <c r="J285" s="236"/>
      <c r="K285" s="236"/>
      <c r="L285" s="236"/>
      <c r="M285" s="236"/>
      <c r="N285" s="236"/>
      <c r="O285" s="236"/>
      <c r="P285" s="236"/>
      <c r="Q285" s="236"/>
      <c r="R285" s="236"/>
      <c r="S285" s="236"/>
      <c r="T285" s="236"/>
      <c r="U285" s="236"/>
      <c r="V285" s="236"/>
      <c r="W285" s="236"/>
      <c r="X285" s="236"/>
      <c r="Y285" s="236"/>
      <c r="Z285" s="236"/>
      <c r="AA285" s="236"/>
      <c r="AB285" s="236"/>
      <c r="AC285" s="236"/>
      <c r="AD285" s="236"/>
      <c r="AE285" s="236"/>
      <c r="AF285" s="236"/>
      <c r="AG285" s="236"/>
      <c r="AH285" s="236"/>
      <c r="AI285" s="236"/>
      <c r="AJ285" s="236"/>
      <c r="AK285" s="236"/>
      <c r="AL285" s="236"/>
      <c r="AM285" s="236"/>
      <c r="AN285" s="236"/>
      <c r="AO285" s="236"/>
      <c r="AP285" s="236"/>
      <c r="AQ285" s="236"/>
      <c r="AR285" s="236"/>
      <c r="AS285" s="236"/>
      <c r="AT285" s="236"/>
      <c r="AU285" s="236"/>
      <c r="AV285" s="12"/>
      <c r="AW285" s="12"/>
      <c r="AX285" s="12"/>
      <c r="AY285" s="12"/>
      <c r="AZ285" s="12"/>
      <c r="BA285" s="12"/>
      <c r="BB285" s="12"/>
    </row>
    <row r="286" spans="1:54" ht="13">
      <c r="A286" s="12"/>
      <c r="B286" s="27"/>
      <c r="C286" s="27"/>
      <c r="D286" s="407"/>
      <c r="E286" s="27"/>
      <c r="F286" s="27"/>
      <c r="G286" s="27"/>
      <c r="H286" s="408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12"/>
      <c r="AW286" s="12"/>
      <c r="AX286" s="12"/>
      <c r="AY286" s="12"/>
      <c r="AZ286" s="12"/>
      <c r="BA286" s="12"/>
      <c r="BB286" s="12"/>
    </row>
    <row r="287" spans="1:54" ht="13">
      <c r="A287" s="12"/>
      <c r="B287" s="236"/>
      <c r="C287" s="236"/>
      <c r="D287" s="405"/>
      <c r="E287" s="236"/>
      <c r="F287" s="236"/>
      <c r="G287" s="236"/>
      <c r="H287" s="406"/>
      <c r="I287" s="236"/>
      <c r="J287" s="236"/>
      <c r="K287" s="236"/>
      <c r="L287" s="236"/>
      <c r="M287" s="236"/>
      <c r="N287" s="236"/>
      <c r="O287" s="236"/>
      <c r="P287" s="236"/>
      <c r="Q287" s="236"/>
      <c r="R287" s="236"/>
      <c r="S287" s="236"/>
      <c r="T287" s="236"/>
      <c r="U287" s="236"/>
      <c r="V287" s="236"/>
      <c r="W287" s="236"/>
      <c r="X287" s="236"/>
      <c r="Y287" s="236"/>
      <c r="Z287" s="236"/>
      <c r="AA287" s="236"/>
      <c r="AB287" s="236"/>
      <c r="AC287" s="236"/>
      <c r="AD287" s="236"/>
      <c r="AE287" s="236"/>
      <c r="AF287" s="236"/>
      <c r="AG287" s="236"/>
      <c r="AH287" s="236"/>
      <c r="AI287" s="236"/>
      <c r="AJ287" s="236"/>
      <c r="AK287" s="236"/>
      <c r="AL287" s="236"/>
      <c r="AM287" s="236"/>
      <c r="AN287" s="236"/>
      <c r="AO287" s="236"/>
      <c r="AP287" s="236"/>
      <c r="AQ287" s="236"/>
      <c r="AR287" s="236"/>
      <c r="AS287" s="236"/>
      <c r="AT287" s="236"/>
      <c r="AU287" s="236"/>
      <c r="AV287" s="12"/>
      <c r="AW287" s="12"/>
      <c r="AX287" s="12"/>
      <c r="AY287" s="12"/>
      <c r="AZ287" s="12"/>
      <c r="BA287" s="12"/>
      <c r="BB287" s="12"/>
    </row>
    <row r="288" spans="1:54" ht="13">
      <c r="A288" s="12"/>
      <c r="B288" s="27"/>
      <c r="C288" s="27"/>
      <c r="D288" s="407"/>
      <c r="E288" s="27"/>
      <c r="F288" s="27"/>
      <c r="G288" s="27"/>
      <c r="H288" s="408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12"/>
      <c r="AW288" s="12"/>
      <c r="AX288" s="12"/>
      <c r="AY288" s="12"/>
      <c r="AZ288" s="12"/>
      <c r="BA288" s="12"/>
      <c r="BB288" s="12"/>
    </row>
    <row r="289" spans="1:54" ht="13">
      <c r="A289" s="12"/>
      <c r="B289" s="236"/>
      <c r="C289" s="236"/>
      <c r="D289" s="405"/>
      <c r="E289" s="236"/>
      <c r="F289" s="236"/>
      <c r="G289" s="236"/>
      <c r="H289" s="406"/>
      <c r="I289" s="236"/>
      <c r="J289" s="236"/>
      <c r="K289" s="236"/>
      <c r="L289" s="236"/>
      <c r="M289" s="236"/>
      <c r="N289" s="236"/>
      <c r="O289" s="236"/>
      <c r="P289" s="236"/>
      <c r="Q289" s="236"/>
      <c r="R289" s="236"/>
      <c r="S289" s="236"/>
      <c r="T289" s="236"/>
      <c r="U289" s="236"/>
      <c r="V289" s="236"/>
      <c r="W289" s="236"/>
      <c r="X289" s="236"/>
      <c r="Y289" s="236"/>
      <c r="Z289" s="236"/>
      <c r="AA289" s="236"/>
      <c r="AB289" s="236"/>
      <c r="AC289" s="236"/>
      <c r="AD289" s="236"/>
      <c r="AE289" s="236"/>
      <c r="AF289" s="236"/>
      <c r="AG289" s="236"/>
      <c r="AH289" s="236"/>
      <c r="AI289" s="236"/>
      <c r="AJ289" s="236"/>
      <c r="AK289" s="236"/>
      <c r="AL289" s="236"/>
      <c r="AM289" s="236"/>
      <c r="AN289" s="236"/>
      <c r="AO289" s="236"/>
      <c r="AP289" s="236"/>
      <c r="AQ289" s="236"/>
      <c r="AR289" s="236"/>
      <c r="AS289" s="236"/>
      <c r="AT289" s="236"/>
      <c r="AU289" s="236"/>
      <c r="AV289" s="12"/>
      <c r="AW289" s="12"/>
      <c r="AX289" s="12"/>
      <c r="AY289" s="12"/>
      <c r="AZ289" s="12"/>
      <c r="BA289" s="12"/>
      <c r="BB289" s="12"/>
    </row>
    <row r="290" spans="1:54" ht="13">
      <c r="A290" s="12"/>
      <c r="B290" s="27"/>
      <c r="C290" s="27"/>
      <c r="D290" s="407"/>
      <c r="E290" s="27"/>
      <c r="F290" s="27"/>
      <c r="G290" s="27"/>
      <c r="H290" s="408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12"/>
      <c r="AW290" s="12"/>
      <c r="AX290" s="12"/>
      <c r="AY290" s="12"/>
      <c r="AZ290" s="12"/>
      <c r="BA290" s="12"/>
      <c r="BB290" s="12"/>
    </row>
    <row r="291" spans="1:54" ht="13">
      <c r="A291" s="12"/>
      <c r="B291" s="236"/>
      <c r="C291" s="236"/>
      <c r="D291" s="405"/>
      <c r="E291" s="236"/>
      <c r="F291" s="236"/>
      <c r="G291" s="236"/>
      <c r="H291" s="406"/>
      <c r="I291" s="236"/>
      <c r="J291" s="236"/>
      <c r="K291" s="236"/>
      <c r="L291" s="236"/>
      <c r="M291" s="236"/>
      <c r="N291" s="236"/>
      <c r="O291" s="236"/>
      <c r="P291" s="236"/>
      <c r="Q291" s="236"/>
      <c r="R291" s="236"/>
      <c r="S291" s="236"/>
      <c r="T291" s="236"/>
      <c r="U291" s="236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  <c r="AG291" s="236"/>
      <c r="AH291" s="236"/>
      <c r="AI291" s="236"/>
      <c r="AJ291" s="236"/>
      <c r="AK291" s="236"/>
      <c r="AL291" s="236"/>
      <c r="AM291" s="236"/>
      <c r="AN291" s="236"/>
      <c r="AO291" s="236"/>
      <c r="AP291" s="236"/>
      <c r="AQ291" s="236"/>
      <c r="AR291" s="236"/>
      <c r="AS291" s="236"/>
      <c r="AT291" s="236"/>
      <c r="AU291" s="236"/>
      <c r="AV291" s="12"/>
      <c r="AW291" s="12"/>
      <c r="AX291" s="12"/>
      <c r="AY291" s="12"/>
      <c r="AZ291" s="12"/>
      <c r="BA291" s="12"/>
      <c r="BB291" s="12"/>
    </row>
    <row r="292" spans="1:54" ht="13">
      <c r="A292" s="12"/>
      <c r="B292" s="27"/>
      <c r="C292" s="27"/>
      <c r="D292" s="407"/>
      <c r="E292" s="27"/>
      <c r="F292" s="27"/>
      <c r="G292" s="27"/>
      <c r="H292" s="408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12"/>
      <c r="AW292" s="12"/>
      <c r="AX292" s="12"/>
      <c r="AY292" s="12"/>
      <c r="AZ292" s="12"/>
      <c r="BA292" s="12"/>
      <c r="BB292" s="12"/>
    </row>
    <row r="293" spans="1:54" ht="13">
      <c r="A293" s="12"/>
      <c r="B293" s="236"/>
      <c r="C293" s="236"/>
      <c r="D293" s="405"/>
      <c r="E293" s="236"/>
      <c r="F293" s="236"/>
      <c r="G293" s="236"/>
      <c r="H293" s="406"/>
      <c r="I293" s="236"/>
      <c r="J293" s="236"/>
      <c r="K293" s="236"/>
      <c r="L293" s="236"/>
      <c r="M293" s="236"/>
      <c r="N293" s="236"/>
      <c r="O293" s="236"/>
      <c r="P293" s="236"/>
      <c r="Q293" s="236"/>
      <c r="R293" s="236"/>
      <c r="S293" s="236"/>
      <c r="T293" s="236"/>
      <c r="U293" s="236"/>
      <c r="V293" s="236"/>
      <c r="W293" s="236"/>
      <c r="X293" s="236"/>
      <c r="Y293" s="236"/>
      <c r="Z293" s="236"/>
      <c r="AA293" s="236"/>
      <c r="AB293" s="236"/>
      <c r="AC293" s="236"/>
      <c r="AD293" s="236"/>
      <c r="AE293" s="236"/>
      <c r="AF293" s="236"/>
      <c r="AG293" s="236"/>
      <c r="AH293" s="236"/>
      <c r="AI293" s="236"/>
      <c r="AJ293" s="236"/>
      <c r="AK293" s="236"/>
      <c r="AL293" s="236"/>
      <c r="AM293" s="236"/>
      <c r="AN293" s="236"/>
      <c r="AO293" s="236"/>
      <c r="AP293" s="236"/>
      <c r="AQ293" s="236"/>
      <c r="AR293" s="236"/>
      <c r="AS293" s="236"/>
      <c r="AT293" s="236"/>
      <c r="AU293" s="236"/>
      <c r="AV293" s="12"/>
      <c r="AW293" s="12"/>
      <c r="AX293" s="12"/>
      <c r="AY293" s="12"/>
      <c r="AZ293" s="12"/>
      <c r="BA293" s="12"/>
      <c r="BB293" s="12"/>
    </row>
    <row r="294" spans="1:54" ht="13">
      <c r="A294" s="12"/>
      <c r="B294" s="27"/>
      <c r="C294" s="27"/>
      <c r="D294" s="407"/>
      <c r="E294" s="27"/>
      <c r="F294" s="27"/>
      <c r="G294" s="27"/>
      <c r="H294" s="408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12"/>
      <c r="AW294" s="12"/>
      <c r="AX294" s="12"/>
      <c r="AY294" s="12"/>
      <c r="AZ294" s="12"/>
      <c r="BA294" s="12"/>
      <c r="BB294" s="12"/>
    </row>
    <row r="295" spans="1:54" ht="13">
      <c r="A295" s="12"/>
      <c r="B295" s="236"/>
      <c r="C295" s="236"/>
      <c r="D295" s="405"/>
      <c r="E295" s="236"/>
      <c r="F295" s="236"/>
      <c r="G295" s="236"/>
      <c r="H295" s="406"/>
      <c r="I295" s="236"/>
      <c r="J295" s="236"/>
      <c r="K295" s="236"/>
      <c r="L295" s="236"/>
      <c r="M295" s="236"/>
      <c r="N295" s="236"/>
      <c r="O295" s="236"/>
      <c r="P295" s="236"/>
      <c r="Q295" s="236"/>
      <c r="R295" s="236"/>
      <c r="S295" s="236"/>
      <c r="T295" s="236"/>
      <c r="U295" s="236"/>
      <c r="V295" s="236"/>
      <c r="W295" s="236"/>
      <c r="X295" s="236"/>
      <c r="Y295" s="236"/>
      <c r="Z295" s="236"/>
      <c r="AA295" s="236"/>
      <c r="AB295" s="236"/>
      <c r="AC295" s="236"/>
      <c r="AD295" s="236"/>
      <c r="AE295" s="236"/>
      <c r="AF295" s="236"/>
      <c r="AG295" s="236"/>
      <c r="AH295" s="236"/>
      <c r="AI295" s="236"/>
      <c r="AJ295" s="236"/>
      <c r="AK295" s="236"/>
      <c r="AL295" s="236"/>
      <c r="AM295" s="236"/>
      <c r="AN295" s="236"/>
      <c r="AO295" s="236"/>
      <c r="AP295" s="236"/>
      <c r="AQ295" s="236"/>
      <c r="AR295" s="236"/>
      <c r="AS295" s="236"/>
      <c r="AT295" s="236"/>
      <c r="AU295" s="236"/>
      <c r="AV295" s="12"/>
      <c r="AW295" s="12"/>
      <c r="AX295" s="12"/>
      <c r="AY295" s="12"/>
      <c r="AZ295" s="12"/>
      <c r="BA295" s="12"/>
      <c r="BB295" s="12"/>
    </row>
    <row r="296" spans="1:54" ht="13">
      <c r="A296" s="12"/>
      <c r="B296" s="27"/>
      <c r="C296" s="27"/>
      <c r="D296" s="407"/>
      <c r="E296" s="27"/>
      <c r="F296" s="27"/>
      <c r="G296" s="27"/>
      <c r="H296" s="408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12"/>
      <c r="AW296" s="12"/>
      <c r="AX296" s="12"/>
      <c r="AY296" s="12"/>
      <c r="AZ296" s="12"/>
      <c r="BA296" s="12"/>
      <c r="BB296" s="12"/>
    </row>
    <row r="297" spans="1:54" ht="13">
      <c r="A297" s="12"/>
      <c r="B297" s="236"/>
      <c r="C297" s="236"/>
      <c r="D297" s="405"/>
      <c r="E297" s="236"/>
      <c r="F297" s="236"/>
      <c r="G297" s="236"/>
      <c r="H297" s="406"/>
      <c r="I297" s="236"/>
      <c r="J297" s="236"/>
      <c r="K297" s="236"/>
      <c r="L297" s="236"/>
      <c r="M297" s="236"/>
      <c r="N297" s="236"/>
      <c r="O297" s="236"/>
      <c r="P297" s="236"/>
      <c r="Q297" s="236"/>
      <c r="R297" s="236"/>
      <c r="S297" s="236"/>
      <c r="T297" s="236"/>
      <c r="U297" s="236"/>
      <c r="V297" s="236"/>
      <c r="W297" s="236"/>
      <c r="X297" s="236"/>
      <c r="Y297" s="236"/>
      <c r="Z297" s="236"/>
      <c r="AA297" s="236"/>
      <c r="AB297" s="236"/>
      <c r="AC297" s="236"/>
      <c r="AD297" s="236"/>
      <c r="AE297" s="236"/>
      <c r="AF297" s="236"/>
      <c r="AG297" s="236"/>
      <c r="AH297" s="236"/>
      <c r="AI297" s="236"/>
      <c r="AJ297" s="236"/>
      <c r="AK297" s="236"/>
      <c r="AL297" s="236"/>
      <c r="AM297" s="236"/>
      <c r="AN297" s="236"/>
      <c r="AO297" s="236"/>
      <c r="AP297" s="236"/>
      <c r="AQ297" s="236"/>
      <c r="AR297" s="236"/>
      <c r="AS297" s="236"/>
      <c r="AT297" s="236"/>
      <c r="AU297" s="236"/>
      <c r="AV297" s="12"/>
      <c r="AW297" s="12"/>
      <c r="AX297" s="12"/>
      <c r="AY297" s="12"/>
      <c r="AZ297" s="12"/>
      <c r="BA297" s="12"/>
      <c r="BB297" s="12"/>
    </row>
    <row r="298" spans="1:54" ht="13">
      <c r="A298" s="12"/>
      <c r="B298" s="27"/>
      <c r="C298" s="27"/>
      <c r="D298" s="407"/>
      <c r="E298" s="27"/>
      <c r="F298" s="27"/>
      <c r="G298" s="27"/>
      <c r="H298" s="408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12"/>
      <c r="AW298" s="12"/>
      <c r="AX298" s="12"/>
      <c r="AY298" s="12"/>
      <c r="AZ298" s="12"/>
      <c r="BA298" s="12"/>
      <c r="BB298" s="12"/>
    </row>
    <row r="299" spans="1:54" ht="13">
      <c r="A299" s="12"/>
      <c r="B299" s="236"/>
      <c r="C299" s="236"/>
      <c r="D299" s="405"/>
      <c r="E299" s="236"/>
      <c r="F299" s="236"/>
      <c r="G299" s="236"/>
      <c r="H299" s="406"/>
      <c r="I299" s="236"/>
      <c r="J299" s="236"/>
      <c r="K299" s="236"/>
      <c r="L299" s="236"/>
      <c r="M299" s="236"/>
      <c r="N299" s="236"/>
      <c r="O299" s="236"/>
      <c r="P299" s="236"/>
      <c r="Q299" s="236"/>
      <c r="R299" s="236"/>
      <c r="S299" s="236"/>
      <c r="T299" s="236"/>
      <c r="U299" s="236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236"/>
      <c r="AH299" s="236"/>
      <c r="AI299" s="236"/>
      <c r="AJ299" s="236"/>
      <c r="AK299" s="236"/>
      <c r="AL299" s="236"/>
      <c r="AM299" s="236"/>
      <c r="AN299" s="236"/>
      <c r="AO299" s="236"/>
      <c r="AP299" s="236"/>
      <c r="AQ299" s="236"/>
      <c r="AR299" s="236"/>
      <c r="AS299" s="236"/>
      <c r="AT299" s="236"/>
      <c r="AU299" s="236"/>
      <c r="AV299" s="12"/>
      <c r="AW299" s="12"/>
      <c r="AX299" s="12"/>
      <c r="AY299" s="12"/>
      <c r="AZ299" s="12"/>
      <c r="BA299" s="12"/>
      <c r="BB299" s="12"/>
    </row>
    <row r="300" spans="1:54" ht="13">
      <c r="A300" s="12"/>
      <c r="B300" s="27"/>
      <c r="C300" s="27"/>
      <c r="D300" s="407"/>
      <c r="E300" s="27"/>
      <c r="F300" s="27"/>
      <c r="G300" s="27"/>
      <c r="H300" s="408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12"/>
      <c r="AW300" s="12"/>
      <c r="AX300" s="12"/>
      <c r="AY300" s="12"/>
      <c r="AZ300" s="12"/>
      <c r="BA300" s="12"/>
      <c r="BB300" s="12"/>
    </row>
    <row r="301" spans="1:54" ht="13">
      <c r="A301" s="12"/>
      <c r="B301" s="236"/>
      <c r="C301" s="236"/>
      <c r="D301" s="405"/>
      <c r="E301" s="236"/>
      <c r="F301" s="236"/>
      <c r="G301" s="236"/>
      <c r="H301" s="40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236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236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12"/>
      <c r="AW301" s="12"/>
      <c r="AX301" s="12"/>
      <c r="AY301" s="12"/>
      <c r="AZ301" s="12"/>
      <c r="BA301" s="12"/>
      <c r="BB301" s="12"/>
    </row>
    <row r="302" spans="1:54" ht="13">
      <c r="A302" s="12"/>
      <c r="B302" s="27"/>
      <c r="C302" s="27"/>
      <c r="D302" s="407"/>
      <c r="E302" s="27"/>
      <c r="F302" s="27"/>
      <c r="G302" s="27"/>
      <c r="H302" s="408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12"/>
      <c r="AW302" s="12"/>
      <c r="AX302" s="12"/>
      <c r="AY302" s="12"/>
      <c r="AZ302" s="12"/>
      <c r="BA302" s="12"/>
      <c r="BB302" s="12"/>
    </row>
    <row r="303" spans="1:54" ht="13">
      <c r="A303" s="12"/>
      <c r="B303" s="236"/>
      <c r="C303" s="236"/>
      <c r="D303" s="405"/>
      <c r="E303" s="236"/>
      <c r="F303" s="236"/>
      <c r="G303" s="236"/>
      <c r="H303" s="406"/>
      <c r="I303" s="236"/>
      <c r="J303" s="236"/>
      <c r="K303" s="236"/>
      <c r="L303" s="236"/>
      <c r="M303" s="236"/>
      <c r="N303" s="236"/>
      <c r="O303" s="236"/>
      <c r="P303" s="236"/>
      <c r="Q303" s="236"/>
      <c r="R303" s="236"/>
      <c r="S303" s="236"/>
      <c r="T303" s="236"/>
      <c r="U303" s="236"/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236"/>
      <c r="AH303" s="236"/>
      <c r="AI303" s="236"/>
      <c r="AJ303" s="236"/>
      <c r="AK303" s="236"/>
      <c r="AL303" s="236"/>
      <c r="AM303" s="236"/>
      <c r="AN303" s="236"/>
      <c r="AO303" s="236"/>
      <c r="AP303" s="236"/>
      <c r="AQ303" s="236"/>
      <c r="AR303" s="236"/>
      <c r="AS303" s="236"/>
      <c r="AT303" s="236"/>
      <c r="AU303" s="236"/>
      <c r="AV303" s="12"/>
      <c r="AW303" s="12"/>
      <c r="AX303" s="12"/>
      <c r="AY303" s="12"/>
      <c r="AZ303" s="12"/>
      <c r="BA303" s="12"/>
      <c r="BB303" s="12"/>
    </row>
    <row r="304" spans="1:54" ht="13">
      <c r="A304" s="12"/>
      <c r="B304" s="27"/>
      <c r="C304" s="27"/>
      <c r="D304" s="407"/>
      <c r="E304" s="27"/>
      <c r="F304" s="27"/>
      <c r="G304" s="27"/>
      <c r="H304" s="408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12"/>
      <c r="AW304" s="12"/>
      <c r="AX304" s="12"/>
      <c r="AY304" s="12"/>
      <c r="AZ304" s="12"/>
      <c r="BA304" s="12"/>
      <c r="BB304" s="12"/>
    </row>
    <row r="305" spans="1:54" ht="13">
      <c r="A305" s="12"/>
      <c r="B305" s="236"/>
      <c r="C305" s="236"/>
      <c r="D305" s="405"/>
      <c r="E305" s="236"/>
      <c r="F305" s="236"/>
      <c r="G305" s="236"/>
      <c r="H305" s="406"/>
      <c r="I305" s="236"/>
      <c r="J305" s="236"/>
      <c r="K305" s="236"/>
      <c r="L305" s="236"/>
      <c r="M305" s="236"/>
      <c r="N305" s="236"/>
      <c r="O305" s="236"/>
      <c r="P305" s="236"/>
      <c r="Q305" s="236"/>
      <c r="R305" s="236"/>
      <c r="S305" s="236"/>
      <c r="T305" s="236"/>
      <c r="U305" s="236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236"/>
      <c r="AH305" s="236"/>
      <c r="AI305" s="236"/>
      <c r="AJ305" s="236"/>
      <c r="AK305" s="236"/>
      <c r="AL305" s="236"/>
      <c r="AM305" s="236"/>
      <c r="AN305" s="236"/>
      <c r="AO305" s="236"/>
      <c r="AP305" s="236"/>
      <c r="AQ305" s="236"/>
      <c r="AR305" s="236"/>
      <c r="AS305" s="236"/>
      <c r="AT305" s="236"/>
      <c r="AU305" s="236"/>
      <c r="AV305" s="12"/>
      <c r="AW305" s="12"/>
      <c r="AX305" s="12"/>
      <c r="AY305" s="12"/>
      <c r="AZ305" s="12"/>
      <c r="BA305" s="12"/>
      <c r="BB305" s="12"/>
    </row>
    <row r="306" spans="1:54" ht="13">
      <c r="A306" s="12"/>
      <c r="B306" s="27"/>
      <c r="C306" s="27"/>
      <c r="D306" s="407"/>
      <c r="E306" s="27"/>
      <c r="F306" s="27"/>
      <c r="G306" s="27"/>
      <c r="H306" s="408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12"/>
      <c r="AW306" s="12"/>
      <c r="AX306" s="12"/>
      <c r="AY306" s="12"/>
      <c r="AZ306" s="12"/>
      <c r="BA306" s="12"/>
      <c r="BB306" s="12"/>
    </row>
    <row r="307" spans="1:54" ht="13">
      <c r="A307" s="12"/>
      <c r="B307" s="236"/>
      <c r="C307" s="236"/>
      <c r="D307" s="405"/>
      <c r="E307" s="236"/>
      <c r="F307" s="236"/>
      <c r="G307" s="236"/>
      <c r="H307" s="406"/>
      <c r="I307" s="236"/>
      <c r="J307" s="236"/>
      <c r="K307" s="236"/>
      <c r="L307" s="236"/>
      <c r="M307" s="236"/>
      <c r="N307" s="236"/>
      <c r="O307" s="236"/>
      <c r="P307" s="236"/>
      <c r="Q307" s="236"/>
      <c r="R307" s="236"/>
      <c r="S307" s="236"/>
      <c r="T307" s="236"/>
      <c r="U307" s="236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236"/>
      <c r="AH307" s="236"/>
      <c r="AI307" s="236"/>
      <c r="AJ307" s="236"/>
      <c r="AK307" s="236"/>
      <c r="AL307" s="236"/>
      <c r="AM307" s="236"/>
      <c r="AN307" s="236"/>
      <c r="AO307" s="236"/>
      <c r="AP307" s="236"/>
      <c r="AQ307" s="236"/>
      <c r="AR307" s="236"/>
      <c r="AS307" s="236"/>
      <c r="AT307" s="236"/>
      <c r="AU307" s="236"/>
      <c r="AV307" s="12"/>
      <c r="AW307" s="12"/>
      <c r="AX307" s="12"/>
      <c r="AY307" s="12"/>
      <c r="AZ307" s="12"/>
      <c r="BA307" s="12"/>
      <c r="BB307" s="12"/>
    </row>
    <row r="308" spans="1:54" ht="13">
      <c r="A308" s="12"/>
      <c r="B308" s="27"/>
      <c r="C308" s="27"/>
      <c r="D308" s="407"/>
      <c r="E308" s="27"/>
      <c r="F308" s="27"/>
      <c r="G308" s="27"/>
      <c r="H308" s="408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12"/>
      <c r="AW308" s="12"/>
      <c r="AX308" s="12"/>
      <c r="AY308" s="12"/>
      <c r="AZ308" s="12"/>
      <c r="BA308" s="12"/>
      <c r="BB308" s="12"/>
    </row>
    <row r="309" spans="1:54" ht="13">
      <c r="A309" s="12"/>
      <c r="B309" s="236"/>
      <c r="C309" s="236"/>
      <c r="D309" s="405"/>
      <c r="E309" s="236"/>
      <c r="F309" s="236"/>
      <c r="G309" s="236"/>
      <c r="H309" s="406"/>
      <c r="I309" s="236"/>
      <c r="J309" s="236"/>
      <c r="K309" s="236"/>
      <c r="L309" s="236"/>
      <c r="M309" s="236"/>
      <c r="N309" s="236"/>
      <c r="O309" s="236"/>
      <c r="P309" s="236"/>
      <c r="Q309" s="236"/>
      <c r="R309" s="236"/>
      <c r="S309" s="236"/>
      <c r="T309" s="236"/>
      <c r="U309" s="236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236"/>
      <c r="AH309" s="236"/>
      <c r="AI309" s="236"/>
      <c r="AJ309" s="236"/>
      <c r="AK309" s="236"/>
      <c r="AL309" s="236"/>
      <c r="AM309" s="236"/>
      <c r="AN309" s="236"/>
      <c r="AO309" s="236"/>
      <c r="AP309" s="236"/>
      <c r="AQ309" s="236"/>
      <c r="AR309" s="236"/>
      <c r="AS309" s="236"/>
      <c r="AT309" s="236"/>
      <c r="AU309" s="236"/>
      <c r="AV309" s="12"/>
      <c r="AW309" s="12"/>
      <c r="AX309" s="12"/>
      <c r="AY309" s="12"/>
      <c r="AZ309" s="12"/>
      <c r="BA309" s="12"/>
      <c r="BB309" s="12"/>
    </row>
    <row r="310" spans="1:54" ht="13">
      <c r="A310" s="12"/>
      <c r="B310" s="27"/>
      <c r="C310" s="27"/>
      <c r="D310" s="407"/>
      <c r="E310" s="27"/>
      <c r="F310" s="27"/>
      <c r="G310" s="27"/>
      <c r="H310" s="408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12"/>
      <c r="AW310" s="12"/>
      <c r="AX310" s="12"/>
      <c r="AY310" s="12"/>
      <c r="AZ310" s="12"/>
      <c r="BA310" s="12"/>
      <c r="BB310" s="12"/>
    </row>
    <row r="311" spans="1:54" ht="13">
      <c r="A311" s="12"/>
      <c r="B311" s="236"/>
      <c r="C311" s="236"/>
      <c r="D311" s="405"/>
      <c r="E311" s="236"/>
      <c r="F311" s="236"/>
      <c r="G311" s="236"/>
      <c r="H311" s="406"/>
      <c r="I311" s="236"/>
      <c r="J311" s="236"/>
      <c r="K311" s="236"/>
      <c r="L311" s="236"/>
      <c r="M311" s="236"/>
      <c r="N311" s="236"/>
      <c r="O311" s="236"/>
      <c r="P311" s="236"/>
      <c r="Q311" s="236"/>
      <c r="R311" s="236"/>
      <c r="S311" s="236"/>
      <c r="T311" s="236"/>
      <c r="U311" s="236"/>
      <c r="V311" s="236"/>
      <c r="W311" s="236"/>
      <c r="X311" s="236"/>
      <c r="Y311" s="236"/>
      <c r="Z311" s="236"/>
      <c r="AA311" s="236"/>
      <c r="AB311" s="236"/>
      <c r="AC311" s="236"/>
      <c r="AD311" s="236"/>
      <c r="AE311" s="236"/>
      <c r="AF311" s="236"/>
      <c r="AG311" s="236"/>
      <c r="AH311" s="236"/>
      <c r="AI311" s="236"/>
      <c r="AJ311" s="236"/>
      <c r="AK311" s="236"/>
      <c r="AL311" s="236"/>
      <c r="AM311" s="236"/>
      <c r="AN311" s="236"/>
      <c r="AO311" s="236"/>
      <c r="AP311" s="236"/>
      <c r="AQ311" s="236"/>
      <c r="AR311" s="236"/>
      <c r="AS311" s="236"/>
      <c r="AT311" s="236"/>
      <c r="AU311" s="236"/>
      <c r="AV311" s="12"/>
      <c r="AW311" s="12"/>
      <c r="AX311" s="12"/>
      <c r="AY311" s="12"/>
      <c r="AZ311" s="12"/>
      <c r="BA311" s="12"/>
      <c r="BB311" s="12"/>
    </row>
    <row r="312" spans="1:54" ht="13">
      <c r="A312" s="12"/>
      <c r="B312" s="27"/>
      <c r="C312" s="27"/>
      <c r="D312" s="407"/>
      <c r="E312" s="27"/>
      <c r="F312" s="27"/>
      <c r="G312" s="27"/>
      <c r="H312" s="408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12"/>
      <c r="AW312" s="12"/>
      <c r="AX312" s="12"/>
      <c r="AY312" s="12"/>
      <c r="AZ312" s="12"/>
      <c r="BA312" s="12"/>
      <c r="BB312" s="12"/>
    </row>
    <row r="313" spans="1:54" ht="13">
      <c r="A313" s="12"/>
      <c r="B313" s="236"/>
      <c r="C313" s="236"/>
      <c r="D313" s="405"/>
      <c r="E313" s="236"/>
      <c r="F313" s="236"/>
      <c r="G313" s="236"/>
      <c r="H313" s="406"/>
      <c r="I313" s="236"/>
      <c r="J313" s="236"/>
      <c r="K313" s="236"/>
      <c r="L313" s="236"/>
      <c r="M313" s="236"/>
      <c r="N313" s="236"/>
      <c r="O313" s="236"/>
      <c r="P313" s="236"/>
      <c r="Q313" s="236"/>
      <c r="R313" s="236"/>
      <c r="S313" s="236"/>
      <c r="T313" s="236"/>
      <c r="U313" s="236"/>
      <c r="V313" s="236"/>
      <c r="W313" s="236"/>
      <c r="X313" s="236"/>
      <c r="Y313" s="236"/>
      <c r="Z313" s="236"/>
      <c r="AA313" s="236"/>
      <c r="AB313" s="236"/>
      <c r="AC313" s="236"/>
      <c r="AD313" s="236"/>
      <c r="AE313" s="236"/>
      <c r="AF313" s="236"/>
      <c r="AG313" s="236"/>
      <c r="AH313" s="236"/>
      <c r="AI313" s="236"/>
      <c r="AJ313" s="236"/>
      <c r="AK313" s="236"/>
      <c r="AL313" s="236"/>
      <c r="AM313" s="236"/>
      <c r="AN313" s="236"/>
      <c r="AO313" s="236"/>
      <c r="AP313" s="236"/>
      <c r="AQ313" s="236"/>
      <c r="AR313" s="236"/>
      <c r="AS313" s="236"/>
      <c r="AT313" s="236"/>
      <c r="AU313" s="236"/>
      <c r="AV313" s="12"/>
      <c r="AW313" s="12"/>
      <c r="AX313" s="12"/>
      <c r="AY313" s="12"/>
      <c r="AZ313" s="12"/>
      <c r="BA313" s="12"/>
      <c r="BB313" s="12"/>
    </row>
    <row r="314" spans="1:54" ht="13">
      <c r="A314" s="12"/>
      <c r="B314" s="27"/>
      <c r="C314" s="27"/>
      <c r="D314" s="407"/>
      <c r="E314" s="27"/>
      <c r="F314" s="27"/>
      <c r="G314" s="27"/>
      <c r="H314" s="408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12"/>
      <c r="AW314" s="12"/>
      <c r="AX314" s="12"/>
      <c r="AY314" s="12"/>
      <c r="AZ314" s="12"/>
      <c r="BA314" s="12"/>
      <c r="BB314" s="12"/>
    </row>
    <row r="315" spans="1:54" ht="13">
      <c r="A315" s="12"/>
      <c r="B315" s="236"/>
      <c r="C315" s="236"/>
      <c r="D315" s="405"/>
      <c r="E315" s="236"/>
      <c r="F315" s="236"/>
      <c r="G315" s="236"/>
      <c r="H315" s="406"/>
      <c r="I315" s="236"/>
      <c r="J315" s="236"/>
      <c r="K315" s="236"/>
      <c r="L315" s="236"/>
      <c r="M315" s="236"/>
      <c r="N315" s="236"/>
      <c r="O315" s="236"/>
      <c r="P315" s="236"/>
      <c r="Q315" s="236"/>
      <c r="R315" s="236"/>
      <c r="S315" s="236"/>
      <c r="T315" s="236"/>
      <c r="U315" s="236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236"/>
      <c r="AH315" s="236"/>
      <c r="AI315" s="236"/>
      <c r="AJ315" s="236"/>
      <c r="AK315" s="236"/>
      <c r="AL315" s="236"/>
      <c r="AM315" s="236"/>
      <c r="AN315" s="236"/>
      <c r="AO315" s="236"/>
      <c r="AP315" s="236"/>
      <c r="AQ315" s="236"/>
      <c r="AR315" s="236"/>
      <c r="AS315" s="236"/>
      <c r="AT315" s="236"/>
      <c r="AU315" s="236"/>
      <c r="AV315" s="12"/>
      <c r="AW315" s="12"/>
      <c r="AX315" s="12"/>
      <c r="AY315" s="12"/>
      <c r="AZ315" s="12"/>
      <c r="BA315" s="12"/>
      <c r="BB315" s="12"/>
    </row>
    <row r="316" spans="1:54" ht="13">
      <c r="A316" s="12"/>
      <c r="B316" s="27"/>
      <c r="C316" s="27"/>
      <c r="D316" s="407"/>
      <c r="E316" s="27"/>
      <c r="F316" s="27"/>
      <c r="G316" s="27"/>
      <c r="H316" s="408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12"/>
      <c r="AW316" s="12"/>
      <c r="AX316" s="12"/>
      <c r="AY316" s="12"/>
      <c r="AZ316" s="12"/>
      <c r="BA316" s="12"/>
      <c r="BB316" s="12"/>
    </row>
    <row r="317" spans="1:54" ht="13">
      <c r="A317" s="12"/>
      <c r="B317" s="236"/>
      <c r="C317" s="236"/>
      <c r="D317" s="405"/>
      <c r="E317" s="236"/>
      <c r="F317" s="236"/>
      <c r="G317" s="236"/>
      <c r="H317" s="406"/>
      <c r="I317" s="236"/>
      <c r="J317" s="236"/>
      <c r="K317" s="236"/>
      <c r="L317" s="236"/>
      <c r="M317" s="236"/>
      <c r="N317" s="236"/>
      <c r="O317" s="236"/>
      <c r="P317" s="236"/>
      <c r="Q317" s="236"/>
      <c r="R317" s="236"/>
      <c r="S317" s="236"/>
      <c r="T317" s="236"/>
      <c r="U317" s="236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236"/>
      <c r="AH317" s="236"/>
      <c r="AI317" s="236"/>
      <c r="AJ317" s="236"/>
      <c r="AK317" s="236"/>
      <c r="AL317" s="236"/>
      <c r="AM317" s="236"/>
      <c r="AN317" s="236"/>
      <c r="AO317" s="236"/>
      <c r="AP317" s="236"/>
      <c r="AQ317" s="236"/>
      <c r="AR317" s="236"/>
      <c r="AS317" s="236"/>
      <c r="AT317" s="236"/>
      <c r="AU317" s="236"/>
      <c r="AV317" s="12"/>
      <c r="AW317" s="12"/>
      <c r="AX317" s="12"/>
      <c r="AY317" s="12"/>
      <c r="AZ317" s="12"/>
      <c r="BA317" s="12"/>
      <c r="BB317" s="12"/>
    </row>
    <row r="318" spans="1:54" ht="13">
      <c r="A318" s="12"/>
      <c r="B318" s="27"/>
      <c r="C318" s="27"/>
      <c r="D318" s="407"/>
      <c r="E318" s="27"/>
      <c r="F318" s="27"/>
      <c r="G318" s="27"/>
      <c r="H318" s="408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12"/>
      <c r="AW318" s="12"/>
      <c r="AX318" s="12"/>
      <c r="AY318" s="12"/>
      <c r="AZ318" s="12"/>
      <c r="BA318" s="12"/>
      <c r="BB318" s="12"/>
    </row>
    <row r="319" spans="1:54" ht="13">
      <c r="A319" s="12"/>
      <c r="B319" s="236"/>
      <c r="C319" s="236"/>
      <c r="D319" s="405"/>
      <c r="E319" s="236"/>
      <c r="F319" s="236"/>
      <c r="G319" s="236"/>
      <c r="H319" s="406"/>
      <c r="I319" s="236"/>
      <c r="J319" s="236"/>
      <c r="K319" s="236"/>
      <c r="L319" s="236"/>
      <c r="M319" s="236"/>
      <c r="N319" s="236"/>
      <c r="O319" s="236"/>
      <c r="P319" s="236"/>
      <c r="Q319" s="236"/>
      <c r="R319" s="236"/>
      <c r="S319" s="236"/>
      <c r="T319" s="236"/>
      <c r="U319" s="236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236"/>
      <c r="AH319" s="236"/>
      <c r="AI319" s="236"/>
      <c r="AJ319" s="236"/>
      <c r="AK319" s="236"/>
      <c r="AL319" s="236"/>
      <c r="AM319" s="236"/>
      <c r="AN319" s="236"/>
      <c r="AO319" s="236"/>
      <c r="AP319" s="236"/>
      <c r="AQ319" s="236"/>
      <c r="AR319" s="236"/>
      <c r="AS319" s="236"/>
      <c r="AT319" s="236"/>
      <c r="AU319" s="236"/>
      <c r="AV319" s="12"/>
      <c r="AW319" s="12"/>
      <c r="AX319" s="12"/>
      <c r="AY319" s="12"/>
      <c r="AZ319" s="12"/>
      <c r="BA319" s="12"/>
      <c r="BB319" s="12"/>
    </row>
    <row r="320" spans="1:54" ht="13">
      <c r="A320" s="12"/>
      <c r="B320" s="27"/>
      <c r="C320" s="27"/>
      <c r="D320" s="407"/>
      <c r="E320" s="27"/>
      <c r="F320" s="27"/>
      <c r="G320" s="27"/>
      <c r="H320" s="408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12"/>
      <c r="AW320" s="12"/>
      <c r="AX320" s="12"/>
      <c r="AY320" s="12"/>
      <c r="AZ320" s="12"/>
      <c r="BA320" s="12"/>
      <c r="BB320" s="12"/>
    </row>
    <row r="321" spans="1:54" ht="13">
      <c r="A321" s="12"/>
      <c r="B321" s="236"/>
      <c r="C321" s="236"/>
      <c r="D321" s="405"/>
      <c r="E321" s="236"/>
      <c r="F321" s="236"/>
      <c r="G321" s="236"/>
      <c r="H321" s="406"/>
      <c r="I321" s="236"/>
      <c r="J321" s="236"/>
      <c r="K321" s="236"/>
      <c r="L321" s="236"/>
      <c r="M321" s="236"/>
      <c r="N321" s="236"/>
      <c r="O321" s="236"/>
      <c r="P321" s="236"/>
      <c r="Q321" s="236"/>
      <c r="R321" s="236"/>
      <c r="S321" s="236"/>
      <c r="T321" s="236"/>
      <c r="U321" s="236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236"/>
      <c r="AH321" s="236"/>
      <c r="AI321" s="236"/>
      <c r="AJ321" s="236"/>
      <c r="AK321" s="236"/>
      <c r="AL321" s="236"/>
      <c r="AM321" s="236"/>
      <c r="AN321" s="236"/>
      <c r="AO321" s="236"/>
      <c r="AP321" s="236"/>
      <c r="AQ321" s="236"/>
      <c r="AR321" s="236"/>
      <c r="AS321" s="236"/>
      <c r="AT321" s="236"/>
      <c r="AU321" s="236"/>
      <c r="AV321" s="12"/>
      <c r="AW321" s="12"/>
      <c r="AX321" s="12"/>
      <c r="AY321" s="12"/>
      <c r="AZ321" s="12"/>
      <c r="BA321" s="12"/>
      <c r="BB321" s="12"/>
    </row>
    <row r="322" spans="1:54" ht="13">
      <c r="A322" s="12"/>
      <c r="B322" s="27"/>
      <c r="C322" s="27"/>
      <c r="D322" s="407"/>
      <c r="E322" s="27"/>
      <c r="F322" s="27"/>
      <c r="G322" s="27"/>
      <c r="H322" s="408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12"/>
      <c r="AW322" s="12"/>
      <c r="AX322" s="12"/>
      <c r="AY322" s="12"/>
      <c r="AZ322" s="12"/>
      <c r="BA322" s="12"/>
      <c r="BB322" s="12"/>
    </row>
    <row r="323" spans="1:54" ht="13">
      <c r="A323" s="12"/>
      <c r="B323" s="236"/>
      <c r="C323" s="236"/>
      <c r="D323" s="405"/>
      <c r="E323" s="236"/>
      <c r="F323" s="236"/>
      <c r="G323" s="236"/>
      <c r="H323" s="406"/>
      <c r="I323" s="236"/>
      <c r="J323" s="236"/>
      <c r="K323" s="236"/>
      <c r="L323" s="236"/>
      <c r="M323" s="236"/>
      <c r="N323" s="236"/>
      <c r="O323" s="236"/>
      <c r="P323" s="236"/>
      <c r="Q323" s="236"/>
      <c r="R323" s="236"/>
      <c r="S323" s="236"/>
      <c r="T323" s="236"/>
      <c r="U323" s="236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236"/>
      <c r="AH323" s="236"/>
      <c r="AI323" s="236"/>
      <c r="AJ323" s="236"/>
      <c r="AK323" s="236"/>
      <c r="AL323" s="236"/>
      <c r="AM323" s="236"/>
      <c r="AN323" s="236"/>
      <c r="AO323" s="236"/>
      <c r="AP323" s="236"/>
      <c r="AQ323" s="236"/>
      <c r="AR323" s="236"/>
      <c r="AS323" s="236"/>
      <c r="AT323" s="236"/>
      <c r="AU323" s="236"/>
      <c r="AV323" s="12"/>
      <c r="AW323" s="12"/>
      <c r="AX323" s="12"/>
      <c r="AY323" s="12"/>
      <c r="AZ323" s="12"/>
      <c r="BA323" s="12"/>
      <c r="BB323" s="12"/>
    </row>
    <row r="324" spans="1:54" ht="13">
      <c r="A324" s="12"/>
      <c r="B324" s="27"/>
      <c r="C324" s="27"/>
      <c r="D324" s="407"/>
      <c r="E324" s="27"/>
      <c r="F324" s="27"/>
      <c r="G324" s="27"/>
      <c r="H324" s="408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12"/>
      <c r="AW324" s="12"/>
      <c r="AX324" s="12"/>
      <c r="AY324" s="12"/>
      <c r="AZ324" s="12"/>
      <c r="BA324" s="12"/>
      <c r="BB324" s="12"/>
    </row>
    <row r="325" spans="1:54" ht="13">
      <c r="A325" s="12"/>
      <c r="B325" s="236"/>
      <c r="C325" s="236"/>
      <c r="D325" s="405"/>
      <c r="E325" s="236"/>
      <c r="F325" s="236"/>
      <c r="G325" s="236"/>
      <c r="H325" s="406"/>
      <c r="I325" s="236"/>
      <c r="J325" s="236"/>
      <c r="K325" s="236"/>
      <c r="L325" s="236"/>
      <c r="M325" s="236"/>
      <c r="N325" s="236"/>
      <c r="O325" s="236"/>
      <c r="P325" s="236"/>
      <c r="Q325" s="236"/>
      <c r="R325" s="236"/>
      <c r="S325" s="236"/>
      <c r="T325" s="236"/>
      <c r="U325" s="236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236"/>
      <c r="AH325" s="236"/>
      <c r="AI325" s="236"/>
      <c r="AJ325" s="236"/>
      <c r="AK325" s="236"/>
      <c r="AL325" s="236"/>
      <c r="AM325" s="236"/>
      <c r="AN325" s="236"/>
      <c r="AO325" s="236"/>
      <c r="AP325" s="236"/>
      <c r="AQ325" s="236"/>
      <c r="AR325" s="236"/>
      <c r="AS325" s="236"/>
      <c r="AT325" s="236"/>
      <c r="AU325" s="236"/>
      <c r="AV325" s="12"/>
      <c r="AW325" s="12"/>
      <c r="AX325" s="12"/>
      <c r="AY325" s="12"/>
      <c r="AZ325" s="12"/>
      <c r="BA325" s="12"/>
      <c r="BB325" s="12"/>
    </row>
    <row r="326" spans="1:54" ht="13">
      <c r="A326" s="12"/>
      <c r="B326" s="27"/>
      <c r="C326" s="27"/>
      <c r="D326" s="407"/>
      <c r="E326" s="27"/>
      <c r="F326" s="27"/>
      <c r="G326" s="27"/>
      <c r="H326" s="408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12"/>
      <c r="AW326" s="12"/>
      <c r="AX326" s="12"/>
      <c r="AY326" s="12"/>
      <c r="AZ326" s="12"/>
      <c r="BA326" s="12"/>
      <c r="BB326" s="12"/>
    </row>
    <row r="327" spans="1:54" ht="13">
      <c r="A327" s="12"/>
      <c r="B327" s="236"/>
      <c r="C327" s="236"/>
      <c r="D327" s="405"/>
      <c r="E327" s="236"/>
      <c r="F327" s="236"/>
      <c r="G327" s="236"/>
      <c r="H327" s="406"/>
      <c r="I327" s="236"/>
      <c r="J327" s="236"/>
      <c r="K327" s="236"/>
      <c r="L327" s="236"/>
      <c r="M327" s="236"/>
      <c r="N327" s="236"/>
      <c r="O327" s="236"/>
      <c r="P327" s="236"/>
      <c r="Q327" s="236"/>
      <c r="R327" s="236"/>
      <c r="S327" s="236"/>
      <c r="T327" s="236"/>
      <c r="U327" s="236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236"/>
      <c r="AH327" s="236"/>
      <c r="AI327" s="236"/>
      <c r="AJ327" s="236"/>
      <c r="AK327" s="236"/>
      <c r="AL327" s="236"/>
      <c r="AM327" s="236"/>
      <c r="AN327" s="236"/>
      <c r="AO327" s="236"/>
      <c r="AP327" s="236"/>
      <c r="AQ327" s="236"/>
      <c r="AR327" s="236"/>
      <c r="AS327" s="236"/>
      <c r="AT327" s="236"/>
      <c r="AU327" s="236"/>
      <c r="AV327" s="12"/>
      <c r="AW327" s="12"/>
      <c r="AX327" s="12"/>
      <c r="AY327" s="12"/>
      <c r="AZ327" s="12"/>
      <c r="BA327" s="12"/>
      <c r="BB327" s="12"/>
    </row>
    <row r="328" spans="1:54" ht="13">
      <c r="A328" s="12"/>
      <c r="B328" s="27"/>
      <c r="C328" s="27"/>
      <c r="D328" s="407"/>
      <c r="E328" s="27"/>
      <c r="F328" s="27"/>
      <c r="G328" s="27"/>
      <c r="H328" s="408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12"/>
      <c r="AW328" s="12"/>
      <c r="AX328" s="12"/>
      <c r="AY328" s="12"/>
      <c r="AZ328" s="12"/>
      <c r="BA328" s="12"/>
      <c r="BB328" s="12"/>
    </row>
    <row r="329" spans="1:54" ht="13">
      <c r="A329" s="12"/>
      <c r="B329" s="236"/>
      <c r="C329" s="236"/>
      <c r="D329" s="405"/>
      <c r="E329" s="236"/>
      <c r="F329" s="236"/>
      <c r="G329" s="236"/>
      <c r="H329" s="406"/>
      <c r="I329" s="236"/>
      <c r="J329" s="236"/>
      <c r="K329" s="236"/>
      <c r="L329" s="236"/>
      <c r="M329" s="236"/>
      <c r="N329" s="236"/>
      <c r="O329" s="236"/>
      <c r="P329" s="236"/>
      <c r="Q329" s="236"/>
      <c r="R329" s="236"/>
      <c r="S329" s="236"/>
      <c r="T329" s="236"/>
      <c r="U329" s="236"/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236"/>
      <c r="AH329" s="236"/>
      <c r="AI329" s="236"/>
      <c r="AJ329" s="236"/>
      <c r="AK329" s="236"/>
      <c r="AL329" s="236"/>
      <c r="AM329" s="236"/>
      <c r="AN329" s="236"/>
      <c r="AO329" s="236"/>
      <c r="AP329" s="236"/>
      <c r="AQ329" s="236"/>
      <c r="AR329" s="236"/>
      <c r="AS329" s="236"/>
      <c r="AT329" s="236"/>
      <c r="AU329" s="236"/>
      <c r="AV329" s="12"/>
      <c r="AW329" s="12"/>
      <c r="AX329" s="12"/>
      <c r="AY329" s="12"/>
      <c r="AZ329" s="12"/>
      <c r="BA329" s="12"/>
      <c r="BB329" s="12"/>
    </row>
    <row r="330" spans="1:54" ht="13">
      <c r="A330" s="12"/>
      <c r="B330" s="27"/>
      <c r="C330" s="27"/>
      <c r="D330" s="407"/>
      <c r="E330" s="27"/>
      <c r="F330" s="27"/>
      <c r="G330" s="27"/>
      <c r="H330" s="408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12"/>
      <c r="AW330" s="12"/>
      <c r="AX330" s="12"/>
      <c r="AY330" s="12"/>
      <c r="AZ330" s="12"/>
      <c r="BA330" s="12"/>
      <c r="BB330" s="12"/>
    </row>
    <row r="331" spans="1:54" ht="13">
      <c r="A331" s="12"/>
      <c r="B331" s="236"/>
      <c r="C331" s="236"/>
      <c r="D331" s="405"/>
      <c r="E331" s="236"/>
      <c r="F331" s="236"/>
      <c r="G331" s="236"/>
      <c r="H331" s="406"/>
      <c r="I331" s="236"/>
      <c r="J331" s="236"/>
      <c r="K331" s="236"/>
      <c r="L331" s="236"/>
      <c r="M331" s="236"/>
      <c r="N331" s="236"/>
      <c r="O331" s="236"/>
      <c r="P331" s="236"/>
      <c r="Q331" s="236"/>
      <c r="R331" s="236"/>
      <c r="S331" s="236"/>
      <c r="T331" s="236"/>
      <c r="U331" s="236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236"/>
      <c r="AH331" s="236"/>
      <c r="AI331" s="236"/>
      <c r="AJ331" s="236"/>
      <c r="AK331" s="236"/>
      <c r="AL331" s="236"/>
      <c r="AM331" s="236"/>
      <c r="AN331" s="236"/>
      <c r="AO331" s="236"/>
      <c r="AP331" s="236"/>
      <c r="AQ331" s="236"/>
      <c r="AR331" s="236"/>
      <c r="AS331" s="236"/>
      <c r="AT331" s="236"/>
      <c r="AU331" s="236"/>
      <c r="AV331" s="12"/>
      <c r="AW331" s="12"/>
      <c r="AX331" s="12"/>
      <c r="AY331" s="12"/>
      <c r="AZ331" s="12"/>
      <c r="BA331" s="12"/>
      <c r="BB331" s="12"/>
    </row>
    <row r="332" spans="1:54" ht="13">
      <c r="A332" s="12"/>
      <c r="B332" s="27"/>
      <c r="C332" s="27"/>
      <c r="D332" s="407"/>
      <c r="E332" s="27"/>
      <c r="F332" s="27"/>
      <c r="G332" s="27"/>
      <c r="H332" s="408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12"/>
      <c r="AW332" s="12"/>
      <c r="AX332" s="12"/>
      <c r="AY332" s="12"/>
      <c r="AZ332" s="12"/>
      <c r="BA332" s="12"/>
      <c r="BB332" s="12"/>
    </row>
    <row r="333" spans="1:54" ht="13">
      <c r="A333" s="12"/>
      <c r="B333" s="236"/>
      <c r="C333" s="236"/>
      <c r="D333" s="405"/>
      <c r="E333" s="236"/>
      <c r="F333" s="236"/>
      <c r="G333" s="236"/>
      <c r="H333" s="406"/>
      <c r="I333" s="236"/>
      <c r="J333" s="236"/>
      <c r="K333" s="236"/>
      <c r="L333" s="236"/>
      <c r="M333" s="236"/>
      <c r="N333" s="236"/>
      <c r="O333" s="236"/>
      <c r="P333" s="236"/>
      <c r="Q333" s="236"/>
      <c r="R333" s="236"/>
      <c r="S333" s="236"/>
      <c r="T333" s="236"/>
      <c r="U333" s="236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236"/>
      <c r="AH333" s="236"/>
      <c r="AI333" s="236"/>
      <c r="AJ333" s="236"/>
      <c r="AK333" s="236"/>
      <c r="AL333" s="236"/>
      <c r="AM333" s="236"/>
      <c r="AN333" s="236"/>
      <c r="AO333" s="236"/>
      <c r="AP333" s="236"/>
      <c r="AQ333" s="236"/>
      <c r="AR333" s="236"/>
      <c r="AS333" s="236"/>
      <c r="AT333" s="236"/>
      <c r="AU333" s="236"/>
      <c r="AV333" s="12"/>
      <c r="AW333" s="12"/>
      <c r="AX333" s="12"/>
      <c r="AY333" s="12"/>
      <c r="AZ333" s="12"/>
      <c r="BA333" s="12"/>
      <c r="BB333" s="12"/>
    </row>
    <row r="334" spans="1:54" ht="13">
      <c r="A334" s="12"/>
      <c r="B334" s="27"/>
      <c r="C334" s="27"/>
      <c r="D334" s="407"/>
      <c r="E334" s="27"/>
      <c r="F334" s="27"/>
      <c r="G334" s="27"/>
      <c r="H334" s="408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12"/>
      <c r="AW334" s="12"/>
      <c r="AX334" s="12"/>
      <c r="AY334" s="12"/>
      <c r="AZ334" s="12"/>
      <c r="BA334" s="12"/>
      <c r="BB334" s="12"/>
    </row>
    <row r="335" spans="1:54" ht="13">
      <c r="A335" s="12"/>
      <c r="B335" s="236"/>
      <c r="C335" s="236"/>
      <c r="D335" s="405"/>
      <c r="E335" s="236"/>
      <c r="F335" s="236"/>
      <c r="G335" s="236"/>
      <c r="H335" s="406"/>
      <c r="I335" s="236"/>
      <c r="J335" s="236"/>
      <c r="K335" s="236"/>
      <c r="L335" s="236"/>
      <c r="M335" s="236"/>
      <c r="N335" s="236"/>
      <c r="O335" s="236"/>
      <c r="P335" s="236"/>
      <c r="Q335" s="236"/>
      <c r="R335" s="236"/>
      <c r="S335" s="236"/>
      <c r="T335" s="236"/>
      <c r="U335" s="236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12"/>
      <c r="AW335" s="12"/>
      <c r="AX335" s="12"/>
      <c r="AY335" s="12"/>
      <c r="AZ335" s="12"/>
      <c r="BA335" s="12"/>
      <c r="BB335" s="12"/>
    </row>
    <row r="336" spans="1:54" ht="13">
      <c r="A336" s="12"/>
      <c r="B336" s="27"/>
      <c r="C336" s="27"/>
      <c r="D336" s="407"/>
      <c r="E336" s="27"/>
      <c r="F336" s="27"/>
      <c r="G336" s="27"/>
      <c r="H336" s="408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12"/>
      <c r="AW336" s="12"/>
      <c r="AX336" s="12"/>
      <c r="AY336" s="12"/>
      <c r="AZ336" s="12"/>
      <c r="BA336" s="12"/>
      <c r="BB336" s="12"/>
    </row>
    <row r="337" spans="1:54" ht="13">
      <c r="A337" s="12"/>
      <c r="B337" s="236"/>
      <c r="C337" s="236"/>
      <c r="D337" s="405"/>
      <c r="E337" s="236"/>
      <c r="F337" s="236"/>
      <c r="G337" s="236"/>
      <c r="H337" s="406"/>
      <c r="I337" s="236"/>
      <c r="J337" s="236"/>
      <c r="K337" s="236"/>
      <c r="L337" s="236"/>
      <c r="M337" s="236"/>
      <c r="N337" s="236"/>
      <c r="O337" s="236"/>
      <c r="P337" s="236"/>
      <c r="Q337" s="236"/>
      <c r="R337" s="236"/>
      <c r="S337" s="236"/>
      <c r="T337" s="236"/>
      <c r="U337" s="236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236"/>
      <c r="AH337" s="236"/>
      <c r="AI337" s="236"/>
      <c r="AJ337" s="236"/>
      <c r="AK337" s="236"/>
      <c r="AL337" s="236"/>
      <c r="AM337" s="236"/>
      <c r="AN337" s="236"/>
      <c r="AO337" s="236"/>
      <c r="AP337" s="236"/>
      <c r="AQ337" s="236"/>
      <c r="AR337" s="236"/>
      <c r="AS337" s="236"/>
      <c r="AT337" s="236"/>
      <c r="AU337" s="236"/>
      <c r="AV337" s="12"/>
      <c r="AW337" s="12"/>
      <c r="AX337" s="12"/>
      <c r="AY337" s="12"/>
      <c r="AZ337" s="12"/>
      <c r="BA337" s="12"/>
      <c r="BB337" s="12"/>
    </row>
    <row r="338" spans="1:54" ht="13">
      <c r="A338" s="12"/>
      <c r="B338" s="27"/>
      <c r="C338" s="27"/>
      <c r="D338" s="407"/>
      <c r="E338" s="27"/>
      <c r="F338" s="27"/>
      <c r="G338" s="27"/>
      <c r="H338" s="408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12"/>
      <c r="AW338" s="12"/>
      <c r="AX338" s="12"/>
      <c r="AY338" s="12"/>
      <c r="AZ338" s="12"/>
      <c r="BA338" s="12"/>
      <c r="BB338" s="12"/>
    </row>
    <row r="339" spans="1:54" ht="13">
      <c r="A339" s="12"/>
      <c r="B339" s="236"/>
      <c r="C339" s="236"/>
      <c r="D339" s="405"/>
      <c r="E339" s="236"/>
      <c r="F339" s="236"/>
      <c r="G339" s="236"/>
      <c r="H339" s="406"/>
      <c r="I339" s="236"/>
      <c r="J339" s="236"/>
      <c r="K339" s="236"/>
      <c r="L339" s="236"/>
      <c r="M339" s="236"/>
      <c r="N339" s="236"/>
      <c r="O339" s="236"/>
      <c r="P339" s="236"/>
      <c r="Q339" s="236"/>
      <c r="R339" s="236"/>
      <c r="S339" s="236"/>
      <c r="T339" s="236"/>
      <c r="U339" s="236"/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236"/>
      <c r="AH339" s="236"/>
      <c r="AI339" s="236"/>
      <c r="AJ339" s="236"/>
      <c r="AK339" s="236"/>
      <c r="AL339" s="236"/>
      <c r="AM339" s="236"/>
      <c r="AN339" s="236"/>
      <c r="AO339" s="236"/>
      <c r="AP339" s="236"/>
      <c r="AQ339" s="236"/>
      <c r="AR339" s="236"/>
      <c r="AS339" s="236"/>
      <c r="AT339" s="236"/>
      <c r="AU339" s="236"/>
      <c r="AV339" s="12"/>
      <c r="AW339" s="12"/>
      <c r="AX339" s="12"/>
      <c r="AY339" s="12"/>
      <c r="AZ339" s="12"/>
      <c r="BA339" s="12"/>
      <c r="BB339" s="12"/>
    </row>
    <row r="340" spans="1:54" ht="13">
      <c r="A340" s="12"/>
      <c r="B340" s="27"/>
      <c r="C340" s="27"/>
      <c r="D340" s="407"/>
      <c r="E340" s="27"/>
      <c r="F340" s="27"/>
      <c r="G340" s="27"/>
      <c r="H340" s="408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12"/>
      <c r="AW340" s="12"/>
      <c r="AX340" s="12"/>
      <c r="AY340" s="12"/>
      <c r="AZ340" s="12"/>
      <c r="BA340" s="12"/>
      <c r="BB340" s="12"/>
    </row>
    <row r="341" spans="1:54" ht="13">
      <c r="A341" s="12"/>
      <c r="B341" s="236"/>
      <c r="C341" s="236"/>
      <c r="D341" s="405"/>
      <c r="E341" s="236"/>
      <c r="F341" s="236"/>
      <c r="G341" s="236"/>
      <c r="H341" s="406"/>
      <c r="I341" s="236"/>
      <c r="J341" s="236"/>
      <c r="K341" s="236"/>
      <c r="L341" s="236"/>
      <c r="M341" s="236"/>
      <c r="N341" s="236"/>
      <c r="O341" s="236"/>
      <c r="P341" s="236"/>
      <c r="Q341" s="236"/>
      <c r="R341" s="236"/>
      <c r="S341" s="236"/>
      <c r="T341" s="236"/>
      <c r="U341" s="236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236"/>
      <c r="AH341" s="236"/>
      <c r="AI341" s="236"/>
      <c r="AJ341" s="236"/>
      <c r="AK341" s="236"/>
      <c r="AL341" s="236"/>
      <c r="AM341" s="236"/>
      <c r="AN341" s="236"/>
      <c r="AO341" s="236"/>
      <c r="AP341" s="236"/>
      <c r="AQ341" s="236"/>
      <c r="AR341" s="236"/>
      <c r="AS341" s="236"/>
      <c r="AT341" s="236"/>
      <c r="AU341" s="236"/>
      <c r="AV341" s="12"/>
      <c r="AW341" s="12"/>
      <c r="AX341" s="12"/>
      <c r="AY341" s="12"/>
      <c r="AZ341" s="12"/>
      <c r="BA341" s="12"/>
      <c r="BB341" s="12"/>
    </row>
    <row r="342" spans="1:54" ht="13">
      <c r="A342" s="12"/>
      <c r="B342" s="27"/>
      <c r="C342" s="27"/>
      <c r="D342" s="407"/>
      <c r="E342" s="27"/>
      <c r="F342" s="27"/>
      <c r="G342" s="27"/>
      <c r="H342" s="408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12"/>
      <c r="AW342" s="12"/>
      <c r="AX342" s="12"/>
      <c r="AY342" s="12"/>
      <c r="AZ342" s="12"/>
      <c r="BA342" s="12"/>
      <c r="BB342" s="12"/>
    </row>
    <row r="343" spans="1:54" ht="13">
      <c r="A343" s="12"/>
      <c r="B343" s="236"/>
      <c r="C343" s="236"/>
      <c r="D343" s="405"/>
      <c r="E343" s="236"/>
      <c r="F343" s="236"/>
      <c r="G343" s="236"/>
      <c r="H343" s="406"/>
      <c r="I343" s="236"/>
      <c r="J343" s="236"/>
      <c r="K343" s="236"/>
      <c r="L343" s="236"/>
      <c r="M343" s="236"/>
      <c r="N343" s="236"/>
      <c r="O343" s="236"/>
      <c r="P343" s="236"/>
      <c r="Q343" s="236"/>
      <c r="R343" s="236"/>
      <c r="S343" s="236"/>
      <c r="T343" s="236"/>
      <c r="U343" s="236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236"/>
      <c r="AH343" s="236"/>
      <c r="AI343" s="236"/>
      <c r="AJ343" s="236"/>
      <c r="AK343" s="236"/>
      <c r="AL343" s="236"/>
      <c r="AM343" s="236"/>
      <c r="AN343" s="236"/>
      <c r="AO343" s="236"/>
      <c r="AP343" s="236"/>
      <c r="AQ343" s="236"/>
      <c r="AR343" s="236"/>
      <c r="AS343" s="236"/>
      <c r="AT343" s="236"/>
      <c r="AU343" s="236"/>
      <c r="AV343" s="12"/>
      <c r="AW343" s="12"/>
      <c r="AX343" s="12"/>
      <c r="AY343" s="12"/>
      <c r="AZ343" s="12"/>
      <c r="BA343" s="12"/>
      <c r="BB343" s="12"/>
    </row>
    <row r="344" spans="1:54" ht="13">
      <c r="A344" s="12"/>
      <c r="B344" s="27"/>
      <c r="C344" s="27"/>
      <c r="D344" s="407"/>
      <c r="E344" s="27"/>
      <c r="F344" s="27"/>
      <c r="G344" s="27"/>
      <c r="H344" s="408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12"/>
      <c r="AW344" s="12"/>
      <c r="AX344" s="12"/>
      <c r="AY344" s="12"/>
      <c r="AZ344" s="12"/>
      <c r="BA344" s="12"/>
      <c r="BB344" s="12"/>
    </row>
    <row r="345" spans="1:54" ht="13">
      <c r="A345" s="12"/>
      <c r="B345" s="236"/>
      <c r="C345" s="236"/>
      <c r="D345" s="405"/>
      <c r="E345" s="236"/>
      <c r="F345" s="236"/>
      <c r="G345" s="236"/>
      <c r="H345" s="406"/>
      <c r="I345" s="236"/>
      <c r="J345" s="236"/>
      <c r="K345" s="236"/>
      <c r="L345" s="236"/>
      <c r="M345" s="236"/>
      <c r="N345" s="236"/>
      <c r="O345" s="236"/>
      <c r="P345" s="236"/>
      <c r="Q345" s="236"/>
      <c r="R345" s="236"/>
      <c r="S345" s="236"/>
      <c r="T345" s="236"/>
      <c r="U345" s="236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236"/>
      <c r="AH345" s="236"/>
      <c r="AI345" s="236"/>
      <c r="AJ345" s="236"/>
      <c r="AK345" s="236"/>
      <c r="AL345" s="236"/>
      <c r="AM345" s="236"/>
      <c r="AN345" s="236"/>
      <c r="AO345" s="236"/>
      <c r="AP345" s="236"/>
      <c r="AQ345" s="236"/>
      <c r="AR345" s="236"/>
      <c r="AS345" s="236"/>
      <c r="AT345" s="236"/>
      <c r="AU345" s="236"/>
      <c r="AV345" s="12"/>
      <c r="AW345" s="12"/>
      <c r="AX345" s="12"/>
      <c r="AY345" s="12"/>
      <c r="AZ345" s="12"/>
      <c r="BA345" s="12"/>
      <c r="BB345" s="12"/>
    </row>
    <row r="346" spans="1:54" ht="13">
      <c r="A346" s="12"/>
      <c r="B346" s="27"/>
      <c r="C346" s="27"/>
      <c r="D346" s="407"/>
      <c r="E346" s="27"/>
      <c r="F346" s="27"/>
      <c r="G346" s="27"/>
      <c r="H346" s="408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12"/>
      <c r="AW346" s="12"/>
      <c r="AX346" s="12"/>
      <c r="AY346" s="12"/>
      <c r="AZ346" s="12"/>
      <c r="BA346" s="12"/>
      <c r="BB346" s="12"/>
    </row>
    <row r="347" spans="1:54" ht="13">
      <c r="A347" s="12"/>
      <c r="B347" s="236"/>
      <c r="C347" s="236"/>
      <c r="D347" s="405"/>
      <c r="E347" s="236"/>
      <c r="F347" s="236"/>
      <c r="G347" s="236"/>
      <c r="H347" s="406"/>
      <c r="I347" s="236"/>
      <c r="J347" s="236"/>
      <c r="K347" s="236"/>
      <c r="L347" s="236"/>
      <c r="M347" s="236"/>
      <c r="N347" s="236"/>
      <c r="O347" s="236"/>
      <c r="P347" s="236"/>
      <c r="Q347" s="236"/>
      <c r="R347" s="236"/>
      <c r="S347" s="236"/>
      <c r="T347" s="236"/>
      <c r="U347" s="236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236"/>
      <c r="AH347" s="236"/>
      <c r="AI347" s="236"/>
      <c r="AJ347" s="236"/>
      <c r="AK347" s="236"/>
      <c r="AL347" s="236"/>
      <c r="AM347" s="236"/>
      <c r="AN347" s="236"/>
      <c r="AO347" s="236"/>
      <c r="AP347" s="236"/>
      <c r="AQ347" s="236"/>
      <c r="AR347" s="236"/>
      <c r="AS347" s="236"/>
      <c r="AT347" s="236"/>
      <c r="AU347" s="236"/>
      <c r="AV347" s="12"/>
      <c r="AW347" s="12"/>
      <c r="AX347" s="12"/>
      <c r="AY347" s="12"/>
      <c r="AZ347" s="12"/>
      <c r="BA347" s="12"/>
      <c r="BB347" s="12"/>
    </row>
    <row r="348" spans="1:54" ht="13">
      <c r="A348" s="12"/>
      <c r="B348" s="27"/>
      <c r="C348" s="27"/>
      <c r="D348" s="407"/>
      <c r="E348" s="27"/>
      <c r="F348" s="27"/>
      <c r="G348" s="27"/>
      <c r="H348" s="408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12"/>
      <c r="AW348" s="12"/>
      <c r="AX348" s="12"/>
      <c r="AY348" s="12"/>
      <c r="AZ348" s="12"/>
      <c r="BA348" s="12"/>
      <c r="BB348" s="12"/>
    </row>
    <row r="349" spans="1:54" ht="13">
      <c r="A349" s="12"/>
      <c r="B349" s="236"/>
      <c r="C349" s="236"/>
      <c r="D349" s="405"/>
      <c r="E349" s="236"/>
      <c r="F349" s="236"/>
      <c r="G349" s="236"/>
      <c r="H349" s="406"/>
      <c r="I349" s="236"/>
      <c r="J349" s="236"/>
      <c r="K349" s="236"/>
      <c r="L349" s="236"/>
      <c r="M349" s="236"/>
      <c r="N349" s="236"/>
      <c r="O349" s="236"/>
      <c r="P349" s="236"/>
      <c r="Q349" s="236"/>
      <c r="R349" s="236"/>
      <c r="S349" s="236"/>
      <c r="T349" s="236"/>
      <c r="U349" s="236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236"/>
      <c r="AH349" s="236"/>
      <c r="AI349" s="236"/>
      <c r="AJ349" s="236"/>
      <c r="AK349" s="236"/>
      <c r="AL349" s="236"/>
      <c r="AM349" s="236"/>
      <c r="AN349" s="236"/>
      <c r="AO349" s="236"/>
      <c r="AP349" s="236"/>
      <c r="AQ349" s="236"/>
      <c r="AR349" s="236"/>
      <c r="AS349" s="236"/>
      <c r="AT349" s="236"/>
      <c r="AU349" s="236"/>
      <c r="AV349" s="12"/>
      <c r="AW349" s="12"/>
      <c r="AX349" s="12"/>
      <c r="AY349" s="12"/>
      <c r="AZ349" s="12"/>
      <c r="BA349" s="12"/>
      <c r="BB349" s="12"/>
    </row>
    <row r="350" spans="1:54" ht="13">
      <c r="A350" s="12"/>
      <c r="B350" s="27"/>
      <c r="C350" s="27"/>
      <c r="D350" s="407"/>
      <c r="E350" s="27"/>
      <c r="F350" s="27"/>
      <c r="G350" s="27"/>
      <c r="H350" s="408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12"/>
      <c r="AW350" s="12"/>
      <c r="AX350" s="12"/>
      <c r="AY350" s="12"/>
      <c r="AZ350" s="12"/>
      <c r="BA350" s="12"/>
      <c r="BB350" s="12"/>
    </row>
    <row r="351" spans="1:54" ht="13">
      <c r="A351" s="12"/>
      <c r="B351" s="236"/>
      <c r="C351" s="236"/>
      <c r="D351" s="405"/>
      <c r="E351" s="236"/>
      <c r="F351" s="236"/>
      <c r="G351" s="236"/>
      <c r="H351" s="406"/>
      <c r="I351" s="236"/>
      <c r="J351" s="236"/>
      <c r="K351" s="236"/>
      <c r="L351" s="236"/>
      <c r="M351" s="236"/>
      <c r="N351" s="236"/>
      <c r="O351" s="236"/>
      <c r="P351" s="236"/>
      <c r="Q351" s="236"/>
      <c r="R351" s="236"/>
      <c r="S351" s="236"/>
      <c r="T351" s="236"/>
      <c r="U351" s="236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236"/>
      <c r="AH351" s="236"/>
      <c r="AI351" s="236"/>
      <c r="AJ351" s="236"/>
      <c r="AK351" s="236"/>
      <c r="AL351" s="236"/>
      <c r="AM351" s="236"/>
      <c r="AN351" s="236"/>
      <c r="AO351" s="236"/>
      <c r="AP351" s="236"/>
      <c r="AQ351" s="236"/>
      <c r="AR351" s="236"/>
      <c r="AS351" s="236"/>
      <c r="AT351" s="236"/>
      <c r="AU351" s="236"/>
      <c r="AV351" s="12"/>
      <c r="AW351" s="12"/>
      <c r="AX351" s="12"/>
      <c r="AY351" s="12"/>
      <c r="AZ351" s="12"/>
      <c r="BA351" s="12"/>
      <c r="BB351" s="12"/>
    </row>
    <row r="352" spans="1:54" ht="13">
      <c r="A352" s="12"/>
      <c r="B352" s="27"/>
      <c r="C352" s="27"/>
      <c r="D352" s="407"/>
      <c r="E352" s="27"/>
      <c r="F352" s="27"/>
      <c r="G352" s="27"/>
      <c r="H352" s="408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12"/>
      <c r="AW352" s="12"/>
      <c r="AX352" s="12"/>
      <c r="AY352" s="12"/>
      <c r="AZ352" s="12"/>
      <c r="BA352" s="12"/>
      <c r="BB352" s="12"/>
    </row>
    <row r="353" spans="1:54" ht="13">
      <c r="A353" s="12"/>
      <c r="B353" s="236"/>
      <c r="C353" s="236"/>
      <c r="D353" s="405"/>
      <c r="E353" s="236"/>
      <c r="F353" s="236"/>
      <c r="G353" s="236"/>
      <c r="H353" s="406"/>
      <c r="I353" s="236"/>
      <c r="J353" s="236"/>
      <c r="K353" s="236"/>
      <c r="L353" s="236"/>
      <c r="M353" s="236"/>
      <c r="N353" s="236"/>
      <c r="O353" s="236"/>
      <c r="P353" s="236"/>
      <c r="Q353" s="236"/>
      <c r="R353" s="236"/>
      <c r="S353" s="236"/>
      <c r="T353" s="236"/>
      <c r="U353" s="236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236"/>
      <c r="AH353" s="236"/>
      <c r="AI353" s="236"/>
      <c r="AJ353" s="236"/>
      <c r="AK353" s="236"/>
      <c r="AL353" s="236"/>
      <c r="AM353" s="236"/>
      <c r="AN353" s="236"/>
      <c r="AO353" s="236"/>
      <c r="AP353" s="236"/>
      <c r="AQ353" s="236"/>
      <c r="AR353" s="236"/>
      <c r="AS353" s="236"/>
      <c r="AT353" s="236"/>
      <c r="AU353" s="236"/>
      <c r="AV353" s="12"/>
      <c r="AW353" s="12"/>
      <c r="AX353" s="12"/>
      <c r="AY353" s="12"/>
      <c r="AZ353" s="12"/>
      <c r="BA353" s="12"/>
      <c r="BB353" s="12"/>
    </row>
    <row r="354" spans="1:54" ht="13">
      <c r="A354" s="12"/>
      <c r="B354" s="27"/>
      <c r="C354" s="27"/>
      <c r="D354" s="407"/>
      <c r="E354" s="27"/>
      <c r="F354" s="27"/>
      <c r="G354" s="27"/>
      <c r="H354" s="408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12"/>
      <c r="AW354" s="12"/>
      <c r="AX354" s="12"/>
      <c r="AY354" s="12"/>
      <c r="AZ354" s="12"/>
      <c r="BA354" s="12"/>
      <c r="BB354" s="12"/>
    </row>
    <row r="355" spans="1:54" ht="13">
      <c r="A355" s="12"/>
      <c r="B355" s="236"/>
      <c r="C355" s="236"/>
      <c r="D355" s="405"/>
      <c r="E355" s="236"/>
      <c r="F355" s="236"/>
      <c r="G355" s="236"/>
      <c r="H355" s="406"/>
      <c r="I355" s="236"/>
      <c r="J355" s="236"/>
      <c r="K355" s="236"/>
      <c r="L355" s="236"/>
      <c r="M355" s="236"/>
      <c r="N355" s="236"/>
      <c r="O355" s="236"/>
      <c r="P355" s="236"/>
      <c r="Q355" s="236"/>
      <c r="R355" s="236"/>
      <c r="S355" s="236"/>
      <c r="T355" s="236"/>
      <c r="U355" s="236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236"/>
      <c r="AH355" s="236"/>
      <c r="AI355" s="236"/>
      <c r="AJ355" s="236"/>
      <c r="AK355" s="236"/>
      <c r="AL355" s="236"/>
      <c r="AM355" s="236"/>
      <c r="AN355" s="236"/>
      <c r="AO355" s="236"/>
      <c r="AP355" s="236"/>
      <c r="AQ355" s="236"/>
      <c r="AR355" s="236"/>
      <c r="AS355" s="236"/>
      <c r="AT355" s="236"/>
      <c r="AU355" s="236"/>
      <c r="AV355" s="12"/>
      <c r="AW355" s="12"/>
      <c r="AX355" s="12"/>
      <c r="AY355" s="12"/>
      <c r="AZ355" s="12"/>
      <c r="BA355" s="12"/>
      <c r="BB355" s="12"/>
    </row>
    <row r="356" spans="1:54" ht="13">
      <c r="A356" s="12"/>
      <c r="B356" s="27"/>
      <c r="C356" s="27"/>
      <c r="D356" s="407"/>
      <c r="E356" s="27"/>
      <c r="F356" s="27"/>
      <c r="G356" s="27"/>
      <c r="H356" s="408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12"/>
      <c r="AW356" s="12"/>
      <c r="AX356" s="12"/>
      <c r="AY356" s="12"/>
      <c r="AZ356" s="12"/>
      <c r="BA356" s="12"/>
      <c r="BB356" s="12"/>
    </row>
    <row r="357" spans="1:54" ht="13">
      <c r="A357" s="12"/>
      <c r="B357" s="236"/>
      <c r="C357" s="236"/>
      <c r="D357" s="405"/>
      <c r="E357" s="236"/>
      <c r="F357" s="236"/>
      <c r="G357" s="236"/>
      <c r="H357" s="406"/>
      <c r="I357" s="236"/>
      <c r="J357" s="236"/>
      <c r="K357" s="236"/>
      <c r="L357" s="236"/>
      <c r="M357" s="236"/>
      <c r="N357" s="236"/>
      <c r="O357" s="236"/>
      <c r="P357" s="236"/>
      <c r="Q357" s="236"/>
      <c r="R357" s="236"/>
      <c r="S357" s="236"/>
      <c r="T357" s="236"/>
      <c r="U357" s="236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236"/>
      <c r="AH357" s="236"/>
      <c r="AI357" s="236"/>
      <c r="AJ357" s="236"/>
      <c r="AK357" s="236"/>
      <c r="AL357" s="236"/>
      <c r="AM357" s="236"/>
      <c r="AN357" s="236"/>
      <c r="AO357" s="236"/>
      <c r="AP357" s="236"/>
      <c r="AQ357" s="236"/>
      <c r="AR357" s="236"/>
      <c r="AS357" s="236"/>
      <c r="AT357" s="236"/>
      <c r="AU357" s="236"/>
      <c r="AV357" s="12"/>
      <c r="AW357" s="12"/>
      <c r="AX357" s="12"/>
      <c r="AY357" s="12"/>
      <c r="AZ357" s="12"/>
      <c r="BA357" s="12"/>
      <c r="BB357" s="12"/>
    </row>
    <row r="358" spans="1:54" ht="13">
      <c r="A358" s="12"/>
      <c r="B358" s="27"/>
      <c r="C358" s="27"/>
      <c r="D358" s="407"/>
      <c r="E358" s="27"/>
      <c r="F358" s="27"/>
      <c r="G358" s="27"/>
      <c r="H358" s="408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12"/>
      <c r="AW358" s="12"/>
      <c r="AX358" s="12"/>
      <c r="AY358" s="12"/>
      <c r="AZ358" s="12"/>
      <c r="BA358" s="12"/>
      <c r="BB358" s="12"/>
    </row>
    <row r="359" spans="1:54" ht="13">
      <c r="A359" s="12"/>
      <c r="B359" s="236"/>
      <c r="C359" s="236"/>
      <c r="D359" s="405"/>
      <c r="E359" s="236"/>
      <c r="F359" s="236"/>
      <c r="G359" s="236"/>
      <c r="H359" s="406"/>
      <c r="I359" s="236"/>
      <c r="J359" s="236"/>
      <c r="K359" s="236"/>
      <c r="L359" s="236"/>
      <c r="M359" s="236"/>
      <c r="N359" s="236"/>
      <c r="O359" s="236"/>
      <c r="P359" s="236"/>
      <c r="Q359" s="236"/>
      <c r="R359" s="236"/>
      <c r="S359" s="236"/>
      <c r="T359" s="236"/>
      <c r="U359" s="236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236"/>
      <c r="AH359" s="236"/>
      <c r="AI359" s="236"/>
      <c r="AJ359" s="236"/>
      <c r="AK359" s="236"/>
      <c r="AL359" s="236"/>
      <c r="AM359" s="236"/>
      <c r="AN359" s="236"/>
      <c r="AO359" s="236"/>
      <c r="AP359" s="236"/>
      <c r="AQ359" s="236"/>
      <c r="AR359" s="236"/>
      <c r="AS359" s="236"/>
      <c r="AT359" s="236"/>
      <c r="AU359" s="236"/>
      <c r="AV359" s="12"/>
      <c r="AW359" s="12"/>
      <c r="AX359" s="12"/>
      <c r="AY359" s="12"/>
      <c r="AZ359" s="12"/>
      <c r="BA359" s="12"/>
      <c r="BB359" s="12"/>
    </row>
    <row r="360" spans="1:54" ht="13">
      <c r="A360" s="12"/>
      <c r="B360" s="27"/>
      <c r="C360" s="27"/>
      <c r="D360" s="407"/>
      <c r="E360" s="27"/>
      <c r="F360" s="27"/>
      <c r="G360" s="27"/>
      <c r="H360" s="408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12"/>
      <c r="AW360" s="12"/>
      <c r="AX360" s="12"/>
      <c r="AY360" s="12"/>
      <c r="AZ360" s="12"/>
      <c r="BA360" s="12"/>
      <c r="BB360" s="12"/>
    </row>
    <row r="361" spans="1:54" ht="13">
      <c r="A361" s="12"/>
      <c r="B361" s="236"/>
      <c r="C361" s="236"/>
      <c r="D361" s="405"/>
      <c r="E361" s="236"/>
      <c r="F361" s="236"/>
      <c r="G361" s="236"/>
      <c r="H361" s="406"/>
      <c r="I361" s="236"/>
      <c r="J361" s="236"/>
      <c r="K361" s="236"/>
      <c r="L361" s="236"/>
      <c r="M361" s="236"/>
      <c r="N361" s="236"/>
      <c r="O361" s="236"/>
      <c r="P361" s="236"/>
      <c r="Q361" s="236"/>
      <c r="R361" s="236"/>
      <c r="S361" s="236"/>
      <c r="T361" s="236"/>
      <c r="U361" s="236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236"/>
      <c r="AH361" s="236"/>
      <c r="AI361" s="236"/>
      <c r="AJ361" s="236"/>
      <c r="AK361" s="236"/>
      <c r="AL361" s="236"/>
      <c r="AM361" s="236"/>
      <c r="AN361" s="236"/>
      <c r="AO361" s="236"/>
      <c r="AP361" s="236"/>
      <c r="AQ361" s="236"/>
      <c r="AR361" s="236"/>
      <c r="AS361" s="236"/>
      <c r="AT361" s="236"/>
      <c r="AU361" s="236"/>
      <c r="AV361" s="12"/>
      <c r="AW361" s="12"/>
      <c r="AX361" s="12"/>
      <c r="AY361" s="12"/>
      <c r="AZ361" s="12"/>
      <c r="BA361" s="12"/>
      <c r="BB361" s="12"/>
    </row>
    <row r="362" spans="1:54" ht="13">
      <c r="A362" s="12"/>
      <c r="B362" s="27"/>
      <c r="C362" s="27"/>
      <c r="D362" s="407"/>
      <c r="E362" s="27"/>
      <c r="F362" s="27"/>
      <c r="G362" s="27"/>
      <c r="H362" s="408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12"/>
      <c r="AW362" s="12"/>
      <c r="AX362" s="12"/>
      <c r="AY362" s="12"/>
      <c r="AZ362" s="12"/>
      <c r="BA362" s="12"/>
      <c r="BB362" s="12"/>
    </row>
    <row r="363" spans="1:54" ht="13">
      <c r="A363" s="12"/>
      <c r="B363" s="236"/>
      <c r="C363" s="236"/>
      <c r="D363" s="405"/>
      <c r="E363" s="236"/>
      <c r="F363" s="236"/>
      <c r="G363" s="236"/>
      <c r="H363" s="406"/>
      <c r="I363" s="236"/>
      <c r="J363" s="236"/>
      <c r="K363" s="236"/>
      <c r="L363" s="236"/>
      <c r="M363" s="236"/>
      <c r="N363" s="236"/>
      <c r="O363" s="236"/>
      <c r="P363" s="236"/>
      <c r="Q363" s="236"/>
      <c r="R363" s="236"/>
      <c r="S363" s="236"/>
      <c r="T363" s="236"/>
      <c r="U363" s="236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236"/>
      <c r="AH363" s="236"/>
      <c r="AI363" s="236"/>
      <c r="AJ363" s="236"/>
      <c r="AK363" s="236"/>
      <c r="AL363" s="236"/>
      <c r="AM363" s="236"/>
      <c r="AN363" s="236"/>
      <c r="AO363" s="236"/>
      <c r="AP363" s="236"/>
      <c r="AQ363" s="236"/>
      <c r="AR363" s="236"/>
      <c r="AS363" s="236"/>
      <c r="AT363" s="236"/>
      <c r="AU363" s="236"/>
      <c r="AV363" s="12"/>
      <c r="AW363" s="12"/>
      <c r="AX363" s="12"/>
      <c r="AY363" s="12"/>
      <c r="AZ363" s="12"/>
      <c r="BA363" s="12"/>
      <c r="BB363" s="12"/>
    </row>
    <row r="364" spans="1:54" ht="13">
      <c r="A364" s="12"/>
      <c r="B364" s="27"/>
      <c r="C364" s="27"/>
      <c r="D364" s="407"/>
      <c r="E364" s="27"/>
      <c r="F364" s="27"/>
      <c r="G364" s="27"/>
      <c r="H364" s="408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12"/>
      <c r="AW364" s="12"/>
      <c r="AX364" s="12"/>
      <c r="AY364" s="12"/>
      <c r="AZ364" s="12"/>
      <c r="BA364" s="12"/>
      <c r="BB364" s="12"/>
    </row>
    <row r="365" spans="1:54" ht="13">
      <c r="A365" s="12"/>
      <c r="B365" s="236"/>
      <c r="C365" s="236"/>
      <c r="D365" s="405"/>
      <c r="E365" s="236"/>
      <c r="F365" s="236"/>
      <c r="G365" s="236"/>
      <c r="H365" s="406"/>
      <c r="I365" s="236"/>
      <c r="J365" s="236"/>
      <c r="K365" s="236"/>
      <c r="L365" s="236"/>
      <c r="M365" s="236"/>
      <c r="N365" s="236"/>
      <c r="O365" s="236"/>
      <c r="P365" s="236"/>
      <c r="Q365" s="236"/>
      <c r="R365" s="236"/>
      <c r="S365" s="236"/>
      <c r="T365" s="236"/>
      <c r="U365" s="236"/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236"/>
      <c r="AH365" s="236"/>
      <c r="AI365" s="236"/>
      <c r="AJ365" s="236"/>
      <c r="AK365" s="236"/>
      <c r="AL365" s="236"/>
      <c r="AM365" s="236"/>
      <c r="AN365" s="236"/>
      <c r="AO365" s="236"/>
      <c r="AP365" s="236"/>
      <c r="AQ365" s="236"/>
      <c r="AR365" s="236"/>
      <c r="AS365" s="236"/>
      <c r="AT365" s="236"/>
      <c r="AU365" s="236"/>
      <c r="AV365" s="12"/>
      <c r="AW365" s="12"/>
      <c r="AX365" s="12"/>
      <c r="AY365" s="12"/>
      <c r="AZ365" s="12"/>
      <c r="BA365" s="12"/>
      <c r="BB365" s="12"/>
    </row>
    <row r="366" spans="1:54" ht="13">
      <c r="A366" s="12"/>
      <c r="B366" s="27"/>
      <c r="C366" s="27"/>
      <c r="D366" s="407"/>
      <c r="E366" s="27"/>
      <c r="F366" s="27"/>
      <c r="G366" s="27"/>
      <c r="H366" s="408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12"/>
      <c r="AW366" s="12"/>
      <c r="AX366" s="12"/>
      <c r="AY366" s="12"/>
      <c r="AZ366" s="12"/>
      <c r="BA366" s="12"/>
      <c r="BB366" s="12"/>
    </row>
    <row r="367" spans="1:54" ht="13">
      <c r="A367" s="12"/>
      <c r="B367" s="236"/>
      <c r="C367" s="236"/>
      <c r="D367" s="405"/>
      <c r="E367" s="236"/>
      <c r="F367" s="236"/>
      <c r="G367" s="236"/>
      <c r="H367" s="406"/>
      <c r="I367" s="236"/>
      <c r="J367" s="236"/>
      <c r="K367" s="236"/>
      <c r="L367" s="236"/>
      <c r="M367" s="236"/>
      <c r="N367" s="236"/>
      <c r="O367" s="236"/>
      <c r="P367" s="236"/>
      <c r="Q367" s="236"/>
      <c r="R367" s="236"/>
      <c r="S367" s="236"/>
      <c r="T367" s="236"/>
      <c r="U367" s="236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236"/>
      <c r="AH367" s="236"/>
      <c r="AI367" s="236"/>
      <c r="AJ367" s="236"/>
      <c r="AK367" s="236"/>
      <c r="AL367" s="236"/>
      <c r="AM367" s="236"/>
      <c r="AN367" s="236"/>
      <c r="AO367" s="236"/>
      <c r="AP367" s="236"/>
      <c r="AQ367" s="236"/>
      <c r="AR367" s="236"/>
      <c r="AS367" s="236"/>
      <c r="AT367" s="236"/>
      <c r="AU367" s="236"/>
      <c r="AV367" s="12"/>
      <c r="AW367" s="12"/>
      <c r="AX367" s="12"/>
      <c r="AY367" s="12"/>
      <c r="AZ367" s="12"/>
      <c r="BA367" s="12"/>
      <c r="BB367" s="12"/>
    </row>
    <row r="368" spans="1:54" ht="13">
      <c r="A368" s="12"/>
      <c r="B368" s="27"/>
      <c r="C368" s="27"/>
      <c r="D368" s="407"/>
      <c r="E368" s="27"/>
      <c r="F368" s="27"/>
      <c r="G368" s="27"/>
      <c r="H368" s="408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12"/>
      <c r="AW368" s="12"/>
      <c r="AX368" s="12"/>
      <c r="AY368" s="12"/>
      <c r="AZ368" s="12"/>
      <c r="BA368" s="12"/>
      <c r="BB368" s="12"/>
    </row>
    <row r="369" spans="1:54" ht="13">
      <c r="A369" s="12"/>
      <c r="B369" s="236"/>
      <c r="C369" s="236"/>
      <c r="D369" s="405"/>
      <c r="E369" s="236"/>
      <c r="F369" s="236"/>
      <c r="G369" s="236"/>
      <c r="H369" s="406"/>
      <c r="I369" s="236"/>
      <c r="J369" s="236"/>
      <c r="K369" s="236"/>
      <c r="L369" s="236"/>
      <c r="M369" s="236"/>
      <c r="N369" s="236"/>
      <c r="O369" s="236"/>
      <c r="P369" s="236"/>
      <c r="Q369" s="236"/>
      <c r="R369" s="236"/>
      <c r="S369" s="236"/>
      <c r="T369" s="236"/>
      <c r="U369" s="236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236"/>
      <c r="AH369" s="236"/>
      <c r="AI369" s="236"/>
      <c r="AJ369" s="236"/>
      <c r="AK369" s="236"/>
      <c r="AL369" s="236"/>
      <c r="AM369" s="236"/>
      <c r="AN369" s="236"/>
      <c r="AO369" s="236"/>
      <c r="AP369" s="236"/>
      <c r="AQ369" s="236"/>
      <c r="AR369" s="236"/>
      <c r="AS369" s="236"/>
      <c r="AT369" s="236"/>
      <c r="AU369" s="236"/>
      <c r="AV369" s="12"/>
      <c r="AW369" s="12"/>
      <c r="AX369" s="12"/>
      <c r="AY369" s="12"/>
      <c r="AZ369" s="12"/>
      <c r="BA369" s="12"/>
      <c r="BB369" s="12"/>
    </row>
    <row r="370" spans="1:54" ht="13">
      <c r="A370" s="12"/>
      <c r="B370" s="27"/>
      <c r="C370" s="27"/>
      <c r="D370" s="407"/>
      <c r="E370" s="27"/>
      <c r="F370" s="27"/>
      <c r="G370" s="27"/>
      <c r="H370" s="408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12"/>
      <c r="AW370" s="12"/>
      <c r="AX370" s="12"/>
      <c r="AY370" s="12"/>
      <c r="AZ370" s="12"/>
      <c r="BA370" s="12"/>
      <c r="BB370" s="12"/>
    </row>
    <row r="371" spans="1:54" ht="13">
      <c r="A371" s="12"/>
      <c r="B371" s="236"/>
      <c r="C371" s="236"/>
      <c r="D371" s="405"/>
      <c r="E371" s="236"/>
      <c r="F371" s="236"/>
      <c r="G371" s="236"/>
      <c r="H371" s="406"/>
      <c r="I371" s="236"/>
      <c r="J371" s="236"/>
      <c r="K371" s="236"/>
      <c r="L371" s="236"/>
      <c r="M371" s="236"/>
      <c r="N371" s="236"/>
      <c r="O371" s="236"/>
      <c r="P371" s="236"/>
      <c r="Q371" s="236"/>
      <c r="R371" s="236"/>
      <c r="S371" s="236"/>
      <c r="T371" s="236"/>
      <c r="U371" s="236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236"/>
      <c r="AH371" s="236"/>
      <c r="AI371" s="236"/>
      <c r="AJ371" s="236"/>
      <c r="AK371" s="236"/>
      <c r="AL371" s="236"/>
      <c r="AM371" s="236"/>
      <c r="AN371" s="236"/>
      <c r="AO371" s="236"/>
      <c r="AP371" s="236"/>
      <c r="AQ371" s="236"/>
      <c r="AR371" s="236"/>
      <c r="AS371" s="236"/>
      <c r="AT371" s="236"/>
      <c r="AU371" s="236"/>
      <c r="AV371" s="12"/>
      <c r="AW371" s="12"/>
      <c r="AX371" s="12"/>
      <c r="AY371" s="12"/>
      <c r="AZ371" s="12"/>
      <c r="BA371" s="12"/>
      <c r="BB371" s="12"/>
    </row>
    <row r="372" spans="1:54" ht="13">
      <c r="A372" s="12"/>
      <c r="B372" s="27"/>
      <c r="C372" s="27"/>
      <c r="D372" s="407"/>
      <c r="E372" s="27"/>
      <c r="F372" s="27"/>
      <c r="G372" s="27"/>
      <c r="H372" s="408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12"/>
      <c r="AW372" s="12"/>
      <c r="AX372" s="12"/>
      <c r="AY372" s="12"/>
      <c r="AZ372" s="12"/>
      <c r="BA372" s="12"/>
      <c r="BB372" s="12"/>
    </row>
    <row r="373" spans="1:54" ht="13">
      <c r="A373" s="12"/>
      <c r="B373" s="236"/>
      <c r="C373" s="236"/>
      <c r="D373" s="405"/>
      <c r="E373" s="236"/>
      <c r="F373" s="236"/>
      <c r="G373" s="236"/>
      <c r="H373" s="406"/>
      <c r="I373" s="236"/>
      <c r="J373" s="236"/>
      <c r="K373" s="236"/>
      <c r="L373" s="236"/>
      <c r="M373" s="236"/>
      <c r="N373" s="236"/>
      <c r="O373" s="236"/>
      <c r="P373" s="236"/>
      <c r="Q373" s="236"/>
      <c r="R373" s="236"/>
      <c r="S373" s="236"/>
      <c r="T373" s="236"/>
      <c r="U373" s="236"/>
      <c r="V373" s="236"/>
      <c r="W373" s="236"/>
      <c r="X373" s="236"/>
      <c r="Y373" s="236"/>
      <c r="Z373" s="236"/>
      <c r="AA373" s="236"/>
      <c r="AB373" s="236"/>
      <c r="AC373" s="236"/>
      <c r="AD373" s="236"/>
      <c r="AE373" s="236"/>
      <c r="AF373" s="236"/>
      <c r="AG373" s="236"/>
      <c r="AH373" s="236"/>
      <c r="AI373" s="236"/>
      <c r="AJ373" s="236"/>
      <c r="AK373" s="236"/>
      <c r="AL373" s="236"/>
      <c r="AM373" s="236"/>
      <c r="AN373" s="236"/>
      <c r="AO373" s="236"/>
      <c r="AP373" s="236"/>
      <c r="AQ373" s="236"/>
      <c r="AR373" s="236"/>
      <c r="AS373" s="236"/>
      <c r="AT373" s="236"/>
      <c r="AU373" s="236"/>
      <c r="AV373" s="12"/>
      <c r="AW373" s="12"/>
      <c r="AX373" s="12"/>
      <c r="AY373" s="12"/>
      <c r="AZ373" s="12"/>
      <c r="BA373" s="12"/>
      <c r="BB373" s="12"/>
    </row>
    <row r="374" spans="1:54" ht="13">
      <c r="A374" s="12"/>
      <c r="B374" s="27"/>
      <c r="C374" s="27"/>
      <c r="D374" s="407"/>
      <c r="E374" s="27"/>
      <c r="F374" s="27"/>
      <c r="G374" s="27"/>
      <c r="H374" s="408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12"/>
      <c r="AW374" s="12"/>
      <c r="AX374" s="12"/>
      <c r="AY374" s="12"/>
      <c r="AZ374" s="12"/>
      <c r="BA374" s="12"/>
      <c r="BB374" s="12"/>
    </row>
    <row r="375" spans="1:54" ht="13">
      <c r="A375" s="12"/>
      <c r="B375" s="236"/>
      <c r="C375" s="236"/>
      <c r="D375" s="405"/>
      <c r="E375" s="236"/>
      <c r="F375" s="236"/>
      <c r="G375" s="236"/>
      <c r="H375" s="406"/>
      <c r="I375" s="236"/>
      <c r="J375" s="236"/>
      <c r="K375" s="236"/>
      <c r="L375" s="236"/>
      <c r="M375" s="236"/>
      <c r="N375" s="236"/>
      <c r="O375" s="236"/>
      <c r="P375" s="236"/>
      <c r="Q375" s="236"/>
      <c r="R375" s="236"/>
      <c r="S375" s="236"/>
      <c r="T375" s="236"/>
      <c r="U375" s="236"/>
      <c r="V375" s="236"/>
      <c r="W375" s="236"/>
      <c r="X375" s="236"/>
      <c r="Y375" s="236"/>
      <c r="Z375" s="236"/>
      <c r="AA375" s="236"/>
      <c r="AB375" s="236"/>
      <c r="AC375" s="236"/>
      <c r="AD375" s="236"/>
      <c r="AE375" s="236"/>
      <c r="AF375" s="236"/>
      <c r="AG375" s="236"/>
      <c r="AH375" s="236"/>
      <c r="AI375" s="236"/>
      <c r="AJ375" s="236"/>
      <c r="AK375" s="236"/>
      <c r="AL375" s="236"/>
      <c r="AM375" s="236"/>
      <c r="AN375" s="236"/>
      <c r="AO375" s="236"/>
      <c r="AP375" s="236"/>
      <c r="AQ375" s="236"/>
      <c r="AR375" s="236"/>
      <c r="AS375" s="236"/>
      <c r="AT375" s="236"/>
      <c r="AU375" s="236"/>
      <c r="AV375" s="12"/>
      <c r="AW375" s="12"/>
      <c r="AX375" s="12"/>
      <c r="AY375" s="12"/>
      <c r="AZ375" s="12"/>
      <c r="BA375" s="12"/>
      <c r="BB375" s="12"/>
    </row>
    <row r="376" spans="1:54" ht="13">
      <c r="A376" s="12"/>
      <c r="B376" s="27"/>
      <c r="C376" s="27"/>
      <c r="D376" s="407"/>
      <c r="E376" s="27"/>
      <c r="F376" s="27"/>
      <c r="G376" s="27"/>
      <c r="H376" s="408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12"/>
      <c r="AW376" s="12"/>
      <c r="AX376" s="12"/>
      <c r="AY376" s="12"/>
      <c r="AZ376" s="12"/>
      <c r="BA376" s="12"/>
      <c r="BB376" s="12"/>
    </row>
    <row r="377" spans="1:54" ht="13">
      <c r="A377" s="12"/>
      <c r="B377" s="236"/>
      <c r="C377" s="236"/>
      <c r="D377" s="405"/>
      <c r="E377" s="236"/>
      <c r="F377" s="236"/>
      <c r="G377" s="236"/>
      <c r="H377" s="406"/>
      <c r="I377" s="236"/>
      <c r="J377" s="236"/>
      <c r="K377" s="236"/>
      <c r="L377" s="236"/>
      <c r="M377" s="236"/>
      <c r="N377" s="236"/>
      <c r="O377" s="236"/>
      <c r="P377" s="236"/>
      <c r="Q377" s="236"/>
      <c r="R377" s="236"/>
      <c r="S377" s="236"/>
      <c r="T377" s="236"/>
      <c r="U377" s="236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  <c r="AG377" s="236"/>
      <c r="AH377" s="236"/>
      <c r="AI377" s="236"/>
      <c r="AJ377" s="236"/>
      <c r="AK377" s="236"/>
      <c r="AL377" s="236"/>
      <c r="AM377" s="236"/>
      <c r="AN377" s="236"/>
      <c r="AO377" s="236"/>
      <c r="AP377" s="236"/>
      <c r="AQ377" s="236"/>
      <c r="AR377" s="236"/>
      <c r="AS377" s="236"/>
      <c r="AT377" s="236"/>
      <c r="AU377" s="236"/>
      <c r="AV377" s="12"/>
      <c r="AW377" s="12"/>
      <c r="AX377" s="12"/>
      <c r="AY377" s="12"/>
      <c r="AZ377" s="12"/>
      <c r="BA377" s="12"/>
      <c r="BB377" s="12"/>
    </row>
    <row r="378" spans="1:54" ht="13">
      <c r="A378" s="12"/>
      <c r="B378" s="27"/>
      <c r="C378" s="27"/>
      <c r="D378" s="407"/>
      <c r="E378" s="27"/>
      <c r="F378" s="27"/>
      <c r="G378" s="27"/>
      <c r="H378" s="408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12"/>
      <c r="AW378" s="12"/>
      <c r="AX378" s="12"/>
      <c r="AY378" s="12"/>
      <c r="AZ378" s="12"/>
      <c r="BA378" s="12"/>
      <c r="BB378" s="12"/>
    </row>
    <row r="379" spans="1:54" ht="13">
      <c r="A379" s="12"/>
      <c r="B379" s="236"/>
      <c r="C379" s="236"/>
      <c r="D379" s="405"/>
      <c r="E379" s="236"/>
      <c r="F379" s="236"/>
      <c r="G379" s="236"/>
      <c r="H379" s="406"/>
      <c r="I379" s="236"/>
      <c r="J379" s="236"/>
      <c r="K379" s="236"/>
      <c r="L379" s="236"/>
      <c r="M379" s="236"/>
      <c r="N379" s="236"/>
      <c r="O379" s="236"/>
      <c r="P379" s="236"/>
      <c r="Q379" s="236"/>
      <c r="R379" s="236"/>
      <c r="S379" s="236"/>
      <c r="T379" s="236"/>
      <c r="U379" s="236"/>
      <c r="V379" s="236"/>
      <c r="W379" s="236"/>
      <c r="X379" s="236"/>
      <c r="Y379" s="236"/>
      <c r="Z379" s="236"/>
      <c r="AA379" s="236"/>
      <c r="AB379" s="236"/>
      <c r="AC379" s="236"/>
      <c r="AD379" s="236"/>
      <c r="AE379" s="236"/>
      <c r="AF379" s="236"/>
      <c r="AG379" s="236"/>
      <c r="AH379" s="236"/>
      <c r="AI379" s="236"/>
      <c r="AJ379" s="236"/>
      <c r="AK379" s="236"/>
      <c r="AL379" s="236"/>
      <c r="AM379" s="236"/>
      <c r="AN379" s="236"/>
      <c r="AO379" s="236"/>
      <c r="AP379" s="236"/>
      <c r="AQ379" s="236"/>
      <c r="AR379" s="236"/>
      <c r="AS379" s="236"/>
      <c r="AT379" s="236"/>
      <c r="AU379" s="236"/>
      <c r="AV379" s="12"/>
      <c r="AW379" s="12"/>
      <c r="AX379" s="12"/>
      <c r="AY379" s="12"/>
      <c r="AZ379" s="12"/>
      <c r="BA379" s="12"/>
      <c r="BB379" s="12"/>
    </row>
    <row r="380" spans="1:54" ht="13">
      <c r="A380" s="12"/>
      <c r="B380" s="27"/>
      <c r="C380" s="27"/>
      <c r="D380" s="407"/>
      <c r="E380" s="27"/>
      <c r="F380" s="27"/>
      <c r="G380" s="27"/>
      <c r="H380" s="408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12"/>
      <c r="AW380" s="12"/>
      <c r="AX380" s="12"/>
      <c r="AY380" s="12"/>
      <c r="AZ380" s="12"/>
      <c r="BA380" s="12"/>
      <c r="BB380" s="12"/>
    </row>
    <row r="381" spans="1:54" ht="13">
      <c r="A381" s="12"/>
      <c r="B381" s="236"/>
      <c r="C381" s="236"/>
      <c r="D381" s="405"/>
      <c r="E381" s="236"/>
      <c r="F381" s="236"/>
      <c r="G381" s="236"/>
      <c r="H381" s="406"/>
      <c r="I381" s="236"/>
      <c r="J381" s="236"/>
      <c r="K381" s="236"/>
      <c r="L381" s="236"/>
      <c r="M381" s="236"/>
      <c r="N381" s="236"/>
      <c r="O381" s="236"/>
      <c r="P381" s="236"/>
      <c r="Q381" s="236"/>
      <c r="R381" s="236"/>
      <c r="S381" s="236"/>
      <c r="T381" s="236"/>
      <c r="U381" s="236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  <c r="AG381" s="236"/>
      <c r="AH381" s="236"/>
      <c r="AI381" s="236"/>
      <c r="AJ381" s="236"/>
      <c r="AK381" s="236"/>
      <c r="AL381" s="236"/>
      <c r="AM381" s="236"/>
      <c r="AN381" s="236"/>
      <c r="AO381" s="236"/>
      <c r="AP381" s="236"/>
      <c r="AQ381" s="236"/>
      <c r="AR381" s="236"/>
      <c r="AS381" s="236"/>
      <c r="AT381" s="236"/>
      <c r="AU381" s="236"/>
      <c r="AV381" s="12"/>
      <c r="AW381" s="12"/>
      <c r="AX381" s="12"/>
      <c r="AY381" s="12"/>
      <c r="AZ381" s="12"/>
      <c r="BA381" s="12"/>
      <c r="BB381" s="12"/>
    </row>
    <row r="382" spans="1:54" ht="13">
      <c r="A382" s="12"/>
      <c r="B382" s="27"/>
      <c r="C382" s="27"/>
      <c r="D382" s="407"/>
      <c r="E382" s="27"/>
      <c r="F382" s="27"/>
      <c r="G382" s="27"/>
      <c r="H382" s="408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12"/>
      <c r="AW382" s="12"/>
      <c r="AX382" s="12"/>
      <c r="AY382" s="12"/>
      <c r="AZ382" s="12"/>
      <c r="BA382" s="12"/>
      <c r="BB382" s="12"/>
    </row>
    <row r="383" spans="1:54" ht="13">
      <c r="A383" s="12"/>
      <c r="B383" s="236"/>
      <c r="C383" s="236"/>
      <c r="D383" s="405"/>
      <c r="E383" s="236"/>
      <c r="F383" s="236"/>
      <c r="G383" s="236"/>
      <c r="H383" s="406"/>
      <c r="I383" s="236"/>
      <c r="J383" s="236"/>
      <c r="K383" s="236"/>
      <c r="L383" s="236"/>
      <c r="M383" s="236"/>
      <c r="N383" s="236"/>
      <c r="O383" s="236"/>
      <c r="P383" s="236"/>
      <c r="Q383" s="236"/>
      <c r="R383" s="236"/>
      <c r="S383" s="236"/>
      <c r="T383" s="236"/>
      <c r="U383" s="236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  <c r="AG383" s="236"/>
      <c r="AH383" s="236"/>
      <c r="AI383" s="236"/>
      <c r="AJ383" s="236"/>
      <c r="AK383" s="236"/>
      <c r="AL383" s="236"/>
      <c r="AM383" s="236"/>
      <c r="AN383" s="236"/>
      <c r="AO383" s="236"/>
      <c r="AP383" s="236"/>
      <c r="AQ383" s="236"/>
      <c r="AR383" s="236"/>
      <c r="AS383" s="236"/>
      <c r="AT383" s="236"/>
      <c r="AU383" s="236"/>
      <c r="AV383" s="12"/>
      <c r="AW383" s="12"/>
      <c r="AX383" s="12"/>
      <c r="AY383" s="12"/>
      <c r="AZ383" s="12"/>
      <c r="BA383" s="12"/>
      <c r="BB383" s="12"/>
    </row>
    <row r="384" spans="1:54" ht="13">
      <c r="A384" s="12"/>
      <c r="B384" s="27"/>
      <c r="C384" s="27"/>
      <c r="D384" s="407"/>
      <c r="E384" s="27"/>
      <c r="F384" s="27"/>
      <c r="G384" s="27"/>
      <c r="H384" s="408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12"/>
      <c r="AW384" s="12"/>
      <c r="AX384" s="12"/>
      <c r="AY384" s="12"/>
      <c r="AZ384" s="12"/>
      <c r="BA384" s="12"/>
      <c r="BB384" s="12"/>
    </row>
    <row r="385" spans="1:54" ht="13">
      <c r="A385" s="12"/>
      <c r="B385" s="236"/>
      <c r="C385" s="236"/>
      <c r="D385" s="405"/>
      <c r="E385" s="236"/>
      <c r="F385" s="236"/>
      <c r="G385" s="236"/>
      <c r="H385" s="406"/>
      <c r="I385" s="236"/>
      <c r="J385" s="236"/>
      <c r="K385" s="236"/>
      <c r="L385" s="236"/>
      <c r="M385" s="236"/>
      <c r="N385" s="236"/>
      <c r="O385" s="236"/>
      <c r="P385" s="236"/>
      <c r="Q385" s="236"/>
      <c r="R385" s="236"/>
      <c r="S385" s="236"/>
      <c r="T385" s="236"/>
      <c r="U385" s="236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236"/>
      <c r="AH385" s="236"/>
      <c r="AI385" s="236"/>
      <c r="AJ385" s="236"/>
      <c r="AK385" s="236"/>
      <c r="AL385" s="236"/>
      <c r="AM385" s="236"/>
      <c r="AN385" s="236"/>
      <c r="AO385" s="236"/>
      <c r="AP385" s="236"/>
      <c r="AQ385" s="236"/>
      <c r="AR385" s="236"/>
      <c r="AS385" s="236"/>
      <c r="AT385" s="236"/>
      <c r="AU385" s="236"/>
      <c r="AV385" s="12"/>
      <c r="AW385" s="12"/>
      <c r="AX385" s="12"/>
      <c r="AY385" s="12"/>
      <c r="AZ385" s="12"/>
      <c r="BA385" s="12"/>
      <c r="BB385" s="12"/>
    </row>
    <row r="386" spans="1:54" ht="13">
      <c r="A386" s="12"/>
      <c r="B386" s="27"/>
      <c r="C386" s="27"/>
      <c r="D386" s="407"/>
      <c r="E386" s="27"/>
      <c r="F386" s="27"/>
      <c r="G386" s="27"/>
      <c r="H386" s="408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12"/>
      <c r="AW386" s="12"/>
      <c r="AX386" s="12"/>
      <c r="AY386" s="12"/>
      <c r="AZ386" s="12"/>
      <c r="BA386" s="12"/>
      <c r="BB386" s="12"/>
    </row>
    <row r="387" spans="1:54" ht="13">
      <c r="A387" s="12"/>
      <c r="B387" s="236"/>
      <c r="C387" s="236"/>
      <c r="D387" s="405"/>
      <c r="E387" s="236"/>
      <c r="F387" s="236"/>
      <c r="G387" s="236"/>
      <c r="H387" s="406"/>
      <c r="I387" s="236"/>
      <c r="J387" s="236"/>
      <c r="K387" s="236"/>
      <c r="L387" s="236"/>
      <c r="M387" s="236"/>
      <c r="N387" s="236"/>
      <c r="O387" s="236"/>
      <c r="P387" s="236"/>
      <c r="Q387" s="236"/>
      <c r="R387" s="236"/>
      <c r="S387" s="236"/>
      <c r="T387" s="236"/>
      <c r="U387" s="236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236"/>
      <c r="AH387" s="236"/>
      <c r="AI387" s="236"/>
      <c r="AJ387" s="236"/>
      <c r="AK387" s="236"/>
      <c r="AL387" s="236"/>
      <c r="AM387" s="236"/>
      <c r="AN387" s="236"/>
      <c r="AO387" s="236"/>
      <c r="AP387" s="236"/>
      <c r="AQ387" s="236"/>
      <c r="AR387" s="236"/>
      <c r="AS387" s="236"/>
      <c r="AT387" s="236"/>
      <c r="AU387" s="236"/>
      <c r="AV387" s="12"/>
      <c r="AW387" s="12"/>
      <c r="AX387" s="12"/>
      <c r="AY387" s="12"/>
      <c r="AZ387" s="12"/>
      <c r="BA387" s="12"/>
      <c r="BB387" s="12"/>
    </row>
    <row r="388" spans="1:54" ht="13">
      <c r="A388" s="12"/>
      <c r="B388" s="27"/>
      <c r="C388" s="27"/>
      <c r="D388" s="407"/>
      <c r="E388" s="27"/>
      <c r="F388" s="27"/>
      <c r="G388" s="27"/>
      <c r="H388" s="408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12"/>
      <c r="AW388" s="12"/>
      <c r="AX388" s="12"/>
      <c r="AY388" s="12"/>
      <c r="AZ388" s="12"/>
      <c r="BA388" s="12"/>
      <c r="BB388" s="12"/>
    </row>
    <row r="389" spans="1:54" ht="13">
      <c r="A389" s="12"/>
      <c r="B389" s="236"/>
      <c r="C389" s="236"/>
      <c r="D389" s="405"/>
      <c r="E389" s="236"/>
      <c r="F389" s="236"/>
      <c r="G389" s="236"/>
      <c r="H389" s="406"/>
      <c r="I389" s="236"/>
      <c r="J389" s="236"/>
      <c r="K389" s="236"/>
      <c r="L389" s="236"/>
      <c r="M389" s="236"/>
      <c r="N389" s="236"/>
      <c r="O389" s="236"/>
      <c r="P389" s="236"/>
      <c r="Q389" s="236"/>
      <c r="R389" s="236"/>
      <c r="S389" s="236"/>
      <c r="T389" s="236"/>
      <c r="U389" s="236"/>
      <c r="V389" s="236"/>
      <c r="W389" s="236"/>
      <c r="X389" s="236"/>
      <c r="Y389" s="236"/>
      <c r="Z389" s="236"/>
      <c r="AA389" s="236"/>
      <c r="AB389" s="236"/>
      <c r="AC389" s="236"/>
      <c r="AD389" s="236"/>
      <c r="AE389" s="236"/>
      <c r="AF389" s="236"/>
      <c r="AG389" s="236"/>
      <c r="AH389" s="236"/>
      <c r="AI389" s="236"/>
      <c r="AJ389" s="236"/>
      <c r="AK389" s="236"/>
      <c r="AL389" s="236"/>
      <c r="AM389" s="236"/>
      <c r="AN389" s="236"/>
      <c r="AO389" s="236"/>
      <c r="AP389" s="236"/>
      <c r="AQ389" s="236"/>
      <c r="AR389" s="236"/>
      <c r="AS389" s="236"/>
      <c r="AT389" s="236"/>
      <c r="AU389" s="236"/>
      <c r="AV389" s="12"/>
      <c r="AW389" s="12"/>
      <c r="AX389" s="12"/>
      <c r="AY389" s="12"/>
      <c r="AZ389" s="12"/>
      <c r="BA389" s="12"/>
      <c r="BB389" s="12"/>
    </row>
    <row r="390" spans="1:54" ht="13">
      <c r="A390" s="12"/>
      <c r="B390" s="27"/>
      <c r="C390" s="27"/>
      <c r="D390" s="407"/>
      <c r="E390" s="27"/>
      <c r="F390" s="27"/>
      <c r="G390" s="27"/>
      <c r="H390" s="408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12"/>
      <c r="AW390" s="12"/>
      <c r="AX390" s="12"/>
      <c r="AY390" s="12"/>
      <c r="AZ390" s="12"/>
      <c r="BA390" s="12"/>
      <c r="BB390" s="12"/>
    </row>
    <row r="391" spans="1:54" ht="13">
      <c r="A391" s="12"/>
      <c r="B391" s="236"/>
      <c r="C391" s="236"/>
      <c r="D391" s="405"/>
      <c r="E391" s="236"/>
      <c r="F391" s="236"/>
      <c r="G391" s="236"/>
      <c r="H391" s="406"/>
      <c r="I391" s="236"/>
      <c r="J391" s="236"/>
      <c r="K391" s="236"/>
      <c r="L391" s="236"/>
      <c r="M391" s="236"/>
      <c r="N391" s="236"/>
      <c r="O391" s="236"/>
      <c r="P391" s="236"/>
      <c r="Q391" s="236"/>
      <c r="R391" s="236"/>
      <c r="S391" s="236"/>
      <c r="T391" s="236"/>
      <c r="U391" s="236"/>
      <c r="V391" s="236"/>
      <c r="W391" s="236"/>
      <c r="X391" s="236"/>
      <c r="Y391" s="236"/>
      <c r="Z391" s="236"/>
      <c r="AA391" s="236"/>
      <c r="AB391" s="236"/>
      <c r="AC391" s="236"/>
      <c r="AD391" s="236"/>
      <c r="AE391" s="236"/>
      <c r="AF391" s="236"/>
      <c r="AG391" s="236"/>
      <c r="AH391" s="236"/>
      <c r="AI391" s="236"/>
      <c r="AJ391" s="236"/>
      <c r="AK391" s="236"/>
      <c r="AL391" s="236"/>
      <c r="AM391" s="236"/>
      <c r="AN391" s="236"/>
      <c r="AO391" s="236"/>
      <c r="AP391" s="236"/>
      <c r="AQ391" s="236"/>
      <c r="AR391" s="236"/>
      <c r="AS391" s="236"/>
      <c r="AT391" s="236"/>
      <c r="AU391" s="236"/>
      <c r="AV391" s="12"/>
      <c r="AW391" s="12"/>
      <c r="AX391" s="12"/>
      <c r="AY391" s="12"/>
      <c r="AZ391" s="12"/>
      <c r="BA391" s="12"/>
      <c r="BB391" s="12"/>
    </row>
    <row r="392" spans="1:54" ht="13">
      <c r="A392" s="12"/>
      <c r="B392" s="27"/>
      <c r="C392" s="27"/>
      <c r="D392" s="407"/>
      <c r="E392" s="27"/>
      <c r="F392" s="27"/>
      <c r="G392" s="27"/>
      <c r="H392" s="408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12"/>
      <c r="AW392" s="12"/>
      <c r="AX392" s="12"/>
      <c r="AY392" s="12"/>
      <c r="AZ392" s="12"/>
      <c r="BA392" s="12"/>
      <c r="BB392" s="12"/>
    </row>
    <row r="393" spans="1:54" ht="13">
      <c r="A393" s="12"/>
      <c r="B393" s="236"/>
      <c r="C393" s="236"/>
      <c r="D393" s="405"/>
      <c r="E393" s="236"/>
      <c r="F393" s="236"/>
      <c r="G393" s="236"/>
      <c r="H393" s="406"/>
      <c r="I393" s="236"/>
      <c r="J393" s="236"/>
      <c r="K393" s="236"/>
      <c r="L393" s="236"/>
      <c r="M393" s="236"/>
      <c r="N393" s="236"/>
      <c r="O393" s="236"/>
      <c r="P393" s="236"/>
      <c r="Q393" s="236"/>
      <c r="R393" s="236"/>
      <c r="S393" s="236"/>
      <c r="T393" s="236"/>
      <c r="U393" s="236"/>
      <c r="V393" s="236"/>
      <c r="W393" s="236"/>
      <c r="X393" s="236"/>
      <c r="Y393" s="236"/>
      <c r="Z393" s="236"/>
      <c r="AA393" s="236"/>
      <c r="AB393" s="236"/>
      <c r="AC393" s="236"/>
      <c r="AD393" s="236"/>
      <c r="AE393" s="236"/>
      <c r="AF393" s="236"/>
      <c r="AG393" s="236"/>
      <c r="AH393" s="236"/>
      <c r="AI393" s="236"/>
      <c r="AJ393" s="236"/>
      <c r="AK393" s="236"/>
      <c r="AL393" s="236"/>
      <c r="AM393" s="236"/>
      <c r="AN393" s="236"/>
      <c r="AO393" s="236"/>
      <c r="AP393" s="236"/>
      <c r="AQ393" s="236"/>
      <c r="AR393" s="236"/>
      <c r="AS393" s="236"/>
      <c r="AT393" s="236"/>
      <c r="AU393" s="236"/>
      <c r="AV393" s="12"/>
      <c r="AW393" s="12"/>
      <c r="AX393" s="12"/>
      <c r="AY393" s="12"/>
      <c r="AZ393" s="12"/>
      <c r="BA393" s="12"/>
      <c r="BB393" s="12"/>
    </row>
    <row r="394" spans="1:54" ht="13">
      <c r="A394" s="12"/>
      <c r="B394" s="27"/>
      <c r="C394" s="27"/>
      <c r="D394" s="407"/>
      <c r="E394" s="27"/>
      <c r="F394" s="27"/>
      <c r="G394" s="27"/>
      <c r="H394" s="408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12"/>
      <c r="AW394" s="12"/>
      <c r="AX394" s="12"/>
      <c r="AY394" s="12"/>
      <c r="AZ394" s="12"/>
      <c r="BA394" s="12"/>
      <c r="BB394" s="12"/>
    </row>
    <row r="395" spans="1:54" ht="13">
      <c r="A395" s="12"/>
      <c r="B395" s="236"/>
      <c r="C395" s="236"/>
      <c r="D395" s="405"/>
      <c r="E395" s="236"/>
      <c r="F395" s="236"/>
      <c r="G395" s="236"/>
      <c r="H395" s="406"/>
      <c r="I395" s="236"/>
      <c r="J395" s="236"/>
      <c r="K395" s="236"/>
      <c r="L395" s="236"/>
      <c r="M395" s="236"/>
      <c r="N395" s="236"/>
      <c r="O395" s="236"/>
      <c r="P395" s="236"/>
      <c r="Q395" s="236"/>
      <c r="R395" s="236"/>
      <c r="S395" s="236"/>
      <c r="T395" s="236"/>
      <c r="U395" s="236"/>
      <c r="V395" s="236"/>
      <c r="W395" s="236"/>
      <c r="X395" s="236"/>
      <c r="Y395" s="236"/>
      <c r="Z395" s="236"/>
      <c r="AA395" s="236"/>
      <c r="AB395" s="236"/>
      <c r="AC395" s="236"/>
      <c r="AD395" s="236"/>
      <c r="AE395" s="236"/>
      <c r="AF395" s="236"/>
      <c r="AG395" s="236"/>
      <c r="AH395" s="236"/>
      <c r="AI395" s="236"/>
      <c r="AJ395" s="236"/>
      <c r="AK395" s="236"/>
      <c r="AL395" s="236"/>
      <c r="AM395" s="236"/>
      <c r="AN395" s="236"/>
      <c r="AO395" s="236"/>
      <c r="AP395" s="236"/>
      <c r="AQ395" s="236"/>
      <c r="AR395" s="236"/>
      <c r="AS395" s="236"/>
      <c r="AT395" s="236"/>
      <c r="AU395" s="236"/>
      <c r="AV395" s="12"/>
      <c r="AW395" s="12"/>
      <c r="AX395" s="12"/>
      <c r="AY395" s="12"/>
      <c r="AZ395" s="12"/>
      <c r="BA395" s="12"/>
      <c r="BB395" s="12"/>
    </row>
    <row r="396" spans="1:54" ht="13">
      <c r="A396" s="12"/>
      <c r="B396" s="27"/>
      <c r="C396" s="27"/>
      <c r="D396" s="407"/>
      <c r="E396" s="27"/>
      <c r="F396" s="27"/>
      <c r="G396" s="27"/>
      <c r="H396" s="408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12"/>
      <c r="AW396" s="12"/>
      <c r="AX396" s="12"/>
      <c r="AY396" s="12"/>
      <c r="AZ396" s="12"/>
      <c r="BA396" s="12"/>
      <c r="BB396" s="12"/>
    </row>
    <row r="397" spans="1:54" ht="13">
      <c r="A397" s="12"/>
      <c r="B397" s="236"/>
      <c r="C397" s="236"/>
      <c r="D397" s="405"/>
      <c r="E397" s="236"/>
      <c r="F397" s="236"/>
      <c r="G397" s="236"/>
      <c r="H397" s="406"/>
      <c r="I397" s="236"/>
      <c r="J397" s="236"/>
      <c r="K397" s="236"/>
      <c r="L397" s="236"/>
      <c r="M397" s="236"/>
      <c r="N397" s="236"/>
      <c r="O397" s="236"/>
      <c r="P397" s="236"/>
      <c r="Q397" s="236"/>
      <c r="R397" s="236"/>
      <c r="S397" s="236"/>
      <c r="T397" s="236"/>
      <c r="U397" s="236"/>
      <c r="V397" s="236"/>
      <c r="W397" s="236"/>
      <c r="X397" s="236"/>
      <c r="Y397" s="236"/>
      <c r="Z397" s="236"/>
      <c r="AA397" s="236"/>
      <c r="AB397" s="236"/>
      <c r="AC397" s="236"/>
      <c r="AD397" s="236"/>
      <c r="AE397" s="236"/>
      <c r="AF397" s="236"/>
      <c r="AG397" s="236"/>
      <c r="AH397" s="236"/>
      <c r="AI397" s="236"/>
      <c r="AJ397" s="236"/>
      <c r="AK397" s="236"/>
      <c r="AL397" s="236"/>
      <c r="AM397" s="236"/>
      <c r="AN397" s="236"/>
      <c r="AO397" s="236"/>
      <c r="AP397" s="236"/>
      <c r="AQ397" s="236"/>
      <c r="AR397" s="236"/>
      <c r="AS397" s="236"/>
      <c r="AT397" s="236"/>
      <c r="AU397" s="236"/>
      <c r="AV397" s="12"/>
      <c r="AW397" s="12"/>
      <c r="AX397" s="12"/>
      <c r="AY397" s="12"/>
      <c r="AZ397" s="12"/>
      <c r="BA397" s="12"/>
      <c r="BB397" s="12"/>
    </row>
    <row r="398" spans="1:54" ht="13">
      <c r="A398" s="12"/>
      <c r="B398" s="27"/>
      <c r="C398" s="27"/>
      <c r="D398" s="407"/>
      <c r="E398" s="27"/>
      <c r="F398" s="27"/>
      <c r="G398" s="27"/>
      <c r="H398" s="408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12"/>
      <c r="AW398" s="12"/>
      <c r="AX398" s="12"/>
      <c r="AY398" s="12"/>
      <c r="AZ398" s="12"/>
      <c r="BA398" s="12"/>
      <c r="BB398" s="12"/>
    </row>
    <row r="399" spans="1:54" ht="13">
      <c r="A399" s="12"/>
      <c r="B399" s="236"/>
      <c r="C399" s="236"/>
      <c r="D399" s="405"/>
      <c r="E399" s="236"/>
      <c r="F399" s="236"/>
      <c r="G399" s="236"/>
      <c r="H399" s="406"/>
      <c r="I399" s="236"/>
      <c r="J399" s="236"/>
      <c r="K399" s="236"/>
      <c r="L399" s="236"/>
      <c r="M399" s="236"/>
      <c r="N399" s="236"/>
      <c r="O399" s="236"/>
      <c r="P399" s="236"/>
      <c r="Q399" s="236"/>
      <c r="R399" s="236"/>
      <c r="S399" s="236"/>
      <c r="T399" s="236"/>
      <c r="U399" s="236"/>
      <c r="V399" s="236"/>
      <c r="W399" s="236"/>
      <c r="X399" s="236"/>
      <c r="Y399" s="236"/>
      <c r="Z399" s="236"/>
      <c r="AA399" s="236"/>
      <c r="AB399" s="236"/>
      <c r="AC399" s="236"/>
      <c r="AD399" s="236"/>
      <c r="AE399" s="236"/>
      <c r="AF399" s="236"/>
      <c r="AG399" s="236"/>
      <c r="AH399" s="236"/>
      <c r="AI399" s="236"/>
      <c r="AJ399" s="236"/>
      <c r="AK399" s="236"/>
      <c r="AL399" s="236"/>
      <c r="AM399" s="236"/>
      <c r="AN399" s="236"/>
      <c r="AO399" s="236"/>
      <c r="AP399" s="236"/>
      <c r="AQ399" s="236"/>
      <c r="AR399" s="236"/>
      <c r="AS399" s="236"/>
      <c r="AT399" s="236"/>
      <c r="AU399" s="236"/>
      <c r="AV399" s="12"/>
      <c r="AW399" s="12"/>
      <c r="AX399" s="12"/>
      <c r="AY399" s="12"/>
      <c r="AZ399" s="12"/>
      <c r="BA399" s="12"/>
      <c r="BB399" s="12"/>
    </row>
    <row r="400" spans="1:54" ht="13">
      <c r="A400" s="12"/>
      <c r="B400" s="27"/>
      <c r="C400" s="27"/>
      <c r="D400" s="407"/>
      <c r="E400" s="27"/>
      <c r="F400" s="27"/>
      <c r="G400" s="27"/>
      <c r="H400" s="408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12"/>
      <c r="AW400" s="12"/>
      <c r="AX400" s="12"/>
      <c r="AY400" s="12"/>
      <c r="AZ400" s="12"/>
      <c r="BA400" s="12"/>
      <c r="BB400" s="12"/>
    </row>
    <row r="401" spans="1:54" ht="13">
      <c r="A401" s="12"/>
      <c r="B401" s="236"/>
      <c r="C401" s="236"/>
      <c r="D401" s="405"/>
      <c r="E401" s="236"/>
      <c r="F401" s="236"/>
      <c r="G401" s="236"/>
      <c r="H401" s="406"/>
      <c r="I401" s="236"/>
      <c r="J401" s="236"/>
      <c r="K401" s="236"/>
      <c r="L401" s="236"/>
      <c r="M401" s="236"/>
      <c r="N401" s="236"/>
      <c r="O401" s="236"/>
      <c r="P401" s="236"/>
      <c r="Q401" s="236"/>
      <c r="R401" s="236"/>
      <c r="S401" s="236"/>
      <c r="T401" s="236"/>
      <c r="U401" s="236"/>
      <c r="V401" s="236"/>
      <c r="W401" s="236"/>
      <c r="X401" s="236"/>
      <c r="Y401" s="236"/>
      <c r="Z401" s="236"/>
      <c r="AA401" s="236"/>
      <c r="AB401" s="236"/>
      <c r="AC401" s="236"/>
      <c r="AD401" s="236"/>
      <c r="AE401" s="236"/>
      <c r="AF401" s="236"/>
      <c r="AG401" s="236"/>
      <c r="AH401" s="236"/>
      <c r="AI401" s="236"/>
      <c r="AJ401" s="236"/>
      <c r="AK401" s="236"/>
      <c r="AL401" s="236"/>
      <c r="AM401" s="236"/>
      <c r="AN401" s="236"/>
      <c r="AO401" s="236"/>
      <c r="AP401" s="236"/>
      <c r="AQ401" s="236"/>
      <c r="AR401" s="236"/>
      <c r="AS401" s="236"/>
      <c r="AT401" s="236"/>
      <c r="AU401" s="236"/>
      <c r="AV401" s="12"/>
      <c r="AW401" s="12"/>
      <c r="AX401" s="12"/>
      <c r="AY401" s="12"/>
      <c r="AZ401" s="12"/>
      <c r="BA401" s="12"/>
      <c r="BB401" s="12"/>
    </row>
    <row r="402" spans="1:54" ht="13">
      <c r="A402" s="12"/>
      <c r="B402" s="27"/>
      <c r="C402" s="27"/>
      <c r="D402" s="407"/>
      <c r="E402" s="27"/>
      <c r="F402" s="27"/>
      <c r="G402" s="27"/>
      <c r="H402" s="408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12"/>
      <c r="AW402" s="12"/>
      <c r="AX402" s="12"/>
      <c r="AY402" s="12"/>
      <c r="AZ402" s="12"/>
      <c r="BA402" s="12"/>
      <c r="BB402" s="12"/>
    </row>
    <row r="403" spans="1:54" ht="13">
      <c r="A403" s="12"/>
      <c r="B403" s="236"/>
      <c r="C403" s="236"/>
      <c r="D403" s="405"/>
      <c r="E403" s="236"/>
      <c r="F403" s="236"/>
      <c r="G403" s="236"/>
      <c r="H403" s="406"/>
      <c r="I403" s="236"/>
      <c r="J403" s="236"/>
      <c r="K403" s="236"/>
      <c r="L403" s="236"/>
      <c r="M403" s="236"/>
      <c r="N403" s="236"/>
      <c r="O403" s="236"/>
      <c r="P403" s="236"/>
      <c r="Q403" s="236"/>
      <c r="R403" s="236"/>
      <c r="S403" s="236"/>
      <c r="T403" s="236"/>
      <c r="U403" s="236"/>
      <c r="V403" s="236"/>
      <c r="W403" s="236"/>
      <c r="X403" s="236"/>
      <c r="Y403" s="236"/>
      <c r="Z403" s="236"/>
      <c r="AA403" s="236"/>
      <c r="AB403" s="236"/>
      <c r="AC403" s="236"/>
      <c r="AD403" s="236"/>
      <c r="AE403" s="236"/>
      <c r="AF403" s="236"/>
      <c r="AG403" s="236"/>
      <c r="AH403" s="236"/>
      <c r="AI403" s="236"/>
      <c r="AJ403" s="236"/>
      <c r="AK403" s="236"/>
      <c r="AL403" s="236"/>
      <c r="AM403" s="236"/>
      <c r="AN403" s="236"/>
      <c r="AO403" s="236"/>
      <c r="AP403" s="236"/>
      <c r="AQ403" s="236"/>
      <c r="AR403" s="236"/>
      <c r="AS403" s="236"/>
      <c r="AT403" s="236"/>
      <c r="AU403" s="236"/>
      <c r="AV403" s="12"/>
      <c r="AW403" s="12"/>
      <c r="AX403" s="12"/>
      <c r="AY403" s="12"/>
      <c r="AZ403" s="12"/>
      <c r="BA403" s="12"/>
      <c r="BB403" s="12"/>
    </row>
    <row r="404" spans="1:54" ht="13">
      <c r="A404" s="12"/>
      <c r="B404" s="27"/>
      <c r="C404" s="27"/>
      <c r="D404" s="407"/>
      <c r="E404" s="27"/>
      <c r="F404" s="27"/>
      <c r="G404" s="27"/>
      <c r="H404" s="408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12"/>
      <c r="AW404" s="12"/>
      <c r="AX404" s="12"/>
      <c r="AY404" s="12"/>
      <c r="AZ404" s="12"/>
      <c r="BA404" s="12"/>
      <c r="BB404" s="12"/>
    </row>
    <row r="405" spans="1:54" ht="13">
      <c r="A405" s="12"/>
      <c r="B405" s="236"/>
      <c r="C405" s="236"/>
      <c r="D405" s="405"/>
      <c r="E405" s="236"/>
      <c r="F405" s="236"/>
      <c r="G405" s="236"/>
      <c r="H405" s="406"/>
      <c r="I405" s="236"/>
      <c r="J405" s="236"/>
      <c r="K405" s="236"/>
      <c r="L405" s="236"/>
      <c r="M405" s="236"/>
      <c r="N405" s="236"/>
      <c r="O405" s="236"/>
      <c r="P405" s="236"/>
      <c r="Q405" s="236"/>
      <c r="R405" s="236"/>
      <c r="S405" s="236"/>
      <c r="T405" s="236"/>
      <c r="U405" s="236"/>
      <c r="V405" s="236"/>
      <c r="W405" s="236"/>
      <c r="X405" s="236"/>
      <c r="Y405" s="236"/>
      <c r="Z405" s="236"/>
      <c r="AA405" s="236"/>
      <c r="AB405" s="236"/>
      <c r="AC405" s="236"/>
      <c r="AD405" s="236"/>
      <c r="AE405" s="236"/>
      <c r="AF405" s="236"/>
      <c r="AG405" s="236"/>
      <c r="AH405" s="236"/>
      <c r="AI405" s="236"/>
      <c r="AJ405" s="236"/>
      <c r="AK405" s="236"/>
      <c r="AL405" s="236"/>
      <c r="AM405" s="236"/>
      <c r="AN405" s="236"/>
      <c r="AO405" s="236"/>
      <c r="AP405" s="236"/>
      <c r="AQ405" s="236"/>
      <c r="AR405" s="236"/>
      <c r="AS405" s="236"/>
      <c r="AT405" s="236"/>
      <c r="AU405" s="236"/>
      <c r="AV405" s="12"/>
      <c r="AW405" s="12"/>
      <c r="AX405" s="12"/>
      <c r="AY405" s="12"/>
      <c r="AZ405" s="12"/>
      <c r="BA405" s="12"/>
      <c r="BB405" s="12"/>
    </row>
    <row r="406" spans="1:54" ht="13">
      <c r="A406" s="12"/>
      <c r="B406" s="27"/>
      <c r="C406" s="27"/>
      <c r="D406" s="407"/>
      <c r="E406" s="27"/>
      <c r="F406" s="27"/>
      <c r="G406" s="27"/>
      <c r="H406" s="408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12"/>
      <c r="AW406" s="12"/>
      <c r="AX406" s="12"/>
      <c r="AY406" s="12"/>
      <c r="AZ406" s="12"/>
      <c r="BA406" s="12"/>
      <c r="BB406" s="12"/>
    </row>
    <row r="407" spans="1:54" ht="13">
      <c r="A407" s="12"/>
      <c r="B407" s="236"/>
      <c r="C407" s="236"/>
      <c r="D407" s="405"/>
      <c r="E407" s="236"/>
      <c r="F407" s="236"/>
      <c r="G407" s="236"/>
      <c r="H407" s="406"/>
      <c r="I407" s="236"/>
      <c r="J407" s="236"/>
      <c r="K407" s="236"/>
      <c r="L407" s="236"/>
      <c r="M407" s="236"/>
      <c r="N407" s="236"/>
      <c r="O407" s="236"/>
      <c r="P407" s="236"/>
      <c r="Q407" s="236"/>
      <c r="R407" s="236"/>
      <c r="S407" s="236"/>
      <c r="T407" s="236"/>
      <c r="U407" s="236"/>
      <c r="V407" s="236"/>
      <c r="W407" s="236"/>
      <c r="X407" s="236"/>
      <c r="Y407" s="236"/>
      <c r="Z407" s="236"/>
      <c r="AA407" s="236"/>
      <c r="AB407" s="236"/>
      <c r="AC407" s="236"/>
      <c r="AD407" s="236"/>
      <c r="AE407" s="236"/>
      <c r="AF407" s="236"/>
      <c r="AG407" s="236"/>
      <c r="AH407" s="236"/>
      <c r="AI407" s="236"/>
      <c r="AJ407" s="236"/>
      <c r="AK407" s="236"/>
      <c r="AL407" s="236"/>
      <c r="AM407" s="236"/>
      <c r="AN407" s="236"/>
      <c r="AO407" s="236"/>
      <c r="AP407" s="236"/>
      <c r="AQ407" s="236"/>
      <c r="AR407" s="236"/>
      <c r="AS407" s="236"/>
      <c r="AT407" s="236"/>
      <c r="AU407" s="236"/>
      <c r="AV407" s="12"/>
      <c r="AW407" s="12"/>
      <c r="AX407" s="12"/>
      <c r="AY407" s="12"/>
      <c r="AZ407" s="12"/>
      <c r="BA407" s="12"/>
      <c r="BB407" s="12"/>
    </row>
    <row r="408" spans="1:54" ht="13">
      <c r="A408" s="12"/>
      <c r="B408" s="27"/>
      <c r="C408" s="27"/>
      <c r="D408" s="407"/>
      <c r="E408" s="27"/>
      <c r="F408" s="27"/>
      <c r="G408" s="27"/>
      <c r="H408" s="408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12"/>
      <c r="AW408" s="12"/>
      <c r="AX408" s="12"/>
      <c r="AY408" s="12"/>
      <c r="AZ408" s="12"/>
      <c r="BA408" s="12"/>
      <c r="BB408" s="12"/>
    </row>
    <row r="409" spans="1:54" ht="13">
      <c r="A409" s="12"/>
      <c r="B409" s="236"/>
      <c r="C409" s="236"/>
      <c r="D409" s="405"/>
      <c r="E409" s="236"/>
      <c r="F409" s="236"/>
      <c r="G409" s="236"/>
      <c r="H409" s="406"/>
      <c r="I409" s="236"/>
      <c r="J409" s="236"/>
      <c r="K409" s="236"/>
      <c r="L409" s="236"/>
      <c r="M409" s="236"/>
      <c r="N409" s="236"/>
      <c r="O409" s="236"/>
      <c r="P409" s="236"/>
      <c r="Q409" s="236"/>
      <c r="R409" s="236"/>
      <c r="S409" s="236"/>
      <c r="T409" s="236"/>
      <c r="U409" s="236"/>
      <c r="V409" s="236"/>
      <c r="W409" s="236"/>
      <c r="X409" s="236"/>
      <c r="Y409" s="236"/>
      <c r="Z409" s="236"/>
      <c r="AA409" s="236"/>
      <c r="AB409" s="236"/>
      <c r="AC409" s="236"/>
      <c r="AD409" s="236"/>
      <c r="AE409" s="236"/>
      <c r="AF409" s="236"/>
      <c r="AG409" s="236"/>
      <c r="AH409" s="236"/>
      <c r="AI409" s="236"/>
      <c r="AJ409" s="236"/>
      <c r="AK409" s="236"/>
      <c r="AL409" s="236"/>
      <c r="AM409" s="236"/>
      <c r="AN409" s="236"/>
      <c r="AO409" s="236"/>
      <c r="AP409" s="236"/>
      <c r="AQ409" s="236"/>
      <c r="AR409" s="236"/>
      <c r="AS409" s="236"/>
      <c r="AT409" s="236"/>
      <c r="AU409" s="236"/>
      <c r="AV409" s="12"/>
      <c r="AW409" s="12"/>
      <c r="AX409" s="12"/>
      <c r="AY409" s="12"/>
      <c r="AZ409" s="12"/>
      <c r="BA409" s="12"/>
      <c r="BB409" s="12"/>
    </row>
    <row r="410" spans="1:54" ht="13">
      <c r="A410" s="12"/>
      <c r="B410" s="27"/>
      <c r="C410" s="27"/>
      <c r="D410" s="407"/>
      <c r="E410" s="27"/>
      <c r="F410" s="27"/>
      <c r="G410" s="27"/>
      <c r="H410" s="408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12"/>
      <c r="AW410" s="12"/>
      <c r="AX410" s="12"/>
      <c r="AY410" s="12"/>
      <c r="AZ410" s="12"/>
      <c r="BA410" s="12"/>
      <c r="BB410" s="12"/>
    </row>
    <row r="411" spans="1:54" ht="13">
      <c r="A411" s="12"/>
      <c r="B411" s="236"/>
      <c r="C411" s="236"/>
      <c r="D411" s="405"/>
      <c r="E411" s="236"/>
      <c r="F411" s="236"/>
      <c r="G411" s="236"/>
      <c r="H411" s="406"/>
      <c r="I411" s="236"/>
      <c r="J411" s="236"/>
      <c r="K411" s="236"/>
      <c r="L411" s="236"/>
      <c r="M411" s="236"/>
      <c r="N411" s="236"/>
      <c r="O411" s="236"/>
      <c r="P411" s="236"/>
      <c r="Q411" s="236"/>
      <c r="R411" s="236"/>
      <c r="S411" s="236"/>
      <c r="T411" s="236"/>
      <c r="U411" s="236"/>
      <c r="V411" s="236"/>
      <c r="W411" s="236"/>
      <c r="X411" s="236"/>
      <c r="Y411" s="236"/>
      <c r="Z411" s="236"/>
      <c r="AA411" s="236"/>
      <c r="AB411" s="236"/>
      <c r="AC411" s="236"/>
      <c r="AD411" s="236"/>
      <c r="AE411" s="236"/>
      <c r="AF411" s="236"/>
      <c r="AG411" s="236"/>
      <c r="AH411" s="236"/>
      <c r="AI411" s="236"/>
      <c r="AJ411" s="236"/>
      <c r="AK411" s="236"/>
      <c r="AL411" s="236"/>
      <c r="AM411" s="236"/>
      <c r="AN411" s="236"/>
      <c r="AO411" s="236"/>
      <c r="AP411" s="236"/>
      <c r="AQ411" s="236"/>
      <c r="AR411" s="236"/>
      <c r="AS411" s="236"/>
      <c r="AT411" s="236"/>
      <c r="AU411" s="236"/>
      <c r="AV411" s="12"/>
      <c r="AW411" s="12"/>
      <c r="AX411" s="12"/>
      <c r="AY411" s="12"/>
      <c r="AZ411" s="12"/>
      <c r="BA411" s="12"/>
      <c r="BB411" s="12"/>
    </row>
    <row r="412" spans="1:54" ht="13">
      <c r="A412" s="12"/>
      <c r="B412" s="27"/>
      <c r="C412" s="27"/>
      <c r="D412" s="407"/>
      <c r="E412" s="27"/>
      <c r="F412" s="27"/>
      <c r="G412" s="27"/>
      <c r="H412" s="408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12"/>
      <c r="AW412" s="12"/>
      <c r="AX412" s="12"/>
      <c r="AY412" s="12"/>
      <c r="AZ412" s="12"/>
      <c r="BA412" s="12"/>
      <c r="BB412" s="12"/>
    </row>
    <row r="413" spans="1:54" ht="13">
      <c r="A413" s="12"/>
      <c r="B413" s="236"/>
      <c r="C413" s="236"/>
      <c r="D413" s="405"/>
      <c r="E413" s="236"/>
      <c r="F413" s="236"/>
      <c r="G413" s="236"/>
      <c r="H413" s="406"/>
      <c r="I413" s="236"/>
      <c r="J413" s="236"/>
      <c r="K413" s="236"/>
      <c r="L413" s="236"/>
      <c r="M413" s="236"/>
      <c r="N413" s="236"/>
      <c r="O413" s="236"/>
      <c r="P413" s="236"/>
      <c r="Q413" s="236"/>
      <c r="R413" s="236"/>
      <c r="S413" s="236"/>
      <c r="T413" s="236"/>
      <c r="U413" s="236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236"/>
      <c r="AH413" s="236"/>
      <c r="AI413" s="236"/>
      <c r="AJ413" s="236"/>
      <c r="AK413" s="236"/>
      <c r="AL413" s="236"/>
      <c r="AM413" s="236"/>
      <c r="AN413" s="236"/>
      <c r="AO413" s="236"/>
      <c r="AP413" s="236"/>
      <c r="AQ413" s="236"/>
      <c r="AR413" s="236"/>
      <c r="AS413" s="236"/>
      <c r="AT413" s="236"/>
      <c r="AU413" s="236"/>
      <c r="AV413" s="12"/>
      <c r="AW413" s="12"/>
      <c r="AX413" s="12"/>
      <c r="AY413" s="12"/>
      <c r="AZ413" s="12"/>
      <c r="BA413" s="12"/>
      <c r="BB413" s="12"/>
    </row>
    <row r="414" spans="1:54" ht="13">
      <c r="A414" s="12"/>
      <c r="B414" s="27"/>
      <c r="C414" s="27"/>
      <c r="D414" s="407"/>
      <c r="E414" s="27"/>
      <c r="F414" s="27"/>
      <c r="G414" s="27"/>
      <c r="H414" s="408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12"/>
      <c r="AW414" s="12"/>
      <c r="AX414" s="12"/>
      <c r="AY414" s="12"/>
      <c r="AZ414" s="12"/>
      <c r="BA414" s="12"/>
      <c r="BB414" s="12"/>
    </row>
    <row r="415" spans="1:54" ht="13">
      <c r="A415" s="12"/>
      <c r="B415" s="236"/>
      <c r="C415" s="236"/>
      <c r="D415" s="405"/>
      <c r="E415" s="236"/>
      <c r="F415" s="236"/>
      <c r="G415" s="236"/>
      <c r="H415" s="406"/>
      <c r="I415" s="236"/>
      <c r="J415" s="236"/>
      <c r="K415" s="236"/>
      <c r="L415" s="236"/>
      <c r="M415" s="236"/>
      <c r="N415" s="236"/>
      <c r="O415" s="236"/>
      <c r="P415" s="236"/>
      <c r="Q415" s="236"/>
      <c r="R415" s="236"/>
      <c r="S415" s="236"/>
      <c r="T415" s="236"/>
      <c r="U415" s="236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236"/>
      <c r="AH415" s="236"/>
      <c r="AI415" s="236"/>
      <c r="AJ415" s="236"/>
      <c r="AK415" s="236"/>
      <c r="AL415" s="236"/>
      <c r="AM415" s="236"/>
      <c r="AN415" s="236"/>
      <c r="AO415" s="236"/>
      <c r="AP415" s="236"/>
      <c r="AQ415" s="236"/>
      <c r="AR415" s="236"/>
      <c r="AS415" s="236"/>
      <c r="AT415" s="236"/>
      <c r="AU415" s="236"/>
      <c r="AV415" s="12"/>
      <c r="AW415" s="12"/>
      <c r="AX415" s="12"/>
      <c r="AY415" s="12"/>
      <c r="AZ415" s="12"/>
      <c r="BA415" s="12"/>
      <c r="BB415" s="12"/>
    </row>
    <row r="416" spans="1:54" ht="13">
      <c r="A416" s="12"/>
      <c r="B416" s="27"/>
      <c r="C416" s="27"/>
      <c r="D416" s="407"/>
      <c r="E416" s="27"/>
      <c r="F416" s="27"/>
      <c r="G416" s="27"/>
      <c r="H416" s="408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12"/>
      <c r="AW416" s="12"/>
      <c r="AX416" s="12"/>
      <c r="AY416" s="12"/>
      <c r="AZ416" s="12"/>
      <c r="BA416" s="12"/>
      <c r="BB416" s="12"/>
    </row>
    <row r="417" spans="1:54" ht="13">
      <c r="A417" s="12"/>
      <c r="B417" s="236"/>
      <c r="C417" s="236"/>
      <c r="D417" s="405"/>
      <c r="E417" s="236"/>
      <c r="F417" s="236"/>
      <c r="G417" s="236"/>
      <c r="H417" s="406"/>
      <c r="I417" s="236"/>
      <c r="J417" s="236"/>
      <c r="K417" s="236"/>
      <c r="L417" s="236"/>
      <c r="M417" s="236"/>
      <c r="N417" s="236"/>
      <c r="O417" s="236"/>
      <c r="P417" s="236"/>
      <c r="Q417" s="236"/>
      <c r="R417" s="236"/>
      <c r="S417" s="236"/>
      <c r="T417" s="236"/>
      <c r="U417" s="236"/>
      <c r="V417" s="236"/>
      <c r="W417" s="236"/>
      <c r="X417" s="236"/>
      <c r="Y417" s="236"/>
      <c r="Z417" s="236"/>
      <c r="AA417" s="236"/>
      <c r="AB417" s="236"/>
      <c r="AC417" s="236"/>
      <c r="AD417" s="236"/>
      <c r="AE417" s="236"/>
      <c r="AF417" s="236"/>
      <c r="AG417" s="236"/>
      <c r="AH417" s="236"/>
      <c r="AI417" s="236"/>
      <c r="AJ417" s="236"/>
      <c r="AK417" s="236"/>
      <c r="AL417" s="236"/>
      <c r="AM417" s="236"/>
      <c r="AN417" s="236"/>
      <c r="AO417" s="236"/>
      <c r="AP417" s="236"/>
      <c r="AQ417" s="236"/>
      <c r="AR417" s="236"/>
      <c r="AS417" s="236"/>
      <c r="AT417" s="236"/>
      <c r="AU417" s="236"/>
      <c r="AV417" s="12"/>
      <c r="AW417" s="12"/>
      <c r="AX417" s="12"/>
      <c r="AY417" s="12"/>
      <c r="AZ417" s="12"/>
      <c r="BA417" s="12"/>
      <c r="BB417" s="12"/>
    </row>
    <row r="418" spans="1:54" ht="13">
      <c r="A418" s="12"/>
      <c r="B418" s="27"/>
      <c r="C418" s="27"/>
      <c r="D418" s="407"/>
      <c r="E418" s="27"/>
      <c r="F418" s="27"/>
      <c r="G418" s="27"/>
      <c r="H418" s="408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12"/>
      <c r="AW418" s="12"/>
      <c r="AX418" s="12"/>
      <c r="AY418" s="12"/>
      <c r="AZ418" s="12"/>
      <c r="BA418" s="12"/>
      <c r="BB418" s="12"/>
    </row>
    <row r="419" spans="1:54" ht="13">
      <c r="A419" s="12"/>
      <c r="B419" s="236"/>
      <c r="C419" s="236"/>
      <c r="D419" s="405"/>
      <c r="E419" s="236"/>
      <c r="F419" s="236"/>
      <c r="G419" s="236"/>
      <c r="H419" s="406"/>
      <c r="I419" s="236"/>
      <c r="J419" s="236"/>
      <c r="K419" s="236"/>
      <c r="L419" s="236"/>
      <c r="M419" s="236"/>
      <c r="N419" s="236"/>
      <c r="O419" s="236"/>
      <c r="P419" s="236"/>
      <c r="Q419" s="236"/>
      <c r="R419" s="236"/>
      <c r="S419" s="236"/>
      <c r="T419" s="236"/>
      <c r="U419" s="236"/>
      <c r="V419" s="236"/>
      <c r="W419" s="236"/>
      <c r="X419" s="236"/>
      <c r="Y419" s="236"/>
      <c r="Z419" s="236"/>
      <c r="AA419" s="236"/>
      <c r="AB419" s="236"/>
      <c r="AC419" s="236"/>
      <c r="AD419" s="236"/>
      <c r="AE419" s="236"/>
      <c r="AF419" s="236"/>
      <c r="AG419" s="236"/>
      <c r="AH419" s="236"/>
      <c r="AI419" s="236"/>
      <c r="AJ419" s="236"/>
      <c r="AK419" s="236"/>
      <c r="AL419" s="236"/>
      <c r="AM419" s="236"/>
      <c r="AN419" s="236"/>
      <c r="AO419" s="236"/>
      <c r="AP419" s="236"/>
      <c r="AQ419" s="236"/>
      <c r="AR419" s="236"/>
      <c r="AS419" s="236"/>
      <c r="AT419" s="236"/>
      <c r="AU419" s="236"/>
      <c r="AV419" s="12"/>
      <c r="AW419" s="12"/>
      <c r="AX419" s="12"/>
      <c r="AY419" s="12"/>
      <c r="AZ419" s="12"/>
      <c r="BA419" s="12"/>
      <c r="BB419" s="12"/>
    </row>
    <row r="420" spans="1:54" ht="13">
      <c r="A420" s="12"/>
      <c r="B420" s="27"/>
      <c r="C420" s="27"/>
      <c r="D420" s="407"/>
      <c r="E420" s="27"/>
      <c r="F420" s="27"/>
      <c r="G420" s="27"/>
      <c r="H420" s="408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12"/>
      <c r="AW420" s="12"/>
      <c r="AX420" s="12"/>
      <c r="AY420" s="12"/>
      <c r="AZ420" s="12"/>
      <c r="BA420" s="12"/>
      <c r="BB420" s="12"/>
    </row>
    <row r="421" spans="1:54" ht="13">
      <c r="A421" s="12"/>
      <c r="B421" s="236"/>
      <c r="C421" s="236"/>
      <c r="D421" s="405"/>
      <c r="E421" s="236"/>
      <c r="F421" s="236"/>
      <c r="G421" s="236"/>
      <c r="H421" s="406"/>
      <c r="I421" s="236"/>
      <c r="J421" s="236"/>
      <c r="K421" s="236"/>
      <c r="L421" s="236"/>
      <c r="M421" s="236"/>
      <c r="N421" s="236"/>
      <c r="O421" s="236"/>
      <c r="P421" s="236"/>
      <c r="Q421" s="236"/>
      <c r="R421" s="236"/>
      <c r="S421" s="236"/>
      <c r="T421" s="236"/>
      <c r="U421" s="236"/>
      <c r="V421" s="236"/>
      <c r="W421" s="236"/>
      <c r="X421" s="236"/>
      <c r="Y421" s="236"/>
      <c r="Z421" s="236"/>
      <c r="AA421" s="236"/>
      <c r="AB421" s="236"/>
      <c r="AC421" s="236"/>
      <c r="AD421" s="236"/>
      <c r="AE421" s="236"/>
      <c r="AF421" s="236"/>
      <c r="AG421" s="236"/>
      <c r="AH421" s="236"/>
      <c r="AI421" s="236"/>
      <c r="AJ421" s="236"/>
      <c r="AK421" s="236"/>
      <c r="AL421" s="236"/>
      <c r="AM421" s="236"/>
      <c r="AN421" s="236"/>
      <c r="AO421" s="236"/>
      <c r="AP421" s="236"/>
      <c r="AQ421" s="236"/>
      <c r="AR421" s="236"/>
      <c r="AS421" s="236"/>
      <c r="AT421" s="236"/>
      <c r="AU421" s="236"/>
      <c r="AV421" s="12"/>
      <c r="AW421" s="12"/>
      <c r="AX421" s="12"/>
      <c r="AY421" s="12"/>
      <c r="AZ421" s="12"/>
      <c r="BA421" s="12"/>
      <c r="BB421" s="12"/>
    </row>
    <row r="422" spans="1:54" ht="13">
      <c r="A422" s="12"/>
      <c r="B422" s="27"/>
      <c r="C422" s="27"/>
      <c r="D422" s="407"/>
      <c r="E422" s="27"/>
      <c r="F422" s="27"/>
      <c r="G422" s="27"/>
      <c r="H422" s="408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12"/>
      <c r="AW422" s="12"/>
      <c r="AX422" s="12"/>
      <c r="AY422" s="12"/>
      <c r="AZ422" s="12"/>
      <c r="BA422" s="12"/>
      <c r="BB422" s="12"/>
    </row>
    <row r="423" spans="1:54" ht="13">
      <c r="A423" s="12"/>
      <c r="B423" s="236"/>
      <c r="C423" s="236"/>
      <c r="D423" s="405"/>
      <c r="E423" s="236"/>
      <c r="F423" s="236"/>
      <c r="G423" s="236"/>
      <c r="H423" s="406"/>
      <c r="I423" s="236"/>
      <c r="J423" s="236"/>
      <c r="K423" s="236"/>
      <c r="L423" s="236"/>
      <c r="M423" s="236"/>
      <c r="N423" s="236"/>
      <c r="O423" s="236"/>
      <c r="P423" s="236"/>
      <c r="Q423" s="236"/>
      <c r="R423" s="236"/>
      <c r="S423" s="236"/>
      <c r="T423" s="236"/>
      <c r="U423" s="236"/>
      <c r="V423" s="236"/>
      <c r="W423" s="236"/>
      <c r="X423" s="236"/>
      <c r="Y423" s="236"/>
      <c r="Z423" s="236"/>
      <c r="AA423" s="236"/>
      <c r="AB423" s="236"/>
      <c r="AC423" s="236"/>
      <c r="AD423" s="236"/>
      <c r="AE423" s="236"/>
      <c r="AF423" s="236"/>
      <c r="AG423" s="236"/>
      <c r="AH423" s="236"/>
      <c r="AI423" s="236"/>
      <c r="AJ423" s="236"/>
      <c r="AK423" s="236"/>
      <c r="AL423" s="236"/>
      <c r="AM423" s="236"/>
      <c r="AN423" s="236"/>
      <c r="AO423" s="236"/>
      <c r="AP423" s="236"/>
      <c r="AQ423" s="236"/>
      <c r="AR423" s="236"/>
      <c r="AS423" s="236"/>
      <c r="AT423" s="236"/>
      <c r="AU423" s="236"/>
      <c r="AV423" s="12"/>
      <c r="AW423" s="12"/>
      <c r="AX423" s="12"/>
      <c r="AY423" s="12"/>
      <c r="AZ423" s="12"/>
      <c r="BA423" s="12"/>
      <c r="BB423" s="12"/>
    </row>
    <row r="424" spans="1:54" ht="13">
      <c r="A424" s="12"/>
      <c r="B424" s="27"/>
      <c r="C424" s="27"/>
      <c r="D424" s="407"/>
      <c r="E424" s="27"/>
      <c r="F424" s="27"/>
      <c r="G424" s="27"/>
      <c r="H424" s="408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12"/>
      <c r="AW424" s="12"/>
      <c r="AX424" s="12"/>
      <c r="AY424" s="12"/>
      <c r="AZ424" s="12"/>
      <c r="BA424" s="12"/>
      <c r="BB424" s="12"/>
    </row>
    <row r="425" spans="1:54" ht="13">
      <c r="A425" s="12"/>
      <c r="B425" s="236"/>
      <c r="C425" s="236"/>
      <c r="D425" s="405"/>
      <c r="E425" s="236"/>
      <c r="F425" s="236"/>
      <c r="G425" s="236"/>
      <c r="H425" s="406"/>
      <c r="I425" s="236"/>
      <c r="J425" s="236"/>
      <c r="K425" s="236"/>
      <c r="L425" s="236"/>
      <c r="M425" s="236"/>
      <c r="N425" s="236"/>
      <c r="O425" s="236"/>
      <c r="P425" s="236"/>
      <c r="Q425" s="236"/>
      <c r="R425" s="236"/>
      <c r="S425" s="236"/>
      <c r="T425" s="236"/>
      <c r="U425" s="236"/>
      <c r="V425" s="236"/>
      <c r="W425" s="236"/>
      <c r="X425" s="236"/>
      <c r="Y425" s="236"/>
      <c r="Z425" s="236"/>
      <c r="AA425" s="236"/>
      <c r="AB425" s="236"/>
      <c r="AC425" s="236"/>
      <c r="AD425" s="236"/>
      <c r="AE425" s="236"/>
      <c r="AF425" s="236"/>
      <c r="AG425" s="236"/>
      <c r="AH425" s="236"/>
      <c r="AI425" s="236"/>
      <c r="AJ425" s="236"/>
      <c r="AK425" s="236"/>
      <c r="AL425" s="236"/>
      <c r="AM425" s="236"/>
      <c r="AN425" s="236"/>
      <c r="AO425" s="236"/>
      <c r="AP425" s="236"/>
      <c r="AQ425" s="236"/>
      <c r="AR425" s="236"/>
      <c r="AS425" s="236"/>
      <c r="AT425" s="236"/>
      <c r="AU425" s="236"/>
      <c r="AV425" s="12"/>
      <c r="AW425" s="12"/>
      <c r="AX425" s="12"/>
      <c r="AY425" s="12"/>
      <c r="AZ425" s="12"/>
      <c r="BA425" s="12"/>
      <c r="BB425" s="12"/>
    </row>
    <row r="426" spans="1:54" ht="13">
      <c r="A426" s="12"/>
      <c r="B426" s="27"/>
      <c r="C426" s="27"/>
      <c r="D426" s="407"/>
      <c r="E426" s="27"/>
      <c r="F426" s="27"/>
      <c r="G426" s="27"/>
      <c r="H426" s="408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12"/>
      <c r="AW426" s="12"/>
      <c r="AX426" s="12"/>
      <c r="AY426" s="12"/>
      <c r="AZ426" s="12"/>
      <c r="BA426" s="12"/>
      <c r="BB426" s="12"/>
    </row>
    <row r="427" spans="1:54" ht="13">
      <c r="A427" s="12"/>
      <c r="B427" s="236"/>
      <c r="C427" s="236"/>
      <c r="D427" s="405"/>
      <c r="E427" s="236"/>
      <c r="F427" s="236"/>
      <c r="G427" s="236"/>
      <c r="H427" s="406"/>
      <c r="I427" s="236"/>
      <c r="J427" s="236"/>
      <c r="K427" s="236"/>
      <c r="L427" s="236"/>
      <c r="M427" s="236"/>
      <c r="N427" s="236"/>
      <c r="O427" s="236"/>
      <c r="P427" s="236"/>
      <c r="Q427" s="236"/>
      <c r="R427" s="236"/>
      <c r="S427" s="236"/>
      <c r="T427" s="236"/>
      <c r="U427" s="236"/>
      <c r="V427" s="236"/>
      <c r="W427" s="236"/>
      <c r="X427" s="236"/>
      <c r="Y427" s="236"/>
      <c r="Z427" s="236"/>
      <c r="AA427" s="236"/>
      <c r="AB427" s="236"/>
      <c r="AC427" s="236"/>
      <c r="AD427" s="236"/>
      <c r="AE427" s="236"/>
      <c r="AF427" s="236"/>
      <c r="AG427" s="236"/>
      <c r="AH427" s="236"/>
      <c r="AI427" s="236"/>
      <c r="AJ427" s="236"/>
      <c r="AK427" s="236"/>
      <c r="AL427" s="236"/>
      <c r="AM427" s="236"/>
      <c r="AN427" s="236"/>
      <c r="AO427" s="236"/>
      <c r="AP427" s="236"/>
      <c r="AQ427" s="236"/>
      <c r="AR427" s="236"/>
      <c r="AS427" s="236"/>
      <c r="AT427" s="236"/>
      <c r="AU427" s="236"/>
      <c r="AV427" s="12"/>
      <c r="AW427" s="12"/>
      <c r="AX427" s="12"/>
      <c r="AY427" s="12"/>
      <c r="AZ427" s="12"/>
      <c r="BA427" s="12"/>
      <c r="BB427" s="12"/>
    </row>
    <row r="428" spans="1:54" ht="13">
      <c r="A428" s="12"/>
      <c r="B428" s="27"/>
      <c r="C428" s="27"/>
      <c r="D428" s="407"/>
      <c r="E428" s="27"/>
      <c r="F428" s="27"/>
      <c r="G428" s="27"/>
      <c r="H428" s="408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12"/>
      <c r="AW428" s="12"/>
      <c r="AX428" s="12"/>
      <c r="AY428" s="12"/>
      <c r="AZ428" s="12"/>
      <c r="BA428" s="12"/>
      <c r="BB428" s="12"/>
    </row>
    <row r="429" spans="1:54" ht="13">
      <c r="A429" s="12"/>
      <c r="B429" s="236"/>
      <c r="C429" s="236"/>
      <c r="D429" s="405"/>
      <c r="E429" s="236"/>
      <c r="F429" s="236"/>
      <c r="G429" s="236"/>
      <c r="H429" s="406"/>
      <c r="I429" s="236"/>
      <c r="J429" s="236"/>
      <c r="K429" s="236"/>
      <c r="L429" s="236"/>
      <c r="M429" s="236"/>
      <c r="N429" s="236"/>
      <c r="O429" s="236"/>
      <c r="P429" s="236"/>
      <c r="Q429" s="236"/>
      <c r="R429" s="236"/>
      <c r="S429" s="236"/>
      <c r="T429" s="236"/>
      <c r="U429" s="236"/>
      <c r="V429" s="236"/>
      <c r="W429" s="236"/>
      <c r="X429" s="236"/>
      <c r="Y429" s="236"/>
      <c r="Z429" s="236"/>
      <c r="AA429" s="236"/>
      <c r="AB429" s="236"/>
      <c r="AC429" s="236"/>
      <c r="AD429" s="236"/>
      <c r="AE429" s="236"/>
      <c r="AF429" s="236"/>
      <c r="AG429" s="236"/>
      <c r="AH429" s="236"/>
      <c r="AI429" s="236"/>
      <c r="AJ429" s="236"/>
      <c r="AK429" s="236"/>
      <c r="AL429" s="236"/>
      <c r="AM429" s="236"/>
      <c r="AN429" s="236"/>
      <c r="AO429" s="236"/>
      <c r="AP429" s="236"/>
      <c r="AQ429" s="236"/>
      <c r="AR429" s="236"/>
      <c r="AS429" s="236"/>
      <c r="AT429" s="236"/>
      <c r="AU429" s="236"/>
      <c r="AV429" s="12"/>
      <c r="AW429" s="12"/>
      <c r="AX429" s="12"/>
      <c r="AY429" s="12"/>
      <c r="AZ429" s="12"/>
      <c r="BA429" s="12"/>
      <c r="BB429" s="12"/>
    </row>
    <row r="430" spans="1:54" ht="13">
      <c r="A430" s="12"/>
      <c r="B430" s="27"/>
      <c r="C430" s="27"/>
      <c r="D430" s="407"/>
      <c r="E430" s="27"/>
      <c r="F430" s="27"/>
      <c r="G430" s="27"/>
      <c r="H430" s="408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12"/>
      <c r="AW430" s="12"/>
      <c r="AX430" s="12"/>
      <c r="AY430" s="12"/>
      <c r="AZ430" s="12"/>
      <c r="BA430" s="12"/>
      <c r="BB430" s="12"/>
    </row>
    <row r="431" spans="1:54" ht="13">
      <c r="A431" s="12"/>
      <c r="B431" s="236"/>
      <c r="C431" s="236"/>
      <c r="D431" s="405"/>
      <c r="E431" s="236"/>
      <c r="F431" s="236"/>
      <c r="G431" s="236"/>
      <c r="H431" s="406"/>
      <c r="I431" s="236"/>
      <c r="J431" s="236"/>
      <c r="K431" s="236"/>
      <c r="L431" s="236"/>
      <c r="M431" s="236"/>
      <c r="N431" s="236"/>
      <c r="O431" s="236"/>
      <c r="P431" s="236"/>
      <c r="Q431" s="236"/>
      <c r="R431" s="236"/>
      <c r="S431" s="236"/>
      <c r="T431" s="236"/>
      <c r="U431" s="236"/>
      <c r="V431" s="236"/>
      <c r="W431" s="236"/>
      <c r="X431" s="236"/>
      <c r="Y431" s="236"/>
      <c r="Z431" s="236"/>
      <c r="AA431" s="236"/>
      <c r="AB431" s="236"/>
      <c r="AC431" s="236"/>
      <c r="AD431" s="236"/>
      <c r="AE431" s="236"/>
      <c r="AF431" s="236"/>
      <c r="AG431" s="236"/>
      <c r="AH431" s="236"/>
      <c r="AI431" s="236"/>
      <c r="AJ431" s="236"/>
      <c r="AK431" s="236"/>
      <c r="AL431" s="236"/>
      <c r="AM431" s="236"/>
      <c r="AN431" s="236"/>
      <c r="AO431" s="236"/>
      <c r="AP431" s="236"/>
      <c r="AQ431" s="236"/>
      <c r="AR431" s="236"/>
      <c r="AS431" s="236"/>
      <c r="AT431" s="236"/>
      <c r="AU431" s="236"/>
      <c r="AV431" s="12"/>
      <c r="AW431" s="12"/>
      <c r="AX431" s="12"/>
      <c r="AY431" s="12"/>
      <c r="AZ431" s="12"/>
      <c r="BA431" s="12"/>
      <c r="BB431" s="12"/>
    </row>
    <row r="432" spans="1:54" ht="13">
      <c r="A432" s="12"/>
      <c r="B432" s="27"/>
      <c r="C432" s="27"/>
      <c r="D432" s="407"/>
      <c r="E432" s="27"/>
      <c r="F432" s="27"/>
      <c r="G432" s="27"/>
      <c r="H432" s="408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12"/>
      <c r="AW432" s="12"/>
      <c r="AX432" s="12"/>
      <c r="AY432" s="12"/>
      <c r="AZ432" s="12"/>
      <c r="BA432" s="12"/>
      <c r="BB432" s="12"/>
    </row>
    <row r="433" spans="1:54" ht="13">
      <c r="A433" s="12"/>
      <c r="B433" s="236"/>
      <c r="C433" s="236"/>
      <c r="D433" s="405"/>
      <c r="E433" s="236"/>
      <c r="F433" s="236"/>
      <c r="G433" s="236"/>
      <c r="H433" s="406"/>
      <c r="I433" s="236"/>
      <c r="J433" s="236"/>
      <c r="K433" s="236"/>
      <c r="L433" s="236"/>
      <c r="M433" s="236"/>
      <c r="N433" s="236"/>
      <c r="O433" s="236"/>
      <c r="P433" s="236"/>
      <c r="Q433" s="236"/>
      <c r="R433" s="236"/>
      <c r="S433" s="236"/>
      <c r="T433" s="236"/>
      <c r="U433" s="236"/>
      <c r="V433" s="236"/>
      <c r="W433" s="236"/>
      <c r="X433" s="236"/>
      <c r="Y433" s="236"/>
      <c r="Z433" s="236"/>
      <c r="AA433" s="236"/>
      <c r="AB433" s="236"/>
      <c r="AC433" s="236"/>
      <c r="AD433" s="236"/>
      <c r="AE433" s="236"/>
      <c r="AF433" s="236"/>
      <c r="AG433" s="236"/>
      <c r="AH433" s="236"/>
      <c r="AI433" s="236"/>
      <c r="AJ433" s="236"/>
      <c r="AK433" s="236"/>
      <c r="AL433" s="236"/>
      <c r="AM433" s="236"/>
      <c r="AN433" s="236"/>
      <c r="AO433" s="236"/>
      <c r="AP433" s="236"/>
      <c r="AQ433" s="236"/>
      <c r="AR433" s="236"/>
      <c r="AS433" s="236"/>
      <c r="AT433" s="236"/>
      <c r="AU433" s="236"/>
      <c r="AV433" s="12"/>
      <c r="AW433" s="12"/>
      <c r="AX433" s="12"/>
      <c r="AY433" s="12"/>
      <c r="AZ433" s="12"/>
      <c r="BA433" s="12"/>
      <c r="BB433" s="12"/>
    </row>
    <row r="434" spans="1:54" ht="13">
      <c r="A434" s="12"/>
      <c r="B434" s="27"/>
      <c r="C434" s="27"/>
      <c r="D434" s="407"/>
      <c r="E434" s="27"/>
      <c r="F434" s="27"/>
      <c r="G434" s="27"/>
      <c r="H434" s="408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12"/>
      <c r="AW434" s="12"/>
      <c r="AX434" s="12"/>
      <c r="AY434" s="12"/>
      <c r="AZ434" s="12"/>
      <c r="BA434" s="12"/>
      <c r="BB434" s="12"/>
    </row>
    <row r="435" spans="1:54" ht="13">
      <c r="A435" s="12"/>
      <c r="B435" s="236"/>
      <c r="C435" s="236"/>
      <c r="D435" s="405"/>
      <c r="E435" s="236"/>
      <c r="F435" s="236"/>
      <c r="G435" s="236"/>
      <c r="H435" s="406"/>
      <c r="I435" s="236"/>
      <c r="J435" s="236"/>
      <c r="K435" s="236"/>
      <c r="L435" s="236"/>
      <c r="M435" s="236"/>
      <c r="N435" s="236"/>
      <c r="O435" s="236"/>
      <c r="P435" s="236"/>
      <c r="Q435" s="236"/>
      <c r="R435" s="236"/>
      <c r="S435" s="236"/>
      <c r="T435" s="236"/>
      <c r="U435" s="236"/>
      <c r="V435" s="236"/>
      <c r="W435" s="236"/>
      <c r="X435" s="236"/>
      <c r="Y435" s="236"/>
      <c r="Z435" s="236"/>
      <c r="AA435" s="236"/>
      <c r="AB435" s="236"/>
      <c r="AC435" s="236"/>
      <c r="AD435" s="236"/>
      <c r="AE435" s="236"/>
      <c r="AF435" s="236"/>
      <c r="AG435" s="236"/>
      <c r="AH435" s="236"/>
      <c r="AI435" s="236"/>
      <c r="AJ435" s="236"/>
      <c r="AK435" s="236"/>
      <c r="AL435" s="236"/>
      <c r="AM435" s="236"/>
      <c r="AN435" s="236"/>
      <c r="AO435" s="236"/>
      <c r="AP435" s="236"/>
      <c r="AQ435" s="236"/>
      <c r="AR435" s="236"/>
      <c r="AS435" s="236"/>
      <c r="AT435" s="236"/>
      <c r="AU435" s="236"/>
      <c r="AV435" s="12"/>
      <c r="AW435" s="12"/>
      <c r="AX435" s="12"/>
      <c r="AY435" s="12"/>
      <c r="AZ435" s="12"/>
      <c r="BA435" s="12"/>
      <c r="BB435" s="12"/>
    </row>
    <row r="436" spans="1:54" ht="13">
      <c r="A436" s="12"/>
      <c r="B436" s="27"/>
      <c r="C436" s="27"/>
      <c r="D436" s="407"/>
      <c r="E436" s="27"/>
      <c r="F436" s="27"/>
      <c r="G436" s="27"/>
      <c r="H436" s="408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12"/>
      <c r="AW436" s="12"/>
      <c r="AX436" s="12"/>
      <c r="AY436" s="12"/>
      <c r="AZ436" s="12"/>
      <c r="BA436" s="12"/>
      <c r="BB436" s="12"/>
    </row>
    <row r="437" spans="1:54" ht="13">
      <c r="A437" s="12"/>
      <c r="B437" s="236"/>
      <c r="C437" s="236"/>
      <c r="D437" s="405"/>
      <c r="E437" s="236"/>
      <c r="F437" s="236"/>
      <c r="G437" s="236"/>
      <c r="H437" s="406"/>
      <c r="I437" s="236"/>
      <c r="J437" s="236"/>
      <c r="K437" s="236"/>
      <c r="L437" s="236"/>
      <c r="M437" s="236"/>
      <c r="N437" s="236"/>
      <c r="O437" s="236"/>
      <c r="P437" s="236"/>
      <c r="Q437" s="236"/>
      <c r="R437" s="236"/>
      <c r="S437" s="236"/>
      <c r="T437" s="236"/>
      <c r="U437" s="236"/>
      <c r="V437" s="236"/>
      <c r="W437" s="236"/>
      <c r="X437" s="236"/>
      <c r="Y437" s="236"/>
      <c r="Z437" s="236"/>
      <c r="AA437" s="236"/>
      <c r="AB437" s="236"/>
      <c r="AC437" s="236"/>
      <c r="AD437" s="236"/>
      <c r="AE437" s="236"/>
      <c r="AF437" s="236"/>
      <c r="AG437" s="236"/>
      <c r="AH437" s="236"/>
      <c r="AI437" s="236"/>
      <c r="AJ437" s="236"/>
      <c r="AK437" s="236"/>
      <c r="AL437" s="236"/>
      <c r="AM437" s="236"/>
      <c r="AN437" s="236"/>
      <c r="AO437" s="236"/>
      <c r="AP437" s="236"/>
      <c r="AQ437" s="236"/>
      <c r="AR437" s="236"/>
      <c r="AS437" s="236"/>
      <c r="AT437" s="236"/>
      <c r="AU437" s="236"/>
      <c r="AV437" s="12"/>
      <c r="AW437" s="12"/>
      <c r="AX437" s="12"/>
      <c r="AY437" s="12"/>
      <c r="AZ437" s="12"/>
      <c r="BA437" s="12"/>
      <c r="BB437" s="12"/>
    </row>
    <row r="438" spans="1:54" ht="13">
      <c r="A438" s="12"/>
      <c r="B438" s="27"/>
      <c r="C438" s="27"/>
      <c r="D438" s="407"/>
      <c r="E438" s="27"/>
      <c r="F438" s="27"/>
      <c r="G438" s="27"/>
      <c r="H438" s="408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12"/>
      <c r="AW438" s="12"/>
      <c r="AX438" s="12"/>
      <c r="AY438" s="12"/>
      <c r="AZ438" s="12"/>
      <c r="BA438" s="12"/>
      <c r="BB438" s="12"/>
    </row>
    <row r="439" spans="1:54" ht="13">
      <c r="A439" s="12"/>
      <c r="B439" s="236"/>
      <c r="C439" s="236"/>
      <c r="D439" s="405"/>
      <c r="E439" s="236"/>
      <c r="F439" s="236"/>
      <c r="G439" s="236"/>
      <c r="H439" s="406"/>
      <c r="I439" s="236"/>
      <c r="J439" s="236"/>
      <c r="K439" s="236"/>
      <c r="L439" s="236"/>
      <c r="M439" s="236"/>
      <c r="N439" s="236"/>
      <c r="O439" s="236"/>
      <c r="P439" s="236"/>
      <c r="Q439" s="236"/>
      <c r="R439" s="236"/>
      <c r="S439" s="236"/>
      <c r="T439" s="236"/>
      <c r="U439" s="236"/>
      <c r="V439" s="236"/>
      <c r="W439" s="236"/>
      <c r="X439" s="236"/>
      <c r="Y439" s="236"/>
      <c r="Z439" s="236"/>
      <c r="AA439" s="236"/>
      <c r="AB439" s="236"/>
      <c r="AC439" s="236"/>
      <c r="AD439" s="236"/>
      <c r="AE439" s="236"/>
      <c r="AF439" s="236"/>
      <c r="AG439" s="236"/>
      <c r="AH439" s="236"/>
      <c r="AI439" s="236"/>
      <c r="AJ439" s="236"/>
      <c r="AK439" s="236"/>
      <c r="AL439" s="236"/>
      <c r="AM439" s="236"/>
      <c r="AN439" s="236"/>
      <c r="AO439" s="236"/>
      <c r="AP439" s="236"/>
      <c r="AQ439" s="236"/>
      <c r="AR439" s="236"/>
      <c r="AS439" s="236"/>
      <c r="AT439" s="236"/>
      <c r="AU439" s="236"/>
      <c r="AV439" s="12"/>
      <c r="AW439" s="12"/>
      <c r="AX439" s="12"/>
      <c r="AY439" s="12"/>
      <c r="AZ439" s="12"/>
      <c r="BA439" s="12"/>
      <c r="BB439" s="12"/>
    </row>
    <row r="440" spans="1:54" ht="13">
      <c r="A440" s="12"/>
      <c r="B440" s="27"/>
      <c r="C440" s="27"/>
      <c r="D440" s="407"/>
      <c r="E440" s="27"/>
      <c r="F440" s="27"/>
      <c r="G440" s="27"/>
      <c r="H440" s="408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12"/>
      <c r="AW440" s="12"/>
      <c r="AX440" s="12"/>
      <c r="AY440" s="12"/>
      <c r="AZ440" s="12"/>
      <c r="BA440" s="12"/>
      <c r="BB440" s="12"/>
    </row>
    <row r="441" spans="1:54" ht="13">
      <c r="A441" s="12"/>
      <c r="B441" s="236"/>
      <c r="C441" s="236"/>
      <c r="D441" s="405"/>
      <c r="E441" s="236"/>
      <c r="F441" s="236"/>
      <c r="G441" s="236"/>
      <c r="H441" s="406"/>
      <c r="I441" s="236"/>
      <c r="J441" s="236"/>
      <c r="K441" s="236"/>
      <c r="L441" s="236"/>
      <c r="M441" s="236"/>
      <c r="N441" s="236"/>
      <c r="O441" s="236"/>
      <c r="P441" s="236"/>
      <c r="Q441" s="236"/>
      <c r="R441" s="236"/>
      <c r="S441" s="236"/>
      <c r="T441" s="236"/>
      <c r="U441" s="236"/>
      <c r="V441" s="236"/>
      <c r="W441" s="236"/>
      <c r="X441" s="236"/>
      <c r="Y441" s="236"/>
      <c r="Z441" s="236"/>
      <c r="AA441" s="236"/>
      <c r="AB441" s="236"/>
      <c r="AC441" s="236"/>
      <c r="AD441" s="236"/>
      <c r="AE441" s="236"/>
      <c r="AF441" s="236"/>
      <c r="AG441" s="236"/>
      <c r="AH441" s="236"/>
      <c r="AI441" s="236"/>
      <c r="AJ441" s="236"/>
      <c r="AK441" s="236"/>
      <c r="AL441" s="236"/>
      <c r="AM441" s="236"/>
      <c r="AN441" s="236"/>
      <c r="AO441" s="236"/>
      <c r="AP441" s="236"/>
      <c r="AQ441" s="236"/>
      <c r="AR441" s="236"/>
      <c r="AS441" s="236"/>
      <c r="AT441" s="236"/>
      <c r="AU441" s="236"/>
      <c r="AV441" s="12"/>
      <c r="AW441" s="12"/>
      <c r="AX441" s="12"/>
      <c r="AY441" s="12"/>
      <c r="AZ441" s="12"/>
      <c r="BA441" s="12"/>
      <c r="BB441" s="12"/>
    </row>
    <row r="442" spans="1:54" ht="13">
      <c r="A442" s="12"/>
      <c r="B442" s="27"/>
      <c r="C442" s="27"/>
      <c r="D442" s="407"/>
      <c r="E442" s="27"/>
      <c r="F442" s="27"/>
      <c r="G442" s="27"/>
      <c r="H442" s="408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12"/>
      <c r="AW442" s="12"/>
      <c r="AX442" s="12"/>
      <c r="AY442" s="12"/>
      <c r="AZ442" s="12"/>
      <c r="BA442" s="12"/>
      <c r="BB442" s="12"/>
    </row>
    <row r="443" spans="1:54" ht="13">
      <c r="A443" s="12"/>
      <c r="B443" s="236"/>
      <c r="C443" s="236"/>
      <c r="D443" s="405"/>
      <c r="E443" s="236"/>
      <c r="F443" s="236"/>
      <c r="G443" s="236"/>
      <c r="H443" s="406"/>
      <c r="I443" s="236"/>
      <c r="J443" s="236"/>
      <c r="K443" s="236"/>
      <c r="L443" s="236"/>
      <c r="M443" s="236"/>
      <c r="N443" s="236"/>
      <c r="O443" s="236"/>
      <c r="P443" s="236"/>
      <c r="Q443" s="236"/>
      <c r="R443" s="236"/>
      <c r="S443" s="236"/>
      <c r="T443" s="236"/>
      <c r="U443" s="236"/>
      <c r="V443" s="236"/>
      <c r="W443" s="236"/>
      <c r="X443" s="236"/>
      <c r="Y443" s="236"/>
      <c r="Z443" s="236"/>
      <c r="AA443" s="236"/>
      <c r="AB443" s="236"/>
      <c r="AC443" s="236"/>
      <c r="AD443" s="236"/>
      <c r="AE443" s="236"/>
      <c r="AF443" s="236"/>
      <c r="AG443" s="236"/>
      <c r="AH443" s="236"/>
      <c r="AI443" s="236"/>
      <c r="AJ443" s="236"/>
      <c r="AK443" s="236"/>
      <c r="AL443" s="236"/>
      <c r="AM443" s="236"/>
      <c r="AN443" s="236"/>
      <c r="AO443" s="236"/>
      <c r="AP443" s="236"/>
      <c r="AQ443" s="236"/>
      <c r="AR443" s="236"/>
      <c r="AS443" s="236"/>
      <c r="AT443" s="236"/>
      <c r="AU443" s="236"/>
      <c r="AV443" s="12"/>
      <c r="AW443" s="12"/>
      <c r="AX443" s="12"/>
      <c r="AY443" s="12"/>
      <c r="AZ443" s="12"/>
      <c r="BA443" s="12"/>
      <c r="BB443" s="12"/>
    </row>
    <row r="444" spans="1:54" ht="13">
      <c r="A444" s="12"/>
      <c r="B444" s="27"/>
      <c r="C444" s="27"/>
      <c r="D444" s="407"/>
      <c r="E444" s="27"/>
      <c r="F444" s="27"/>
      <c r="G444" s="27"/>
      <c r="H444" s="408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12"/>
      <c r="AW444" s="12"/>
      <c r="AX444" s="12"/>
      <c r="AY444" s="12"/>
      <c r="AZ444" s="12"/>
      <c r="BA444" s="12"/>
      <c r="BB444" s="12"/>
    </row>
    <row r="445" spans="1:54" ht="13">
      <c r="A445" s="12"/>
      <c r="B445" s="236"/>
      <c r="C445" s="236"/>
      <c r="D445" s="405"/>
      <c r="E445" s="236"/>
      <c r="F445" s="236"/>
      <c r="G445" s="236"/>
      <c r="H445" s="406"/>
      <c r="I445" s="236"/>
      <c r="J445" s="236"/>
      <c r="K445" s="236"/>
      <c r="L445" s="236"/>
      <c r="M445" s="236"/>
      <c r="N445" s="236"/>
      <c r="O445" s="236"/>
      <c r="P445" s="236"/>
      <c r="Q445" s="236"/>
      <c r="R445" s="236"/>
      <c r="S445" s="236"/>
      <c r="T445" s="236"/>
      <c r="U445" s="236"/>
      <c r="V445" s="236"/>
      <c r="W445" s="236"/>
      <c r="X445" s="236"/>
      <c r="Y445" s="236"/>
      <c r="Z445" s="236"/>
      <c r="AA445" s="236"/>
      <c r="AB445" s="236"/>
      <c r="AC445" s="236"/>
      <c r="AD445" s="236"/>
      <c r="AE445" s="236"/>
      <c r="AF445" s="236"/>
      <c r="AG445" s="236"/>
      <c r="AH445" s="236"/>
      <c r="AI445" s="236"/>
      <c r="AJ445" s="236"/>
      <c r="AK445" s="236"/>
      <c r="AL445" s="236"/>
      <c r="AM445" s="236"/>
      <c r="AN445" s="236"/>
      <c r="AO445" s="236"/>
      <c r="AP445" s="236"/>
      <c r="AQ445" s="236"/>
      <c r="AR445" s="236"/>
      <c r="AS445" s="236"/>
      <c r="AT445" s="236"/>
      <c r="AU445" s="236"/>
      <c r="AV445" s="12"/>
      <c r="AW445" s="12"/>
      <c r="AX445" s="12"/>
      <c r="AY445" s="12"/>
      <c r="AZ445" s="12"/>
      <c r="BA445" s="12"/>
      <c r="BB445" s="12"/>
    </row>
    <row r="446" spans="1:54" ht="13">
      <c r="A446" s="12"/>
      <c r="B446" s="27"/>
      <c r="C446" s="27"/>
      <c r="D446" s="407"/>
      <c r="E446" s="27"/>
      <c r="F446" s="27"/>
      <c r="G446" s="27"/>
      <c r="H446" s="408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12"/>
      <c r="AW446" s="12"/>
      <c r="AX446" s="12"/>
      <c r="AY446" s="12"/>
      <c r="AZ446" s="12"/>
      <c r="BA446" s="12"/>
      <c r="BB446" s="12"/>
    </row>
    <row r="447" spans="1:54" ht="13">
      <c r="A447" s="12"/>
      <c r="B447" s="236"/>
      <c r="C447" s="236"/>
      <c r="D447" s="405"/>
      <c r="E447" s="236"/>
      <c r="F447" s="236"/>
      <c r="G447" s="236"/>
      <c r="H447" s="406"/>
      <c r="I447" s="236"/>
      <c r="J447" s="236"/>
      <c r="K447" s="236"/>
      <c r="L447" s="236"/>
      <c r="M447" s="236"/>
      <c r="N447" s="236"/>
      <c r="O447" s="236"/>
      <c r="P447" s="236"/>
      <c r="Q447" s="236"/>
      <c r="R447" s="236"/>
      <c r="S447" s="236"/>
      <c r="T447" s="236"/>
      <c r="U447" s="236"/>
      <c r="V447" s="236"/>
      <c r="W447" s="236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236"/>
      <c r="AH447" s="236"/>
      <c r="AI447" s="236"/>
      <c r="AJ447" s="236"/>
      <c r="AK447" s="236"/>
      <c r="AL447" s="236"/>
      <c r="AM447" s="236"/>
      <c r="AN447" s="236"/>
      <c r="AO447" s="236"/>
      <c r="AP447" s="236"/>
      <c r="AQ447" s="236"/>
      <c r="AR447" s="236"/>
      <c r="AS447" s="236"/>
      <c r="AT447" s="236"/>
      <c r="AU447" s="236"/>
      <c r="AV447" s="12"/>
      <c r="AW447" s="12"/>
      <c r="AX447" s="12"/>
      <c r="AY447" s="12"/>
      <c r="AZ447" s="12"/>
      <c r="BA447" s="12"/>
      <c r="BB447" s="12"/>
    </row>
    <row r="448" spans="1:54" ht="13">
      <c r="A448" s="12"/>
      <c r="B448" s="27"/>
      <c r="C448" s="27"/>
      <c r="D448" s="407"/>
      <c r="E448" s="27"/>
      <c r="F448" s="27"/>
      <c r="G448" s="27"/>
      <c r="H448" s="408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12"/>
      <c r="AW448" s="12"/>
      <c r="AX448" s="12"/>
      <c r="AY448" s="12"/>
      <c r="AZ448" s="12"/>
      <c r="BA448" s="12"/>
      <c r="BB448" s="12"/>
    </row>
    <row r="449" spans="1:54" ht="13">
      <c r="A449" s="12"/>
      <c r="B449" s="236"/>
      <c r="C449" s="236"/>
      <c r="D449" s="405"/>
      <c r="E449" s="236"/>
      <c r="F449" s="236"/>
      <c r="G449" s="236"/>
      <c r="H449" s="406"/>
      <c r="I449" s="236"/>
      <c r="J449" s="236"/>
      <c r="K449" s="236"/>
      <c r="L449" s="236"/>
      <c r="M449" s="236"/>
      <c r="N449" s="236"/>
      <c r="O449" s="236"/>
      <c r="P449" s="236"/>
      <c r="Q449" s="236"/>
      <c r="R449" s="236"/>
      <c r="S449" s="236"/>
      <c r="T449" s="236"/>
      <c r="U449" s="236"/>
      <c r="V449" s="236"/>
      <c r="W449" s="236"/>
      <c r="X449" s="236"/>
      <c r="Y449" s="236"/>
      <c r="Z449" s="236"/>
      <c r="AA449" s="236"/>
      <c r="AB449" s="236"/>
      <c r="AC449" s="236"/>
      <c r="AD449" s="236"/>
      <c r="AE449" s="236"/>
      <c r="AF449" s="236"/>
      <c r="AG449" s="236"/>
      <c r="AH449" s="236"/>
      <c r="AI449" s="236"/>
      <c r="AJ449" s="236"/>
      <c r="AK449" s="236"/>
      <c r="AL449" s="236"/>
      <c r="AM449" s="236"/>
      <c r="AN449" s="236"/>
      <c r="AO449" s="236"/>
      <c r="AP449" s="236"/>
      <c r="AQ449" s="236"/>
      <c r="AR449" s="236"/>
      <c r="AS449" s="236"/>
      <c r="AT449" s="236"/>
      <c r="AU449" s="236"/>
      <c r="AV449" s="12"/>
      <c r="AW449" s="12"/>
      <c r="AX449" s="12"/>
      <c r="AY449" s="12"/>
      <c r="AZ449" s="12"/>
      <c r="BA449" s="12"/>
      <c r="BB449" s="12"/>
    </row>
    <row r="450" spans="1:54" ht="13">
      <c r="A450" s="12"/>
      <c r="B450" s="27"/>
      <c r="C450" s="27"/>
      <c r="D450" s="407"/>
      <c r="E450" s="27"/>
      <c r="F450" s="27"/>
      <c r="G450" s="27"/>
      <c r="H450" s="408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12"/>
      <c r="AW450" s="12"/>
      <c r="AX450" s="12"/>
      <c r="AY450" s="12"/>
      <c r="AZ450" s="12"/>
      <c r="BA450" s="12"/>
      <c r="BB450" s="12"/>
    </row>
    <row r="451" spans="1:54" ht="13">
      <c r="A451" s="12"/>
      <c r="B451" s="236"/>
      <c r="C451" s="236"/>
      <c r="D451" s="405"/>
      <c r="E451" s="236"/>
      <c r="F451" s="236"/>
      <c r="G451" s="236"/>
      <c r="H451" s="406"/>
      <c r="I451" s="236"/>
      <c r="J451" s="236"/>
      <c r="K451" s="236"/>
      <c r="L451" s="236"/>
      <c r="M451" s="236"/>
      <c r="N451" s="236"/>
      <c r="O451" s="236"/>
      <c r="P451" s="236"/>
      <c r="Q451" s="236"/>
      <c r="R451" s="236"/>
      <c r="S451" s="236"/>
      <c r="T451" s="236"/>
      <c r="U451" s="236"/>
      <c r="V451" s="236"/>
      <c r="W451" s="236"/>
      <c r="X451" s="236"/>
      <c r="Y451" s="236"/>
      <c r="Z451" s="236"/>
      <c r="AA451" s="236"/>
      <c r="AB451" s="236"/>
      <c r="AC451" s="236"/>
      <c r="AD451" s="236"/>
      <c r="AE451" s="236"/>
      <c r="AF451" s="236"/>
      <c r="AG451" s="236"/>
      <c r="AH451" s="236"/>
      <c r="AI451" s="236"/>
      <c r="AJ451" s="236"/>
      <c r="AK451" s="236"/>
      <c r="AL451" s="236"/>
      <c r="AM451" s="236"/>
      <c r="AN451" s="236"/>
      <c r="AO451" s="236"/>
      <c r="AP451" s="236"/>
      <c r="AQ451" s="236"/>
      <c r="AR451" s="236"/>
      <c r="AS451" s="236"/>
      <c r="AT451" s="236"/>
      <c r="AU451" s="236"/>
      <c r="AV451" s="12"/>
      <c r="AW451" s="12"/>
      <c r="AX451" s="12"/>
      <c r="AY451" s="12"/>
      <c r="AZ451" s="12"/>
      <c r="BA451" s="12"/>
      <c r="BB451" s="12"/>
    </row>
    <row r="452" spans="1:54" ht="13">
      <c r="A452" s="12"/>
      <c r="B452" s="27"/>
      <c r="C452" s="27"/>
      <c r="D452" s="407"/>
      <c r="E452" s="27"/>
      <c r="F452" s="27"/>
      <c r="G452" s="27"/>
      <c r="H452" s="408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12"/>
      <c r="AW452" s="12"/>
      <c r="AX452" s="12"/>
      <c r="AY452" s="12"/>
      <c r="AZ452" s="12"/>
      <c r="BA452" s="12"/>
      <c r="BB452" s="12"/>
    </row>
    <row r="453" spans="1:54" ht="13">
      <c r="A453" s="12"/>
      <c r="B453" s="236"/>
      <c r="C453" s="236"/>
      <c r="D453" s="405"/>
      <c r="E453" s="236"/>
      <c r="F453" s="236"/>
      <c r="G453" s="236"/>
      <c r="H453" s="406"/>
      <c r="I453" s="236"/>
      <c r="J453" s="236"/>
      <c r="K453" s="236"/>
      <c r="L453" s="236"/>
      <c r="M453" s="236"/>
      <c r="N453" s="236"/>
      <c r="O453" s="236"/>
      <c r="P453" s="236"/>
      <c r="Q453" s="236"/>
      <c r="R453" s="236"/>
      <c r="S453" s="236"/>
      <c r="T453" s="236"/>
      <c r="U453" s="236"/>
      <c r="V453" s="236"/>
      <c r="W453" s="236"/>
      <c r="X453" s="236"/>
      <c r="Y453" s="236"/>
      <c r="Z453" s="236"/>
      <c r="AA453" s="236"/>
      <c r="AB453" s="236"/>
      <c r="AC453" s="236"/>
      <c r="AD453" s="236"/>
      <c r="AE453" s="236"/>
      <c r="AF453" s="236"/>
      <c r="AG453" s="236"/>
      <c r="AH453" s="236"/>
      <c r="AI453" s="236"/>
      <c r="AJ453" s="236"/>
      <c r="AK453" s="236"/>
      <c r="AL453" s="236"/>
      <c r="AM453" s="236"/>
      <c r="AN453" s="236"/>
      <c r="AO453" s="236"/>
      <c r="AP453" s="236"/>
      <c r="AQ453" s="236"/>
      <c r="AR453" s="236"/>
      <c r="AS453" s="236"/>
      <c r="AT453" s="236"/>
      <c r="AU453" s="236"/>
      <c r="AV453" s="12"/>
      <c r="AW453" s="12"/>
      <c r="AX453" s="12"/>
      <c r="AY453" s="12"/>
      <c r="AZ453" s="12"/>
      <c r="BA453" s="12"/>
      <c r="BB453" s="12"/>
    </row>
    <row r="454" spans="1:54" ht="13">
      <c r="A454" s="12"/>
      <c r="B454" s="27"/>
      <c r="C454" s="27"/>
      <c r="D454" s="407"/>
      <c r="E454" s="27"/>
      <c r="F454" s="27"/>
      <c r="G454" s="27"/>
      <c r="H454" s="408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12"/>
      <c r="AW454" s="12"/>
      <c r="AX454" s="12"/>
      <c r="AY454" s="12"/>
      <c r="AZ454" s="12"/>
      <c r="BA454" s="12"/>
      <c r="BB454" s="12"/>
    </row>
    <row r="455" spans="1:54" ht="13">
      <c r="A455" s="12"/>
      <c r="B455" s="236"/>
      <c r="C455" s="236"/>
      <c r="D455" s="405"/>
      <c r="E455" s="236"/>
      <c r="F455" s="236"/>
      <c r="G455" s="236"/>
      <c r="H455" s="406"/>
      <c r="I455" s="236"/>
      <c r="J455" s="236"/>
      <c r="K455" s="236"/>
      <c r="L455" s="236"/>
      <c r="M455" s="236"/>
      <c r="N455" s="236"/>
      <c r="O455" s="236"/>
      <c r="P455" s="236"/>
      <c r="Q455" s="236"/>
      <c r="R455" s="236"/>
      <c r="S455" s="236"/>
      <c r="T455" s="236"/>
      <c r="U455" s="236"/>
      <c r="V455" s="236"/>
      <c r="W455" s="236"/>
      <c r="X455" s="236"/>
      <c r="Y455" s="236"/>
      <c r="Z455" s="236"/>
      <c r="AA455" s="236"/>
      <c r="AB455" s="236"/>
      <c r="AC455" s="236"/>
      <c r="AD455" s="236"/>
      <c r="AE455" s="236"/>
      <c r="AF455" s="236"/>
      <c r="AG455" s="236"/>
      <c r="AH455" s="236"/>
      <c r="AI455" s="236"/>
      <c r="AJ455" s="236"/>
      <c r="AK455" s="236"/>
      <c r="AL455" s="236"/>
      <c r="AM455" s="236"/>
      <c r="AN455" s="236"/>
      <c r="AO455" s="236"/>
      <c r="AP455" s="236"/>
      <c r="AQ455" s="236"/>
      <c r="AR455" s="236"/>
      <c r="AS455" s="236"/>
      <c r="AT455" s="236"/>
      <c r="AU455" s="236"/>
      <c r="AV455" s="12"/>
      <c r="AW455" s="12"/>
      <c r="AX455" s="12"/>
      <c r="AY455" s="12"/>
      <c r="AZ455" s="12"/>
      <c r="BA455" s="12"/>
      <c r="BB455" s="12"/>
    </row>
    <row r="456" spans="1:54" ht="13">
      <c r="A456" s="12"/>
      <c r="B456" s="27"/>
      <c r="C456" s="27"/>
      <c r="D456" s="407"/>
      <c r="E456" s="27"/>
      <c r="F456" s="27"/>
      <c r="G456" s="27"/>
      <c r="H456" s="408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12"/>
      <c r="AW456" s="12"/>
      <c r="AX456" s="12"/>
      <c r="AY456" s="12"/>
      <c r="AZ456" s="12"/>
      <c r="BA456" s="12"/>
      <c r="BB456" s="12"/>
    </row>
    <row r="457" spans="1:54" ht="13">
      <c r="A457" s="12"/>
      <c r="B457" s="236"/>
      <c r="C457" s="236"/>
      <c r="D457" s="405"/>
      <c r="E457" s="236"/>
      <c r="F457" s="236"/>
      <c r="G457" s="236"/>
      <c r="H457" s="406"/>
      <c r="I457" s="236"/>
      <c r="J457" s="236"/>
      <c r="K457" s="236"/>
      <c r="L457" s="236"/>
      <c r="M457" s="236"/>
      <c r="N457" s="236"/>
      <c r="O457" s="236"/>
      <c r="P457" s="236"/>
      <c r="Q457" s="236"/>
      <c r="R457" s="236"/>
      <c r="S457" s="236"/>
      <c r="T457" s="236"/>
      <c r="U457" s="236"/>
      <c r="V457" s="236"/>
      <c r="W457" s="236"/>
      <c r="X457" s="236"/>
      <c r="Y457" s="236"/>
      <c r="Z457" s="236"/>
      <c r="AA457" s="236"/>
      <c r="AB457" s="236"/>
      <c r="AC457" s="236"/>
      <c r="AD457" s="236"/>
      <c r="AE457" s="236"/>
      <c r="AF457" s="236"/>
      <c r="AG457" s="236"/>
      <c r="AH457" s="236"/>
      <c r="AI457" s="236"/>
      <c r="AJ457" s="236"/>
      <c r="AK457" s="236"/>
      <c r="AL457" s="236"/>
      <c r="AM457" s="236"/>
      <c r="AN457" s="236"/>
      <c r="AO457" s="236"/>
      <c r="AP457" s="236"/>
      <c r="AQ457" s="236"/>
      <c r="AR457" s="236"/>
      <c r="AS457" s="236"/>
      <c r="AT457" s="236"/>
      <c r="AU457" s="236"/>
      <c r="AV457" s="12"/>
      <c r="AW457" s="12"/>
      <c r="AX457" s="12"/>
      <c r="AY457" s="12"/>
      <c r="AZ457" s="12"/>
      <c r="BA457" s="12"/>
      <c r="BB457" s="12"/>
    </row>
    <row r="458" spans="1:54" ht="13">
      <c r="A458" s="12"/>
      <c r="B458" s="27"/>
      <c r="C458" s="27"/>
      <c r="D458" s="407"/>
      <c r="E458" s="27"/>
      <c r="F458" s="27"/>
      <c r="G458" s="27"/>
      <c r="H458" s="408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12"/>
      <c r="AW458" s="12"/>
      <c r="AX458" s="12"/>
      <c r="AY458" s="12"/>
      <c r="AZ458" s="12"/>
      <c r="BA458" s="12"/>
      <c r="BB458" s="12"/>
    </row>
    <row r="459" spans="1:54" ht="13">
      <c r="A459" s="12"/>
      <c r="B459" s="236"/>
      <c r="C459" s="236"/>
      <c r="D459" s="405"/>
      <c r="E459" s="236"/>
      <c r="F459" s="236"/>
      <c r="G459" s="236"/>
      <c r="H459" s="406"/>
      <c r="I459" s="236"/>
      <c r="J459" s="236"/>
      <c r="K459" s="236"/>
      <c r="L459" s="236"/>
      <c r="M459" s="236"/>
      <c r="N459" s="236"/>
      <c r="O459" s="236"/>
      <c r="P459" s="236"/>
      <c r="Q459" s="236"/>
      <c r="R459" s="236"/>
      <c r="S459" s="236"/>
      <c r="T459" s="236"/>
      <c r="U459" s="236"/>
      <c r="V459" s="236"/>
      <c r="W459" s="236"/>
      <c r="X459" s="236"/>
      <c r="Y459" s="236"/>
      <c r="Z459" s="236"/>
      <c r="AA459" s="236"/>
      <c r="AB459" s="236"/>
      <c r="AC459" s="236"/>
      <c r="AD459" s="236"/>
      <c r="AE459" s="236"/>
      <c r="AF459" s="236"/>
      <c r="AG459" s="236"/>
      <c r="AH459" s="236"/>
      <c r="AI459" s="236"/>
      <c r="AJ459" s="236"/>
      <c r="AK459" s="236"/>
      <c r="AL459" s="236"/>
      <c r="AM459" s="236"/>
      <c r="AN459" s="236"/>
      <c r="AO459" s="236"/>
      <c r="AP459" s="236"/>
      <c r="AQ459" s="236"/>
      <c r="AR459" s="236"/>
      <c r="AS459" s="236"/>
      <c r="AT459" s="236"/>
      <c r="AU459" s="236"/>
      <c r="AV459" s="12"/>
      <c r="AW459" s="12"/>
      <c r="AX459" s="12"/>
      <c r="AY459" s="12"/>
      <c r="AZ459" s="12"/>
      <c r="BA459" s="12"/>
      <c r="BB459" s="12"/>
    </row>
    <row r="460" spans="1:54" ht="13">
      <c r="A460" s="12"/>
      <c r="B460" s="27"/>
      <c r="C460" s="27"/>
      <c r="D460" s="407"/>
      <c r="E460" s="27"/>
      <c r="F460" s="27"/>
      <c r="G460" s="27"/>
      <c r="H460" s="408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12"/>
      <c r="AW460" s="12"/>
      <c r="AX460" s="12"/>
      <c r="AY460" s="12"/>
      <c r="AZ460" s="12"/>
      <c r="BA460" s="12"/>
      <c r="BB460" s="12"/>
    </row>
    <row r="461" spans="1:54" ht="13">
      <c r="A461" s="12"/>
      <c r="B461" s="236"/>
      <c r="C461" s="236"/>
      <c r="D461" s="405"/>
      <c r="E461" s="236"/>
      <c r="F461" s="236"/>
      <c r="G461" s="236"/>
      <c r="H461" s="406"/>
      <c r="I461" s="236"/>
      <c r="J461" s="236"/>
      <c r="K461" s="236"/>
      <c r="L461" s="236"/>
      <c r="M461" s="236"/>
      <c r="N461" s="236"/>
      <c r="O461" s="236"/>
      <c r="P461" s="236"/>
      <c r="Q461" s="236"/>
      <c r="R461" s="236"/>
      <c r="S461" s="236"/>
      <c r="T461" s="236"/>
      <c r="U461" s="236"/>
      <c r="V461" s="236"/>
      <c r="W461" s="236"/>
      <c r="X461" s="236"/>
      <c r="Y461" s="236"/>
      <c r="Z461" s="236"/>
      <c r="AA461" s="236"/>
      <c r="AB461" s="236"/>
      <c r="AC461" s="236"/>
      <c r="AD461" s="236"/>
      <c r="AE461" s="236"/>
      <c r="AF461" s="236"/>
      <c r="AG461" s="236"/>
      <c r="AH461" s="236"/>
      <c r="AI461" s="236"/>
      <c r="AJ461" s="236"/>
      <c r="AK461" s="236"/>
      <c r="AL461" s="236"/>
      <c r="AM461" s="236"/>
      <c r="AN461" s="236"/>
      <c r="AO461" s="236"/>
      <c r="AP461" s="236"/>
      <c r="AQ461" s="236"/>
      <c r="AR461" s="236"/>
      <c r="AS461" s="236"/>
      <c r="AT461" s="236"/>
      <c r="AU461" s="236"/>
      <c r="AV461" s="12"/>
      <c r="AW461" s="12"/>
      <c r="AX461" s="12"/>
      <c r="AY461" s="12"/>
      <c r="AZ461" s="12"/>
      <c r="BA461" s="12"/>
      <c r="BB461" s="12"/>
    </row>
    <row r="462" spans="1:54" ht="13">
      <c r="A462" s="12"/>
      <c r="B462" s="27"/>
      <c r="C462" s="27"/>
      <c r="D462" s="407"/>
      <c r="E462" s="27"/>
      <c r="F462" s="27"/>
      <c r="G462" s="27"/>
      <c r="H462" s="408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12"/>
      <c r="AW462" s="12"/>
      <c r="AX462" s="12"/>
      <c r="AY462" s="12"/>
      <c r="AZ462" s="12"/>
      <c r="BA462" s="12"/>
      <c r="BB462" s="12"/>
    </row>
    <row r="463" spans="1:54" ht="13">
      <c r="A463" s="12"/>
      <c r="B463" s="236"/>
      <c r="C463" s="236"/>
      <c r="D463" s="405"/>
      <c r="E463" s="236"/>
      <c r="F463" s="236"/>
      <c r="G463" s="236"/>
      <c r="H463" s="406"/>
      <c r="I463" s="236"/>
      <c r="J463" s="236"/>
      <c r="K463" s="236"/>
      <c r="L463" s="236"/>
      <c r="M463" s="236"/>
      <c r="N463" s="236"/>
      <c r="O463" s="236"/>
      <c r="P463" s="236"/>
      <c r="Q463" s="236"/>
      <c r="R463" s="236"/>
      <c r="S463" s="236"/>
      <c r="T463" s="236"/>
      <c r="U463" s="236"/>
      <c r="V463" s="236"/>
      <c r="W463" s="236"/>
      <c r="X463" s="236"/>
      <c r="Y463" s="236"/>
      <c r="Z463" s="236"/>
      <c r="AA463" s="236"/>
      <c r="AB463" s="236"/>
      <c r="AC463" s="236"/>
      <c r="AD463" s="236"/>
      <c r="AE463" s="236"/>
      <c r="AF463" s="236"/>
      <c r="AG463" s="236"/>
      <c r="AH463" s="236"/>
      <c r="AI463" s="236"/>
      <c r="AJ463" s="236"/>
      <c r="AK463" s="236"/>
      <c r="AL463" s="236"/>
      <c r="AM463" s="236"/>
      <c r="AN463" s="236"/>
      <c r="AO463" s="236"/>
      <c r="AP463" s="236"/>
      <c r="AQ463" s="236"/>
      <c r="AR463" s="236"/>
      <c r="AS463" s="236"/>
      <c r="AT463" s="236"/>
      <c r="AU463" s="236"/>
      <c r="AV463" s="12"/>
      <c r="AW463" s="12"/>
      <c r="AX463" s="12"/>
      <c r="AY463" s="12"/>
      <c r="AZ463" s="12"/>
      <c r="BA463" s="12"/>
      <c r="BB463" s="12"/>
    </row>
    <row r="464" spans="1:54" ht="13">
      <c r="A464" s="12"/>
      <c r="B464" s="27"/>
      <c r="C464" s="27"/>
      <c r="D464" s="407"/>
      <c r="E464" s="27"/>
      <c r="F464" s="27"/>
      <c r="G464" s="27"/>
      <c r="H464" s="408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12"/>
      <c r="AW464" s="12"/>
      <c r="AX464" s="12"/>
      <c r="AY464" s="12"/>
      <c r="AZ464" s="12"/>
      <c r="BA464" s="12"/>
      <c r="BB464" s="12"/>
    </row>
    <row r="465" spans="1:54" ht="13">
      <c r="A465" s="12"/>
      <c r="B465" s="236"/>
      <c r="C465" s="236"/>
      <c r="D465" s="405"/>
      <c r="E465" s="236"/>
      <c r="F465" s="236"/>
      <c r="G465" s="236"/>
      <c r="H465" s="406"/>
      <c r="I465" s="236"/>
      <c r="J465" s="236"/>
      <c r="K465" s="236"/>
      <c r="L465" s="236"/>
      <c r="M465" s="236"/>
      <c r="N465" s="236"/>
      <c r="O465" s="236"/>
      <c r="P465" s="236"/>
      <c r="Q465" s="236"/>
      <c r="R465" s="236"/>
      <c r="S465" s="236"/>
      <c r="T465" s="236"/>
      <c r="U465" s="236"/>
      <c r="V465" s="236"/>
      <c r="W465" s="236"/>
      <c r="X465" s="236"/>
      <c r="Y465" s="236"/>
      <c r="Z465" s="236"/>
      <c r="AA465" s="236"/>
      <c r="AB465" s="236"/>
      <c r="AC465" s="236"/>
      <c r="AD465" s="236"/>
      <c r="AE465" s="236"/>
      <c r="AF465" s="236"/>
      <c r="AG465" s="236"/>
      <c r="AH465" s="236"/>
      <c r="AI465" s="236"/>
      <c r="AJ465" s="236"/>
      <c r="AK465" s="236"/>
      <c r="AL465" s="236"/>
      <c r="AM465" s="236"/>
      <c r="AN465" s="236"/>
      <c r="AO465" s="236"/>
      <c r="AP465" s="236"/>
      <c r="AQ465" s="236"/>
      <c r="AR465" s="236"/>
      <c r="AS465" s="236"/>
      <c r="AT465" s="236"/>
      <c r="AU465" s="236"/>
      <c r="AV465" s="12"/>
      <c r="AW465" s="12"/>
      <c r="AX465" s="12"/>
      <c r="AY465" s="12"/>
      <c r="AZ465" s="12"/>
      <c r="BA465" s="12"/>
      <c r="BB465" s="12"/>
    </row>
    <row r="466" spans="1:54" ht="13">
      <c r="A466" s="12"/>
      <c r="B466" s="27"/>
      <c r="C466" s="27"/>
      <c r="D466" s="407"/>
      <c r="E466" s="27"/>
      <c r="F466" s="27"/>
      <c r="G466" s="27"/>
      <c r="H466" s="408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12"/>
      <c r="AW466" s="12"/>
      <c r="AX466" s="12"/>
      <c r="AY466" s="12"/>
      <c r="AZ466" s="12"/>
      <c r="BA466" s="12"/>
      <c r="BB466" s="12"/>
    </row>
    <row r="467" spans="1:54" ht="13">
      <c r="A467" s="12"/>
      <c r="B467" s="236"/>
      <c r="C467" s="236"/>
      <c r="D467" s="405"/>
      <c r="E467" s="236"/>
      <c r="F467" s="236"/>
      <c r="G467" s="236"/>
      <c r="H467" s="406"/>
      <c r="I467" s="236"/>
      <c r="J467" s="236"/>
      <c r="K467" s="236"/>
      <c r="L467" s="236"/>
      <c r="M467" s="236"/>
      <c r="N467" s="236"/>
      <c r="O467" s="236"/>
      <c r="P467" s="236"/>
      <c r="Q467" s="236"/>
      <c r="R467" s="236"/>
      <c r="S467" s="236"/>
      <c r="T467" s="236"/>
      <c r="U467" s="236"/>
      <c r="V467" s="236"/>
      <c r="W467" s="236"/>
      <c r="X467" s="236"/>
      <c r="Y467" s="236"/>
      <c r="Z467" s="236"/>
      <c r="AA467" s="236"/>
      <c r="AB467" s="236"/>
      <c r="AC467" s="236"/>
      <c r="AD467" s="236"/>
      <c r="AE467" s="236"/>
      <c r="AF467" s="236"/>
      <c r="AG467" s="236"/>
      <c r="AH467" s="236"/>
      <c r="AI467" s="236"/>
      <c r="AJ467" s="236"/>
      <c r="AK467" s="236"/>
      <c r="AL467" s="236"/>
      <c r="AM467" s="236"/>
      <c r="AN467" s="236"/>
      <c r="AO467" s="236"/>
      <c r="AP467" s="236"/>
      <c r="AQ467" s="236"/>
      <c r="AR467" s="236"/>
      <c r="AS467" s="236"/>
      <c r="AT467" s="236"/>
      <c r="AU467" s="236"/>
      <c r="AV467" s="12"/>
      <c r="AW467" s="12"/>
      <c r="AX467" s="12"/>
      <c r="AY467" s="12"/>
      <c r="AZ467" s="12"/>
      <c r="BA467" s="12"/>
      <c r="BB467" s="12"/>
    </row>
    <row r="468" spans="1:54" ht="13">
      <c r="A468" s="12"/>
      <c r="B468" s="27"/>
      <c r="C468" s="27"/>
      <c r="D468" s="407"/>
      <c r="E468" s="27"/>
      <c r="F468" s="27"/>
      <c r="G468" s="27"/>
      <c r="H468" s="408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12"/>
      <c r="AW468" s="12"/>
      <c r="AX468" s="12"/>
      <c r="AY468" s="12"/>
      <c r="AZ468" s="12"/>
      <c r="BA468" s="12"/>
      <c r="BB468" s="12"/>
    </row>
    <row r="469" spans="1:54" ht="13">
      <c r="A469" s="12"/>
      <c r="B469" s="236"/>
      <c r="C469" s="236"/>
      <c r="D469" s="405"/>
      <c r="E469" s="236"/>
      <c r="F469" s="236"/>
      <c r="G469" s="236"/>
      <c r="H469" s="406"/>
      <c r="I469" s="236"/>
      <c r="J469" s="236"/>
      <c r="K469" s="236"/>
      <c r="L469" s="236"/>
      <c r="M469" s="236"/>
      <c r="N469" s="236"/>
      <c r="O469" s="236"/>
      <c r="P469" s="236"/>
      <c r="Q469" s="236"/>
      <c r="R469" s="236"/>
      <c r="S469" s="236"/>
      <c r="T469" s="236"/>
      <c r="U469" s="236"/>
      <c r="V469" s="236"/>
      <c r="W469" s="236"/>
      <c r="X469" s="236"/>
      <c r="Y469" s="236"/>
      <c r="Z469" s="236"/>
      <c r="AA469" s="236"/>
      <c r="AB469" s="236"/>
      <c r="AC469" s="236"/>
      <c r="AD469" s="236"/>
      <c r="AE469" s="236"/>
      <c r="AF469" s="236"/>
      <c r="AG469" s="236"/>
      <c r="AH469" s="236"/>
      <c r="AI469" s="236"/>
      <c r="AJ469" s="236"/>
      <c r="AK469" s="236"/>
      <c r="AL469" s="236"/>
      <c r="AM469" s="236"/>
      <c r="AN469" s="236"/>
      <c r="AO469" s="236"/>
      <c r="AP469" s="236"/>
      <c r="AQ469" s="236"/>
      <c r="AR469" s="236"/>
      <c r="AS469" s="236"/>
      <c r="AT469" s="236"/>
      <c r="AU469" s="236"/>
      <c r="AV469" s="12"/>
      <c r="AW469" s="12"/>
      <c r="AX469" s="12"/>
      <c r="AY469" s="12"/>
      <c r="AZ469" s="12"/>
      <c r="BA469" s="12"/>
      <c r="BB469" s="12"/>
    </row>
    <row r="470" spans="1:54" ht="13">
      <c r="A470" s="12"/>
      <c r="B470" s="27"/>
      <c r="C470" s="27"/>
      <c r="D470" s="407"/>
      <c r="E470" s="27"/>
      <c r="F470" s="27"/>
      <c r="G470" s="27"/>
      <c r="H470" s="408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12"/>
      <c r="AW470" s="12"/>
      <c r="AX470" s="12"/>
      <c r="AY470" s="12"/>
      <c r="AZ470" s="12"/>
      <c r="BA470" s="12"/>
      <c r="BB470" s="12"/>
    </row>
    <row r="471" spans="1:54" ht="13">
      <c r="A471" s="12"/>
      <c r="B471" s="236"/>
      <c r="C471" s="236"/>
      <c r="D471" s="405"/>
      <c r="E471" s="236"/>
      <c r="F471" s="236"/>
      <c r="G471" s="236"/>
      <c r="H471" s="406"/>
      <c r="I471" s="236"/>
      <c r="J471" s="236"/>
      <c r="K471" s="236"/>
      <c r="L471" s="236"/>
      <c r="M471" s="236"/>
      <c r="N471" s="236"/>
      <c r="O471" s="236"/>
      <c r="P471" s="236"/>
      <c r="Q471" s="236"/>
      <c r="R471" s="236"/>
      <c r="S471" s="236"/>
      <c r="T471" s="236"/>
      <c r="U471" s="236"/>
      <c r="V471" s="236"/>
      <c r="W471" s="236"/>
      <c r="X471" s="236"/>
      <c r="Y471" s="236"/>
      <c r="Z471" s="236"/>
      <c r="AA471" s="236"/>
      <c r="AB471" s="236"/>
      <c r="AC471" s="236"/>
      <c r="AD471" s="236"/>
      <c r="AE471" s="236"/>
      <c r="AF471" s="236"/>
      <c r="AG471" s="236"/>
      <c r="AH471" s="236"/>
      <c r="AI471" s="236"/>
      <c r="AJ471" s="236"/>
      <c r="AK471" s="236"/>
      <c r="AL471" s="236"/>
      <c r="AM471" s="236"/>
      <c r="AN471" s="236"/>
      <c r="AO471" s="236"/>
      <c r="AP471" s="236"/>
      <c r="AQ471" s="236"/>
      <c r="AR471" s="236"/>
      <c r="AS471" s="236"/>
      <c r="AT471" s="236"/>
      <c r="AU471" s="236"/>
      <c r="AV471" s="12"/>
      <c r="AW471" s="12"/>
      <c r="AX471" s="12"/>
      <c r="AY471" s="12"/>
      <c r="AZ471" s="12"/>
      <c r="BA471" s="12"/>
      <c r="BB471" s="12"/>
    </row>
    <row r="472" spans="1:54" ht="13">
      <c r="A472" s="12"/>
      <c r="B472" s="27"/>
      <c r="C472" s="27"/>
      <c r="D472" s="407"/>
      <c r="E472" s="27"/>
      <c r="F472" s="27"/>
      <c r="G472" s="27"/>
      <c r="H472" s="408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12"/>
      <c r="AW472" s="12"/>
      <c r="AX472" s="12"/>
      <c r="AY472" s="12"/>
      <c r="AZ472" s="12"/>
      <c r="BA472" s="12"/>
      <c r="BB472" s="12"/>
    </row>
    <row r="473" spans="1:54" ht="13">
      <c r="A473" s="12"/>
      <c r="B473" s="236"/>
      <c r="C473" s="236"/>
      <c r="D473" s="405"/>
      <c r="E473" s="236"/>
      <c r="F473" s="236"/>
      <c r="G473" s="236"/>
      <c r="H473" s="406"/>
      <c r="I473" s="236"/>
      <c r="J473" s="236"/>
      <c r="K473" s="236"/>
      <c r="L473" s="236"/>
      <c r="M473" s="236"/>
      <c r="N473" s="236"/>
      <c r="O473" s="236"/>
      <c r="P473" s="236"/>
      <c r="Q473" s="236"/>
      <c r="R473" s="236"/>
      <c r="S473" s="236"/>
      <c r="T473" s="236"/>
      <c r="U473" s="236"/>
      <c r="V473" s="236"/>
      <c r="W473" s="236"/>
      <c r="X473" s="236"/>
      <c r="Y473" s="236"/>
      <c r="Z473" s="236"/>
      <c r="AA473" s="236"/>
      <c r="AB473" s="236"/>
      <c r="AC473" s="236"/>
      <c r="AD473" s="236"/>
      <c r="AE473" s="236"/>
      <c r="AF473" s="236"/>
      <c r="AG473" s="236"/>
      <c r="AH473" s="236"/>
      <c r="AI473" s="236"/>
      <c r="AJ473" s="236"/>
      <c r="AK473" s="236"/>
      <c r="AL473" s="236"/>
      <c r="AM473" s="236"/>
      <c r="AN473" s="236"/>
      <c r="AO473" s="236"/>
      <c r="AP473" s="236"/>
      <c r="AQ473" s="236"/>
      <c r="AR473" s="236"/>
      <c r="AS473" s="236"/>
      <c r="AT473" s="236"/>
      <c r="AU473" s="236"/>
      <c r="AV473" s="12"/>
      <c r="AW473" s="12"/>
      <c r="AX473" s="12"/>
      <c r="AY473" s="12"/>
      <c r="AZ473" s="12"/>
      <c r="BA473" s="12"/>
      <c r="BB473" s="12"/>
    </row>
    <row r="474" spans="1:54" ht="13">
      <c r="A474" s="12"/>
      <c r="B474" s="27"/>
      <c r="C474" s="27"/>
      <c r="D474" s="407"/>
      <c r="E474" s="27"/>
      <c r="F474" s="27"/>
      <c r="G474" s="27"/>
      <c r="H474" s="408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12"/>
      <c r="AW474" s="12"/>
      <c r="AX474" s="12"/>
      <c r="AY474" s="12"/>
      <c r="AZ474" s="12"/>
      <c r="BA474" s="12"/>
      <c r="BB474" s="12"/>
    </row>
    <row r="475" spans="1:54" ht="13">
      <c r="A475" s="12"/>
      <c r="B475" s="236"/>
      <c r="C475" s="236"/>
      <c r="D475" s="405"/>
      <c r="E475" s="236"/>
      <c r="F475" s="236"/>
      <c r="G475" s="236"/>
      <c r="H475" s="406"/>
      <c r="I475" s="236"/>
      <c r="J475" s="236"/>
      <c r="K475" s="236"/>
      <c r="L475" s="236"/>
      <c r="M475" s="236"/>
      <c r="N475" s="236"/>
      <c r="O475" s="236"/>
      <c r="P475" s="236"/>
      <c r="Q475" s="236"/>
      <c r="R475" s="236"/>
      <c r="S475" s="236"/>
      <c r="T475" s="236"/>
      <c r="U475" s="236"/>
      <c r="V475" s="236"/>
      <c r="W475" s="236"/>
      <c r="X475" s="236"/>
      <c r="Y475" s="236"/>
      <c r="Z475" s="236"/>
      <c r="AA475" s="236"/>
      <c r="AB475" s="236"/>
      <c r="AC475" s="236"/>
      <c r="AD475" s="236"/>
      <c r="AE475" s="236"/>
      <c r="AF475" s="236"/>
      <c r="AG475" s="236"/>
      <c r="AH475" s="236"/>
      <c r="AI475" s="236"/>
      <c r="AJ475" s="236"/>
      <c r="AK475" s="236"/>
      <c r="AL475" s="236"/>
      <c r="AM475" s="236"/>
      <c r="AN475" s="236"/>
      <c r="AO475" s="236"/>
      <c r="AP475" s="236"/>
      <c r="AQ475" s="236"/>
      <c r="AR475" s="236"/>
      <c r="AS475" s="236"/>
      <c r="AT475" s="236"/>
      <c r="AU475" s="236"/>
      <c r="AV475" s="12"/>
      <c r="AW475" s="12"/>
      <c r="AX475" s="12"/>
      <c r="AY475" s="12"/>
      <c r="AZ475" s="12"/>
      <c r="BA475" s="12"/>
      <c r="BB475" s="12"/>
    </row>
    <row r="476" spans="1:54" ht="13">
      <c r="A476" s="12"/>
      <c r="B476" s="27"/>
      <c r="C476" s="27"/>
      <c r="D476" s="407"/>
      <c r="E476" s="27"/>
      <c r="F476" s="27"/>
      <c r="G476" s="27"/>
      <c r="H476" s="408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12"/>
      <c r="AW476" s="12"/>
      <c r="AX476" s="12"/>
      <c r="AY476" s="12"/>
      <c r="AZ476" s="12"/>
      <c r="BA476" s="12"/>
      <c r="BB476" s="12"/>
    </row>
    <row r="477" spans="1:54" ht="13">
      <c r="A477" s="12"/>
      <c r="B477" s="236"/>
      <c r="C477" s="236"/>
      <c r="D477" s="405"/>
      <c r="E477" s="236"/>
      <c r="F477" s="236"/>
      <c r="G477" s="236"/>
      <c r="H477" s="406"/>
      <c r="I477" s="236"/>
      <c r="J477" s="236"/>
      <c r="K477" s="236"/>
      <c r="L477" s="236"/>
      <c r="M477" s="236"/>
      <c r="N477" s="236"/>
      <c r="O477" s="236"/>
      <c r="P477" s="236"/>
      <c r="Q477" s="236"/>
      <c r="R477" s="236"/>
      <c r="S477" s="236"/>
      <c r="T477" s="236"/>
      <c r="U477" s="236"/>
      <c r="V477" s="236"/>
      <c r="W477" s="236"/>
      <c r="X477" s="236"/>
      <c r="Y477" s="236"/>
      <c r="Z477" s="236"/>
      <c r="AA477" s="236"/>
      <c r="AB477" s="236"/>
      <c r="AC477" s="236"/>
      <c r="AD477" s="236"/>
      <c r="AE477" s="236"/>
      <c r="AF477" s="236"/>
      <c r="AG477" s="236"/>
      <c r="AH477" s="236"/>
      <c r="AI477" s="236"/>
      <c r="AJ477" s="236"/>
      <c r="AK477" s="236"/>
      <c r="AL477" s="236"/>
      <c r="AM477" s="236"/>
      <c r="AN477" s="236"/>
      <c r="AO477" s="236"/>
      <c r="AP477" s="236"/>
      <c r="AQ477" s="236"/>
      <c r="AR477" s="236"/>
      <c r="AS477" s="236"/>
      <c r="AT477" s="236"/>
      <c r="AU477" s="236"/>
      <c r="AV477" s="12"/>
      <c r="AW477" s="12"/>
      <c r="AX477" s="12"/>
      <c r="AY477" s="12"/>
      <c r="AZ477" s="12"/>
      <c r="BA477" s="12"/>
      <c r="BB477" s="12"/>
    </row>
    <row r="478" spans="1:54" ht="13">
      <c r="A478" s="12"/>
      <c r="B478" s="27"/>
      <c r="C478" s="27"/>
      <c r="D478" s="407"/>
      <c r="E478" s="27"/>
      <c r="F478" s="27"/>
      <c r="G478" s="27"/>
      <c r="H478" s="408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12"/>
      <c r="AW478" s="12"/>
      <c r="AX478" s="12"/>
      <c r="AY478" s="12"/>
      <c r="AZ478" s="12"/>
      <c r="BA478" s="12"/>
      <c r="BB478" s="12"/>
    </row>
    <row r="479" spans="1:54" ht="13">
      <c r="A479" s="12"/>
      <c r="B479" s="236"/>
      <c r="C479" s="236"/>
      <c r="D479" s="405"/>
      <c r="E479" s="236"/>
      <c r="F479" s="236"/>
      <c r="G479" s="236"/>
      <c r="H479" s="406"/>
      <c r="I479" s="236"/>
      <c r="J479" s="236"/>
      <c r="K479" s="236"/>
      <c r="L479" s="236"/>
      <c r="M479" s="236"/>
      <c r="N479" s="236"/>
      <c r="O479" s="236"/>
      <c r="P479" s="236"/>
      <c r="Q479" s="236"/>
      <c r="R479" s="236"/>
      <c r="S479" s="236"/>
      <c r="T479" s="236"/>
      <c r="U479" s="236"/>
      <c r="V479" s="236"/>
      <c r="W479" s="236"/>
      <c r="X479" s="236"/>
      <c r="Y479" s="236"/>
      <c r="Z479" s="236"/>
      <c r="AA479" s="236"/>
      <c r="AB479" s="236"/>
      <c r="AC479" s="236"/>
      <c r="AD479" s="236"/>
      <c r="AE479" s="236"/>
      <c r="AF479" s="236"/>
      <c r="AG479" s="236"/>
      <c r="AH479" s="236"/>
      <c r="AI479" s="236"/>
      <c r="AJ479" s="236"/>
      <c r="AK479" s="236"/>
      <c r="AL479" s="236"/>
      <c r="AM479" s="236"/>
      <c r="AN479" s="236"/>
      <c r="AO479" s="236"/>
      <c r="AP479" s="236"/>
      <c r="AQ479" s="236"/>
      <c r="AR479" s="236"/>
      <c r="AS479" s="236"/>
      <c r="AT479" s="236"/>
      <c r="AU479" s="236"/>
      <c r="AV479" s="12"/>
      <c r="AW479" s="12"/>
      <c r="AX479" s="12"/>
      <c r="AY479" s="12"/>
      <c r="AZ479" s="12"/>
      <c r="BA479" s="12"/>
      <c r="BB479" s="12"/>
    </row>
    <row r="480" spans="1:54" ht="13">
      <c r="A480" s="12"/>
      <c r="B480" s="27"/>
      <c r="C480" s="27"/>
      <c r="D480" s="407"/>
      <c r="E480" s="27"/>
      <c r="F480" s="27"/>
      <c r="G480" s="27"/>
      <c r="H480" s="408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12"/>
      <c r="AW480" s="12"/>
      <c r="AX480" s="12"/>
      <c r="AY480" s="12"/>
      <c r="AZ480" s="12"/>
      <c r="BA480" s="12"/>
      <c r="BB480" s="12"/>
    </row>
    <row r="481" spans="1:54" ht="13">
      <c r="A481" s="12"/>
      <c r="B481" s="236"/>
      <c r="C481" s="236"/>
      <c r="D481" s="405"/>
      <c r="E481" s="236"/>
      <c r="F481" s="236"/>
      <c r="G481" s="236"/>
      <c r="H481" s="406"/>
      <c r="I481" s="236"/>
      <c r="J481" s="236"/>
      <c r="K481" s="236"/>
      <c r="L481" s="236"/>
      <c r="M481" s="236"/>
      <c r="N481" s="236"/>
      <c r="O481" s="236"/>
      <c r="P481" s="236"/>
      <c r="Q481" s="236"/>
      <c r="R481" s="236"/>
      <c r="S481" s="236"/>
      <c r="T481" s="236"/>
      <c r="U481" s="236"/>
      <c r="V481" s="236"/>
      <c r="W481" s="236"/>
      <c r="X481" s="236"/>
      <c r="Y481" s="236"/>
      <c r="Z481" s="236"/>
      <c r="AA481" s="236"/>
      <c r="AB481" s="236"/>
      <c r="AC481" s="236"/>
      <c r="AD481" s="236"/>
      <c r="AE481" s="236"/>
      <c r="AF481" s="236"/>
      <c r="AG481" s="236"/>
      <c r="AH481" s="236"/>
      <c r="AI481" s="236"/>
      <c r="AJ481" s="236"/>
      <c r="AK481" s="236"/>
      <c r="AL481" s="236"/>
      <c r="AM481" s="236"/>
      <c r="AN481" s="236"/>
      <c r="AO481" s="236"/>
      <c r="AP481" s="236"/>
      <c r="AQ481" s="236"/>
      <c r="AR481" s="236"/>
      <c r="AS481" s="236"/>
      <c r="AT481" s="236"/>
      <c r="AU481" s="236"/>
      <c r="AV481" s="12"/>
      <c r="AW481" s="12"/>
      <c r="AX481" s="12"/>
      <c r="AY481" s="12"/>
      <c r="AZ481" s="12"/>
      <c r="BA481" s="12"/>
      <c r="BB481" s="12"/>
    </row>
    <row r="482" spans="1:54" ht="13">
      <c r="A482" s="12"/>
      <c r="B482" s="27"/>
      <c r="C482" s="27"/>
      <c r="D482" s="407"/>
      <c r="E482" s="27"/>
      <c r="F482" s="27"/>
      <c r="G482" s="27"/>
      <c r="H482" s="408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12"/>
      <c r="AW482" s="12"/>
      <c r="AX482" s="12"/>
      <c r="AY482" s="12"/>
      <c r="AZ482" s="12"/>
      <c r="BA482" s="12"/>
      <c r="BB482" s="12"/>
    </row>
    <row r="483" spans="1:54" ht="13">
      <c r="A483" s="12"/>
      <c r="B483" s="236"/>
      <c r="C483" s="236"/>
      <c r="D483" s="405"/>
      <c r="E483" s="236"/>
      <c r="F483" s="236"/>
      <c r="G483" s="236"/>
      <c r="H483" s="406"/>
      <c r="I483" s="236"/>
      <c r="J483" s="236"/>
      <c r="K483" s="236"/>
      <c r="L483" s="236"/>
      <c r="M483" s="236"/>
      <c r="N483" s="236"/>
      <c r="O483" s="236"/>
      <c r="P483" s="236"/>
      <c r="Q483" s="236"/>
      <c r="R483" s="236"/>
      <c r="S483" s="236"/>
      <c r="T483" s="236"/>
      <c r="U483" s="236"/>
      <c r="V483" s="236"/>
      <c r="W483" s="236"/>
      <c r="X483" s="236"/>
      <c r="Y483" s="236"/>
      <c r="Z483" s="236"/>
      <c r="AA483" s="236"/>
      <c r="AB483" s="236"/>
      <c r="AC483" s="236"/>
      <c r="AD483" s="236"/>
      <c r="AE483" s="236"/>
      <c r="AF483" s="236"/>
      <c r="AG483" s="236"/>
      <c r="AH483" s="236"/>
      <c r="AI483" s="236"/>
      <c r="AJ483" s="236"/>
      <c r="AK483" s="236"/>
      <c r="AL483" s="236"/>
      <c r="AM483" s="236"/>
      <c r="AN483" s="236"/>
      <c r="AO483" s="236"/>
      <c r="AP483" s="236"/>
      <c r="AQ483" s="236"/>
      <c r="AR483" s="236"/>
      <c r="AS483" s="236"/>
      <c r="AT483" s="236"/>
      <c r="AU483" s="236"/>
      <c r="AV483" s="12"/>
      <c r="AW483" s="12"/>
      <c r="AX483" s="12"/>
      <c r="AY483" s="12"/>
      <c r="AZ483" s="12"/>
      <c r="BA483" s="12"/>
      <c r="BB483" s="12"/>
    </row>
    <row r="484" spans="1:54" ht="13">
      <c r="A484" s="12"/>
      <c r="B484" s="27"/>
      <c r="C484" s="27"/>
      <c r="D484" s="407"/>
      <c r="E484" s="27"/>
      <c r="F484" s="27"/>
      <c r="G484" s="27"/>
      <c r="H484" s="408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12"/>
      <c r="AW484" s="12"/>
      <c r="AX484" s="12"/>
      <c r="AY484" s="12"/>
      <c r="AZ484" s="12"/>
      <c r="BA484" s="12"/>
      <c r="BB484" s="12"/>
    </row>
    <row r="485" spans="1:54" ht="13">
      <c r="A485" s="12"/>
      <c r="B485" s="236"/>
      <c r="C485" s="236"/>
      <c r="D485" s="405"/>
      <c r="E485" s="236"/>
      <c r="F485" s="236"/>
      <c r="G485" s="236"/>
      <c r="H485" s="406"/>
      <c r="I485" s="236"/>
      <c r="J485" s="236"/>
      <c r="K485" s="236"/>
      <c r="L485" s="236"/>
      <c r="M485" s="236"/>
      <c r="N485" s="236"/>
      <c r="O485" s="236"/>
      <c r="P485" s="236"/>
      <c r="Q485" s="236"/>
      <c r="R485" s="236"/>
      <c r="S485" s="236"/>
      <c r="T485" s="236"/>
      <c r="U485" s="236"/>
      <c r="V485" s="236"/>
      <c r="W485" s="236"/>
      <c r="X485" s="236"/>
      <c r="Y485" s="236"/>
      <c r="Z485" s="236"/>
      <c r="AA485" s="236"/>
      <c r="AB485" s="236"/>
      <c r="AC485" s="236"/>
      <c r="AD485" s="236"/>
      <c r="AE485" s="236"/>
      <c r="AF485" s="236"/>
      <c r="AG485" s="236"/>
      <c r="AH485" s="236"/>
      <c r="AI485" s="236"/>
      <c r="AJ485" s="236"/>
      <c r="AK485" s="236"/>
      <c r="AL485" s="236"/>
      <c r="AM485" s="236"/>
      <c r="AN485" s="236"/>
      <c r="AO485" s="236"/>
      <c r="AP485" s="236"/>
      <c r="AQ485" s="236"/>
      <c r="AR485" s="236"/>
      <c r="AS485" s="236"/>
      <c r="AT485" s="236"/>
      <c r="AU485" s="236"/>
      <c r="AV485" s="12"/>
      <c r="AW485" s="12"/>
      <c r="AX485" s="12"/>
      <c r="AY485" s="12"/>
      <c r="AZ485" s="12"/>
      <c r="BA485" s="12"/>
      <c r="BB485" s="12"/>
    </row>
    <row r="486" spans="1:54" ht="13">
      <c r="A486" s="12"/>
      <c r="B486" s="27"/>
      <c r="C486" s="27"/>
      <c r="D486" s="407"/>
      <c r="E486" s="27"/>
      <c r="F486" s="27"/>
      <c r="G486" s="27"/>
      <c r="H486" s="408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12"/>
      <c r="AW486" s="12"/>
      <c r="AX486" s="12"/>
      <c r="AY486" s="12"/>
      <c r="AZ486" s="12"/>
      <c r="BA486" s="12"/>
      <c r="BB486" s="12"/>
    </row>
    <row r="487" spans="1:54" ht="13">
      <c r="A487" s="12"/>
      <c r="B487" s="236"/>
      <c r="C487" s="236"/>
      <c r="D487" s="405"/>
      <c r="E487" s="236"/>
      <c r="F487" s="236"/>
      <c r="G487" s="236"/>
      <c r="H487" s="406"/>
      <c r="I487" s="236"/>
      <c r="J487" s="236"/>
      <c r="K487" s="236"/>
      <c r="L487" s="236"/>
      <c r="M487" s="236"/>
      <c r="N487" s="236"/>
      <c r="O487" s="236"/>
      <c r="P487" s="236"/>
      <c r="Q487" s="236"/>
      <c r="R487" s="236"/>
      <c r="S487" s="236"/>
      <c r="T487" s="236"/>
      <c r="U487" s="236"/>
      <c r="V487" s="236"/>
      <c r="W487" s="236"/>
      <c r="X487" s="236"/>
      <c r="Y487" s="236"/>
      <c r="Z487" s="236"/>
      <c r="AA487" s="236"/>
      <c r="AB487" s="236"/>
      <c r="AC487" s="236"/>
      <c r="AD487" s="236"/>
      <c r="AE487" s="236"/>
      <c r="AF487" s="236"/>
      <c r="AG487" s="236"/>
      <c r="AH487" s="236"/>
      <c r="AI487" s="236"/>
      <c r="AJ487" s="236"/>
      <c r="AK487" s="236"/>
      <c r="AL487" s="236"/>
      <c r="AM487" s="236"/>
      <c r="AN487" s="236"/>
      <c r="AO487" s="236"/>
      <c r="AP487" s="236"/>
      <c r="AQ487" s="236"/>
      <c r="AR487" s="236"/>
      <c r="AS487" s="236"/>
      <c r="AT487" s="236"/>
      <c r="AU487" s="236"/>
      <c r="AV487" s="12"/>
      <c r="AW487" s="12"/>
      <c r="AX487" s="12"/>
      <c r="AY487" s="12"/>
      <c r="AZ487" s="12"/>
      <c r="BA487" s="12"/>
      <c r="BB487" s="12"/>
    </row>
    <row r="488" spans="1:54" ht="13">
      <c r="A488" s="12"/>
      <c r="B488" s="27"/>
      <c r="C488" s="27"/>
      <c r="D488" s="407"/>
      <c r="E488" s="27"/>
      <c r="F488" s="27"/>
      <c r="G488" s="27"/>
      <c r="H488" s="408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12"/>
      <c r="AW488" s="12"/>
      <c r="AX488" s="12"/>
      <c r="AY488" s="12"/>
      <c r="AZ488" s="12"/>
      <c r="BA488" s="12"/>
      <c r="BB488" s="12"/>
    </row>
    <row r="489" spans="1:54" ht="13">
      <c r="A489" s="12"/>
      <c r="B489" s="236"/>
      <c r="C489" s="236"/>
      <c r="D489" s="405"/>
      <c r="E489" s="236"/>
      <c r="F489" s="236"/>
      <c r="G489" s="236"/>
      <c r="H489" s="406"/>
      <c r="I489" s="236"/>
      <c r="J489" s="236"/>
      <c r="K489" s="236"/>
      <c r="L489" s="236"/>
      <c r="M489" s="236"/>
      <c r="N489" s="236"/>
      <c r="O489" s="236"/>
      <c r="P489" s="236"/>
      <c r="Q489" s="236"/>
      <c r="R489" s="236"/>
      <c r="S489" s="236"/>
      <c r="T489" s="236"/>
      <c r="U489" s="236"/>
      <c r="V489" s="236"/>
      <c r="W489" s="236"/>
      <c r="X489" s="236"/>
      <c r="Y489" s="236"/>
      <c r="Z489" s="236"/>
      <c r="AA489" s="236"/>
      <c r="AB489" s="236"/>
      <c r="AC489" s="236"/>
      <c r="AD489" s="236"/>
      <c r="AE489" s="236"/>
      <c r="AF489" s="236"/>
      <c r="AG489" s="236"/>
      <c r="AH489" s="236"/>
      <c r="AI489" s="236"/>
      <c r="AJ489" s="236"/>
      <c r="AK489" s="236"/>
      <c r="AL489" s="236"/>
      <c r="AM489" s="236"/>
      <c r="AN489" s="236"/>
      <c r="AO489" s="236"/>
      <c r="AP489" s="236"/>
      <c r="AQ489" s="236"/>
      <c r="AR489" s="236"/>
      <c r="AS489" s="236"/>
      <c r="AT489" s="236"/>
      <c r="AU489" s="236"/>
      <c r="AV489" s="12"/>
      <c r="AW489" s="12"/>
      <c r="AX489" s="12"/>
      <c r="AY489" s="12"/>
      <c r="AZ489" s="12"/>
      <c r="BA489" s="12"/>
      <c r="BB489" s="12"/>
    </row>
    <row r="490" spans="1:54" ht="13">
      <c r="A490" s="12"/>
      <c r="B490" s="27"/>
      <c r="C490" s="27"/>
      <c r="D490" s="407"/>
      <c r="E490" s="27"/>
      <c r="F490" s="27"/>
      <c r="G490" s="27"/>
      <c r="H490" s="408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12"/>
      <c r="AW490" s="12"/>
      <c r="AX490" s="12"/>
      <c r="AY490" s="12"/>
      <c r="AZ490" s="12"/>
      <c r="BA490" s="12"/>
      <c r="BB490" s="12"/>
    </row>
    <row r="491" spans="1:54" ht="13">
      <c r="A491" s="12"/>
      <c r="B491" s="236"/>
      <c r="C491" s="236"/>
      <c r="D491" s="405"/>
      <c r="E491" s="236"/>
      <c r="F491" s="236"/>
      <c r="G491" s="236"/>
      <c r="H491" s="406"/>
      <c r="I491" s="236"/>
      <c r="J491" s="236"/>
      <c r="K491" s="236"/>
      <c r="L491" s="236"/>
      <c r="M491" s="236"/>
      <c r="N491" s="236"/>
      <c r="O491" s="236"/>
      <c r="P491" s="236"/>
      <c r="Q491" s="236"/>
      <c r="R491" s="236"/>
      <c r="S491" s="236"/>
      <c r="T491" s="236"/>
      <c r="U491" s="236"/>
      <c r="V491" s="236"/>
      <c r="W491" s="236"/>
      <c r="X491" s="236"/>
      <c r="Y491" s="236"/>
      <c r="Z491" s="236"/>
      <c r="AA491" s="236"/>
      <c r="AB491" s="236"/>
      <c r="AC491" s="236"/>
      <c r="AD491" s="236"/>
      <c r="AE491" s="236"/>
      <c r="AF491" s="236"/>
      <c r="AG491" s="236"/>
      <c r="AH491" s="236"/>
      <c r="AI491" s="236"/>
      <c r="AJ491" s="236"/>
      <c r="AK491" s="236"/>
      <c r="AL491" s="236"/>
      <c r="AM491" s="236"/>
      <c r="AN491" s="236"/>
      <c r="AO491" s="236"/>
      <c r="AP491" s="236"/>
      <c r="AQ491" s="236"/>
      <c r="AR491" s="236"/>
      <c r="AS491" s="236"/>
      <c r="AT491" s="236"/>
      <c r="AU491" s="236"/>
      <c r="AV491" s="12"/>
      <c r="AW491" s="12"/>
      <c r="AX491" s="12"/>
      <c r="AY491" s="12"/>
      <c r="AZ491" s="12"/>
      <c r="BA491" s="12"/>
      <c r="BB491" s="12"/>
    </row>
    <row r="492" spans="1:54" ht="13">
      <c r="A492" s="12"/>
      <c r="B492" s="27"/>
      <c r="C492" s="27"/>
      <c r="D492" s="407"/>
      <c r="E492" s="27"/>
      <c r="F492" s="27"/>
      <c r="G492" s="27"/>
      <c r="H492" s="408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12"/>
      <c r="AW492" s="12"/>
      <c r="AX492" s="12"/>
      <c r="AY492" s="12"/>
      <c r="AZ492" s="12"/>
      <c r="BA492" s="12"/>
      <c r="BB492" s="12"/>
    </row>
    <row r="493" spans="1:54" ht="13">
      <c r="A493" s="12"/>
      <c r="B493" s="236"/>
      <c r="C493" s="236"/>
      <c r="D493" s="405"/>
      <c r="E493" s="236"/>
      <c r="F493" s="236"/>
      <c r="G493" s="236"/>
      <c r="H493" s="406"/>
      <c r="I493" s="236"/>
      <c r="J493" s="236"/>
      <c r="K493" s="236"/>
      <c r="L493" s="236"/>
      <c r="M493" s="236"/>
      <c r="N493" s="236"/>
      <c r="O493" s="236"/>
      <c r="P493" s="236"/>
      <c r="Q493" s="236"/>
      <c r="R493" s="236"/>
      <c r="S493" s="236"/>
      <c r="T493" s="236"/>
      <c r="U493" s="236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236"/>
      <c r="AH493" s="236"/>
      <c r="AI493" s="236"/>
      <c r="AJ493" s="236"/>
      <c r="AK493" s="236"/>
      <c r="AL493" s="236"/>
      <c r="AM493" s="236"/>
      <c r="AN493" s="236"/>
      <c r="AO493" s="236"/>
      <c r="AP493" s="236"/>
      <c r="AQ493" s="236"/>
      <c r="AR493" s="236"/>
      <c r="AS493" s="236"/>
      <c r="AT493" s="236"/>
      <c r="AU493" s="236"/>
      <c r="AV493" s="12"/>
      <c r="AW493" s="12"/>
      <c r="AX493" s="12"/>
      <c r="AY493" s="12"/>
      <c r="AZ493" s="12"/>
      <c r="BA493" s="12"/>
      <c r="BB493" s="12"/>
    </row>
    <row r="494" spans="1:54" ht="13">
      <c r="A494" s="12"/>
      <c r="B494" s="27"/>
      <c r="C494" s="27"/>
      <c r="D494" s="407"/>
      <c r="E494" s="27"/>
      <c r="F494" s="27"/>
      <c r="G494" s="27"/>
      <c r="H494" s="408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12"/>
      <c r="AW494" s="12"/>
      <c r="AX494" s="12"/>
      <c r="AY494" s="12"/>
      <c r="AZ494" s="12"/>
      <c r="BA494" s="12"/>
      <c r="BB494" s="12"/>
    </row>
    <row r="495" spans="1:54" ht="13">
      <c r="A495" s="12"/>
      <c r="B495" s="236"/>
      <c r="C495" s="236"/>
      <c r="D495" s="405"/>
      <c r="E495" s="236"/>
      <c r="F495" s="236"/>
      <c r="G495" s="236"/>
      <c r="H495" s="406"/>
      <c r="I495" s="236"/>
      <c r="J495" s="236"/>
      <c r="K495" s="236"/>
      <c r="L495" s="236"/>
      <c r="M495" s="236"/>
      <c r="N495" s="236"/>
      <c r="O495" s="236"/>
      <c r="P495" s="236"/>
      <c r="Q495" s="236"/>
      <c r="R495" s="236"/>
      <c r="S495" s="236"/>
      <c r="T495" s="236"/>
      <c r="U495" s="236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236"/>
      <c r="AH495" s="236"/>
      <c r="AI495" s="236"/>
      <c r="AJ495" s="236"/>
      <c r="AK495" s="236"/>
      <c r="AL495" s="236"/>
      <c r="AM495" s="236"/>
      <c r="AN495" s="236"/>
      <c r="AO495" s="236"/>
      <c r="AP495" s="236"/>
      <c r="AQ495" s="236"/>
      <c r="AR495" s="236"/>
      <c r="AS495" s="236"/>
      <c r="AT495" s="236"/>
      <c r="AU495" s="236"/>
      <c r="AV495" s="12"/>
      <c r="AW495" s="12"/>
      <c r="AX495" s="12"/>
      <c r="AY495" s="12"/>
      <c r="AZ495" s="12"/>
      <c r="BA495" s="12"/>
      <c r="BB495" s="12"/>
    </row>
    <row r="496" spans="1:54" ht="13">
      <c r="A496" s="12"/>
      <c r="B496" s="27"/>
      <c r="C496" s="27"/>
      <c r="D496" s="407"/>
      <c r="E496" s="27"/>
      <c r="F496" s="27"/>
      <c r="G496" s="27"/>
      <c r="H496" s="408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12"/>
      <c r="AW496" s="12"/>
      <c r="AX496" s="12"/>
      <c r="AY496" s="12"/>
      <c r="AZ496" s="12"/>
      <c r="BA496" s="12"/>
      <c r="BB496" s="12"/>
    </row>
    <row r="497" spans="1:54" ht="13">
      <c r="A497" s="12"/>
      <c r="B497" s="236"/>
      <c r="C497" s="236"/>
      <c r="D497" s="405"/>
      <c r="E497" s="236"/>
      <c r="F497" s="236"/>
      <c r="G497" s="236"/>
      <c r="H497" s="406"/>
      <c r="I497" s="236"/>
      <c r="J497" s="236"/>
      <c r="K497" s="236"/>
      <c r="L497" s="236"/>
      <c r="M497" s="236"/>
      <c r="N497" s="236"/>
      <c r="O497" s="236"/>
      <c r="P497" s="236"/>
      <c r="Q497" s="236"/>
      <c r="R497" s="236"/>
      <c r="S497" s="236"/>
      <c r="T497" s="236"/>
      <c r="U497" s="236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236"/>
      <c r="AH497" s="236"/>
      <c r="AI497" s="236"/>
      <c r="AJ497" s="236"/>
      <c r="AK497" s="236"/>
      <c r="AL497" s="236"/>
      <c r="AM497" s="236"/>
      <c r="AN497" s="236"/>
      <c r="AO497" s="236"/>
      <c r="AP497" s="236"/>
      <c r="AQ497" s="236"/>
      <c r="AR497" s="236"/>
      <c r="AS497" s="236"/>
      <c r="AT497" s="236"/>
      <c r="AU497" s="236"/>
      <c r="AV497" s="12"/>
      <c r="AW497" s="12"/>
      <c r="AX497" s="12"/>
      <c r="AY497" s="12"/>
      <c r="AZ497" s="12"/>
      <c r="BA497" s="12"/>
      <c r="BB497" s="12"/>
    </row>
    <row r="498" spans="1:54" ht="13">
      <c r="A498" s="12"/>
      <c r="B498" s="27"/>
      <c r="C498" s="27"/>
      <c r="D498" s="407"/>
      <c r="E498" s="27"/>
      <c r="F498" s="27"/>
      <c r="G498" s="27"/>
      <c r="H498" s="408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12"/>
      <c r="AW498" s="12"/>
      <c r="AX498" s="12"/>
      <c r="AY498" s="12"/>
      <c r="AZ498" s="12"/>
      <c r="BA498" s="12"/>
      <c r="BB498" s="12"/>
    </row>
    <row r="499" spans="1:54" ht="13">
      <c r="A499" s="12"/>
      <c r="B499" s="236"/>
      <c r="C499" s="236"/>
      <c r="D499" s="405"/>
      <c r="E499" s="236"/>
      <c r="F499" s="236"/>
      <c r="G499" s="236"/>
      <c r="H499" s="406"/>
      <c r="I499" s="236"/>
      <c r="J499" s="236"/>
      <c r="K499" s="236"/>
      <c r="L499" s="236"/>
      <c r="M499" s="236"/>
      <c r="N499" s="236"/>
      <c r="O499" s="236"/>
      <c r="P499" s="236"/>
      <c r="Q499" s="236"/>
      <c r="R499" s="236"/>
      <c r="S499" s="236"/>
      <c r="T499" s="236"/>
      <c r="U499" s="236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236"/>
      <c r="AH499" s="236"/>
      <c r="AI499" s="236"/>
      <c r="AJ499" s="236"/>
      <c r="AK499" s="236"/>
      <c r="AL499" s="236"/>
      <c r="AM499" s="236"/>
      <c r="AN499" s="236"/>
      <c r="AO499" s="236"/>
      <c r="AP499" s="236"/>
      <c r="AQ499" s="236"/>
      <c r="AR499" s="236"/>
      <c r="AS499" s="236"/>
      <c r="AT499" s="236"/>
      <c r="AU499" s="236"/>
      <c r="AV499" s="12"/>
      <c r="AW499" s="12"/>
      <c r="AX499" s="12"/>
      <c r="AY499" s="12"/>
      <c r="AZ499" s="12"/>
      <c r="BA499" s="12"/>
      <c r="BB499" s="12"/>
    </row>
    <row r="500" spans="1:54" ht="13">
      <c r="A500" s="12"/>
      <c r="B500" s="27"/>
      <c r="C500" s="27"/>
      <c r="D500" s="407"/>
      <c r="E500" s="27"/>
      <c r="F500" s="27"/>
      <c r="G500" s="27"/>
      <c r="H500" s="408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12"/>
      <c r="AW500" s="12"/>
      <c r="AX500" s="12"/>
      <c r="AY500" s="12"/>
      <c r="AZ500" s="12"/>
      <c r="BA500" s="12"/>
      <c r="BB500" s="12"/>
    </row>
    <row r="501" spans="1:54" ht="13">
      <c r="A501" s="12"/>
      <c r="B501" s="236"/>
      <c r="C501" s="236"/>
      <c r="D501" s="405"/>
      <c r="E501" s="236"/>
      <c r="F501" s="236"/>
      <c r="G501" s="236"/>
      <c r="H501" s="406"/>
      <c r="I501" s="236"/>
      <c r="J501" s="236"/>
      <c r="K501" s="236"/>
      <c r="L501" s="236"/>
      <c r="M501" s="236"/>
      <c r="N501" s="236"/>
      <c r="O501" s="236"/>
      <c r="P501" s="236"/>
      <c r="Q501" s="236"/>
      <c r="R501" s="236"/>
      <c r="S501" s="236"/>
      <c r="T501" s="236"/>
      <c r="U501" s="236"/>
      <c r="V501" s="236"/>
      <c r="W501" s="236"/>
      <c r="X501" s="236"/>
      <c r="Y501" s="236"/>
      <c r="Z501" s="236"/>
      <c r="AA501" s="236"/>
      <c r="AB501" s="236"/>
      <c r="AC501" s="236"/>
      <c r="AD501" s="236"/>
      <c r="AE501" s="236"/>
      <c r="AF501" s="236"/>
      <c r="AG501" s="236"/>
      <c r="AH501" s="236"/>
      <c r="AI501" s="236"/>
      <c r="AJ501" s="236"/>
      <c r="AK501" s="236"/>
      <c r="AL501" s="236"/>
      <c r="AM501" s="236"/>
      <c r="AN501" s="236"/>
      <c r="AO501" s="236"/>
      <c r="AP501" s="236"/>
      <c r="AQ501" s="236"/>
      <c r="AR501" s="236"/>
      <c r="AS501" s="236"/>
      <c r="AT501" s="236"/>
      <c r="AU501" s="236"/>
      <c r="AV501" s="12"/>
      <c r="AW501" s="12"/>
      <c r="AX501" s="12"/>
      <c r="AY501" s="12"/>
      <c r="AZ501" s="12"/>
      <c r="BA501" s="12"/>
      <c r="BB501" s="12"/>
    </row>
    <row r="502" spans="1:54" ht="13">
      <c r="A502" s="12"/>
      <c r="B502" s="27"/>
      <c r="C502" s="27"/>
      <c r="D502" s="407"/>
      <c r="E502" s="27"/>
      <c r="F502" s="27"/>
      <c r="G502" s="27"/>
      <c r="H502" s="408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12"/>
      <c r="AW502" s="12"/>
      <c r="AX502" s="12"/>
      <c r="AY502" s="12"/>
      <c r="AZ502" s="12"/>
      <c r="BA502" s="12"/>
      <c r="BB502" s="12"/>
    </row>
    <row r="503" spans="1:54" ht="13">
      <c r="A503" s="12"/>
      <c r="B503" s="236"/>
      <c r="C503" s="236"/>
      <c r="D503" s="405"/>
      <c r="E503" s="236"/>
      <c r="F503" s="236"/>
      <c r="G503" s="236"/>
      <c r="H503" s="406"/>
      <c r="I503" s="236"/>
      <c r="J503" s="236"/>
      <c r="K503" s="236"/>
      <c r="L503" s="236"/>
      <c r="M503" s="236"/>
      <c r="N503" s="236"/>
      <c r="O503" s="236"/>
      <c r="P503" s="236"/>
      <c r="Q503" s="236"/>
      <c r="R503" s="236"/>
      <c r="S503" s="236"/>
      <c r="T503" s="236"/>
      <c r="U503" s="236"/>
      <c r="V503" s="236"/>
      <c r="W503" s="236"/>
      <c r="X503" s="236"/>
      <c r="Y503" s="236"/>
      <c r="Z503" s="236"/>
      <c r="AA503" s="236"/>
      <c r="AB503" s="236"/>
      <c r="AC503" s="236"/>
      <c r="AD503" s="236"/>
      <c r="AE503" s="236"/>
      <c r="AF503" s="236"/>
      <c r="AG503" s="236"/>
      <c r="AH503" s="236"/>
      <c r="AI503" s="236"/>
      <c r="AJ503" s="236"/>
      <c r="AK503" s="236"/>
      <c r="AL503" s="236"/>
      <c r="AM503" s="236"/>
      <c r="AN503" s="236"/>
      <c r="AO503" s="236"/>
      <c r="AP503" s="236"/>
      <c r="AQ503" s="236"/>
      <c r="AR503" s="236"/>
      <c r="AS503" s="236"/>
      <c r="AT503" s="236"/>
      <c r="AU503" s="236"/>
      <c r="AV503" s="12"/>
      <c r="AW503" s="12"/>
      <c r="AX503" s="12"/>
      <c r="AY503" s="12"/>
      <c r="AZ503" s="12"/>
      <c r="BA503" s="12"/>
      <c r="BB503" s="12"/>
    </row>
    <row r="504" spans="1:54" ht="13">
      <c r="A504" s="12"/>
      <c r="B504" s="27"/>
      <c r="C504" s="27"/>
      <c r="D504" s="407"/>
      <c r="E504" s="27"/>
      <c r="F504" s="27"/>
      <c r="G504" s="27"/>
      <c r="H504" s="408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12"/>
      <c r="AW504" s="12"/>
      <c r="AX504" s="12"/>
      <c r="AY504" s="12"/>
      <c r="AZ504" s="12"/>
      <c r="BA504" s="12"/>
      <c r="BB504" s="12"/>
    </row>
    <row r="505" spans="1:54" ht="13">
      <c r="A505" s="12"/>
      <c r="B505" s="236"/>
      <c r="C505" s="236"/>
      <c r="D505" s="405"/>
      <c r="E505" s="236"/>
      <c r="F505" s="236"/>
      <c r="G505" s="236"/>
      <c r="H505" s="406"/>
      <c r="I505" s="236"/>
      <c r="J505" s="236"/>
      <c r="K505" s="236"/>
      <c r="L505" s="236"/>
      <c r="M505" s="236"/>
      <c r="N505" s="236"/>
      <c r="O505" s="236"/>
      <c r="P505" s="236"/>
      <c r="Q505" s="236"/>
      <c r="R505" s="236"/>
      <c r="S505" s="236"/>
      <c r="T505" s="236"/>
      <c r="U505" s="236"/>
      <c r="V505" s="236"/>
      <c r="W505" s="236"/>
      <c r="X505" s="236"/>
      <c r="Y505" s="236"/>
      <c r="Z505" s="236"/>
      <c r="AA505" s="236"/>
      <c r="AB505" s="236"/>
      <c r="AC505" s="236"/>
      <c r="AD505" s="236"/>
      <c r="AE505" s="236"/>
      <c r="AF505" s="236"/>
      <c r="AG505" s="236"/>
      <c r="AH505" s="236"/>
      <c r="AI505" s="236"/>
      <c r="AJ505" s="236"/>
      <c r="AK505" s="236"/>
      <c r="AL505" s="236"/>
      <c r="AM505" s="236"/>
      <c r="AN505" s="236"/>
      <c r="AO505" s="236"/>
      <c r="AP505" s="236"/>
      <c r="AQ505" s="236"/>
      <c r="AR505" s="236"/>
      <c r="AS505" s="236"/>
      <c r="AT505" s="236"/>
      <c r="AU505" s="236"/>
      <c r="AV505" s="12"/>
      <c r="AW505" s="12"/>
      <c r="AX505" s="12"/>
      <c r="AY505" s="12"/>
      <c r="AZ505" s="12"/>
      <c r="BA505" s="12"/>
      <c r="BB505" s="12"/>
    </row>
    <row r="506" spans="1:54" ht="13">
      <c r="A506" s="12"/>
      <c r="B506" s="27"/>
      <c r="C506" s="27"/>
      <c r="D506" s="407"/>
      <c r="E506" s="27"/>
      <c r="F506" s="27"/>
      <c r="G506" s="27"/>
      <c r="H506" s="408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12"/>
      <c r="AW506" s="12"/>
      <c r="AX506" s="12"/>
      <c r="AY506" s="12"/>
      <c r="AZ506" s="12"/>
      <c r="BA506" s="12"/>
      <c r="BB506" s="12"/>
    </row>
    <row r="507" spans="1:54" ht="13">
      <c r="A507" s="12"/>
      <c r="B507" s="236"/>
      <c r="C507" s="236"/>
      <c r="D507" s="405"/>
      <c r="E507" s="236"/>
      <c r="F507" s="236"/>
      <c r="G507" s="236"/>
      <c r="H507" s="406"/>
      <c r="I507" s="236"/>
      <c r="J507" s="236"/>
      <c r="K507" s="236"/>
      <c r="L507" s="236"/>
      <c r="M507" s="236"/>
      <c r="N507" s="236"/>
      <c r="O507" s="236"/>
      <c r="P507" s="236"/>
      <c r="Q507" s="236"/>
      <c r="R507" s="236"/>
      <c r="S507" s="236"/>
      <c r="T507" s="236"/>
      <c r="U507" s="236"/>
      <c r="V507" s="236"/>
      <c r="W507" s="236"/>
      <c r="X507" s="236"/>
      <c r="Y507" s="236"/>
      <c r="Z507" s="236"/>
      <c r="AA507" s="236"/>
      <c r="AB507" s="236"/>
      <c r="AC507" s="236"/>
      <c r="AD507" s="236"/>
      <c r="AE507" s="236"/>
      <c r="AF507" s="236"/>
      <c r="AG507" s="236"/>
      <c r="AH507" s="236"/>
      <c r="AI507" s="236"/>
      <c r="AJ507" s="236"/>
      <c r="AK507" s="236"/>
      <c r="AL507" s="236"/>
      <c r="AM507" s="236"/>
      <c r="AN507" s="236"/>
      <c r="AO507" s="236"/>
      <c r="AP507" s="236"/>
      <c r="AQ507" s="236"/>
      <c r="AR507" s="236"/>
      <c r="AS507" s="236"/>
      <c r="AT507" s="236"/>
      <c r="AU507" s="236"/>
      <c r="AV507" s="12"/>
      <c r="AW507" s="12"/>
      <c r="AX507" s="12"/>
      <c r="AY507" s="12"/>
      <c r="AZ507" s="12"/>
      <c r="BA507" s="12"/>
      <c r="BB507" s="12"/>
    </row>
    <row r="508" spans="1:54" ht="13">
      <c r="A508" s="12"/>
      <c r="B508" s="27"/>
      <c r="C508" s="27"/>
      <c r="D508" s="407"/>
      <c r="E508" s="27"/>
      <c r="F508" s="27"/>
      <c r="G508" s="27"/>
      <c r="H508" s="408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12"/>
      <c r="AW508" s="12"/>
      <c r="AX508" s="12"/>
      <c r="AY508" s="12"/>
      <c r="AZ508" s="12"/>
      <c r="BA508" s="12"/>
      <c r="BB508" s="12"/>
    </row>
    <row r="509" spans="1:54" ht="13">
      <c r="A509" s="12"/>
      <c r="B509" s="236"/>
      <c r="C509" s="236"/>
      <c r="D509" s="405"/>
      <c r="E509" s="236"/>
      <c r="F509" s="236"/>
      <c r="G509" s="236"/>
      <c r="H509" s="406"/>
      <c r="I509" s="236"/>
      <c r="J509" s="236"/>
      <c r="K509" s="236"/>
      <c r="L509" s="236"/>
      <c r="M509" s="236"/>
      <c r="N509" s="236"/>
      <c r="O509" s="236"/>
      <c r="P509" s="236"/>
      <c r="Q509" s="236"/>
      <c r="R509" s="236"/>
      <c r="S509" s="236"/>
      <c r="T509" s="236"/>
      <c r="U509" s="236"/>
      <c r="V509" s="236"/>
      <c r="W509" s="236"/>
      <c r="X509" s="236"/>
      <c r="Y509" s="236"/>
      <c r="Z509" s="236"/>
      <c r="AA509" s="236"/>
      <c r="AB509" s="236"/>
      <c r="AC509" s="236"/>
      <c r="AD509" s="236"/>
      <c r="AE509" s="236"/>
      <c r="AF509" s="236"/>
      <c r="AG509" s="236"/>
      <c r="AH509" s="236"/>
      <c r="AI509" s="236"/>
      <c r="AJ509" s="236"/>
      <c r="AK509" s="236"/>
      <c r="AL509" s="236"/>
      <c r="AM509" s="236"/>
      <c r="AN509" s="236"/>
      <c r="AO509" s="236"/>
      <c r="AP509" s="236"/>
      <c r="AQ509" s="236"/>
      <c r="AR509" s="236"/>
      <c r="AS509" s="236"/>
      <c r="AT509" s="236"/>
      <c r="AU509" s="236"/>
      <c r="AV509" s="12"/>
      <c r="AW509" s="12"/>
      <c r="AX509" s="12"/>
      <c r="AY509" s="12"/>
      <c r="AZ509" s="12"/>
      <c r="BA509" s="12"/>
      <c r="BB509" s="12"/>
    </row>
    <row r="510" spans="1:54" ht="13">
      <c r="A510" s="12"/>
      <c r="B510" s="27"/>
      <c r="C510" s="27"/>
      <c r="D510" s="407"/>
      <c r="E510" s="27"/>
      <c r="F510" s="27"/>
      <c r="G510" s="27"/>
      <c r="H510" s="408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12"/>
      <c r="AW510" s="12"/>
      <c r="AX510" s="12"/>
      <c r="AY510" s="12"/>
      <c r="AZ510" s="12"/>
      <c r="BA510" s="12"/>
      <c r="BB510" s="12"/>
    </row>
    <row r="511" spans="1:54" ht="13">
      <c r="A511" s="12"/>
      <c r="B511" s="236"/>
      <c r="C511" s="236"/>
      <c r="D511" s="405"/>
      <c r="E511" s="236"/>
      <c r="F511" s="236"/>
      <c r="G511" s="236"/>
      <c r="H511" s="406"/>
      <c r="I511" s="236"/>
      <c r="J511" s="236"/>
      <c r="K511" s="236"/>
      <c r="L511" s="236"/>
      <c r="M511" s="236"/>
      <c r="N511" s="236"/>
      <c r="O511" s="236"/>
      <c r="P511" s="236"/>
      <c r="Q511" s="236"/>
      <c r="R511" s="236"/>
      <c r="S511" s="236"/>
      <c r="T511" s="236"/>
      <c r="U511" s="236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236"/>
      <c r="AH511" s="236"/>
      <c r="AI511" s="236"/>
      <c r="AJ511" s="236"/>
      <c r="AK511" s="236"/>
      <c r="AL511" s="236"/>
      <c r="AM511" s="236"/>
      <c r="AN511" s="236"/>
      <c r="AO511" s="236"/>
      <c r="AP511" s="236"/>
      <c r="AQ511" s="236"/>
      <c r="AR511" s="236"/>
      <c r="AS511" s="236"/>
      <c r="AT511" s="236"/>
      <c r="AU511" s="236"/>
      <c r="AV511" s="12"/>
      <c r="AW511" s="12"/>
      <c r="AX511" s="12"/>
      <c r="AY511" s="12"/>
      <c r="AZ511" s="12"/>
      <c r="BA511" s="12"/>
      <c r="BB511" s="12"/>
    </row>
    <row r="512" spans="1:54" ht="13">
      <c r="A512" s="12"/>
      <c r="B512" s="27"/>
      <c r="C512" s="27"/>
      <c r="D512" s="407"/>
      <c r="E512" s="27"/>
      <c r="F512" s="27"/>
      <c r="G512" s="27"/>
      <c r="H512" s="408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12"/>
      <c r="AW512" s="12"/>
      <c r="AX512" s="12"/>
      <c r="AY512" s="12"/>
      <c r="AZ512" s="12"/>
      <c r="BA512" s="12"/>
      <c r="BB512" s="12"/>
    </row>
    <row r="513" spans="1:54" ht="13">
      <c r="A513" s="12"/>
      <c r="B513" s="236"/>
      <c r="C513" s="236"/>
      <c r="D513" s="405"/>
      <c r="E513" s="236"/>
      <c r="F513" s="236"/>
      <c r="G513" s="236"/>
      <c r="H513" s="406"/>
      <c r="I513" s="236"/>
      <c r="J513" s="236"/>
      <c r="K513" s="236"/>
      <c r="L513" s="236"/>
      <c r="M513" s="236"/>
      <c r="N513" s="236"/>
      <c r="O513" s="236"/>
      <c r="P513" s="236"/>
      <c r="Q513" s="236"/>
      <c r="R513" s="236"/>
      <c r="S513" s="236"/>
      <c r="T513" s="236"/>
      <c r="U513" s="236"/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236"/>
      <c r="AH513" s="236"/>
      <c r="AI513" s="236"/>
      <c r="AJ513" s="236"/>
      <c r="AK513" s="236"/>
      <c r="AL513" s="236"/>
      <c r="AM513" s="236"/>
      <c r="AN513" s="236"/>
      <c r="AO513" s="236"/>
      <c r="AP513" s="236"/>
      <c r="AQ513" s="236"/>
      <c r="AR513" s="236"/>
      <c r="AS513" s="236"/>
      <c r="AT513" s="236"/>
      <c r="AU513" s="236"/>
      <c r="AV513" s="12"/>
      <c r="AW513" s="12"/>
      <c r="AX513" s="12"/>
      <c r="AY513" s="12"/>
      <c r="AZ513" s="12"/>
      <c r="BA513" s="12"/>
      <c r="BB513" s="12"/>
    </row>
    <row r="514" spans="1:54" ht="13">
      <c r="A514" s="12"/>
      <c r="B514" s="27"/>
      <c r="C514" s="27"/>
      <c r="D514" s="407"/>
      <c r="E514" s="27"/>
      <c r="F514" s="27"/>
      <c r="G514" s="27"/>
      <c r="H514" s="408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12"/>
      <c r="AW514" s="12"/>
      <c r="AX514" s="12"/>
      <c r="AY514" s="12"/>
      <c r="AZ514" s="12"/>
      <c r="BA514" s="12"/>
      <c r="BB514" s="12"/>
    </row>
    <row r="515" spans="1:54" ht="13">
      <c r="A515" s="12"/>
      <c r="B515" s="236"/>
      <c r="C515" s="236"/>
      <c r="D515" s="405"/>
      <c r="E515" s="236"/>
      <c r="F515" s="236"/>
      <c r="G515" s="236"/>
      <c r="H515" s="406"/>
      <c r="I515" s="236"/>
      <c r="J515" s="236"/>
      <c r="K515" s="236"/>
      <c r="L515" s="236"/>
      <c r="M515" s="236"/>
      <c r="N515" s="236"/>
      <c r="O515" s="236"/>
      <c r="P515" s="236"/>
      <c r="Q515" s="236"/>
      <c r="R515" s="236"/>
      <c r="S515" s="236"/>
      <c r="T515" s="236"/>
      <c r="U515" s="236"/>
      <c r="V515" s="236"/>
      <c r="W515" s="236"/>
      <c r="X515" s="236"/>
      <c r="Y515" s="236"/>
      <c r="Z515" s="236"/>
      <c r="AA515" s="236"/>
      <c r="AB515" s="236"/>
      <c r="AC515" s="236"/>
      <c r="AD515" s="236"/>
      <c r="AE515" s="236"/>
      <c r="AF515" s="236"/>
      <c r="AG515" s="236"/>
      <c r="AH515" s="236"/>
      <c r="AI515" s="236"/>
      <c r="AJ515" s="236"/>
      <c r="AK515" s="236"/>
      <c r="AL515" s="236"/>
      <c r="AM515" s="236"/>
      <c r="AN515" s="236"/>
      <c r="AO515" s="236"/>
      <c r="AP515" s="236"/>
      <c r="AQ515" s="236"/>
      <c r="AR515" s="236"/>
      <c r="AS515" s="236"/>
      <c r="AT515" s="236"/>
      <c r="AU515" s="236"/>
      <c r="AV515" s="12"/>
      <c r="AW515" s="12"/>
      <c r="AX515" s="12"/>
      <c r="AY515" s="12"/>
      <c r="AZ515" s="12"/>
      <c r="BA515" s="12"/>
      <c r="BB515" s="12"/>
    </row>
    <row r="516" spans="1:54" ht="13">
      <c r="A516" s="12"/>
      <c r="B516" s="27"/>
      <c r="C516" s="27"/>
      <c r="D516" s="407"/>
      <c r="E516" s="27"/>
      <c r="F516" s="27"/>
      <c r="G516" s="27"/>
      <c r="H516" s="408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12"/>
      <c r="AW516" s="12"/>
      <c r="AX516" s="12"/>
      <c r="AY516" s="12"/>
      <c r="AZ516" s="12"/>
      <c r="BA516" s="12"/>
      <c r="BB516" s="12"/>
    </row>
    <row r="517" spans="1:54" ht="13">
      <c r="A517" s="12"/>
      <c r="B517" s="236"/>
      <c r="C517" s="236"/>
      <c r="D517" s="405"/>
      <c r="E517" s="236"/>
      <c r="F517" s="236"/>
      <c r="G517" s="236"/>
      <c r="H517" s="406"/>
      <c r="I517" s="236"/>
      <c r="J517" s="236"/>
      <c r="K517" s="236"/>
      <c r="L517" s="236"/>
      <c r="M517" s="236"/>
      <c r="N517" s="236"/>
      <c r="O517" s="236"/>
      <c r="P517" s="236"/>
      <c r="Q517" s="236"/>
      <c r="R517" s="236"/>
      <c r="S517" s="236"/>
      <c r="T517" s="236"/>
      <c r="U517" s="236"/>
      <c r="V517" s="236"/>
      <c r="W517" s="236"/>
      <c r="X517" s="236"/>
      <c r="Y517" s="236"/>
      <c r="Z517" s="236"/>
      <c r="AA517" s="236"/>
      <c r="AB517" s="236"/>
      <c r="AC517" s="236"/>
      <c r="AD517" s="236"/>
      <c r="AE517" s="236"/>
      <c r="AF517" s="236"/>
      <c r="AG517" s="236"/>
      <c r="AH517" s="236"/>
      <c r="AI517" s="236"/>
      <c r="AJ517" s="236"/>
      <c r="AK517" s="236"/>
      <c r="AL517" s="236"/>
      <c r="AM517" s="236"/>
      <c r="AN517" s="236"/>
      <c r="AO517" s="236"/>
      <c r="AP517" s="236"/>
      <c r="AQ517" s="236"/>
      <c r="AR517" s="236"/>
      <c r="AS517" s="236"/>
      <c r="AT517" s="236"/>
      <c r="AU517" s="236"/>
      <c r="AV517" s="12"/>
      <c r="AW517" s="12"/>
      <c r="AX517" s="12"/>
      <c r="AY517" s="12"/>
      <c r="AZ517" s="12"/>
      <c r="BA517" s="12"/>
      <c r="BB517" s="12"/>
    </row>
    <row r="518" spans="1:54" ht="13">
      <c r="A518" s="12"/>
      <c r="B518" s="27"/>
      <c r="C518" s="27"/>
      <c r="D518" s="407"/>
      <c r="E518" s="27"/>
      <c r="F518" s="27"/>
      <c r="G518" s="27"/>
      <c r="H518" s="408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12"/>
      <c r="AW518" s="12"/>
      <c r="AX518" s="12"/>
      <c r="AY518" s="12"/>
      <c r="AZ518" s="12"/>
      <c r="BA518" s="12"/>
      <c r="BB518" s="12"/>
    </row>
    <row r="519" spans="1:54" ht="13">
      <c r="A519" s="12"/>
      <c r="B519" s="236"/>
      <c r="C519" s="236"/>
      <c r="D519" s="405"/>
      <c r="E519" s="236"/>
      <c r="F519" s="236"/>
      <c r="G519" s="236"/>
      <c r="H519" s="406"/>
      <c r="I519" s="236"/>
      <c r="J519" s="236"/>
      <c r="K519" s="236"/>
      <c r="L519" s="236"/>
      <c r="M519" s="236"/>
      <c r="N519" s="236"/>
      <c r="O519" s="236"/>
      <c r="P519" s="236"/>
      <c r="Q519" s="236"/>
      <c r="R519" s="236"/>
      <c r="S519" s="236"/>
      <c r="T519" s="236"/>
      <c r="U519" s="236"/>
      <c r="V519" s="236"/>
      <c r="W519" s="236"/>
      <c r="X519" s="236"/>
      <c r="Y519" s="236"/>
      <c r="Z519" s="236"/>
      <c r="AA519" s="236"/>
      <c r="AB519" s="236"/>
      <c r="AC519" s="236"/>
      <c r="AD519" s="236"/>
      <c r="AE519" s="236"/>
      <c r="AF519" s="236"/>
      <c r="AG519" s="236"/>
      <c r="AH519" s="236"/>
      <c r="AI519" s="236"/>
      <c r="AJ519" s="236"/>
      <c r="AK519" s="236"/>
      <c r="AL519" s="236"/>
      <c r="AM519" s="236"/>
      <c r="AN519" s="236"/>
      <c r="AO519" s="236"/>
      <c r="AP519" s="236"/>
      <c r="AQ519" s="236"/>
      <c r="AR519" s="236"/>
      <c r="AS519" s="236"/>
      <c r="AT519" s="236"/>
      <c r="AU519" s="236"/>
      <c r="AV519" s="12"/>
      <c r="AW519" s="12"/>
      <c r="AX519" s="12"/>
      <c r="AY519" s="12"/>
      <c r="AZ519" s="12"/>
      <c r="BA519" s="12"/>
      <c r="BB519" s="12"/>
    </row>
    <row r="520" spans="1:54" ht="13">
      <c r="A520" s="12"/>
      <c r="B520" s="27"/>
      <c r="C520" s="27"/>
      <c r="D520" s="407"/>
      <c r="E520" s="27"/>
      <c r="F520" s="27"/>
      <c r="G520" s="27"/>
      <c r="H520" s="408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12"/>
      <c r="AW520" s="12"/>
      <c r="AX520" s="12"/>
      <c r="AY520" s="12"/>
      <c r="AZ520" s="12"/>
      <c r="BA520" s="12"/>
      <c r="BB520" s="12"/>
    </row>
    <row r="521" spans="1:54" ht="13">
      <c r="A521" s="12"/>
      <c r="B521" s="236"/>
      <c r="C521" s="236"/>
      <c r="D521" s="405"/>
      <c r="E521" s="236"/>
      <c r="F521" s="236"/>
      <c r="G521" s="236"/>
      <c r="H521" s="406"/>
      <c r="I521" s="236"/>
      <c r="J521" s="236"/>
      <c r="K521" s="236"/>
      <c r="L521" s="236"/>
      <c r="M521" s="236"/>
      <c r="N521" s="236"/>
      <c r="O521" s="236"/>
      <c r="P521" s="236"/>
      <c r="Q521" s="236"/>
      <c r="R521" s="236"/>
      <c r="S521" s="236"/>
      <c r="T521" s="236"/>
      <c r="U521" s="236"/>
      <c r="V521" s="236"/>
      <c r="W521" s="236"/>
      <c r="X521" s="236"/>
      <c r="Y521" s="236"/>
      <c r="Z521" s="236"/>
      <c r="AA521" s="236"/>
      <c r="AB521" s="236"/>
      <c r="AC521" s="236"/>
      <c r="AD521" s="236"/>
      <c r="AE521" s="236"/>
      <c r="AF521" s="236"/>
      <c r="AG521" s="236"/>
      <c r="AH521" s="236"/>
      <c r="AI521" s="236"/>
      <c r="AJ521" s="236"/>
      <c r="AK521" s="236"/>
      <c r="AL521" s="236"/>
      <c r="AM521" s="236"/>
      <c r="AN521" s="236"/>
      <c r="AO521" s="236"/>
      <c r="AP521" s="236"/>
      <c r="AQ521" s="236"/>
      <c r="AR521" s="236"/>
      <c r="AS521" s="236"/>
      <c r="AT521" s="236"/>
      <c r="AU521" s="236"/>
      <c r="AV521" s="12"/>
      <c r="AW521" s="12"/>
      <c r="AX521" s="12"/>
      <c r="AY521" s="12"/>
      <c r="AZ521" s="12"/>
      <c r="BA521" s="12"/>
      <c r="BB521" s="12"/>
    </row>
    <row r="522" spans="1:54" ht="13">
      <c r="A522" s="12"/>
      <c r="B522" s="27"/>
      <c r="C522" s="27"/>
      <c r="D522" s="407"/>
      <c r="E522" s="27"/>
      <c r="F522" s="27"/>
      <c r="G522" s="27"/>
      <c r="H522" s="408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12"/>
      <c r="AW522" s="12"/>
      <c r="AX522" s="12"/>
      <c r="AY522" s="12"/>
      <c r="AZ522" s="12"/>
      <c r="BA522" s="12"/>
      <c r="BB522" s="12"/>
    </row>
    <row r="523" spans="1:54" ht="13">
      <c r="A523" s="12"/>
      <c r="B523" s="236"/>
      <c r="C523" s="236"/>
      <c r="D523" s="405"/>
      <c r="E523" s="236"/>
      <c r="F523" s="236"/>
      <c r="G523" s="236"/>
      <c r="H523" s="406"/>
      <c r="I523" s="236"/>
      <c r="J523" s="236"/>
      <c r="K523" s="236"/>
      <c r="L523" s="236"/>
      <c r="M523" s="236"/>
      <c r="N523" s="236"/>
      <c r="O523" s="236"/>
      <c r="P523" s="236"/>
      <c r="Q523" s="236"/>
      <c r="R523" s="236"/>
      <c r="S523" s="236"/>
      <c r="T523" s="236"/>
      <c r="U523" s="236"/>
      <c r="V523" s="236"/>
      <c r="W523" s="236"/>
      <c r="X523" s="236"/>
      <c r="Y523" s="236"/>
      <c r="Z523" s="236"/>
      <c r="AA523" s="236"/>
      <c r="AB523" s="236"/>
      <c r="AC523" s="236"/>
      <c r="AD523" s="236"/>
      <c r="AE523" s="236"/>
      <c r="AF523" s="236"/>
      <c r="AG523" s="236"/>
      <c r="AH523" s="236"/>
      <c r="AI523" s="236"/>
      <c r="AJ523" s="236"/>
      <c r="AK523" s="236"/>
      <c r="AL523" s="236"/>
      <c r="AM523" s="236"/>
      <c r="AN523" s="236"/>
      <c r="AO523" s="236"/>
      <c r="AP523" s="236"/>
      <c r="AQ523" s="236"/>
      <c r="AR523" s="236"/>
      <c r="AS523" s="236"/>
      <c r="AT523" s="236"/>
      <c r="AU523" s="236"/>
      <c r="AV523" s="12"/>
      <c r="AW523" s="12"/>
      <c r="AX523" s="12"/>
      <c r="AY523" s="12"/>
      <c r="AZ523" s="12"/>
      <c r="BA523" s="12"/>
      <c r="BB523" s="12"/>
    </row>
    <row r="524" spans="1:54" ht="13">
      <c r="A524" s="12"/>
      <c r="B524" s="27"/>
      <c r="C524" s="27"/>
      <c r="D524" s="407"/>
      <c r="E524" s="27"/>
      <c r="F524" s="27"/>
      <c r="G524" s="27"/>
      <c r="H524" s="408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12"/>
      <c r="AW524" s="12"/>
      <c r="AX524" s="12"/>
      <c r="AY524" s="12"/>
      <c r="AZ524" s="12"/>
      <c r="BA524" s="12"/>
      <c r="BB524" s="12"/>
    </row>
    <row r="525" spans="1:54" ht="13">
      <c r="A525" s="12"/>
      <c r="B525" s="236"/>
      <c r="C525" s="236"/>
      <c r="D525" s="405"/>
      <c r="E525" s="236"/>
      <c r="F525" s="236"/>
      <c r="G525" s="236"/>
      <c r="H525" s="406"/>
      <c r="I525" s="236"/>
      <c r="J525" s="236"/>
      <c r="K525" s="236"/>
      <c r="L525" s="236"/>
      <c r="M525" s="236"/>
      <c r="N525" s="236"/>
      <c r="O525" s="236"/>
      <c r="P525" s="236"/>
      <c r="Q525" s="236"/>
      <c r="R525" s="236"/>
      <c r="S525" s="236"/>
      <c r="T525" s="236"/>
      <c r="U525" s="236"/>
      <c r="V525" s="236"/>
      <c r="W525" s="236"/>
      <c r="X525" s="236"/>
      <c r="Y525" s="236"/>
      <c r="Z525" s="236"/>
      <c r="AA525" s="236"/>
      <c r="AB525" s="236"/>
      <c r="AC525" s="236"/>
      <c r="AD525" s="236"/>
      <c r="AE525" s="236"/>
      <c r="AF525" s="236"/>
      <c r="AG525" s="236"/>
      <c r="AH525" s="236"/>
      <c r="AI525" s="236"/>
      <c r="AJ525" s="236"/>
      <c r="AK525" s="236"/>
      <c r="AL525" s="236"/>
      <c r="AM525" s="236"/>
      <c r="AN525" s="236"/>
      <c r="AO525" s="236"/>
      <c r="AP525" s="236"/>
      <c r="AQ525" s="236"/>
      <c r="AR525" s="236"/>
      <c r="AS525" s="236"/>
      <c r="AT525" s="236"/>
      <c r="AU525" s="236"/>
      <c r="AV525" s="12"/>
      <c r="AW525" s="12"/>
      <c r="AX525" s="12"/>
      <c r="AY525" s="12"/>
      <c r="AZ525" s="12"/>
      <c r="BA525" s="12"/>
      <c r="BB525" s="12"/>
    </row>
    <row r="526" spans="1:54" ht="13">
      <c r="A526" s="12"/>
      <c r="B526" s="27"/>
      <c r="C526" s="27"/>
      <c r="D526" s="407"/>
      <c r="E526" s="27"/>
      <c r="F526" s="27"/>
      <c r="G526" s="27"/>
      <c r="H526" s="408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12"/>
      <c r="AW526" s="12"/>
      <c r="AX526" s="12"/>
      <c r="AY526" s="12"/>
      <c r="AZ526" s="12"/>
      <c r="BA526" s="12"/>
      <c r="BB526" s="12"/>
    </row>
    <row r="527" spans="1:54" ht="13">
      <c r="A527" s="12"/>
      <c r="B527" s="236"/>
      <c r="C527" s="236"/>
      <c r="D527" s="405"/>
      <c r="E527" s="236"/>
      <c r="F527" s="236"/>
      <c r="G527" s="236"/>
      <c r="H527" s="406"/>
      <c r="I527" s="236"/>
      <c r="J527" s="236"/>
      <c r="K527" s="236"/>
      <c r="L527" s="236"/>
      <c r="M527" s="236"/>
      <c r="N527" s="236"/>
      <c r="O527" s="236"/>
      <c r="P527" s="236"/>
      <c r="Q527" s="236"/>
      <c r="R527" s="236"/>
      <c r="S527" s="236"/>
      <c r="T527" s="236"/>
      <c r="U527" s="236"/>
      <c r="V527" s="236"/>
      <c r="W527" s="236"/>
      <c r="X527" s="236"/>
      <c r="Y527" s="236"/>
      <c r="Z527" s="236"/>
      <c r="AA527" s="236"/>
      <c r="AB527" s="236"/>
      <c r="AC527" s="236"/>
      <c r="AD527" s="236"/>
      <c r="AE527" s="236"/>
      <c r="AF527" s="236"/>
      <c r="AG527" s="236"/>
      <c r="AH527" s="236"/>
      <c r="AI527" s="236"/>
      <c r="AJ527" s="236"/>
      <c r="AK527" s="236"/>
      <c r="AL527" s="236"/>
      <c r="AM527" s="236"/>
      <c r="AN527" s="236"/>
      <c r="AO527" s="236"/>
      <c r="AP527" s="236"/>
      <c r="AQ527" s="236"/>
      <c r="AR527" s="236"/>
      <c r="AS527" s="236"/>
      <c r="AT527" s="236"/>
      <c r="AU527" s="236"/>
      <c r="AV527" s="12"/>
      <c r="AW527" s="12"/>
      <c r="AX527" s="12"/>
      <c r="AY527" s="12"/>
      <c r="AZ527" s="12"/>
      <c r="BA527" s="12"/>
      <c r="BB527" s="12"/>
    </row>
    <row r="528" spans="1:54" ht="13">
      <c r="A528" s="12"/>
      <c r="B528" s="27"/>
      <c r="C528" s="27"/>
      <c r="D528" s="407"/>
      <c r="E528" s="27"/>
      <c r="F528" s="27"/>
      <c r="G528" s="27"/>
      <c r="H528" s="408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12"/>
      <c r="AW528" s="12"/>
      <c r="AX528" s="12"/>
      <c r="AY528" s="12"/>
      <c r="AZ528" s="12"/>
      <c r="BA528" s="12"/>
      <c r="BB528" s="12"/>
    </row>
    <row r="529" spans="1:54" ht="13">
      <c r="A529" s="12"/>
      <c r="B529" s="236"/>
      <c r="C529" s="236"/>
      <c r="D529" s="405"/>
      <c r="E529" s="236"/>
      <c r="F529" s="236"/>
      <c r="G529" s="236"/>
      <c r="H529" s="406"/>
      <c r="I529" s="236"/>
      <c r="J529" s="236"/>
      <c r="K529" s="236"/>
      <c r="L529" s="236"/>
      <c r="M529" s="236"/>
      <c r="N529" s="236"/>
      <c r="O529" s="236"/>
      <c r="P529" s="236"/>
      <c r="Q529" s="236"/>
      <c r="R529" s="236"/>
      <c r="S529" s="236"/>
      <c r="T529" s="236"/>
      <c r="U529" s="236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236"/>
      <c r="AH529" s="236"/>
      <c r="AI529" s="236"/>
      <c r="AJ529" s="236"/>
      <c r="AK529" s="236"/>
      <c r="AL529" s="236"/>
      <c r="AM529" s="236"/>
      <c r="AN529" s="236"/>
      <c r="AO529" s="236"/>
      <c r="AP529" s="236"/>
      <c r="AQ529" s="236"/>
      <c r="AR529" s="236"/>
      <c r="AS529" s="236"/>
      <c r="AT529" s="236"/>
      <c r="AU529" s="236"/>
      <c r="AV529" s="12"/>
      <c r="AW529" s="12"/>
      <c r="AX529" s="12"/>
      <c r="AY529" s="12"/>
      <c r="AZ529" s="12"/>
      <c r="BA529" s="12"/>
      <c r="BB529" s="12"/>
    </row>
    <row r="530" spans="1:54" ht="13">
      <c r="A530" s="12"/>
      <c r="B530" s="27"/>
      <c r="C530" s="27"/>
      <c r="D530" s="407"/>
      <c r="E530" s="27"/>
      <c r="F530" s="27"/>
      <c r="G530" s="27"/>
      <c r="H530" s="408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12"/>
      <c r="AW530" s="12"/>
      <c r="AX530" s="12"/>
      <c r="AY530" s="12"/>
      <c r="AZ530" s="12"/>
      <c r="BA530" s="12"/>
      <c r="BB530" s="12"/>
    </row>
    <row r="531" spans="1:54" ht="13">
      <c r="A531" s="12"/>
      <c r="B531" s="236"/>
      <c r="C531" s="236"/>
      <c r="D531" s="405"/>
      <c r="E531" s="236"/>
      <c r="F531" s="236"/>
      <c r="G531" s="236"/>
      <c r="H531" s="406"/>
      <c r="I531" s="236"/>
      <c r="J531" s="236"/>
      <c r="K531" s="236"/>
      <c r="L531" s="236"/>
      <c r="M531" s="236"/>
      <c r="N531" s="236"/>
      <c r="O531" s="236"/>
      <c r="P531" s="236"/>
      <c r="Q531" s="236"/>
      <c r="R531" s="236"/>
      <c r="S531" s="236"/>
      <c r="T531" s="236"/>
      <c r="U531" s="236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236"/>
      <c r="AH531" s="236"/>
      <c r="AI531" s="236"/>
      <c r="AJ531" s="236"/>
      <c r="AK531" s="236"/>
      <c r="AL531" s="236"/>
      <c r="AM531" s="236"/>
      <c r="AN531" s="236"/>
      <c r="AO531" s="236"/>
      <c r="AP531" s="236"/>
      <c r="AQ531" s="236"/>
      <c r="AR531" s="236"/>
      <c r="AS531" s="236"/>
      <c r="AT531" s="236"/>
      <c r="AU531" s="236"/>
      <c r="AV531" s="12"/>
      <c r="AW531" s="12"/>
      <c r="AX531" s="12"/>
      <c r="AY531" s="12"/>
      <c r="AZ531" s="12"/>
      <c r="BA531" s="12"/>
      <c r="BB531" s="12"/>
    </row>
    <row r="532" spans="1:54" ht="13">
      <c r="A532" s="12"/>
      <c r="B532" s="27"/>
      <c r="C532" s="27"/>
      <c r="D532" s="407"/>
      <c r="E532" s="27"/>
      <c r="F532" s="27"/>
      <c r="G532" s="27"/>
      <c r="H532" s="408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12"/>
      <c r="AW532" s="12"/>
      <c r="AX532" s="12"/>
      <c r="AY532" s="12"/>
      <c r="AZ532" s="12"/>
      <c r="BA532" s="12"/>
      <c r="BB532" s="12"/>
    </row>
    <row r="533" spans="1:54" ht="13">
      <c r="A533" s="12"/>
      <c r="B533" s="236"/>
      <c r="C533" s="236"/>
      <c r="D533" s="405"/>
      <c r="E533" s="236"/>
      <c r="F533" s="236"/>
      <c r="G533" s="236"/>
      <c r="H533" s="406"/>
      <c r="I533" s="236"/>
      <c r="J533" s="236"/>
      <c r="K533" s="236"/>
      <c r="L533" s="236"/>
      <c r="M533" s="236"/>
      <c r="N533" s="236"/>
      <c r="O533" s="236"/>
      <c r="P533" s="236"/>
      <c r="Q533" s="236"/>
      <c r="R533" s="236"/>
      <c r="S533" s="236"/>
      <c r="T533" s="236"/>
      <c r="U533" s="236"/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236"/>
      <c r="AH533" s="236"/>
      <c r="AI533" s="236"/>
      <c r="AJ533" s="236"/>
      <c r="AK533" s="236"/>
      <c r="AL533" s="236"/>
      <c r="AM533" s="236"/>
      <c r="AN533" s="236"/>
      <c r="AO533" s="236"/>
      <c r="AP533" s="236"/>
      <c r="AQ533" s="236"/>
      <c r="AR533" s="236"/>
      <c r="AS533" s="236"/>
      <c r="AT533" s="236"/>
      <c r="AU533" s="236"/>
      <c r="AV533" s="12"/>
      <c r="AW533" s="12"/>
      <c r="AX533" s="12"/>
      <c r="AY533" s="12"/>
      <c r="AZ533" s="12"/>
      <c r="BA533" s="12"/>
      <c r="BB533" s="12"/>
    </row>
    <row r="534" spans="1:54" ht="13">
      <c r="A534" s="12"/>
      <c r="B534" s="27"/>
      <c r="C534" s="27"/>
      <c r="D534" s="407"/>
      <c r="E534" s="27"/>
      <c r="F534" s="27"/>
      <c r="G534" s="27"/>
      <c r="H534" s="408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12"/>
      <c r="AW534" s="12"/>
      <c r="AX534" s="12"/>
      <c r="AY534" s="12"/>
      <c r="AZ534" s="12"/>
      <c r="BA534" s="12"/>
      <c r="BB534" s="12"/>
    </row>
    <row r="535" spans="1:54" ht="13">
      <c r="A535" s="12"/>
      <c r="B535" s="236"/>
      <c r="C535" s="236"/>
      <c r="D535" s="405"/>
      <c r="E535" s="236"/>
      <c r="F535" s="236"/>
      <c r="G535" s="236"/>
      <c r="H535" s="406"/>
      <c r="I535" s="236"/>
      <c r="J535" s="236"/>
      <c r="K535" s="236"/>
      <c r="L535" s="236"/>
      <c r="M535" s="236"/>
      <c r="N535" s="236"/>
      <c r="O535" s="236"/>
      <c r="P535" s="236"/>
      <c r="Q535" s="236"/>
      <c r="R535" s="236"/>
      <c r="S535" s="236"/>
      <c r="T535" s="236"/>
      <c r="U535" s="236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236"/>
      <c r="AH535" s="236"/>
      <c r="AI535" s="236"/>
      <c r="AJ535" s="236"/>
      <c r="AK535" s="236"/>
      <c r="AL535" s="236"/>
      <c r="AM535" s="236"/>
      <c r="AN535" s="236"/>
      <c r="AO535" s="236"/>
      <c r="AP535" s="236"/>
      <c r="AQ535" s="236"/>
      <c r="AR535" s="236"/>
      <c r="AS535" s="236"/>
      <c r="AT535" s="236"/>
      <c r="AU535" s="236"/>
      <c r="AV535" s="12"/>
      <c r="AW535" s="12"/>
      <c r="AX535" s="12"/>
      <c r="AY535" s="12"/>
      <c r="AZ535" s="12"/>
      <c r="BA535" s="12"/>
      <c r="BB535" s="12"/>
    </row>
    <row r="536" spans="1:54" ht="13">
      <c r="A536" s="12"/>
      <c r="B536" s="27"/>
      <c r="C536" s="27"/>
      <c r="D536" s="407"/>
      <c r="E536" s="27"/>
      <c r="F536" s="27"/>
      <c r="G536" s="27"/>
      <c r="H536" s="408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12"/>
      <c r="AW536" s="12"/>
      <c r="AX536" s="12"/>
      <c r="AY536" s="12"/>
      <c r="AZ536" s="12"/>
      <c r="BA536" s="12"/>
      <c r="BB536" s="12"/>
    </row>
    <row r="537" spans="1:54" ht="13">
      <c r="A537" s="12"/>
      <c r="B537" s="236"/>
      <c r="C537" s="236"/>
      <c r="D537" s="405"/>
      <c r="E537" s="236"/>
      <c r="F537" s="236"/>
      <c r="G537" s="236"/>
      <c r="H537" s="406"/>
      <c r="I537" s="236"/>
      <c r="J537" s="236"/>
      <c r="K537" s="236"/>
      <c r="L537" s="236"/>
      <c r="M537" s="236"/>
      <c r="N537" s="236"/>
      <c r="O537" s="236"/>
      <c r="P537" s="236"/>
      <c r="Q537" s="236"/>
      <c r="R537" s="236"/>
      <c r="S537" s="236"/>
      <c r="T537" s="236"/>
      <c r="U537" s="236"/>
      <c r="V537" s="236"/>
      <c r="W537" s="236"/>
      <c r="X537" s="236"/>
      <c r="Y537" s="236"/>
      <c r="Z537" s="236"/>
      <c r="AA537" s="236"/>
      <c r="AB537" s="236"/>
      <c r="AC537" s="236"/>
      <c r="AD537" s="236"/>
      <c r="AE537" s="236"/>
      <c r="AF537" s="236"/>
      <c r="AG537" s="236"/>
      <c r="AH537" s="236"/>
      <c r="AI537" s="236"/>
      <c r="AJ537" s="236"/>
      <c r="AK537" s="236"/>
      <c r="AL537" s="236"/>
      <c r="AM537" s="236"/>
      <c r="AN537" s="236"/>
      <c r="AO537" s="236"/>
      <c r="AP537" s="236"/>
      <c r="AQ537" s="236"/>
      <c r="AR537" s="236"/>
      <c r="AS537" s="236"/>
      <c r="AT537" s="236"/>
      <c r="AU537" s="236"/>
      <c r="AV537" s="12"/>
      <c r="AW537" s="12"/>
      <c r="AX537" s="12"/>
      <c r="AY537" s="12"/>
      <c r="AZ537" s="12"/>
      <c r="BA537" s="12"/>
      <c r="BB537" s="12"/>
    </row>
    <row r="538" spans="1:54" ht="13">
      <c r="A538" s="12"/>
      <c r="B538" s="27"/>
      <c r="C538" s="27"/>
      <c r="D538" s="407"/>
      <c r="E538" s="27"/>
      <c r="F538" s="27"/>
      <c r="G538" s="27"/>
      <c r="H538" s="408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12"/>
      <c r="AW538" s="12"/>
      <c r="AX538" s="12"/>
      <c r="AY538" s="12"/>
      <c r="AZ538" s="12"/>
      <c r="BA538" s="12"/>
      <c r="BB538" s="12"/>
    </row>
    <row r="539" spans="1:54" ht="13">
      <c r="A539" s="12"/>
      <c r="B539" s="236"/>
      <c r="C539" s="236"/>
      <c r="D539" s="405"/>
      <c r="E539" s="236"/>
      <c r="F539" s="236"/>
      <c r="G539" s="236"/>
      <c r="H539" s="406"/>
      <c r="I539" s="236"/>
      <c r="J539" s="236"/>
      <c r="K539" s="236"/>
      <c r="L539" s="236"/>
      <c r="M539" s="236"/>
      <c r="N539" s="236"/>
      <c r="O539" s="236"/>
      <c r="P539" s="236"/>
      <c r="Q539" s="236"/>
      <c r="R539" s="236"/>
      <c r="S539" s="236"/>
      <c r="T539" s="236"/>
      <c r="U539" s="236"/>
      <c r="V539" s="236"/>
      <c r="W539" s="236"/>
      <c r="X539" s="236"/>
      <c r="Y539" s="236"/>
      <c r="Z539" s="236"/>
      <c r="AA539" s="236"/>
      <c r="AB539" s="236"/>
      <c r="AC539" s="236"/>
      <c r="AD539" s="236"/>
      <c r="AE539" s="236"/>
      <c r="AF539" s="236"/>
      <c r="AG539" s="236"/>
      <c r="AH539" s="236"/>
      <c r="AI539" s="236"/>
      <c r="AJ539" s="236"/>
      <c r="AK539" s="236"/>
      <c r="AL539" s="236"/>
      <c r="AM539" s="236"/>
      <c r="AN539" s="236"/>
      <c r="AO539" s="236"/>
      <c r="AP539" s="236"/>
      <c r="AQ539" s="236"/>
      <c r="AR539" s="236"/>
      <c r="AS539" s="236"/>
      <c r="AT539" s="236"/>
      <c r="AU539" s="236"/>
      <c r="AV539" s="12"/>
      <c r="AW539" s="12"/>
      <c r="AX539" s="12"/>
      <c r="AY539" s="12"/>
      <c r="AZ539" s="12"/>
      <c r="BA539" s="12"/>
      <c r="BB539" s="12"/>
    </row>
    <row r="540" spans="1:54" ht="13">
      <c r="A540" s="12"/>
      <c r="B540" s="27"/>
      <c r="C540" s="27"/>
      <c r="D540" s="407"/>
      <c r="E540" s="27"/>
      <c r="F540" s="27"/>
      <c r="G540" s="27"/>
      <c r="H540" s="408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12"/>
      <c r="AW540" s="12"/>
      <c r="AX540" s="12"/>
      <c r="AY540" s="12"/>
      <c r="AZ540" s="12"/>
      <c r="BA540" s="12"/>
      <c r="BB540" s="12"/>
    </row>
    <row r="541" spans="1:54" ht="13">
      <c r="A541" s="12"/>
      <c r="B541" s="236"/>
      <c r="C541" s="236"/>
      <c r="D541" s="405"/>
      <c r="E541" s="236"/>
      <c r="F541" s="236"/>
      <c r="G541" s="236"/>
      <c r="H541" s="406"/>
      <c r="I541" s="236"/>
      <c r="J541" s="236"/>
      <c r="K541" s="236"/>
      <c r="L541" s="236"/>
      <c r="M541" s="236"/>
      <c r="N541" s="236"/>
      <c r="O541" s="236"/>
      <c r="P541" s="236"/>
      <c r="Q541" s="236"/>
      <c r="R541" s="236"/>
      <c r="S541" s="236"/>
      <c r="T541" s="236"/>
      <c r="U541" s="236"/>
      <c r="V541" s="236"/>
      <c r="W541" s="236"/>
      <c r="X541" s="236"/>
      <c r="Y541" s="236"/>
      <c r="Z541" s="236"/>
      <c r="AA541" s="236"/>
      <c r="AB541" s="236"/>
      <c r="AC541" s="236"/>
      <c r="AD541" s="236"/>
      <c r="AE541" s="236"/>
      <c r="AF541" s="236"/>
      <c r="AG541" s="236"/>
      <c r="AH541" s="236"/>
      <c r="AI541" s="236"/>
      <c r="AJ541" s="236"/>
      <c r="AK541" s="236"/>
      <c r="AL541" s="236"/>
      <c r="AM541" s="236"/>
      <c r="AN541" s="236"/>
      <c r="AO541" s="236"/>
      <c r="AP541" s="236"/>
      <c r="AQ541" s="236"/>
      <c r="AR541" s="236"/>
      <c r="AS541" s="236"/>
      <c r="AT541" s="236"/>
      <c r="AU541" s="236"/>
      <c r="AV541" s="12"/>
      <c r="AW541" s="12"/>
      <c r="AX541" s="12"/>
      <c r="AY541" s="12"/>
      <c r="AZ541" s="12"/>
      <c r="BA541" s="12"/>
      <c r="BB541" s="12"/>
    </row>
    <row r="542" spans="1:54" ht="13">
      <c r="A542" s="12"/>
      <c r="B542" s="27"/>
      <c r="C542" s="27"/>
      <c r="D542" s="407"/>
      <c r="E542" s="27"/>
      <c r="F542" s="27"/>
      <c r="G542" s="27"/>
      <c r="H542" s="408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12"/>
      <c r="AW542" s="12"/>
      <c r="AX542" s="12"/>
      <c r="AY542" s="12"/>
      <c r="AZ542" s="12"/>
      <c r="BA542" s="12"/>
      <c r="BB542" s="12"/>
    </row>
    <row r="543" spans="1:54" ht="13">
      <c r="A543" s="12"/>
      <c r="B543" s="236"/>
      <c r="C543" s="236"/>
      <c r="D543" s="405"/>
      <c r="E543" s="236"/>
      <c r="F543" s="236"/>
      <c r="G543" s="236"/>
      <c r="H543" s="406"/>
      <c r="I543" s="236"/>
      <c r="J543" s="236"/>
      <c r="K543" s="236"/>
      <c r="L543" s="236"/>
      <c r="M543" s="236"/>
      <c r="N543" s="236"/>
      <c r="O543" s="236"/>
      <c r="P543" s="236"/>
      <c r="Q543" s="236"/>
      <c r="R543" s="236"/>
      <c r="S543" s="236"/>
      <c r="T543" s="236"/>
      <c r="U543" s="236"/>
      <c r="V543" s="236"/>
      <c r="W543" s="236"/>
      <c r="X543" s="236"/>
      <c r="Y543" s="236"/>
      <c r="Z543" s="236"/>
      <c r="AA543" s="236"/>
      <c r="AB543" s="236"/>
      <c r="AC543" s="236"/>
      <c r="AD543" s="236"/>
      <c r="AE543" s="236"/>
      <c r="AF543" s="236"/>
      <c r="AG543" s="236"/>
      <c r="AH543" s="236"/>
      <c r="AI543" s="236"/>
      <c r="AJ543" s="236"/>
      <c r="AK543" s="236"/>
      <c r="AL543" s="236"/>
      <c r="AM543" s="236"/>
      <c r="AN543" s="236"/>
      <c r="AO543" s="236"/>
      <c r="AP543" s="236"/>
      <c r="AQ543" s="236"/>
      <c r="AR543" s="236"/>
      <c r="AS543" s="236"/>
      <c r="AT543" s="236"/>
      <c r="AU543" s="236"/>
      <c r="AV543" s="12"/>
      <c r="AW543" s="12"/>
      <c r="AX543" s="12"/>
      <c r="AY543" s="12"/>
      <c r="AZ543" s="12"/>
      <c r="BA543" s="12"/>
      <c r="BB543" s="12"/>
    </row>
    <row r="544" spans="1:54" ht="13">
      <c r="A544" s="12"/>
      <c r="B544" s="27"/>
      <c r="C544" s="27"/>
      <c r="D544" s="407"/>
      <c r="E544" s="27"/>
      <c r="F544" s="27"/>
      <c r="G544" s="27"/>
      <c r="H544" s="408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12"/>
      <c r="AW544" s="12"/>
      <c r="AX544" s="12"/>
      <c r="AY544" s="12"/>
      <c r="AZ544" s="12"/>
      <c r="BA544" s="12"/>
      <c r="BB544" s="12"/>
    </row>
    <row r="545" spans="1:54" ht="13">
      <c r="A545" s="12"/>
      <c r="B545" s="236"/>
      <c r="C545" s="236"/>
      <c r="D545" s="405"/>
      <c r="E545" s="236"/>
      <c r="F545" s="236"/>
      <c r="G545" s="236"/>
      <c r="H545" s="406"/>
      <c r="I545" s="236"/>
      <c r="J545" s="236"/>
      <c r="K545" s="236"/>
      <c r="L545" s="236"/>
      <c r="M545" s="236"/>
      <c r="N545" s="236"/>
      <c r="O545" s="236"/>
      <c r="P545" s="236"/>
      <c r="Q545" s="236"/>
      <c r="R545" s="236"/>
      <c r="S545" s="236"/>
      <c r="T545" s="236"/>
      <c r="U545" s="236"/>
      <c r="V545" s="236"/>
      <c r="W545" s="236"/>
      <c r="X545" s="236"/>
      <c r="Y545" s="236"/>
      <c r="Z545" s="236"/>
      <c r="AA545" s="236"/>
      <c r="AB545" s="236"/>
      <c r="AC545" s="236"/>
      <c r="AD545" s="236"/>
      <c r="AE545" s="236"/>
      <c r="AF545" s="236"/>
      <c r="AG545" s="236"/>
      <c r="AH545" s="236"/>
      <c r="AI545" s="236"/>
      <c r="AJ545" s="236"/>
      <c r="AK545" s="236"/>
      <c r="AL545" s="236"/>
      <c r="AM545" s="236"/>
      <c r="AN545" s="236"/>
      <c r="AO545" s="236"/>
      <c r="AP545" s="236"/>
      <c r="AQ545" s="236"/>
      <c r="AR545" s="236"/>
      <c r="AS545" s="236"/>
      <c r="AT545" s="236"/>
      <c r="AU545" s="236"/>
      <c r="AV545" s="12"/>
      <c r="AW545" s="12"/>
      <c r="AX545" s="12"/>
      <c r="AY545" s="12"/>
      <c r="AZ545" s="12"/>
      <c r="BA545" s="12"/>
      <c r="BB545" s="12"/>
    </row>
    <row r="546" spans="1:54" ht="13">
      <c r="A546" s="12"/>
      <c r="B546" s="27"/>
      <c r="C546" s="27"/>
      <c r="D546" s="407"/>
      <c r="E546" s="27"/>
      <c r="F546" s="27"/>
      <c r="G546" s="27"/>
      <c r="H546" s="408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12"/>
      <c r="AW546" s="12"/>
      <c r="AX546" s="12"/>
      <c r="AY546" s="12"/>
      <c r="AZ546" s="12"/>
      <c r="BA546" s="12"/>
      <c r="BB546" s="12"/>
    </row>
    <row r="547" spans="1:54" ht="13">
      <c r="A547" s="12"/>
      <c r="B547" s="236"/>
      <c r="C547" s="236"/>
      <c r="D547" s="405"/>
      <c r="E547" s="236"/>
      <c r="F547" s="236"/>
      <c r="G547" s="236"/>
      <c r="H547" s="406"/>
      <c r="I547" s="236"/>
      <c r="J547" s="236"/>
      <c r="K547" s="236"/>
      <c r="L547" s="236"/>
      <c r="M547" s="236"/>
      <c r="N547" s="236"/>
      <c r="O547" s="236"/>
      <c r="P547" s="236"/>
      <c r="Q547" s="236"/>
      <c r="R547" s="236"/>
      <c r="S547" s="236"/>
      <c r="T547" s="236"/>
      <c r="U547" s="236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236"/>
      <c r="AH547" s="236"/>
      <c r="AI547" s="236"/>
      <c r="AJ547" s="236"/>
      <c r="AK547" s="236"/>
      <c r="AL547" s="236"/>
      <c r="AM547" s="236"/>
      <c r="AN547" s="236"/>
      <c r="AO547" s="236"/>
      <c r="AP547" s="236"/>
      <c r="AQ547" s="236"/>
      <c r="AR547" s="236"/>
      <c r="AS547" s="236"/>
      <c r="AT547" s="236"/>
      <c r="AU547" s="236"/>
      <c r="AV547" s="12"/>
      <c r="AW547" s="12"/>
      <c r="AX547" s="12"/>
      <c r="AY547" s="12"/>
      <c r="AZ547" s="12"/>
      <c r="BA547" s="12"/>
      <c r="BB547" s="12"/>
    </row>
    <row r="548" spans="1:54" ht="13">
      <c r="A548" s="12"/>
      <c r="B548" s="27"/>
      <c r="C548" s="27"/>
      <c r="D548" s="407"/>
      <c r="E548" s="27"/>
      <c r="F548" s="27"/>
      <c r="G548" s="27"/>
      <c r="H548" s="408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12"/>
      <c r="AW548" s="12"/>
      <c r="AX548" s="12"/>
      <c r="AY548" s="12"/>
      <c r="AZ548" s="12"/>
      <c r="BA548" s="12"/>
      <c r="BB548" s="12"/>
    </row>
    <row r="549" spans="1:54" ht="13">
      <c r="A549" s="12"/>
      <c r="B549" s="236"/>
      <c r="C549" s="236"/>
      <c r="D549" s="405"/>
      <c r="E549" s="236"/>
      <c r="F549" s="236"/>
      <c r="G549" s="236"/>
      <c r="H549" s="406"/>
      <c r="I549" s="236"/>
      <c r="J549" s="236"/>
      <c r="K549" s="236"/>
      <c r="L549" s="236"/>
      <c r="M549" s="236"/>
      <c r="N549" s="236"/>
      <c r="O549" s="236"/>
      <c r="P549" s="236"/>
      <c r="Q549" s="236"/>
      <c r="R549" s="236"/>
      <c r="S549" s="236"/>
      <c r="T549" s="236"/>
      <c r="U549" s="236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236"/>
      <c r="AH549" s="236"/>
      <c r="AI549" s="236"/>
      <c r="AJ549" s="236"/>
      <c r="AK549" s="236"/>
      <c r="AL549" s="236"/>
      <c r="AM549" s="236"/>
      <c r="AN549" s="236"/>
      <c r="AO549" s="236"/>
      <c r="AP549" s="236"/>
      <c r="AQ549" s="236"/>
      <c r="AR549" s="236"/>
      <c r="AS549" s="236"/>
      <c r="AT549" s="236"/>
      <c r="AU549" s="236"/>
      <c r="AV549" s="12"/>
      <c r="AW549" s="12"/>
      <c r="AX549" s="12"/>
      <c r="AY549" s="12"/>
      <c r="AZ549" s="12"/>
      <c r="BA549" s="12"/>
      <c r="BB549" s="12"/>
    </row>
    <row r="550" spans="1:54" ht="13">
      <c r="A550" s="12"/>
      <c r="B550" s="27"/>
      <c r="C550" s="27"/>
      <c r="D550" s="407"/>
      <c r="E550" s="27"/>
      <c r="F550" s="27"/>
      <c r="G550" s="27"/>
      <c r="H550" s="408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12"/>
      <c r="AW550" s="12"/>
      <c r="AX550" s="12"/>
      <c r="AY550" s="12"/>
      <c r="AZ550" s="12"/>
      <c r="BA550" s="12"/>
      <c r="BB550" s="12"/>
    </row>
    <row r="551" spans="1:54" ht="13">
      <c r="A551" s="12"/>
      <c r="B551" s="236"/>
      <c r="C551" s="236"/>
      <c r="D551" s="405"/>
      <c r="E551" s="236"/>
      <c r="F551" s="236"/>
      <c r="G551" s="236"/>
      <c r="H551" s="406"/>
      <c r="I551" s="236"/>
      <c r="J551" s="236"/>
      <c r="K551" s="236"/>
      <c r="L551" s="236"/>
      <c r="M551" s="236"/>
      <c r="N551" s="236"/>
      <c r="O551" s="236"/>
      <c r="P551" s="236"/>
      <c r="Q551" s="236"/>
      <c r="R551" s="236"/>
      <c r="S551" s="236"/>
      <c r="T551" s="236"/>
      <c r="U551" s="236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236"/>
      <c r="AH551" s="236"/>
      <c r="AI551" s="236"/>
      <c r="AJ551" s="236"/>
      <c r="AK551" s="236"/>
      <c r="AL551" s="236"/>
      <c r="AM551" s="236"/>
      <c r="AN551" s="236"/>
      <c r="AO551" s="236"/>
      <c r="AP551" s="236"/>
      <c r="AQ551" s="236"/>
      <c r="AR551" s="236"/>
      <c r="AS551" s="236"/>
      <c r="AT551" s="236"/>
      <c r="AU551" s="236"/>
      <c r="AV551" s="12"/>
      <c r="AW551" s="12"/>
      <c r="AX551" s="12"/>
      <c r="AY551" s="12"/>
      <c r="AZ551" s="12"/>
      <c r="BA551" s="12"/>
      <c r="BB551" s="12"/>
    </row>
    <row r="552" spans="1:54" ht="13">
      <c r="A552" s="12"/>
      <c r="B552" s="27"/>
      <c r="C552" s="27"/>
      <c r="D552" s="407"/>
      <c r="E552" s="27"/>
      <c r="F552" s="27"/>
      <c r="G552" s="27"/>
      <c r="H552" s="408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12"/>
      <c r="AW552" s="12"/>
      <c r="AX552" s="12"/>
      <c r="AY552" s="12"/>
      <c r="AZ552" s="12"/>
      <c r="BA552" s="12"/>
      <c r="BB552" s="12"/>
    </row>
    <row r="553" spans="1:54" ht="13">
      <c r="A553" s="12"/>
      <c r="B553" s="236"/>
      <c r="C553" s="236"/>
      <c r="D553" s="405"/>
      <c r="E553" s="236"/>
      <c r="F553" s="236"/>
      <c r="G553" s="236"/>
      <c r="H553" s="406"/>
      <c r="I553" s="236"/>
      <c r="J553" s="236"/>
      <c r="K553" s="236"/>
      <c r="L553" s="236"/>
      <c r="M553" s="236"/>
      <c r="N553" s="236"/>
      <c r="O553" s="236"/>
      <c r="P553" s="236"/>
      <c r="Q553" s="236"/>
      <c r="R553" s="236"/>
      <c r="S553" s="236"/>
      <c r="T553" s="236"/>
      <c r="U553" s="236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236"/>
      <c r="AH553" s="236"/>
      <c r="AI553" s="236"/>
      <c r="AJ553" s="236"/>
      <c r="AK553" s="236"/>
      <c r="AL553" s="236"/>
      <c r="AM553" s="236"/>
      <c r="AN553" s="236"/>
      <c r="AO553" s="236"/>
      <c r="AP553" s="236"/>
      <c r="AQ553" s="236"/>
      <c r="AR553" s="236"/>
      <c r="AS553" s="236"/>
      <c r="AT553" s="236"/>
      <c r="AU553" s="236"/>
      <c r="AV553" s="12"/>
      <c r="AW553" s="12"/>
      <c r="AX553" s="12"/>
      <c r="AY553" s="12"/>
      <c r="AZ553" s="12"/>
      <c r="BA553" s="12"/>
      <c r="BB553" s="12"/>
    </row>
    <row r="554" spans="1:54" ht="13">
      <c r="A554" s="12"/>
      <c r="B554" s="27"/>
      <c r="C554" s="27"/>
      <c r="D554" s="407"/>
      <c r="E554" s="27"/>
      <c r="F554" s="27"/>
      <c r="G554" s="27"/>
      <c r="H554" s="408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12"/>
      <c r="AW554" s="12"/>
      <c r="AX554" s="12"/>
      <c r="AY554" s="12"/>
      <c r="AZ554" s="12"/>
      <c r="BA554" s="12"/>
      <c r="BB554" s="12"/>
    </row>
    <row r="555" spans="1:54" ht="13">
      <c r="A555" s="12"/>
      <c r="B555" s="236"/>
      <c r="C555" s="236"/>
      <c r="D555" s="405"/>
      <c r="E555" s="236"/>
      <c r="F555" s="236"/>
      <c r="G555" s="236"/>
      <c r="H555" s="406"/>
      <c r="I555" s="236"/>
      <c r="J555" s="236"/>
      <c r="K555" s="236"/>
      <c r="L555" s="236"/>
      <c r="M555" s="236"/>
      <c r="N555" s="236"/>
      <c r="O555" s="236"/>
      <c r="P555" s="236"/>
      <c r="Q555" s="236"/>
      <c r="R555" s="236"/>
      <c r="S555" s="236"/>
      <c r="T555" s="236"/>
      <c r="U555" s="236"/>
      <c r="V555" s="236"/>
      <c r="W555" s="236"/>
      <c r="X555" s="236"/>
      <c r="Y555" s="236"/>
      <c r="Z555" s="236"/>
      <c r="AA555" s="236"/>
      <c r="AB555" s="236"/>
      <c r="AC555" s="236"/>
      <c r="AD555" s="236"/>
      <c r="AE555" s="236"/>
      <c r="AF555" s="236"/>
      <c r="AG555" s="236"/>
      <c r="AH555" s="236"/>
      <c r="AI555" s="236"/>
      <c r="AJ555" s="236"/>
      <c r="AK555" s="236"/>
      <c r="AL555" s="236"/>
      <c r="AM555" s="236"/>
      <c r="AN555" s="236"/>
      <c r="AO555" s="236"/>
      <c r="AP555" s="236"/>
      <c r="AQ555" s="236"/>
      <c r="AR555" s="236"/>
      <c r="AS555" s="236"/>
      <c r="AT555" s="236"/>
      <c r="AU555" s="236"/>
      <c r="AV555" s="12"/>
      <c r="AW555" s="12"/>
      <c r="AX555" s="12"/>
      <c r="AY555" s="12"/>
      <c r="AZ555" s="12"/>
      <c r="BA555" s="12"/>
      <c r="BB555" s="12"/>
    </row>
    <row r="556" spans="1:54" ht="13">
      <c r="A556" s="12"/>
      <c r="B556" s="27"/>
      <c r="C556" s="27"/>
      <c r="D556" s="407"/>
      <c r="E556" s="27"/>
      <c r="F556" s="27"/>
      <c r="G556" s="27"/>
      <c r="H556" s="408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12"/>
      <c r="AW556" s="12"/>
      <c r="AX556" s="12"/>
      <c r="AY556" s="12"/>
      <c r="AZ556" s="12"/>
      <c r="BA556" s="12"/>
      <c r="BB556" s="12"/>
    </row>
    <row r="557" spans="1:54" ht="13">
      <c r="A557" s="12"/>
      <c r="B557" s="236"/>
      <c r="C557" s="236"/>
      <c r="D557" s="405"/>
      <c r="E557" s="236"/>
      <c r="F557" s="236"/>
      <c r="G557" s="236"/>
      <c r="H557" s="406"/>
      <c r="I557" s="236"/>
      <c r="J557" s="236"/>
      <c r="K557" s="236"/>
      <c r="L557" s="236"/>
      <c r="M557" s="236"/>
      <c r="N557" s="236"/>
      <c r="O557" s="236"/>
      <c r="P557" s="236"/>
      <c r="Q557" s="236"/>
      <c r="R557" s="236"/>
      <c r="S557" s="236"/>
      <c r="T557" s="236"/>
      <c r="U557" s="236"/>
      <c r="V557" s="236"/>
      <c r="W557" s="236"/>
      <c r="X557" s="236"/>
      <c r="Y557" s="236"/>
      <c r="Z557" s="236"/>
      <c r="AA557" s="236"/>
      <c r="AB557" s="236"/>
      <c r="AC557" s="236"/>
      <c r="AD557" s="236"/>
      <c r="AE557" s="236"/>
      <c r="AF557" s="236"/>
      <c r="AG557" s="236"/>
      <c r="AH557" s="236"/>
      <c r="AI557" s="236"/>
      <c r="AJ557" s="236"/>
      <c r="AK557" s="236"/>
      <c r="AL557" s="236"/>
      <c r="AM557" s="236"/>
      <c r="AN557" s="236"/>
      <c r="AO557" s="236"/>
      <c r="AP557" s="236"/>
      <c r="AQ557" s="236"/>
      <c r="AR557" s="236"/>
      <c r="AS557" s="236"/>
      <c r="AT557" s="236"/>
      <c r="AU557" s="236"/>
      <c r="AV557" s="12"/>
      <c r="AW557" s="12"/>
      <c r="AX557" s="12"/>
      <c r="AY557" s="12"/>
      <c r="AZ557" s="12"/>
      <c r="BA557" s="12"/>
      <c r="BB557" s="12"/>
    </row>
    <row r="558" spans="1:54" ht="13">
      <c r="A558" s="12"/>
      <c r="B558" s="27"/>
      <c r="C558" s="27"/>
      <c r="D558" s="407"/>
      <c r="E558" s="27"/>
      <c r="F558" s="27"/>
      <c r="G558" s="27"/>
      <c r="H558" s="408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12"/>
      <c r="AW558" s="12"/>
      <c r="AX558" s="12"/>
      <c r="AY558" s="12"/>
      <c r="AZ558" s="12"/>
      <c r="BA558" s="12"/>
      <c r="BB558" s="12"/>
    </row>
    <row r="559" spans="1:54" ht="13">
      <c r="A559" s="12"/>
      <c r="B559" s="236"/>
      <c r="C559" s="236"/>
      <c r="D559" s="405"/>
      <c r="E559" s="236"/>
      <c r="F559" s="236"/>
      <c r="G559" s="236"/>
      <c r="H559" s="406"/>
      <c r="I559" s="236"/>
      <c r="J559" s="236"/>
      <c r="K559" s="236"/>
      <c r="L559" s="236"/>
      <c r="M559" s="236"/>
      <c r="N559" s="236"/>
      <c r="O559" s="236"/>
      <c r="P559" s="236"/>
      <c r="Q559" s="236"/>
      <c r="R559" s="236"/>
      <c r="S559" s="236"/>
      <c r="T559" s="236"/>
      <c r="U559" s="236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  <c r="AG559" s="236"/>
      <c r="AH559" s="236"/>
      <c r="AI559" s="236"/>
      <c r="AJ559" s="236"/>
      <c r="AK559" s="236"/>
      <c r="AL559" s="236"/>
      <c r="AM559" s="236"/>
      <c r="AN559" s="236"/>
      <c r="AO559" s="236"/>
      <c r="AP559" s="236"/>
      <c r="AQ559" s="236"/>
      <c r="AR559" s="236"/>
      <c r="AS559" s="236"/>
      <c r="AT559" s="236"/>
      <c r="AU559" s="236"/>
      <c r="AV559" s="12"/>
      <c r="AW559" s="12"/>
      <c r="AX559" s="12"/>
      <c r="AY559" s="12"/>
      <c r="AZ559" s="12"/>
      <c r="BA559" s="12"/>
      <c r="BB559" s="12"/>
    </row>
    <row r="560" spans="1:54" ht="13">
      <c r="A560" s="12"/>
      <c r="B560" s="27"/>
      <c r="C560" s="27"/>
      <c r="D560" s="407"/>
      <c r="E560" s="27"/>
      <c r="F560" s="27"/>
      <c r="G560" s="27"/>
      <c r="H560" s="408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12"/>
      <c r="AW560" s="12"/>
      <c r="AX560" s="12"/>
      <c r="AY560" s="12"/>
      <c r="AZ560" s="12"/>
      <c r="BA560" s="12"/>
      <c r="BB560" s="12"/>
    </row>
    <row r="561" spans="1:54" ht="13">
      <c r="A561" s="12"/>
      <c r="B561" s="236"/>
      <c r="C561" s="236"/>
      <c r="D561" s="405"/>
      <c r="E561" s="236"/>
      <c r="F561" s="236"/>
      <c r="G561" s="236"/>
      <c r="H561" s="406"/>
      <c r="I561" s="236"/>
      <c r="J561" s="236"/>
      <c r="K561" s="236"/>
      <c r="L561" s="236"/>
      <c r="M561" s="236"/>
      <c r="N561" s="236"/>
      <c r="O561" s="236"/>
      <c r="P561" s="236"/>
      <c r="Q561" s="236"/>
      <c r="R561" s="236"/>
      <c r="S561" s="236"/>
      <c r="T561" s="236"/>
      <c r="U561" s="236"/>
      <c r="V561" s="236"/>
      <c r="W561" s="236"/>
      <c r="X561" s="236"/>
      <c r="Y561" s="236"/>
      <c r="Z561" s="236"/>
      <c r="AA561" s="236"/>
      <c r="AB561" s="236"/>
      <c r="AC561" s="236"/>
      <c r="AD561" s="236"/>
      <c r="AE561" s="236"/>
      <c r="AF561" s="236"/>
      <c r="AG561" s="236"/>
      <c r="AH561" s="236"/>
      <c r="AI561" s="236"/>
      <c r="AJ561" s="236"/>
      <c r="AK561" s="236"/>
      <c r="AL561" s="236"/>
      <c r="AM561" s="236"/>
      <c r="AN561" s="236"/>
      <c r="AO561" s="236"/>
      <c r="AP561" s="236"/>
      <c r="AQ561" s="236"/>
      <c r="AR561" s="236"/>
      <c r="AS561" s="236"/>
      <c r="AT561" s="236"/>
      <c r="AU561" s="236"/>
      <c r="AV561" s="12"/>
      <c r="AW561" s="12"/>
      <c r="AX561" s="12"/>
      <c r="AY561" s="12"/>
      <c r="AZ561" s="12"/>
      <c r="BA561" s="12"/>
      <c r="BB561" s="12"/>
    </row>
    <row r="562" spans="1:54" ht="13">
      <c r="A562" s="12"/>
      <c r="B562" s="27"/>
      <c r="C562" s="27"/>
      <c r="D562" s="407"/>
      <c r="E562" s="27"/>
      <c r="F562" s="27"/>
      <c r="G562" s="27"/>
      <c r="H562" s="408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12"/>
      <c r="AW562" s="12"/>
      <c r="AX562" s="12"/>
      <c r="AY562" s="12"/>
      <c r="AZ562" s="12"/>
      <c r="BA562" s="12"/>
      <c r="BB562" s="12"/>
    </row>
    <row r="563" spans="1:54" ht="13">
      <c r="A563" s="12"/>
      <c r="B563" s="236"/>
      <c r="C563" s="236"/>
      <c r="D563" s="405"/>
      <c r="E563" s="236"/>
      <c r="F563" s="236"/>
      <c r="G563" s="236"/>
      <c r="H563" s="406"/>
      <c r="I563" s="236"/>
      <c r="J563" s="236"/>
      <c r="K563" s="236"/>
      <c r="L563" s="236"/>
      <c r="M563" s="236"/>
      <c r="N563" s="236"/>
      <c r="O563" s="236"/>
      <c r="P563" s="236"/>
      <c r="Q563" s="236"/>
      <c r="R563" s="236"/>
      <c r="S563" s="236"/>
      <c r="T563" s="236"/>
      <c r="U563" s="236"/>
      <c r="V563" s="236"/>
      <c r="W563" s="236"/>
      <c r="X563" s="236"/>
      <c r="Y563" s="236"/>
      <c r="Z563" s="236"/>
      <c r="AA563" s="236"/>
      <c r="AB563" s="236"/>
      <c r="AC563" s="236"/>
      <c r="AD563" s="236"/>
      <c r="AE563" s="236"/>
      <c r="AF563" s="236"/>
      <c r="AG563" s="236"/>
      <c r="AH563" s="236"/>
      <c r="AI563" s="236"/>
      <c r="AJ563" s="236"/>
      <c r="AK563" s="236"/>
      <c r="AL563" s="236"/>
      <c r="AM563" s="236"/>
      <c r="AN563" s="236"/>
      <c r="AO563" s="236"/>
      <c r="AP563" s="236"/>
      <c r="AQ563" s="236"/>
      <c r="AR563" s="236"/>
      <c r="AS563" s="236"/>
      <c r="AT563" s="236"/>
      <c r="AU563" s="236"/>
      <c r="AV563" s="12"/>
      <c r="AW563" s="12"/>
      <c r="AX563" s="12"/>
      <c r="AY563" s="12"/>
      <c r="AZ563" s="12"/>
      <c r="BA563" s="12"/>
      <c r="BB563" s="12"/>
    </row>
    <row r="564" spans="1:54" ht="13">
      <c r="A564" s="12"/>
      <c r="B564" s="27"/>
      <c r="C564" s="27"/>
      <c r="D564" s="407"/>
      <c r="E564" s="27"/>
      <c r="F564" s="27"/>
      <c r="G564" s="27"/>
      <c r="H564" s="408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12"/>
      <c r="AW564" s="12"/>
      <c r="AX564" s="12"/>
      <c r="AY564" s="12"/>
      <c r="AZ564" s="12"/>
      <c r="BA564" s="12"/>
      <c r="BB564" s="12"/>
    </row>
    <row r="565" spans="1:54" ht="13">
      <c r="A565" s="12"/>
      <c r="B565" s="236"/>
      <c r="C565" s="236"/>
      <c r="D565" s="405"/>
      <c r="E565" s="236"/>
      <c r="F565" s="236"/>
      <c r="G565" s="236"/>
      <c r="H565" s="406"/>
      <c r="I565" s="236"/>
      <c r="J565" s="236"/>
      <c r="K565" s="236"/>
      <c r="L565" s="236"/>
      <c r="M565" s="236"/>
      <c r="N565" s="236"/>
      <c r="O565" s="236"/>
      <c r="P565" s="236"/>
      <c r="Q565" s="236"/>
      <c r="R565" s="236"/>
      <c r="S565" s="236"/>
      <c r="T565" s="236"/>
      <c r="U565" s="236"/>
      <c r="V565" s="236"/>
      <c r="W565" s="236"/>
      <c r="X565" s="236"/>
      <c r="Y565" s="236"/>
      <c r="Z565" s="236"/>
      <c r="AA565" s="236"/>
      <c r="AB565" s="236"/>
      <c r="AC565" s="236"/>
      <c r="AD565" s="236"/>
      <c r="AE565" s="236"/>
      <c r="AF565" s="236"/>
      <c r="AG565" s="236"/>
      <c r="AH565" s="236"/>
      <c r="AI565" s="236"/>
      <c r="AJ565" s="236"/>
      <c r="AK565" s="236"/>
      <c r="AL565" s="236"/>
      <c r="AM565" s="236"/>
      <c r="AN565" s="236"/>
      <c r="AO565" s="236"/>
      <c r="AP565" s="236"/>
      <c r="AQ565" s="236"/>
      <c r="AR565" s="236"/>
      <c r="AS565" s="236"/>
      <c r="AT565" s="236"/>
      <c r="AU565" s="236"/>
      <c r="AV565" s="12"/>
      <c r="AW565" s="12"/>
      <c r="AX565" s="12"/>
      <c r="AY565" s="12"/>
      <c r="AZ565" s="12"/>
      <c r="BA565" s="12"/>
      <c r="BB565" s="12"/>
    </row>
    <row r="566" spans="1:54" ht="13">
      <c r="A566" s="12"/>
      <c r="B566" s="27"/>
      <c r="C566" s="27"/>
      <c r="D566" s="407"/>
      <c r="E566" s="27"/>
      <c r="F566" s="27"/>
      <c r="G566" s="27"/>
      <c r="H566" s="408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12"/>
      <c r="AW566" s="12"/>
      <c r="AX566" s="12"/>
      <c r="AY566" s="12"/>
      <c r="AZ566" s="12"/>
      <c r="BA566" s="12"/>
      <c r="BB566" s="12"/>
    </row>
    <row r="567" spans="1:54" ht="13">
      <c r="A567" s="12"/>
      <c r="B567" s="236"/>
      <c r="C567" s="236"/>
      <c r="D567" s="405"/>
      <c r="E567" s="236"/>
      <c r="F567" s="236"/>
      <c r="G567" s="236"/>
      <c r="H567" s="406"/>
      <c r="I567" s="236"/>
      <c r="J567" s="236"/>
      <c r="K567" s="236"/>
      <c r="L567" s="236"/>
      <c r="M567" s="236"/>
      <c r="N567" s="236"/>
      <c r="O567" s="236"/>
      <c r="P567" s="236"/>
      <c r="Q567" s="236"/>
      <c r="R567" s="236"/>
      <c r="S567" s="236"/>
      <c r="T567" s="236"/>
      <c r="U567" s="236"/>
      <c r="V567" s="236"/>
      <c r="W567" s="236"/>
      <c r="X567" s="236"/>
      <c r="Y567" s="236"/>
      <c r="Z567" s="236"/>
      <c r="AA567" s="236"/>
      <c r="AB567" s="236"/>
      <c r="AC567" s="236"/>
      <c r="AD567" s="236"/>
      <c r="AE567" s="236"/>
      <c r="AF567" s="236"/>
      <c r="AG567" s="236"/>
      <c r="AH567" s="236"/>
      <c r="AI567" s="236"/>
      <c r="AJ567" s="236"/>
      <c r="AK567" s="236"/>
      <c r="AL567" s="236"/>
      <c r="AM567" s="236"/>
      <c r="AN567" s="236"/>
      <c r="AO567" s="236"/>
      <c r="AP567" s="236"/>
      <c r="AQ567" s="236"/>
      <c r="AR567" s="236"/>
      <c r="AS567" s="236"/>
      <c r="AT567" s="236"/>
      <c r="AU567" s="236"/>
      <c r="AV567" s="12"/>
      <c r="AW567" s="12"/>
      <c r="AX567" s="12"/>
      <c r="AY567" s="12"/>
      <c r="AZ567" s="12"/>
      <c r="BA567" s="12"/>
      <c r="BB567" s="12"/>
    </row>
    <row r="568" spans="1:54" ht="13">
      <c r="A568" s="12"/>
      <c r="B568" s="27"/>
      <c r="C568" s="27"/>
      <c r="D568" s="407"/>
      <c r="E568" s="27"/>
      <c r="F568" s="27"/>
      <c r="G568" s="27"/>
      <c r="H568" s="408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12"/>
      <c r="AW568" s="12"/>
      <c r="AX568" s="12"/>
      <c r="AY568" s="12"/>
      <c r="AZ568" s="12"/>
      <c r="BA568" s="12"/>
      <c r="BB568" s="12"/>
    </row>
    <row r="569" spans="1:54" ht="13">
      <c r="A569" s="12"/>
      <c r="B569" s="236"/>
      <c r="C569" s="236"/>
      <c r="D569" s="405"/>
      <c r="E569" s="236"/>
      <c r="F569" s="236"/>
      <c r="G569" s="236"/>
      <c r="H569" s="406"/>
      <c r="I569" s="236"/>
      <c r="J569" s="236"/>
      <c r="K569" s="236"/>
      <c r="L569" s="236"/>
      <c r="M569" s="236"/>
      <c r="N569" s="236"/>
      <c r="O569" s="236"/>
      <c r="P569" s="236"/>
      <c r="Q569" s="236"/>
      <c r="R569" s="236"/>
      <c r="S569" s="236"/>
      <c r="T569" s="236"/>
      <c r="U569" s="236"/>
      <c r="V569" s="236"/>
      <c r="W569" s="236"/>
      <c r="X569" s="236"/>
      <c r="Y569" s="236"/>
      <c r="Z569" s="236"/>
      <c r="AA569" s="236"/>
      <c r="AB569" s="236"/>
      <c r="AC569" s="236"/>
      <c r="AD569" s="236"/>
      <c r="AE569" s="236"/>
      <c r="AF569" s="236"/>
      <c r="AG569" s="236"/>
      <c r="AH569" s="236"/>
      <c r="AI569" s="236"/>
      <c r="AJ569" s="236"/>
      <c r="AK569" s="236"/>
      <c r="AL569" s="236"/>
      <c r="AM569" s="236"/>
      <c r="AN569" s="236"/>
      <c r="AO569" s="236"/>
      <c r="AP569" s="236"/>
      <c r="AQ569" s="236"/>
      <c r="AR569" s="236"/>
      <c r="AS569" s="236"/>
      <c r="AT569" s="236"/>
      <c r="AU569" s="236"/>
      <c r="AV569" s="12"/>
      <c r="AW569" s="12"/>
      <c r="AX569" s="12"/>
      <c r="AY569" s="12"/>
      <c r="AZ569" s="12"/>
      <c r="BA569" s="12"/>
      <c r="BB569" s="12"/>
    </row>
    <row r="570" spans="1:54" ht="13">
      <c r="A570" s="12"/>
      <c r="B570" s="27"/>
      <c r="C570" s="27"/>
      <c r="D570" s="407"/>
      <c r="E570" s="27"/>
      <c r="F570" s="27"/>
      <c r="G570" s="27"/>
      <c r="H570" s="408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12"/>
      <c r="AW570" s="12"/>
      <c r="AX570" s="12"/>
      <c r="AY570" s="12"/>
      <c r="AZ570" s="12"/>
      <c r="BA570" s="12"/>
      <c r="BB570" s="12"/>
    </row>
    <row r="571" spans="1:54" ht="13">
      <c r="A571" s="12"/>
      <c r="B571" s="236"/>
      <c r="C571" s="236"/>
      <c r="D571" s="405"/>
      <c r="E571" s="236"/>
      <c r="F571" s="236"/>
      <c r="G571" s="236"/>
      <c r="H571" s="406"/>
      <c r="I571" s="236"/>
      <c r="J571" s="236"/>
      <c r="K571" s="236"/>
      <c r="L571" s="236"/>
      <c r="M571" s="236"/>
      <c r="N571" s="236"/>
      <c r="O571" s="236"/>
      <c r="P571" s="236"/>
      <c r="Q571" s="236"/>
      <c r="R571" s="236"/>
      <c r="S571" s="236"/>
      <c r="T571" s="236"/>
      <c r="U571" s="236"/>
      <c r="V571" s="236"/>
      <c r="W571" s="236"/>
      <c r="X571" s="236"/>
      <c r="Y571" s="236"/>
      <c r="Z571" s="236"/>
      <c r="AA571" s="236"/>
      <c r="AB571" s="236"/>
      <c r="AC571" s="236"/>
      <c r="AD571" s="236"/>
      <c r="AE571" s="236"/>
      <c r="AF571" s="236"/>
      <c r="AG571" s="236"/>
      <c r="AH571" s="236"/>
      <c r="AI571" s="236"/>
      <c r="AJ571" s="236"/>
      <c r="AK571" s="236"/>
      <c r="AL571" s="236"/>
      <c r="AM571" s="236"/>
      <c r="AN571" s="236"/>
      <c r="AO571" s="236"/>
      <c r="AP571" s="236"/>
      <c r="AQ571" s="236"/>
      <c r="AR571" s="236"/>
      <c r="AS571" s="236"/>
      <c r="AT571" s="236"/>
      <c r="AU571" s="236"/>
      <c r="AV571" s="12"/>
      <c r="AW571" s="12"/>
      <c r="AX571" s="12"/>
      <c r="AY571" s="12"/>
      <c r="AZ571" s="12"/>
      <c r="BA571" s="12"/>
      <c r="BB571" s="12"/>
    </row>
    <row r="572" spans="1:54" ht="13">
      <c r="A572" s="12"/>
      <c r="B572" s="27"/>
      <c r="C572" s="27"/>
      <c r="D572" s="407"/>
      <c r="E572" s="27"/>
      <c r="F572" s="27"/>
      <c r="G572" s="27"/>
      <c r="H572" s="408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12"/>
      <c r="AW572" s="12"/>
      <c r="AX572" s="12"/>
      <c r="AY572" s="12"/>
      <c r="AZ572" s="12"/>
      <c r="BA572" s="12"/>
      <c r="BB572" s="12"/>
    </row>
    <row r="573" spans="1:54" ht="13">
      <c r="A573" s="12"/>
      <c r="B573" s="236"/>
      <c r="C573" s="236"/>
      <c r="D573" s="405"/>
      <c r="E573" s="236"/>
      <c r="F573" s="236"/>
      <c r="G573" s="236"/>
      <c r="H573" s="406"/>
      <c r="I573" s="236"/>
      <c r="J573" s="236"/>
      <c r="K573" s="236"/>
      <c r="L573" s="236"/>
      <c r="M573" s="236"/>
      <c r="N573" s="236"/>
      <c r="O573" s="236"/>
      <c r="P573" s="236"/>
      <c r="Q573" s="236"/>
      <c r="R573" s="236"/>
      <c r="S573" s="236"/>
      <c r="T573" s="236"/>
      <c r="U573" s="236"/>
      <c r="V573" s="236"/>
      <c r="W573" s="236"/>
      <c r="X573" s="236"/>
      <c r="Y573" s="236"/>
      <c r="Z573" s="236"/>
      <c r="AA573" s="236"/>
      <c r="AB573" s="236"/>
      <c r="AC573" s="236"/>
      <c r="AD573" s="236"/>
      <c r="AE573" s="236"/>
      <c r="AF573" s="236"/>
      <c r="AG573" s="236"/>
      <c r="AH573" s="236"/>
      <c r="AI573" s="236"/>
      <c r="AJ573" s="236"/>
      <c r="AK573" s="236"/>
      <c r="AL573" s="236"/>
      <c r="AM573" s="236"/>
      <c r="AN573" s="236"/>
      <c r="AO573" s="236"/>
      <c r="AP573" s="236"/>
      <c r="AQ573" s="236"/>
      <c r="AR573" s="236"/>
      <c r="AS573" s="236"/>
      <c r="AT573" s="236"/>
      <c r="AU573" s="236"/>
      <c r="AV573" s="12"/>
      <c r="AW573" s="12"/>
      <c r="AX573" s="12"/>
      <c r="AY573" s="12"/>
      <c r="AZ573" s="12"/>
      <c r="BA573" s="12"/>
      <c r="BB573" s="12"/>
    </row>
    <row r="574" spans="1:54" ht="13">
      <c r="A574" s="12"/>
      <c r="B574" s="27"/>
      <c r="C574" s="27"/>
      <c r="D574" s="407"/>
      <c r="E574" s="27"/>
      <c r="F574" s="27"/>
      <c r="G574" s="27"/>
      <c r="H574" s="408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12"/>
      <c r="AW574" s="12"/>
      <c r="AX574" s="12"/>
      <c r="AY574" s="12"/>
      <c r="AZ574" s="12"/>
      <c r="BA574" s="12"/>
      <c r="BB574" s="12"/>
    </row>
    <row r="575" spans="1:54" ht="13">
      <c r="A575" s="12"/>
      <c r="B575" s="236"/>
      <c r="C575" s="236"/>
      <c r="D575" s="405"/>
      <c r="E575" s="236"/>
      <c r="F575" s="236"/>
      <c r="G575" s="236"/>
      <c r="H575" s="406"/>
      <c r="I575" s="236"/>
      <c r="J575" s="236"/>
      <c r="K575" s="236"/>
      <c r="L575" s="236"/>
      <c r="M575" s="236"/>
      <c r="N575" s="236"/>
      <c r="O575" s="236"/>
      <c r="P575" s="236"/>
      <c r="Q575" s="236"/>
      <c r="R575" s="236"/>
      <c r="S575" s="236"/>
      <c r="T575" s="236"/>
      <c r="U575" s="236"/>
      <c r="V575" s="236"/>
      <c r="W575" s="236"/>
      <c r="X575" s="236"/>
      <c r="Y575" s="236"/>
      <c r="Z575" s="236"/>
      <c r="AA575" s="236"/>
      <c r="AB575" s="236"/>
      <c r="AC575" s="236"/>
      <c r="AD575" s="236"/>
      <c r="AE575" s="236"/>
      <c r="AF575" s="236"/>
      <c r="AG575" s="236"/>
      <c r="AH575" s="236"/>
      <c r="AI575" s="236"/>
      <c r="AJ575" s="236"/>
      <c r="AK575" s="236"/>
      <c r="AL575" s="236"/>
      <c r="AM575" s="236"/>
      <c r="AN575" s="236"/>
      <c r="AO575" s="236"/>
      <c r="AP575" s="236"/>
      <c r="AQ575" s="236"/>
      <c r="AR575" s="236"/>
      <c r="AS575" s="236"/>
      <c r="AT575" s="236"/>
      <c r="AU575" s="236"/>
      <c r="AV575" s="12"/>
      <c r="AW575" s="12"/>
      <c r="AX575" s="12"/>
      <c r="AY575" s="12"/>
      <c r="AZ575" s="12"/>
      <c r="BA575" s="12"/>
      <c r="BB575" s="12"/>
    </row>
    <row r="576" spans="1:54" ht="13">
      <c r="A576" s="12"/>
      <c r="B576" s="27"/>
      <c r="C576" s="27"/>
      <c r="D576" s="407"/>
      <c r="E576" s="27"/>
      <c r="F576" s="27"/>
      <c r="G576" s="27"/>
      <c r="H576" s="408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12"/>
      <c r="AW576" s="12"/>
      <c r="AX576" s="12"/>
      <c r="AY576" s="12"/>
      <c r="AZ576" s="12"/>
      <c r="BA576" s="12"/>
      <c r="BB576" s="12"/>
    </row>
    <row r="577" spans="1:54" ht="13">
      <c r="A577" s="12"/>
      <c r="B577" s="236"/>
      <c r="C577" s="236"/>
      <c r="D577" s="405"/>
      <c r="E577" s="236"/>
      <c r="F577" s="236"/>
      <c r="G577" s="236"/>
      <c r="H577" s="406"/>
      <c r="I577" s="236"/>
      <c r="J577" s="236"/>
      <c r="K577" s="236"/>
      <c r="L577" s="236"/>
      <c r="M577" s="236"/>
      <c r="N577" s="236"/>
      <c r="O577" s="236"/>
      <c r="P577" s="236"/>
      <c r="Q577" s="236"/>
      <c r="R577" s="236"/>
      <c r="S577" s="236"/>
      <c r="T577" s="236"/>
      <c r="U577" s="236"/>
      <c r="V577" s="236"/>
      <c r="W577" s="236"/>
      <c r="X577" s="236"/>
      <c r="Y577" s="236"/>
      <c r="Z577" s="236"/>
      <c r="AA577" s="236"/>
      <c r="AB577" s="236"/>
      <c r="AC577" s="236"/>
      <c r="AD577" s="236"/>
      <c r="AE577" s="236"/>
      <c r="AF577" s="236"/>
      <c r="AG577" s="236"/>
      <c r="AH577" s="236"/>
      <c r="AI577" s="236"/>
      <c r="AJ577" s="236"/>
      <c r="AK577" s="236"/>
      <c r="AL577" s="236"/>
      <c r="AM577" s="236"/>
      <c r="AN577" s="236"/>
      <c r="AO577" s="236"/>
      <c r="AP577" s="236"/>
      <c r="AQ577" s="236"/>
      <c r="AR577" s="236"/>
      <c r="AS577" s="236"/>
      <c r="AT577" s="236"/>
      <c r="AU577" s="236"/>
      <c r="AV577" s="12"/>
      <c r="AW577" s="12"/>
      <c r="AX577" s="12"/>
      <c r="AY577" s="12"/>
      <c r="AZ577" s="12"/>
      <c r="BA577" s="12"/>
      <c r="BB577" s="12"/>
    </row>
    <row r="578" spans="1:54" ht="13">
      <c r="A578" s="12"/>
      <c r="B578" s="27"/>
      <c r="C578" s="27"/>
      <c r="D578" s="407"/>
      <c r="E578" s="27"/>
      <c r="F578" s="27"/>
      <c r="G578" s="27"/>
      <c r="H578" s="408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12"/>
      <c r="AW578" s="12"/>
      <c r="AX578" s="12"/>
      <c r="AY578" s="12"/>
      <c r="AZ578" s="12"/>
      <c r="BA578" s="12"/>
      <c r="BB578" s="12"/>
    </row>
    <row r="579" spans="1:54" ht="13">
      <c r="A579" s="12"/>
      <c r="B579" s="236"/>
      <c r="C579" s="236"/>
      <c r="D579" s="405"/>
      <c r="E579" s="236"/>
      <c r="F579" s="236"/>
      <c r="G579" s="236"/>
      <c r="H579" s="406"/>
      <c r="I579" s="236"/>
      <c r="J579" s="236"/>
      <c r="K579" s="236"/>
      <c r="L579" s="236"/>
      <c r="M579" s="236"/>
      <c r="N579" s="236"/>
      <c r="O579" s="236"/>
      <c r="P579" s="236"/>
      <c r="Q579" s="236"/>
      <c r="R579" s="236"/>
      <c r="S579" s="236"/>
      <c r="T579" s="236"/>
      <c r="U579" s="236"/>
      <c r="V579" s="236"/>
      <c r="W579" s="236"/>
      <c r="X579" s="236"/>
      <c r="Y579" s="236"/>
      <c r="Z579" s="236"/>
      <c r="AA579" s="236"/>
      <c r="AB579" s="236"/>
      <c r="AC579" s="236"/>
      <c r="AD579" s="236"/>
      <c r="AE579" s="236"/>
      <c r="AF579" s="236"/>
      <c r="AG579" s="236"/>
      <c r="AH579" s="236"/>
      <c r="AI579" s="236"/>
      <c r="AJ579" s="236"/>
      <c r="AK579" s="236"/>
      <c r="AL579" s="236"/>
      <c r="AM579" s="236"/>
      <c r="AN579" s="236"/>
      <c r="AO579" s="236"/>
      <c r="AP579" s="236"/>
      <c r="AQ579" s="236"/>
      <c r="AR579" s="236"/>
      <c r="AS579" s="236"/>
      <c r="AT579" s="236"/>
      <c r="AU579" s="236"/>
      <c r="AV579" s="12"/>
      <c r="AW579" s="12"/>
      <c r="AX579" s="12"/>
      <c r="AY579" s="12"/>
      <c r="AZ579" s="12"/>
      <c r="BA579" s="12"/>
      <c r="BB579" s="12"/>
    </row>
    <row r="580" spans="1:54" ht="13">
      <c r="A580" s="12"/>
      <c r="B580" s="27"/>
      <c r="C580" s="27"/>
      <c r="D580" s="407"/>
      <c r="E580" s="27"/>
      <c r="F580" s="27"/>
      <c r="G580" s="27"/>
      <c r="H580" s="408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12"/>
      <c r="AW580" s="12"/>
      <c r="AX580" s="12"/>
      <c r="AY580" s="12"/>
      <c r="AZ580" s="12"/>
      <c r="BA580" s="12"/>
      <c r="BB580" s="12"/>
    </row>
    <row r="581" spans="1:54" ht="13">
      <c r="A581" s="12"/>
      <c r="B581" s="236"/>
      <c r="C581" s="236"/>
      <c r="D581" s="405"/>
      <c r="E581" s="236"/>
      <c r="F581" s="236"/>
      <c r="G581" s="236"/>
      <c r="H581" s="406"/>
      <c r="I581" s="236"/>
      <c r="J581" s="236"/>
      <c r="K581" s="236"/>
      <c r="L581" s="236"/>
      <c r="M581" s="236"/>
      <c r="N581" s="236"/>
      <c r="O581" s="236"/>
      <c r="P581" s="236"/>
      <c r="Q581" s="236"/>
      <c r="R581" s="236"/>
      <c r="S581" s="236"/>
      <c r="T581" s="236"/>
      <c r="U581" s="236"/>
      <c r="V581" s="236"/>
      <c r="W581" s="236"/>
      <c r="X581" s="236"/>
      <c r="Y581" s="236"/>
      <c r="Z581" s="236"/>
      <c r="AA581" s="236"/>
      <c r="AB581" s="236"/>
      <c r="AC581" s="236"/>
      <c r="AD581" s="236"/>
      <c r="AE581" s="236"/>
      <c r="AF581" s="236"/>
      <c r="AG581" s="236"/>
      <c r="AH581" s="236"/>
      <c r="AI581" s="236"/>
      <c r="AJ581" s="236"/>
      <c r="AK581" s="236"/>
      <c r="AL581" s="236"/>
      <c r="AM581" s="236"/>
      <c r="AN581" s="236"/>
      <c r="AO581" s="236"/>
      <c r="AP581" s="236"/>
      <c r="AQ581" s="236"/>
      <c r="AR581" s="236"/>
      <c r="AS581" s="236"/>
      <c r="AT581" s="236"/>
      <c r="AU581" s="236"/>
      <c r="AV581" s="12"/>
      <c r="AW581" s="12"/>
      <c r="AX581" s="12"/>
      <c r="AY581" s="12"/>
      <c r="AZ581" s="12"/>
      <c r="BA581" s="12"/>
      <c r="BB581" s="12"/>
    </row>
    <row r="582" spans="1:54" ht="13">
      <c r="A582" s="12"/>
      <c r="B582" s="27"/>
      <c r="C582" s="27"/>
      <c r="D582" s="407"/>
      <c r="E582" s="27"/>
      <c r="F582" s="27"/>
      <c r="G582" s="27"/>
      <c r="H582" s="408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12"/>
      <c r="AW582" s="12"/>
      <c r="AX582" s="12"/>
      <c r="AY582" s="12"/>
      <c r="AZ582" s="12"/>
      <c r="BA582" s="12"/>
      <c r="BB582" s="12"/>
    </row>
    <row r="583" spans="1:54" ht="13">
      <c r="A583" s="12"/>
      <c r="B583" s="236"/>
      <c r="C583" s="236"/>
      <c r="D583" s="405"/>
      <c r="E583" s="236"/>
      <c r="F583" s="236"/>
      <c r="G583" s="236"/>
      <c r="H583" s="406"/>
      <c r="I583" s="236"/>
      <c r="J583" s="236"/>
      <c r="K583" s="236"/>
      <c r="L583" s="236"/>
      <c r="M583" s="236"/>
      <c r="N583" s="236"/>
      <c r="O583" s="236"/>
      <c r="P583" s="236"/>
      <c r="Q583" s="236"/>
      <c r="R583" s="236"/>
      <c r="S583" s="236"/>
      <c r="T583" s="236"/>
      <c r="U583" s="236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236"/>
      <c r="AH583" s="236"/>
      <c r="AI583" s="236"/>
      <c r="AJ583" s="236"/>
      <c r="AK583" s="236"/>
      <c r="AL583" s="236"/>
      <c r="AM583" s="236"/>
      <c r="AN583" s="236"/>
      <c r="AO583" s="236"/>
      <c r="AP583" s="236"/>
      <c r="AQ583" s="236"/>
      <c r="AR583" s="236"/>
      <c r="AS583" s="236"/>
      <c r="AT583" s="236"/>
      <c r="AU583" s="236"/>
      <c r="AV583" s="12"/>
      <c r="AW583" s="12"/>
      <c r="AX583" s="12"/>
      <c r="AY583" s="12"/>
      <c r="AZ583" s="12"/>
      <c r="BA583" s="12"/>
      <c r="BB583" s="12"/>
    </row>
    <row r="584" spans="1:54" ht="13">
      <c r="A584" s="12"/>
      <c r="B584" s="27"/>
      <c r="C584" s="27"/>
      <c r="D584" s="407"/>
      <c r="E584" s="27"/>
      <c r="F584" s="27"/>
      <c r="G584" s="27"/>
      <c r="H584" s="408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12"/>
      <c r="AW584" s="12"/>
      <c r="AX584" s="12"/>
      <c r="AY584" s="12"/>
      <c r="AZ584" s="12"/>
      <c r="BA584" s="12"/>
      <c r="BB584" s="12"/>
    </row>
    <row r="585" spans="1:54" ht="13">
      <c r="A585" s="12"/>
      <c r="B585" s="236"/>
      <c r="C585" s="236"/>
      <c r="D585" s="405"/>
      <c r="E585" s="236"/>
      <c r="F585" s="236"/>
      <c r="G585" s="236"/>
      <c r="H585" s="406"/>
      <c r="I585" s="236"/>
      <c r="J585" s="236"/>
      <c r="K585" s="236"/>
      <c r="L585" s="236"/>
      <c r="M585" s="236"/>
      <c r="N585" s="236"/>
      <c r="O585" s="236"/>
      <c r="P585" s="236"/>
      <c r="Q585" s="236"/>
      <c r="R585" s="236"/>
      <c r="S585" s="236"/>
      <c r="T585" s="236"/>
      <c r="U585" s="236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236"/>
      <c r="AH585" s="236"/>
      <c r="AI585" s="236"/>
      <c r="AJ585" s="236"/>
      <c r="AK585" s="236"/>
      <c r="AL585" s="236"/>
      <c r="AM585" s="236"/>
      <c r="AN585" s="236"/>
      <c r="AO585" s="236"/>
      <c r="AP585" s="236"/>
      <c r="AQ585" s="236"/>
      <c r="AR585" s="236"/>
      <c r="AS585" s="236"/>
      <c r="AT585" s="236"/>
      <c r="AU585" s="236"/>
      <c r="AV585" s="12"/>
      <c r="AW585" s="12"/>
      <c r="AX585" s="12"/>
      <c r="AY585" s="12"/>
      <c r="AZ585" s="12"/>
      <c r="BA585" s="12"/>
      <c r="BB585" s="12"/>
    </row>
    <row r="586" spans="1:54" ht="13">
      <c r="A586" s="12"/>
      <c r="B586" s="27"/>
      <c r="C586" s="27"/>
      <c r="D586" s="407"/>
      <c r="E586" s="27"/>
      <c r="F586" s="27"/>
      <c r="G586" s="27"/>
      <c r="H586" s="408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12"/>
      <c r="AW586" s="12"/>
      <c r="AX586" s="12"/>
      <c r="AY586" s="12"/>
      <c r="AZ586" s="12"/>
      <c r="BA586" s="12"/>
      <c r="BB586" s="12"/>
    </row>
    <row r="587" spans="1:54" ht="13">
      <c r="A587" s="12"/>
      <c r="B587" s="236"/>
      <c r="C587" s="236"/>
      <c r="D587" s="405"/>
      <c r="E587" s="236"/>
      <c r="F587" s="236"/>
      <c r="G587" s="236"/>
      <c r="H587" s="406"/>
      <c r="I587" s="236"/>
      <c r="J587" s="236"/>
      <c r="K587" s="236"/>
      <c r="L587" s="236"/>
      <c r="M587" s="236"/>
      <c r="N587" s="236"/>
      <c r="O587" s="236"/>
      <c r="P587" s="236"/>
      <c r="Q587" s="236"/>
      <c r="R587" s="236"/>
      <c r="S587" s="236"/>
      <c r="T587" s="236"/>
      <c r="U587" s="236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236"/>
      <c r="AH587" s="236"/>
      <c r="AI587" s="236"/>
      <c r="AJ587" s="236"/>
      <c r="AK587" s="236"/>
      <c r="AL587" s="236"/>
      <c r="AM587" s="236"/>
      <c r="AN587" s="236"/>
      <c r="AO587" s="236"/>
      <c r="AP587" s="236"/>
      <c r="AQ587" s="236"/>
      <c r="AR587" s="236"/>
      <c r="AS587" s="236"/>
      <c r="AT587" s="236"/>
      <c r="AU587" s="236"/>
      <c r="AV587" s="12"/>
      <c r="AW587" s="12"/>
      <c r="AX587" s="12"/>
      <c r="AY587" s="12"/>
      <c r="AZ587" s="12"/>
      <c r="BA587" s="12"/>
      <c r="BB587" s="12"/>
    </row>
    <row r="588" spans="1:54" ht="13">
      <c r="A588" s="12"/>
      <c r="B588" s="27"/>
      <c r="C588" s="27"/>
      <c r="D588" s="407"/>
      <c r="E588" s="27"/>
      <c r="F588" s="27"/>
      <c r="G588" s="27"/>
      <c r="H588" s="408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12"/>
      <c r="AW588" s="12"/>
      <c r="AX588" s="12"/>
      <c r="AY588" s="12"/>
      <c r="AZ588" s="12"/>
      <c r="BA588" s="12"/>
      <c r="BB588" s="12"/>
    </row>
    <row r="589" spans="1:54" ht="13">
      <c r="A589" s="12"/>
      <c r="B589" s="236"/>
      <c r="C589" s="236"/>
      <c r="D589" s="405"/>
      <c r="E589" s="236"/>
      <c r="F589" s="236"/>
      <c r="G589" s="236"/>
      <c r="H589" s="406"/>
      <c r="I589" s="236"/>
      <c r="J589" s="236"/>
      <c r="K589" s="236"/>
      <c r="L589" s="236"/>
      <c r="M589" s="236"/>
      <c r="N589" s="236"/>
      <c r="O589" s="236"/>
      <c r="P589" s="236"/>
      <c r="Q589" s="236"/>
      <c r="R589" s="236"/>
      <c r="S589" s="236"/>
      <c r="T589" s="236"/>
      <c r="U589" s="236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236"/>
      <c r="AH589" s="236"/>
      <c r="AI589" s="236"/>
      <c r="AJ589" s="236"/>
      <c r="AK589" s="236"/>
      <c r="AL589" s="236"/>
      <c r="AM589" s="236"/>
      <c r="AN589" s="236"/>
      <c r="AO589" s="236"/>
      <c r="AP589" s="236"/>
      <c r="AQ589" s="236"/>
      <c r="AR589" s="236"/>
      <c r="AS589" s="236"/>
      <c r="AT589" s="236"/>
      <c r="AU589" s="236"/>
      <c r="AV589" s="12"/>
      <c r="AW589" s="12"/>
      <c r="AX589" s="12"/>
      <c r="AY589" s="12"/>
      <c r="AZ589" s="12"/>
      <c r="BA589" s="12"/>
      <c r="BB589" s="12"/>
    </row>
    <row r="590" spans="1:54" ht="13">
      <c r="A590" s="12"/>
      <c r="B590" s="27"/>
      <c r="C590" s="27"/>
      <c r="D590" s="407"/>
      <c r="E590" s="27"/>
      <c r="F590" s="27"/>
      <c r="G590" s="27"/>
      <c r="H590" s="408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12"/>
      <c r="AW590" s="12"/>
      <c r="AX590" s="12"/>
      <c r="AY590" s="12"/>
      <c r="AZ590" s="12"/>
      <c r="BA590" s="12"/>
      <c r="BB590" s="12"/>
    </row>
    <row r="591" spans="1:54" ht="13">
      <c r="A591" s="12"/>
      <c r="B591" s="236"/>
      <c r="C591" s="236"/>
      <c r="D591" s="405"/>
      <c r="E591" s="236"/>
      <c r="F591" s="236"/>
      <c r="G591" s="236"/>
      <c r="H591" s="406"/>
      <c r="I591" s="236"/>
      <c r="J591" s="236"/>
      <c r="K591" s="236"/>
      <c r="L591" s="236"/>
      <c r="M591" s="236"/>
      <c r="N591" s="236"/>
      <c r="O591" s="236"/>
      <c r="P591" s="236"/>
      <c r="Q591" s="236"/>
      <c r="R591" s="236"/>
      <c r="S591" s="236"/>
      <c r="T591" s="236"/>
      <c r="U591" s="236"/>
      <c r="V591" s="236"/>
      <c r="W591" s="236"/>
      <c r="X591" s="236"/>
      <c r="Y591" s="236"/>
      <c r="Z591" s="236"/>
      <c r="AA591" s="236"/>
      <c r="AB591" s="236"/>
      <c r="AC591" s="236"/>
      <c r="AD591" s="236"/>
      <c r="AE591" s="236"/>
      <c r="AF591" s="236"/>
      <c r="AG591" s="236"/>
      <c r="AH591" s="236"/>
      <c r="AI591" s="236"/>
      <c r="AJ591" s="236"/>
      <c r="AK591" s="236"/>
      <c r="AL591" s="236"/>
      <c r="AM591" s="236"/>
      <c r="AN591" s="236"/>
      <c r="AO591" s="236"/>
      <c r="AP591" s="236"/>
      <c r="AQ591" s="236"/>
      <c r="AR591" s="236"/>
      <c r="AS591" s="236"/>
      <c r="AT591" s="236"/>
      <c r="AU591" s="236"/>
      <c r="AV591" s="12"/>
      <c r="AW591" s="12"/>
      <c r="AX591" s="12"/>
      <c r="AY591" s="12"/>
      <c r="AZ591" s="12"/>
      <c r="BA591" s="12"/>
      <c r="BB591" s="12"/>
    </row>
    <row r="592" spans="1:54" ht="13">
      <c r="A592" s="12"/>
      <c r="B592" s="27"/>
      <c r="C592" s="27"/>
      <c r="D592" s="407"/>
      <c r="E592" s="27"/>
      <c r="F592" s="27"/>
      <c r="G592" s="27"/>
      <c r="H592" s="408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12"/>
      <c r="AW592" s="12"/>
      <c r="AX592" s="12"/>
      <c r="AY592" s="12"/>
      <c r="AZ592" s="12"/>
      <c r="BA592" s="12"/>
      <c r="BB592" s="12"/>
    </row>
    <row r="593" spans="1:54" ht="13">
      <c r="A593" s="12"/>
      <c r="B593" s="236"/>
      <c r="C593" s="236"/>
      <c r="D593" s="405"/>
      <c r="E593" s="236"/>
      <c r="F593" s="236"/>
      <c r="G593" s="236"/>
      <c r="H593" s="406"/>
      <c r="I593" s="236"/>
      <c r="J593" s="236"/>
      <c r="K593" s="236"/>
      <c r="L593" s="236"/>
      <c r="M593" s="236"/>
      <c r="N593" s="236"/>
      <c r="O593" s="236"/>
      <c r="P593" s="236"/>
      <c r="Q593" s="236"/>
      <c r="R593" s="236"/>
      <c r="S593" s="236"/>
      <c r="T593" s="236"/>
      <c r="U593" s="236"/>
      <c r="V593" s="236"/>
      <c r="W593" s="236"/>
      <c r="X593" s="236"/>
      <c r="Y593" s="236"/>
      <c r="Z593" s="236"/>
      <c r="AA593" s="236"/>
      <c r="AB593" s="236"/>
      <c r="AC593" s="236"/>
      <c r="AD593" s="236"/>
      <c r="AE593" s="236"/>
      <c r="AF593" s="236"/>
      <c r="AG593" s="236"/>
      <c r="AH593" s="236"/>
      <c r="AI593" s="236"/>
      <c r="AJ593" s="236"/>
      <c r="AK593" s="236"/>
      <c r="AL593" s="236"/>
      <c r="AM593" s="236"/>
      <c r="AN593" s="236"/>
      <c r="AO593" s="236"/>
      <c r="AP593" s="236"/>
      <c r="AQ593" s="236"/>
      <c r="AR593" s="236"/>
      <c r="AS593" s="236"/>
      <c r="AT593" s="236"/>
      <c r="AU593" s="236"/>
      <c r="AV593" s="12"/>
      <c r="AW593" s="12"/>
      <c r="AX593" s="12"/>
      <c r="AY593" s="12"/>
      <c r="AZ593" s="12"/>
      <c r="BA593" s="12"/>
      <c r="BB593" s="12"/>
    </row>
    <row r="594" spans="1:54" ht="13">
      <c r="A594" s="12"/>
      <c r="B594" s="27"/>
      <c r="C594" s="27"/>
      <c r="D594" s="407"/>
      <c r="E594" s="27"/>
      <c r="F594" s="27"/>
      <c r="G594" s="27"/>
      <c r="H594" s="408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12"/>
      <c r="AW594" s="12"/>
      <c r="AX594" s="12"/>
      <c r="AY594" s="12"/>
      <c r="AZ594" s="12"/>
      <c r="BA594" s="12"/>
      <c r="BB594" s="12"/>
    </row>
    <row r="595" spans="1:54" ht="13">
      <c r="A595" s="12"/>
      <c r="B595" s="236"/>
      <c r="C595" s="236"/>
      <c r="D595" s="405"/>
      <c r="E595" s="236"/>
      <c r="F595" s="236"/>
      <c r="G595" s="236"/>
      <c r="H595" s="406"/>
      <c r="I595" s="236"/>
      <c r="J595" s="236"/>
      <c r="K595" s="236"/>
      <c r="L595" s="236"/>
      <c r="M595" s="236"/>
      <c r="N595" s="236"/>
      <c r="O595" s="236"/>
      <c r="P595" s="236"/>
      <c r="Q595" s="236"/>
      <c r="R595" s="236"/>
      <c r="S595" s="236"/>
      <c r="T595" s="236"/>
      <c r="U595" s="236"/>
      <c r="V595" s="236"/>
      <c r="W595" s="236"/>
      <c r="X595" s="236"/>
      <c r="Y595" s="236"/>
      <c r="Z595" s="236"/>
      <c r="AA595" s="236"/>
      <c r="AB595" s="236"/>
      <c r="AC595" s="236"/>
      <c r="AD595" s="236"/>
      <c r="AE595" s="236"/>
      <c r="AF595" s="236"/>
      <c r="AG595" s="236"/>
      <c r="AH595" s="236"/>
      <c r="AI595" s="236"/>
      <c r="AJ595" s="236"/>
      <c r="AK595" s="236"/>
      <c r="AL595" s="236"/>
      <c r="AM595" s="236"/>
      <c r="AN595" s="236"/>
      <c r="AO595" s="236"/>
      <c r="AP595" s="236"/>
      <c r="AQ595" s="236"/>
      <c r="AR595" s="236"/>
      <c r="AS595" s="236"/>
      <c r="AT595" s="236"/>
      <c r="AU595" s="236"/>
      <c r="AV595" s="12"/>
      <c r="AW595" s="12"/>
      <c r="AX595" s="12"/>
      <c r="AY595" s="12"/>
      <c r="AZ595" s="12"/>
      <c r="BA595" s="12"/>
      <c r="BB595" s="12"/>
    </row>
    <row r="596" spans="1:54" ht="13">
      <c r="A596" s="12"/>
      <c r="B596" s="27"/>
      <c r="C596" s="27"/>
      <c r="D596" s="407"/>
      <c r="E596" s="27"/>
      <c r="F596" s="27"/>
      <c r="G596" s="27"/>
      <c r="H596" s="408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12"/>
      <c r="AW596" s="12"/>
      <c r="AX596" s="12"/>
      <c r="AY596" s="12"/>
      <c r="AZ596" s="12"/>
      <c r="BA596" s="12"/>
      <c r="BB596" s="12"/>
    </row>
    <row r="597" spans="1:54" ht="13">
      <c r="A597" s="12"/>
      <c r="B597" s="236"/>
      <c r="C597" s="236"/>
      <c r="D597" s="405"/>
      <c r="E597" s="236"/>
      <c r="F597" s="236"/>
      <c r="G597" s="236"/>
      <c r="H597" s="406"/>
      <c r="I597" s="236"/>
      <c r="J597" s="236"/>
      <c r="K597" s="236"/>
      <c r="L597" s="236"/>
      <c r="M597" s="236"/>
      <c r="N597" s="236"/>
      <c r="O597" s="236"/>
      <c r="P597" s="236"/>
      <c r="Q597" s="236"/>
      <c r="R597" s="236"/>
      <c r="S597" s="236"/>
      <c r="T597" s="236"/>
      <c r="U597" s="236"/>
      <c r="V597" s="236"/>
      <c r="W597" s="236"/>
      <c r="X597" s="236"/>
      <c r="Y597" s="236"/>
      <c r="Z597" s="236"/>
      <c r="AA597" s="236"/>
      <c r="AB597" s="236"/>
      <c r="AC597" s="236"/>
      <c r="AD597" s="236"/>
      <c r="AE597" s="236"/>
      <c r="AF597" s="236"/>
      <c r="AG597" s="236"/>
      <c r="AH597" s="236"/>
      <c r="AI597" s="236"/>
      <c r="AJ597" s="236"/>
      <c r="AK597" s="236"/>
      <c r="AL597" s="236"/>
      <c r="AM597" s="236"/>
      <c r="AN597" s="236"/>
      <c r="AO597" s="236"/>
      <c r="AP597" s="236"/>
      <c r="AQ597" s="236"/>
      <c r="AR597" s="236"/>
      <c r="AS597" s="236"/>
      <c r="AT597" s="236"/>
      <c r="AU597" s="236"/>
      <c r="AV597" s="12"/>
      <c r="AW597" s="12"/>
      <c r="AX597" s="12"/>
      <c r="AY597" s="12"/>
      <c r="AZ597" s="12"/>
      <c r="BA597" s="12"/>
      <c r="BB597" s="12"/>
    </row>
    <row r="598" spans="1:54" ht="13">
      <c r="A598" s="12"/>
      <c r="B598" s="27"/>
      <c r="C598" s="27"/>
      <c r="D598" s="407"/>
      <c r="E598" s="27"/>
      <c r="F598" s="27"/>
      <c r="G598" s="27"/>
      <c r="H598" s="408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12"/>
      <c r="AW598" s="12"/>
      <c r="AX598" s="12"/>
      <c r="AY598" s="12"/>
      <c r="AZ598" s="12"/>
      <c r="BA598" s="12"/>
      <c r="BB598" s="12"/>
    </row>
    <row r="599" spans="1:54" ht="13">
      <c r="A599" s="12"/>
      <c r="B599" s="236"/>
      <c r="C599" s="236"/>
      <c r="D599" s="405"/>
      <c r="E599" s="236"/>
      <c r="F599" s="236"/>
      <c r="G599" s="236"/>
      <c r="H599" s="406"/>
      <c r="I599" s="236"/>
      <c r="J599" s="236"/>
      <c r="K599" s="236"/>
      <c r="L599" s="236"/>
      <c r="M599" s="236"/>
      <c r="N599" s="236"/>
      <c r="O599" s="236"/>
      <c r="P599" s="236"/>
      <c r="Q599" s="236"/>
      <c r="R599" s="236"/>
      <c r="S599" s="236"/>
      <c r="T599" s="236"/>
      <c r="U599" s="236"/>
      <c r="V599" s="236"/>
      <c r="W599" s="236"/>
      <c r="X599" s="236"/>
      <c r="Y599" s="236"/>
      <c r="Z599" s="236"/>
      <c r="AA599" s="236"/>
      <c r="AB599" s="236"/>
      <c r="AC599" s="236"/>
      <c r="AD599" s="236"/>
      <c r="AE599" s="236"/>
      <c r="AF599" s="236"/>
      <c r="AG599" s="236"/>
      <c r="AH599" s="236"/>
      <c r="AI599" s="236"/>
      <c r="AJ599" s="236"/>
      <c r="AK599" s="236"/>
      <c r="AL599" s="236"/>
      <c r="AM599" s="236"/>
      <c r="AN599" s="236"/>
      <c r="AO599" s="236"/>
      <c r="AP599" s="236"/>
      <c r="AQ599" s="236"/>
      <c r="AR599" s="236"/>
      <c r="AS599" s="236"/>
      <c r="AT599" s="236"/>
      <c r="AU599" s="236"/>
      <c r="AV599" s="12"/>
      <c r="AW599" s="12"/>
      <c r="AX599" s="12"/>
      <c r="AY599" s="12"/>
      <c r="AZ599" s="12"/>
      <c r="BA599" s="12"/>
      <c r="BB599" s="12"/>
    </row>
    <row r="600" spans="1:54" ht="13">
      <c r="A600" s="12"/>
      <c r="B600" s="27"/>
      <c r="C600" s="27"/>
      <c r="D600" s="407"/>
      <c r="E600" s="27"/>
      <c r="F600" s="27"/>
      <c r="G600" s="27"/>
      <c r="H600" s="408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12"/>
      <c r="AW600" s="12"/>
      <c r="AX600" s="12"/>
      <c r="AY600" s="12"/>
      <c r="AZ600" s="12"/>
      <c r="BA600" s="12"/>
      <c r="BB600" s="12"/>
    </row>
    <row r="601" spans="1:54" ht="13">
      <c r="A601" s="12"/>
      <c r="B601" s="236"/>
      <c r="C601" s="236"/>
      <c r="D601" s="405"/>
      <c r="E601" s="236"/>
      <c r="F601" s="236"/>
      <c r="G601" s="236"/>
      <c r="H601" s="406"/>
      <c r="I601" s="236"/>
      <c r="J601" s="236"/>
      <c r="K601" s="236"/>
      <c r="L601" s="236"/>
      <c r="M601" s="236"/>
      <c r="N601" s="236"/>
      <c r="O601" s="236"/>
      <c r="P601" s="236"/>
      <c r="Q601" s="236"/>
      <c r="R601" s="236"/>
      <c r="S601" s="236"/>
      <c r="T601" s="236"/>
      <c r="U601" s="236"/>
      <c r="V601" s="236"/>
      <c r="W601" s="236"/>
      <c r="X601" s="236"/>
      <c r="Y601" s="236"/>
      <c r="Z601" s="236"/>
      <c r="AA601" s="236"/>
      <c r="AB601" s="236"/>
      <c r="AC601" s="236"/>
      <c r="AD601" s="236"/>
      <c r="AE601" s="236"/>
      <c r="AF601" s="236"/>
      <c r="AG601" s="236"/>
      <c r="AH601" s="236"/>
      <c r="AI601" s="236"/>
      <c r="AJ601" s="236"/>
      <c r="AK601" s="236"/>
      <c r="AL601" s="236"/>
      <c r="AM601" s="236"/>
      <c r="AN601" s="236"/>
      <c r="AO601" s="236"/>
      <c r="AP601" s="236"/>
      <c r="AQ601" s="236"/>
      <c r="AR601" s="236"/>
      <c r="AS601" s="236"/>
      <c r="AT601" s="236"/>
      <c r="AU601" s="236"/>
      <c r="AV601" s="12"/>
      <c r="AW601" s="12"/>
      <c r="AX601" s="12"/>
      <c r="AY601" s="12"/>
      <c r="AZ601" s="12"/>
      <c r="BA601" s="12"/>
      <c r="BB601" s="12"/>
    </row>
    <row r="602" spans="1:54" ht="13">
      <c r="A602" s="12"/>
      <c r="B602" s="27"/>
      <c r="C602" s="27"/>
      <c r="D602" s="407"/>
      <c r="E602" s="27"/>
      <c r="F602" s="27"/>
      <c r="G602" s="27"/>
      <c r="H602" s="408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12"/>
      <c r="AW602" s="12"/>
      <c r="AX602" s="12"/>
      <c r="AY602" s="12"/>
      <c r="AZ602" s="12"/>
      <c r="BA602" s="12"/>
      <c r="BB602" s="12"/>
    </row>
    <row r="603" spans="1:54" ht="13">
      <c r="A603" s="12"/>
      <c r="B603" s="236"/>
      <c r="C603" s="236"/>
      <c r="D603" s="405"/>
      <c r="E603" s="236"/>
      <c r="F603" s="236"/>
      <c r="G603" s="236"/>
      <c r="H603" s="406"/>
      <c r="I603" s="236"/>
      <c r="J603" s="236"/>
      <c r="K603" s="236"/>
      <c r="L603" s="236"/>
      <c r="M603" s="236"/>
      <c r="N603" s="236"/>
      <c r="O603" s="236"/>
      <c r="P603" s="236"/>
      <c r="Q603" s="236"/>
      <c r="R603" s="236"/>
      <c r="S603" s="236"/>
      <c r="T603" s="236"/>
      <c r="U603" s="236"/>
      <c r="V603" s="236"/>
      <c r="W603" s="236"/>
      <c r="X603" s="236"/>
      <c r="Y603" s="236"/>
      <c r="Z603" s="236"/>
      <c r="AA603" s="236"/>
      <c r="AB603" s="236"/>
      <c r="AC603" s="236"/>
      <c r="AD603" s="236"/>
      <c r="AE603" s="236"/>
      <c r="AF603" s="236"/>
      <c r="AG603" s="236"/>
      <c r="AH603" s="236"/>
      <c r="AI603" s="236"/>
      <c r="AJ603" s="236"/>
      <c r="AK603" s="236"/>
      <c r="AL603" s="236"/>
      <c r="AM603" s="236"/>
      <c r="AN603" s="236"/>
      <c r="AO603" s="236"/>
      <c r="AP603" s="236"/>
      <c r="AQ603" s="236"/>
      <c r="AR603" s="236"/>
      <c r="AS603" s="236"/>
      <c r="AT603" s="236"/>
      <c r="AU603" s="236"/>
      <c r="AV603" s="12"/>
      <c r="AW603" s="12"/>
      <c r="AX603" s="12"/>
      <c r="AY603" s="12"/>
      <c r="AZ603" s="12"/>
      <c r="BA603" s="12"/>
      <c r="BB603" s="12"/>
    </row>
    <row r="604" spans="1:54" ht="13">
      <c r="A604" s="12"/>
      <c r="B604" s="27"/>
      <c r="C604" s="27"/>
      <c r="D604" s="407"/>
      <c r="E604" s="27"/>
      <c r="F604" s="27"/>
      <c r="G604" s="27"/>
      <c r="H604" s="408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12"/>
      <c r="AW604" s="12"/>
      <c r="AX604" s="12"/>
      <c r="AY604" s="12"/>
      <c r="AZ604" s="12"/>
      <c r="BA604" s="12"/>
      <c r="BB604" s="12"/>
    </row>
    <row r="605" spans="1:54" ht="13">
      <c r="A605" s="12"/>
      <c r="B605" s="236"/>
      <c r="C605" s="236"/>
      <c r="D605" s="405"/>
      <c r="E605" s="236"/>
      <c r="F605" s="236"/>
      <c r="G605" s="236"/>
      <c r="H605" s="406"/>
      <c r="I605" s="236"/>
      <c r="J605" s="236"/>
      <c r="K605" s="236"/>
      <c r="L605" s="236"/>
      <c r="M605" s="236"/>
      <c r="N605" s="236"/>
      <c r="O605" s="236"/>
      <c r="P605" s="236"/>
      <c r="Q605" s="236"/>
      <c r="R605" s="236"/>
      <c r="S605" s="236"/>
      <c r="T605" s="236"/>
      <c r="U605" s="236"/>
      <c r="V605" s="236"/>
      <c r="W605" s="236"/>
      <c r="X605" s="236"/>
      <c r="Y605" s="236"/>
      <c r="Z605" s="236"/>
      <c r="AA605" s="236"/>
      <c r="AB605" s="236"/>
      <c r="AC605" s="236"/>
      <c r="AD605" s="236"/>
      <c r="AE605" s="236"/>
      <c r="AF605" s="236"/>
      <c r="AG605" s="236"/>
      <c r="AH605" s="236"/>
      <c r="AI605" s="236"/>
      <c r="AJ605" s="236"/>
      <c r="AK605" s="236"/>
      <c r="AL605" s="236"/>
      <c r="AM605" s="236"/>
      <c r="AN605" s="236"/>
      <c r="AO605" s="236"/>
      <c r="AP605" s="236"/>
      <c r="AQ605" s="236"/>
      <c r="AR605" s="236"/>
      <c r="AS605" s="236"/>
      <c r="AT605" s="236"/>
      <c r="AU605" s="236"/>
      <c r="AV605" s="12"/>
      <c r="AW605" s="12"/>
      <c r="AX605" s="12"/>
      <c r="AY605" s="12"/>
      <c r="AZ605" s="12"/>
      <c r="BA605" s="12"/>
      <c r="BB605" s="12"/>
    </row>
    <row r="606" spans="1:54" ht="13">
      <c r="A606" s="12"/>
      <c r="B606" s="27"/>
      <c r="C606" s="27"/>
      <c r="D606" s="407"/>
      <c r="E606" s="27"/>
      <c r="F606" s="27"/>
      <c r="G606" s="27"/>
      <c r="H606" s="408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12"/>
      <c r="AW606" s="12"/>
      <c r="AX606" s="12"/>
      <c r="AY606" s="12"/>
      <c r="AZ606" s="12"/>
      <c r="BA606" s="12"/>
      <c r="BB606" s="12"/>
    </row>
    <row r="607" spans="1:54" ht="13">
      <c r="A607" s="12"/>
      <c r="B607" s="236"/>
      <c r="C607" s="236"/>
      <c r="D607" s="405"/>
      <c r="E607" s="236"/>
      <c r="F607" s="236"/>
      <c r="G607" s="236"/>
      <c r="H607" s="406"/>
      <c r="I607" s="236"/>
      <c r="J607" s="236"/>
      <c r="K607" s="236"/>
      <c r="L607" s="236"/>
      <c r="M607" s="236"/>
      <c r="N607" s="236"/>
      <c r="O607" s="236"/>
      <c r="P607" s="236"/>
      <c r="Q607" s="236"/>
      <c r="R607" s="236"/>
      <c r="S607" s="236"/>
      <c r="T607" s="236"/>
      <c r="U607" s="236"/>
      <c r="V607" s="236"/>
      <c r="W607" s="236"/>
      <c r="X607" s="236"/>
      <c r="Y607" s="236"/>
      <c r="Z607" s="236"/>
      <c r="AA607" s="236"/>
      <c r="AB607" s="236"/>
      <c r="AC607" s="236"/>
      <c r="AD607" s="236"/>
      <c r="AE607" s="236"/>
      <c r="AF607" s="236"/>
      <c r="AG607" s="236"/>
      <c r="AH607" s="236"/>
      <c r="AI607" s="236"/>
      <c r="AJ607" s="236"/>
      <c r="AK607" s="236"/>
      <c r="AL607" s="236"/>
      <c r="AM607" s="236"/>
      <c r="AN607" s="236"/>
      <c r="AO607" s="236"/>
      <c r="AP607" s="236"/>
      <c r="AQ607" s="236"/>
      <c r="AR607" s="236"/>
      <c r="AS607" s="236"/>
      <c r="AT607" s="236"/>
      <c r="AU607" s="236"/>
      <c r="AV607" s="12"/>
      <c r="AW607" s="12"/>
      <c r="AX607" s="12"/>
      <c r="AY607" s="12"/>
      <c r="AZ607" s="12"/>
      <c r="BA607" s="12"/>
      <c r="BB607" s="12"/>
    </row>
    <row r="608" spans="1:54" ht="13">
      <c r="A608" s="12"/>
      <c r="B608" s="27"/>
      <c r="C608" s="27"/>
      <c r="D608" s="407"/>
      <c r="E608" s="27"/>
      <c r="F608" s="27"/>
      <c r="G608" s="27"/>
      <c r="H608" s="408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12"/>
      <c r="AW608" s="12"/>
      <c r="AX608" s="12"/>
      <c r="AY608" s="12"/>
      <c r="AZ608" s="12"/>
      <c r="BA608" s="12"/>
      <c r="BB608" s="12"/>
    </row>
    <row r="609" spans="1:54" ht="13">
      <c r="A609" s="12"/>
      <c r="B609" s="236"/>
      <c r="C609" s="236"/>
      <c r="D609" s="405"/>
      <c r="E609" s="236"/>
      <c r="F609" s="236"/>
      <c r="G609" s="236"/>
      <c r="H609" s="406"/>
      <c r="I609" s="236"/>
      <c r="J609" s="236"/>
      <c r="K609" s="236"/>
      <c r="L609" s="236"/>
      <c r="M609" s="236"/>
      <c r="N609" s="236"/>
      <c r="O609" s="236"/>
      <c r="P609" s="236"/>
      <c r="Q609" s="236"/>
      <c r="R609" s="236"/>
      <c r="S609" s="236"/>
      <c r="T609" s="236"/>
      <c r="U609" s="236"/>
      <c r="V609" s="236"/>
      <c r="W609" s="236"/>
      <c r="X609" s="236"/>
      <c r="Y609" s="236"/>
      <c r="Z609" s="236"/>
      <c r="AA609" s="236"/>
      <c r="AB609" s="236"/>
      <c r="AC609" s="236"/>
      <c r="AD609" s="236"/>
      <c r="AE609" s="236"/>
      <c r="AF609" s="236"/>
      <c r="AG609" s="236"/>
      <c r="AH609" s="236"/>
      <c r="AI609" s="236"/>
      <c r="AJ609" s="236"/>
      <c r="AK609" s="236"/>
      <c r="AL609" s="236"/>
      <c r="AM609" s="236"/>
      <c r="AN609" s="236"/>
      <c r="AO609" s="236"/>
      <c r="AP609" s="236"/>
      <c r="AQ609" s="236"/>
      <c r="AR609" s="236"/>
      <c r="AS609" s="236"/>
      <c r="AT609" s="236"/>
      <c r="AU609" s="236"/>
      <c r="AV609" s="12"/>
      <c r="AW609" s="12"/>
      <c r="AX609" s="12"/>
      <c r="AY609" s="12"/>
      <c r="AZ609" s="12"/>
      <c r="BA609" s="12"/>
      <c r="BB609" s="12"/>
    </row>
    <row r="610" spans="1:54" ht="13">
      <c r="A610" s="12"/>
      <c r="B610" s="27"/>
      <c r="C610" s="27"/>
      <c r="D610" s="407"/>
      <c r="E610" s="27"/>
      <c r="F610" s="27"/>
      <c r="G610" s="27"/>
      <c r="H610" s="408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12"/>
      <c r="AW610" s="12"/>
      <c r="AX610" s="12"/>
      <c r="AY610" s="12"/>
      <c r="AZ610" s="12"/>
      <c r="BA610" s="12"/>
      <c r="BB610" s="12"/>
    </row>
    <row r="611" spans="1:54" ht="13">
      <c r="A611" s="12"/>
      <c r="B611" s="236"/>
      <c r="C611" s="236"/>
      <c r="D611" s="405"/>
      <c r="E611" s="236"/>
      <c r="F611" s="236"/>
      <c r="G611" s="236"/>
      <c r="H611" s="406"/>
      <c r="I611" s="236"/>
      <c r="J611" s="236"/>
      <c r="K611" s="236"/>
      <c r="L611" s="236"/>
      <c r="M611" s="236"/>
      <c r="N611" s="236"/>
      <c r="O611" s="236"/>
      <c r="P611" s="236"/>
      <c r="Q611" s="236"/>
      <c r="R611" s="236"/>
      <c r="S611" s="236"/>
      <c r="T611" s="236"/>
      <c r="U611" s="236"/>
      <c r="V611" s="236"/>
      <c r="W611" s="236"/>
      <c r="X611" s="236"/>
      <c r="Y611" s="236"/>
      <c r="Z611" s="236"/>
      <c r="AA611" s="236"/>
      <c r="AB611" s="236"/>
      <c r="AC611" s="236"/>
      <c r="AD611" s="236"/>
      <c r="AE611" s="236"/>
      <c r="AF611" s="236"/>
      <c r="AG611" s="236"/>
      <c r="AH611" s="236"/>
      <c r="AI611" s="236"/>
      <c r="AJ611" s="236"/>
      <c r="AK611" s="236"/>
      <c r="AL611" s="236"/>
      <c r="AM611" s="236"/>
      <c r="AN611" s="236"/>
      <c r="AO611" s="236"/>
      <c r="AP611" s="236"/>
      <c r="AQ611" s="236"/>
      <c r="AR611" s="236"/>
      <c r="AS611" s="236"/>
      <c r="AT611" s="236"/>
      <c r="AU611" s="236"/>
      <c r="AV611" s="12"/>
      <c r="AW611" s="12"/>
      <c r="AX611" s="12"/>
      <c r="AY611" s="12"/>
      <c r="AZ611" s="12"/>
      <c r="BA611" s="12"/>
      <c r="BB611" s="12"/>
    </row>
    <row r="612" spans="1:54" ht="13">
      <c r="A612" s="12"/>
      <c r="B612" s="27"/>
      <c r="C612" s="27"/>
      <c r="D612" s="407"/>
      <c r="E612" s="27"/>
      <c r="F612" s="27"/>
      <c r="G612" s="27"/>
      <c r="H612" s="408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12"/>
      <c r="AW612" s="12"/>
      <c r="AX612" s="12"/>
      <c r="AY612" s="12"/>
      <c r="AZ612" s="12"/>
      <c r="BA612" s="12"/>
      <c r="BB612" s="12"/>
    </row>
    <row r="613" spans="1:54" ht="13">
      <c r="A613" s="12"/>
      <c r="B613" s="236"/>
      <c r="C613" s="236"/>
      <c r="D613" s="405"/>
      <c r="E613" s="236"/>
      <c r="F613" s="236"/>
      <c r="G613" s="236"/>
      <c r="H613" s="406"/>
      <c r="I613" s="236"/>
      <c r="J613" s="236"/>
      <c r="K613" s="236"/>
      <c r="L613" s="236"/>
      <c r="M613" s="236"/>
      <c r="N613" s="236"/>
      <c r="O613" s="236"/>
      <c r="P613" s="236"/>
      <c r="Q613" s="236"/>
      <c r="R613" s="236"/>
      <c r="S613" s="236"/>
      <c r="T613" s="236"/>
      <c r="U613" s="236"/>
      <c r="V613" s="236"/>
      <c r="W613" s="236"/>
      <c r="X613" s="236"/>
      <c r="Y613" s="236"/>
      <c r="Z613" s="236"/>
      <c r="AA613" s="236"/>
      <c r="AB613" s="236"/>
      <c r="AC613" s="236"/>
      <c r="AD613" s="236"/>
      <c r="AE613" s="236"/>
      <c r="AF613" s="236"/>
      <c r="AG613" s="236"/>
      <c r="AH613" s="236"/>
      <c r="AI613" s="236"/>
      <c r="AJ613" s="236"/>
      <c r="AK613" s="236"/>
      <c r="AL613" s="236"/>
      <c r="AM613" s="236"/>
      <c r="AN613" s="236"/>
      <c r="AO613" s="236"/>
      <c r="AP613" s="236"/>
      <c r="AQ613" s="236"/>
      <c r="AR613" s="236"/>
      <c r="AS613" s="236"/>
      <c r="AT613" s="236"/>
      <c r="AU613" s="236"/>
      <c r="AV613" s="12"/>
      <c r="AW613" s="12"/>
      <c r="AX613" s="12"/>
      <c r="AY613" s="12"/>
      <c r="AZ613" s="12"/>
      <c r="BA613" s="12"/>
      <c r="BB613" s="12"/>
    </row>
    <row r="614" spans="1:54" ht="13">
      <c r="A614" s="12"/>
      <c r="B614" s="27"/>
      <c r="C614" s="27"/>
      <c r="D614" s="407"/>
      <c r="E614" s="27"/>
      <c r="F614" s="27"/>
      <c r="G614" s="27"/>
      <c r="H614" s="408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12"/>
      <c r="AW614" s="12"/>
      <c r="AX614" s="12"/>
      <c r="AY614" s="12"/>
      <c r="AZ614" s="12"/>
      <c r="BA614" s="12"/>
      <c r="BB614" s="12"/>
    </row>
    <row r="615" spans="1:54" ht="13">
      <c r="A615" s="12"/>
      <c r="B615" s="236"/>
      <c r="C615" s="236"/>
      <c r="D615" s="405"/>
      <c r="E615" s="236"/>
      <c r="F615" s="236"/>
      <c r="G615" s="236"/>
      <c r="H615" s="406"/>
      <c r="I615" s="236"/>
      <c r="J615" s="236"/>
      <c r="K615" s="236"/>
      <c r="L615" s="236"/>
      <c r="M615" s="236"/>
      <c r="N615" s="236"/>
      <c r="O615" s="236"/>
      <c r="P615" s="236"/>
      <c r="Q615" s="236"/>
      <c r="R615" s="236"/>
      <c r="S615" s="236"/>
      <c r="T615" s="236"/>
      <c r="U615" s="236"/>
      <c r="V615" s="236"/>
      <c r="W615" s="236"/>
      <c r="X615" s="236"/>
      <c r="Y615" s="236"/>
      <c r="Z615" s="236"/>
      <c r="AA615" s="236"/>
      <c r="AB615" s="236"/>
      <c r="AC615" s="236"/>
      <c r="AD615" s="236"/>
      <c r="AE615" s="236"/>
      <c r="AF615" s="236"/>
      <c r="AG615" s="236"/>
      <c r="AH615" s="236"/>
      <c r="AI615" s="236"/>
      <c r="AJ615" s="236"/>
      <c r="AK615" s="236"/>
      <c r="AL615" s="236"/>
      <c r="AM615" s="236"/>
      <c r="AN615" s="236"/>
      <c r="AO615" s="236"/>
      <c r="AP615" s="236"/>
      <c r="AQ615" s="236"/>
      <c r="AR615" s="236"/>
      <c r="AS615" s="236"/>
      <c r="AT615" s="236"/>
      <c r="AU615" s="236"/>
      <c r="AV615" s="12"/>
      <c r="AW615" s="12"/>
      <c r="AX615" s="12"/>
      <c r="AY615" s="12"/>
      <c r="AZ615" s="12"/>
      <c r="BA615" s="12"/>
      <c r="BB615" s="12"/>
    </row>
    <row r="616" spans="1:54" ht="13">
      <c r="A616" s="12"/>
      <c r="B616" s="27"/>
      <c r="C616" s="27"/>
      <c r="D616" s="407"/>
      <c r="E616" s="27"/>
      <c r="F616" s="27"/>
      <c r="G616" s="27"/>
      <c r="H616" s="408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12"/>
      <c r="AW616" s="12"/>
      <c r="AX616" s="12"/>
      <c r="AY616" s="12"/>
      <c r="AZ616" s="12"/>
      <c r="BA616" s="12"/>
      <c r="BB616" s="12"/>
    </row>
    <row r="617" spans="1:54" ht="13">
      <c r="A617" s="12"/>
      <c r="B617" s="236"/>
      <c r="C617" s="236"/>
      <c r="D617" s="405"/>
      <c r="E617" s="236"/>
      <c r="F617" s="236"/>
      <c r="G617" s="236"/>
      <c r="H617" s="406"/>
      <c r="I617" s="236"/>
      <c r="J617" s="236"/>
      <c r="K617" s="236"/>
      <c r="L617" s="236"/>
      <c r="M617" s="236"/>
      <c r="N617" s="236"/>
      <c r="O617" s="236"/>
      <c r="P617" s="236"/>
      <c r="Q617" s="236"/>
      <c r="R617" s="236"/>
      <c r="S617" s="236"/>
      <c r="T617" s="236"/>
      <c r="U617" s="236"/>
      <c r="V617" s="236"/>
      <c r="W617" s="236"/>
      <c r="X617" s="236"/>
      <c r="Y617" s="236"/>
      <c r="Z617" s="236"/>
      <c r="AA617" s="236"/>
      <c r="AB617" s="236"/>
      <c r="AC617" s="236"/>
      <c r="AD617" s="236"/>
      <c r="AE617" s="236"/>
      <c r="AF617" s="236"/>
      <c r="AG617" s="236"/>
      <c r="AH617" s="236"/>
      <c r="AI617" s="236"/>
      <c r="AJ617" s="236"/>
      <c r="AK617" s="236"/>
      <c r="AL617" s="236"/>
      <c r="AM617" s="236"/>
      <c r="AN617" s="236"/>
      <c r="AO617" s="236"/>
      <c r="AP617" s="236"/>
      <c r="AQ617" s="236"/>
      <c r="AR617" s="236"/>
      <c r="AS617" s="236"/>
      <c r="AT617" s="236"/>
      <c r="AU617" s="236"/>
      <c r="AV617" s="12"/>
      <c r="AW617" s="12"/>
      <c r="AX617" s="12"/>
      <c r="AY617" s="12"/>
      <c r="AZ617" s="12"/>
      <c r="BA617" s="12"/>
      <c r="BB617" s="12"/>
    </row>
    <row r="618" spans="1:54" ht="13">
      <c r="A618" s="12"/>
      <c r="B618" s="27"/>
      <c r="C618" s="27"/>
      <c r="D618" s="407"/>
      <c r="E618" s="27"/>
      <c r="F618" s="27"/>
      <c r="G618" s="27"/>
      <c r="H618" s="408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12"/>
      <c r="AW618" s="12"/>
      <c r="AX618" s="12"/>
      <c r="AY618" s="12"/>
      <c r="AZ618" s="12"/>
      <c r="BA618" s="12"/>
      <c r="BB618" s="12"/>
    </row>
    <row r="619" spans="1:54" ht="13">
      <c r="A619" s="12"/>
      <c r="B619" s="236"/>
      <c r="C619" s="236"/>
      <c r="D619" s="405"/>
      <c r="E619" s="236"/>
      <c r="F619" s="236"/>
      <c r="G619" s="236"/>
      <c r="H619" s="406"/>
      <c r="I619" s="236"/>
      <c r="J619" s="236"/>
      <c r="K619" s="236"/>
      <c r="L619" s="236"/>
      <c r="M619" s="236"/>
      <c r="N619" s="236"/>
      <c r="O619" s="236"/>
      <c r="P619" s="236"/>
      <c r="Q619" s="236"/>
      <c r="R619" s="236"/>
      <c r="S619" s="236"/>
      <c r="T619" s="236"/>
      <c r="U619" s="236"/>
      <c r="V619" s="236"/>
      <c r="W619" s="236"/>
      <c r="X619" s="236"/>
      <c r="Y619" s="236"/>
      <c r="Z619" s="236"/>
      <c r="AA619" s="236"/>
      <c r="AB619" s="236"/>
      <c r="AC619" s="236"/>
      <c r="AD619" s="236"/>
      <c r="AE619" s="236"/>
      <c r="AF619" s="236"/>
      <c r="AG619" s="236"/>
      <c r="AH619" s="236"/>
      <c r="AI619" s="236"/>
      <c r="AJ619" s="236"/>
      <c r="AK619" s="236"/>
      <c r="AL619" s="236"/>
      <c r="AM619" s="236"/>
      <c r="AN619" s="236"/>
      <c r="AO619" s="236"/>
      <c r="AP619" s="236"/>
      <c r="AQ619" s="236"/>
      <c r="AR619" s="236"/>
      <c r="AS619" s="236"/>
      <c r="AT619" s="236"/>
      <c r="AU619" s="236"/>
      <c r="AV619" s="12"/>
      <c r="AW619" s="12"/>
      <c r="AX619" s="12"/>
      <c r="AY619" s="12"/>
      <c r="AZ619" s="12"/>
      <c r="BA619" s="12"/>
      <c r="BB619" s="12"/>
    </row>
    <row r="620" spans="1:54" ht="13">
      <c r="A620" s="12"/>
      <c r="B620" s="27"/>
      <c r="C620" s="27"/>
      <c r="D620" s="407"/>
      <c r="E620" s="27"/>
      <c r="F620" s="27"/>
      <c r="G620" s="27"/>
      <c r="H620" s="408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12"/>
      <c r="AW620" s="12"/>
      <c r="AX620" s="12"/>
      <c r="AY620" s="12"/>
      <c r="AZ620" s="12"/>
      <c r="BA620" s="12"/>
      <c r="BB620" s="12"/>
    </row>
    <row r="621" spans="1:54" ht="13">
      <c r="A621" s="12"/>
      <c r="B621" s="236"/>
      <c r="C621" s="236"/>
      <c r="D621" s="405"/>
      <c r="E621" s="236"/>
      <c r="F621" s="236"/>
      <c r="G621" s="236"/>
      <c r="H621" s="406"/>
      <c r="I621" s="236"/>
      <c r="J621" s="236"/>
      <c r="K621" s="236"/>
      <c r="L621" s="236"/>
      <c r="M621" s="236"/>
      <c r="N621" s="236"/>
      <c r="O621" s="236"/>
      <c r="P621" s="236"/>
      <c r="Q621" s="236"/>
      <c r="R621" s="236"/>
      <c r="S621" s="236"/>
      <c r="T621" s="236"/>
      <c r="U621" s="236"/>
      <c r="V621" s="236"/>
      <c r="W621" s="236"/>
      <c r="X621" s="236"/>
      <c r="Y621" s="236"/>
      <c r="Z621" s="236"/>
      <c r="AA621" s="236"/>
      <c r="AB621" s="236"/>
      <c r="AC621" s="236"/>
      <c r="AD621" s="236"/>
      <c r="AE621" s="236"/>
      <c r="AF621" s="236"/>
      <c r="AG621" s="236"/>
      <c r="AH621" s="236"/>
      <c r="AI621" s="236"/>
      <c r="AJ621" s="236"/>
      <c r="AK621" s="236"/>
      <c r="AL621" s="236"/>
      <c r="AM621" s="236"/>
      <c r="AN621" s="236"/>
      <c r="AO621" s="236"/>
      <c r="AP621" s="236"/>
      <c r="AQ621" s="236"/>
      <c r="AR621" s="236"/>
      <c r="AS621" s="236"/>
      <c r="AT621" s="236"/>
      <c r="AU621" s="236"/>
      <c r="AV621" s="12"/>
      <c r="AW621" s="12"/>
      <c r="AX621" s="12"/>
      <c r="AY621" s="12"/>
      <c r="AZ621" s="12"/>
      <c r="BA621" s="12"/>
      <c r="BB621" s="12"/>
    </row>
    <row r="622" spans="1:54" ht="13">
      <c r="A622" s="12"/>
      <c r="B622" s="27"/>
      <c r="C622" s="27"/>
      <c r="D622" s="407"/>
      <c r="E622" s="27"/>
      <c r="F622" s="27"/>
      <c r="G622" s="27"/>
      <c r="H622" s="408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12"/>
      <c r="AW622" s="12"/>
      <c r="AX622" s="12"/>
      <c r="AY622" s="12"/>
      <c r="AZ622" s="12"/>
      <c r="BA622" s="12"/>
      <c r="BB622" s="12"/>
    </row>
    <row r="623" spans="1:54" ht="13">
      <c r="A623" s="12"/>
      <c r="B623" s="236"/>
      <c r="C623" s="236"/>
      <c r="D623" s="405"/>
      <c r="E623" s="236"/>
      <c r="F623" s="236"/>
      <c r="G623" s="236"/>
      <c r="H623" s="406"/>
      <c r="I623" s="236"/>
      <c r="J623" s="236"/>
      <c r="K623" s="236"/>
      <c r="L623" s="236"/>
      <c r="M623" s="236"/>
      <c r="N623" s="236"/>
      <c r="O623" s="236"/>
      <c r="P623" s="236"/>
      <c r="Q623" s="236"/>
      <c r="R623" s="236"/>
      <c r="S623" s="236"/>
      <c r="T623" s="236"/>
      <c r="U623" s="236"/>
      <c r="V623" s="236"/>
      <c r="W623" s="236"/>
      <c r="X623" s="236"/>
      <c r="Y623" s="236"/>
      <c r="Z623" s="236"/>
      <c r="AA623" s="236"/>
      <c r="AB623" s="236"/>
      <c r="AC623" s="236"/>
      <c r="AD623" s="236"/>
      <c r="AE623" s="236"/>
      <c r="AF623" s="236"/>
      <c r="AG623" s="236"/>
      <c r="AH623" s="236"/>
      <c r="AI623" s="236"/>
      <c r="AJ623" s="236"/>
      <c r="AK623" s="236"/>
      <c r="AL623" s="236"/>
      <c r="AM623" s="236"/>
      <c r="AN623" s="236"/>
      <c r="AO623" s="236"/>
      <c r="AP623" s="236"/>
      <c r="AQ623" s="236"/>
      <c r="AR623" s="236"/>
      <c r="AS623" s="236"/>
      <c r="AT623" s="236"/>
      <c r="AU623" s="236"/>
      <c r="AV623" s="12"/>
      <c r="AW623" s="12"/>
      <c r="AX623" s="12"/>
      <c r="AY623" s="12"/>
      <c r="AZ623" s="12"/>
      <c r="BA623" s="12"/>
      <c r="BB623" s="12"/>
    </row>
    <row r="624" spans="1:54" ht="13">
      <c r="A624" s="12"/>
      <c r="B624" s="27"/>
      <c r="C624" s="27"/>
      <c r="D624" s="407"/>
      <c r="E624" s="27"/>
      <c r="F624" s="27"/>
      <c r="G624" s="27"/>
      <c r="H624" s="408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12"/>
      <c r="AW624" s="12"/>
      <c r="AX624" s="12"/>
      <c r="AY624" s="12"/>
      <c r="AZ624" s="12"/>
      <c r="BA624" s="12"/>
      <c r="BB624" s="12"/>
    </row>
    <row r="625" spans="1:54" ht="13">
      <c r="A625" s="12"/>
      <c r="B625" s="236"/>
      <c r="C625" s="236"/>
      <c r="D625" s="405"/>
      <c r="E625" s="236"/>
      <c r="F625" s="236"/>
      <c r="G625" s="236"/>
      <c r="H625" s="406"/>
      <c r="I625" s="236"/>
      <c r="J625" s="236"/>
      <c r="K625" s="236"/>
      <c r="L625" s="236"/>
      <c r="M625" s="236"/>
      <c r="N625" s="236"/>
      <c r="O625" s="236"/>
      <c r="P625" s="236"/>
      <c r="Q625" s="236"/>
      <c r="R625" s="236"/>
      <c r="S625" s="236"/>
      <c r="T625" s="236"/>
      <c r="U625" s="236"/>
      <c r="V625" s="236"/>
      <c r="W625" s="236"/>
      <c r="X625" s="236"/>
      <c r="Y625" s="236"/>
      <c r="Z625" s="236"/>
      <c r="AA625" s="236"/>
      <c r="AB625" s="236"/>
      <c r="AC625" s="236"/>
      <c r="AD625" s="236"/>
      <c r="AE625" s="236"/>
      <c r="AF625" s="236"/>
      <c r="AG625" s="236"/>
      <c r="AH625" s="236"/>
      <c r="AI625" s="236"/>
      <c r="AJ625" s="236"/>
      <c r="AK625" s="236"/>
      <c r="AL625" s="236"/>
      <c r="AM625" s="236"/>
      <c r="AN625" s="236"/>
      <c r="AO625" s="236"/>
      <c r="AP625" s="236"/>
      <c r="AQ625" s="236"/>
      <c r="AR625" s="236"/>
      <c r="AS625" s="236"/>
      <c r="AT625" s="236"/>
      <c r="AU625" s="236"/>
      <c r="AV625" s="12"/>
      <c r="AW625" s="12"/>
      <c r="AX625" s="12"/>
      <c r="AY625" s="12"/>
      <c r="AZ625" s="12"/>
      <c r="BA625" s="12"/>
      <c r="BB625" s="12"/>
    </row>
    <row r="626" spans="1:54" ht="13">
      <c r="A626" s="12"/>
      <c r="B626" s="27"/>
      <c r="C626" s="27"/>
      <c r="D626" s="407"/>
      <c r="E626" s="27"/>
      <c r="F626" s="27"/>
      <c r="G626" s="27"/>
      <c r="H626" s="408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12"/>
      <c r="AW626" s="12"/>
      <c r="AX626" s="12"/>
      <c r="AY626" s="12"/>
      <c r="AZ626" s="12"/>
      <c r="BA626" s="12"/>
      <c r="BB626" s="12"/>
    </row>
    <row r="627" spans="1:54" ht="13">
      <c r="A627" s="12"/>
      <c r="B627" s="236"/>
      <c r="C627" s="236"/>
      <c r="D627" s="405"/>
      <c r="E627" s="236"/>
      <c r="F627" s="236"/>
      <c r="G627" s="236"/>
      <c r="H627" s="406"/>
      <c r="I627" s="236"/>
      <c r="J627" s="236"/>
      <c r="K627" s="236"/>
      <c r="L627" s="236"/>
      <c r="M627" s="236"/>
      <c r="N627" s="236"/>
      <c r="O627" s="236"/>
      <c r="P627" s="236"/>
      <c r="Q627" s="236"/>
      <c r="R627" s="236"/>
      <c r="S627" s="236"/>
      <c r="T627" s="236"/>
      <c r="U627" s="236"/>
      <c r="V627" s="236"/>
      <c r="W627" s="236"/>
      <c r="X627" s="236"/>
      <c r="Y627" s="236"/>
      <c r="Z627" s="236"/>
      <c r="AA627" s="236"/>
      <c r="AB627" s="236"/>
      <c r="AC627" s="236"/>
      <c r="AD627" s="236"/>
      <c r="AE627" s="236"/>
      <c r="AF627" s="236"/>
      <c r="AG627" s="236"/>
      <c r="AH627" s="236"/>
      <c r="AI627" s="236"/>
      <c r="AJ627" s="236"/>
      <c r="AK627" s="236"/>
      <c r="AL627" s="236"/>
      <c r="AM627" s="236"/>
      <c r="AN627" s="236"/>
      <c r="AO627" s="236"/>
      <c r="AP627" s="236"/>
      <c r="AQ627" s="236"/>
      <c r="AR627" s="236"/>
      <c r="AS627" s="236"/>
      <c r="AT627" s="236"/>
      <c r="AU627" s="236"/>
      <c r="AV627" s="12"/>
      <c r="AW627" s="12"/>
      <c r="AX627" s="12"/>
      <c r="AY627" s="12"/>
      <c r="AZ627" s="12"/>
      <c r="BA627" s="12"/>
      <c r="BB627" s="12"/>
    </row>
    <row r="628" spans="1:54" ht="13">
      <c r="A628" s="12"/>
      <c r="B628" s="27"/>
      <c r="C628" s="27"/>
      <c r="D628" s="407"/>
      <c r="E628" s="27"/>
      <c r="F628" s="27"/>
      <c r="G628" s="27"/>
      <c r="H628" s="408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12"/>
      <c r="AW628" s="12"/>
      <c r="AX628" s="12"/>
      <c r="AY628" s="12"/>
      <c r="AZ628" s="12"/>
      <c r="BA628" s="12"/>
      <c r="BB628" s="12"/>
    </row>
    <row r="629" spans="1:54" ht="13">
      <c r="A629" s="12"/>
      <c r="B629" s="236"/>
      <c r="C629" s="236"/>
      <c r="D629" s="405"/>
      <c r="E629" s="236"/>
      <c r="F629" s="236"/>
      <c r="G629" s="236"/>
      <c r="H629" s="406"/>
      <c r="I629" s="236"/>
      <c r="J629" s="236"/>
      <c r="K629" s="236"/>
      <c r="L629" s="236"/>
      <c r="M629" s="236"/>
      <c r="N629" s="236"/>
      <c r="O629" s="236"/>
      <c r="P629" s="236"/>
      <c r="Q629" s="236"/>
      <c r="R629" s="236"/>
      <c r="S629" s="236"/>
      <c r="T629" s="236"/>
      <c r="U629" s="236"/>
      <c r="V629" s="236"/>
      <c r="W629" s="236"/>
      <c r="X629" s="236"/>
      <c r="Y629" s="236"/>
      <c r="Z629" s="236"/>
      <c r="AA629" s="236"/>
      <c r="AB629" s="236"/>
      <c r="AC629" s="236"/>
      <c r="AD629" s="236"/>
      <c r="AE629" s="236"/>
      <c r="AF629" s="236"/>
      <c r="AG629" s="236"/>
      <c r="AH629" s="236"/>
      <c r="AI629" s="236"/>
      <c r="AJ629" s="236"/>
      <c r="AK629" s="236"/>
      <c r="AL629" s="236"/>
      <c r="AM629" s="236"/>
      <c r="AN629" s="236"/>
      <c r="AO629" s="236"/>
      <c r="AP629" s="236"/>
      <c r="AQ629" s="236"/>
      <c r="AR629" s="236"/>
      <c r="AS629" s="236"/>
      <c r="AT629" s="236"/>
      <c r="AU629" s="236"/>
      <c r="AV629" s="12"/>
      <c r="AW629" s="12"/>
      <c r="AX629" s="12"/>
      <c r="AY629" s="12"/>
      <c r="AZ629" s="12"/>
      <c r="BA629" s="12"/>
      <c r="BB629" s="12"/>
    </row>
    <row r="630" spans="1:54" ht="13">
      <c r="A630" s="12"/>
      <c r="B630" s="27"/>
      <c r="C630" s="27"/>
      <c r="D630" s="407"/>
      <c r="E630" s="27"/>
      <c r="F630" s="27"/>
      <c r="G630" s="27"/>
      <c r="H630" s="408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12"/>
      <c r="AW630" s="12"/>
      <c r="AX630" s="12"/>
      <c r="AY630" s="12"/>
      <c r="AZ630" s="12"/>
      <c r="BA630" s="12"/>
      <c r="BB630" s="12"/>
    </row>
    <row r="631" spans="1:54" ht="13">
      <c r="A631" s="12"/>
      <c r="B631" s="236"/>
      <c r="C631" s="236"/>
      <c r="D631" s="405"/>
      <c r="E631" s="236"/>
      <c r="F631" s="236"/>
      <c r="G631" s="236"/>
      <c r="H631" s="406"/>
      <c r="I631" s="236"/>
      <c r="J631" s="236"/>
      <c r="K631" s="236"/>
      <c r="L631" s="236"/>
      <c r="M631" s="236"/>
      <c r="N631" s="236"/>
      <c r="O631" s="236"/>
      <c r="P631" s="236"/>
      <c r="Q631" s="236"/>
      <c r="R631" s="236"/>
      <c r="S631" s="236"/>
      <c r="T631" s="236"/>
      <c r="U631" s="236"/>
      <c r="V631" s="236"/>
      <c r="W631" s="236"/>
      <c r="X631" s="236"/>
      <c r="Y631" s="236"/>
      <c r="Z631" s="236"/>
      <c r="AA631" s="236"/>
      <c r="AB631" s="236"/>
      <c r="AC631" s="236"/>
      <c r="AD631" s="236"/>
      <c r="AE631" s="236"/>
      <c r="AF631" s="236"/>
      <c r="AG631" s="236"/>
      <c r="AH631" s="236"/>
      <c r="AI631" s="236"/>
      <c r="AJ631" s="236"/>
      <c r="AK631" s="236"/>
      <c r="AL631" s="236"/>
      <c r="AM631" s="236"/>
      <c r="AN631" s="236"/>
      <c r="AO631" s="236"/>
      <c r="AP631" s="236"/>
      <c r="AQ631" s="236"/>
      <c r="AR631" s="236"/>
      <c r="AS631" s="236"/>
      <c r="AT631" s="236"/>
      <c r="AU631" s="236"/>
      <c r="AV631" s="12"/>
      <c r="AW631" s="12"/>
      <c r="AX631" s="12"/>
      <c r="AY631" s="12"/>
      <c r="AZ631" s="12"/>
      <c r="BA631" s="12"/>
      <c r="BB631" s="12"/>
    </row>
    <row r="632" spans="1:54" ht="13">
      <c r="A632" s="12"/>
      <c r="B632" s="27"/>
      <c r="C632" s="27"/>
      <c r="D632" s="407"/>
      <c r="E632" s="27"/>
      <c r="F632" s="27"/>
      <c r="G632" s="27"/>
      <c r="H632" s="408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12"/>
      <c r="AW632" s="12"/>
      <c r="AX632" s="12"/>
      <c r="AY632" s="12"/>
      <c r="AZ632" s="12"/>
      <c r="BA632" s="12"/>
      <c r="BB632" s="12"/>
    </row>
    <row r="633" spans="1:54" ht="13">
      <c r="A633" s="12"/>
      <c r="B633" s="236"/>
      <c r="C633" s="236"/>
      <c r="D633" s="405"/>
      <c r="E633" s="236"/>
      <c r="F633" s="236"/>
      <c r="G633" s="236"/>
      <c r="H633" s="406"/>
      <c r="I633" s="236"/>
      <c r="J633" s="236"/>
      <c r="K633" s="236"/>
      <c r="L633" s="236"/>
      <c r="M633" s="236"/>
      <c r="N633" s="236"/>
      <c r="O633" s="236"/>
      <c r="P633" s="236"/>
      <c r="Q633" s="236"/>
      <c r="R633" s="236"/>
      <c r="S633" s="236"/>
      <c r="T633" s="236"/>
      <c r="U633" s="236"/>
      <c r="V633" s="236"/>
      <c r="W633" s="236"/>
      <c r="X633" s="236"/>
      <c r="Y633" s="236"/>
      <c r="Z633" s="236"/>
      <c r="AA633" s="236"/>
      <c r="AB633" s="236"/>
      <c r="AC633" s="236"/>
      <c r="AD633" s="236"/>
      <c r="AE633" s="236"/>
      <c r="AF633" s="236"/>
      <c r="AG633" s="236"/>
      <c r="AH633" s="236"/>
      <c r="AI633" s="236"/>
      <c r="AJ633" s="236"/>
      <c r="AK633" s="236"/>
      <c r="AL633" s="236"/>
      <c r="AM633" s="236"/>
      <c r="AN633" s="236"/>
      <c r="AO633" s="236"/>
      <c r="AP633" s="236"/>
      <c r="AQ633" s="236"/>
      <c r="AR633" s="236"/>
      <c r="AS633" s="236"/>
      <c r="AT633" s="236"/>
      <c r="AU633" s="236"/>
      <c r="AV633" s="12"/>
      <c r="AW633" s="12"/>
      <c r="AX633" s="12"/>
      <c r="AY633" s="12"/>
      <c r="AZ633" s="12"/>
      <c r="BA633" s="12"/>
      <c r="BB633" s="12"/>
    </row>
    <row r="634" spans="1:54" ht="13">
      <c r="A634" s="12"/>
      <c r="B634" s="27"/>
      <c r="C634" s="27"/>
      <c r="D634" s="407"/>
      <c r="E634" s="27"/>
      <c r="F634" s="27"/>
      <c r="G634" s="27"/>
      <c r="H634" s="408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12"/>
      <c r="AW634" s="12"/>
      <c r="AX634" s="12"/>
      <c r="AY634" s="12"/>
      <c r="AZ634" s="12"/>
      <c r="BA634" s="12"/>
      <c r="BB634" s="12"/>
    </row>
    <row r="635" spans="1:54" ht="13">
      <c r="A635" s="12"/>
      <c r="B635" s="236"/>
      <c r="C635" s="236"/>
      <c r="D635" s="405"/>
      <c r="E635" s="236"/>
      <c r="F635" s="236"/>
      <c r="G635" s="236"/>
      <c r="H635" s="406"/>
      <c r="I635" s="236"/>
      <c r="J635" s="236"/>
      <c r="K635" s="236"/>
      <c r="L635" s="236"/>
      <c r="M635" s="236"/>
      <c r="N635" s="236"/>
      <c r="O635" s="236"/>
      <c r="P635" s="236"/>
      <c r="Q635" s="236"/>
      <c r="R635" s="236"/>
      <c r="S635" s="236"/>
      <c r="T635" s="236"/>
      <c r="U635" s="236"/>
      <c r="V635" s="236"/>
      <c r="W635" s="236"/>
      <c r="X635" s="236"/>
      <c r="Y635" s="236"/>
      <c r="Z635" s="236"/>
      <c r="AA635" s="236"/>
      <c r="AB635" s="236"/>
      <c r="AC635" s="236"/>
      <c r="AD635" s="236"/>
      <c r="AE635" s="236"/>
      <c r="AF635" s="236"/>
      <c r="AG635" s="236"/>
      <c r="AH635" s="236"/>
      <c r="AI635" s="236"/>
      <c r="AJ635" s="236"/>
      <c r="AK635" s="236"/>
      <c r="AL635" s="236"/>
      <c r="AM635" s="236"/>
      <c r="AN635" s="236"/>
      <c r="AO635" s="236"/>
      <c r="AP635" s="236"/>
      <c r="AQ635" s="236"/>
      <c r="AR635" s="236"/>
      <c r="AS635" s="236"/>
      <c r="AT635" s="236"/>
      <c r="AU635" s="236"/>
      <c r="AV635" s="12"/>
      <c r="AW635" s="12"/>
      <c r="AX635" s="12"/>
      <c r="AY635" s="12"/>
      <c r="AZ635" s="12"/>
      <c r="BA635" s="12"/>
      <c r="BB635" s="12"/>
    </row>
    <row r="636" spans="1:54" ht="13">
      <c r="A636" s="12"/>
      <c r="B636" s="27"/>
      <c r="C636" s="27"/>
      <c r="D636" s="407"/>
      <c r="E636" s="27"/>
      <c r="F636" s="27"/>
      <c r="G636" s="27"/>
      <c r="H636" s="408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12"/>
      <c r="AW636" s="12"/>
      <c r="AX636" s="12"/>
      <c r="AY636" s="12"/>
      <c r="AZ636" s="12"/>
      <c r="BA636" s="12"/>
      <c r="BB636" s="12"/>
    </row>
    <row r="637" spans="1:54" ht="13">
      <c r="A637" s="12"/>
      <c r="B637" s="236"/>
      <c r="C637" s="236"/>
      <c r="D637" s="405"/>
      <c r="E637" s="236"/>
      <c r="F637" s="236"/>
      <c r="G637" s="236"/>
      <c r="H637" s="406"/>
      <c r="I637" s="236"/>
      <c r="J637" s="236"/>
      <c r="K637" s="236"/>
      <c r="L637" s="236"/>
      <c r="M637" s="236"/>
      <c r="N637" s="236"/>
      <c r="O637" s="236"/>
      <c r="P637" s="236"/>
      <c r="Q637" s="236"/>
      <c r="R637" s="236"/>
      <c r="S637" s="236"/>
      <c r="T637" s="236"/>
      <c r="U637" s="236"/>
      <c r="V637" s="23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236"/>
      <c r="AH637" s="236"/>
      <c r="AI637" s="236"/>
      <c r="AJ637" s="236"/>
      <c r="AK637" s="236"/>
      <c r="AL637" s="236"/>
      <c r="AM637" s="236"/>
      <c r="AN637" s="236"/>
      <c r="AO637" s="236"/>
      <c r="AP637" s="236"/>
      <c r="AQ637" s="236"/>
      <c r="AR637" s="236"/>
      <c r="AS637" s="236"/>
      <c r="AT637" s="236"/>
      <c r="AU637" s="236"/>
      <c r="AV637" s="12"/>
      <c r="AW637" s="12"/>
      <c r="AX637" s="12"/>
      <c r="AY637" s="12"/>
      <c r="AZ637" s="12"/>
      <c r="BA637" s="12"/>
      <c r="BB637" s="12"/>
    </row>
    <row r="638" spans="1:54" ht="13">
      <c r="A638" s="12"/>
      <c r="B638" s="27"/>
      <c r="C638" s="27"/>
      <c r="D638" s="407"/>
      <c r="E638" s="27"/>
      <c r="F638" s="27"/>
      <c r="G638" s="27"/>
      <c r="H638" s="408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12"/>
      <c r="AW638" s="12"/>
      <c r="AX638" s="12"/>
      <c r="AY638" s="12"/>
      <c r="AZ638" s="12"/>
      <c r="BA638" s="12"/>
      <c r="BB638" s="12"/>
    </row>
    <row r="639" spans="1:54" ht="13">
      <c r="A639" s="12"/>
      <c r="B639" s="236"/>
      <c r="C639" s="236"/>
      <c r="D639" s="405"/>
      <c r="E639" s="236"/>
      <c r="F639" s="236"/>
      <c r="G639" s="236"/>
      <c r="H639" s="406"/>
      <c r="I639" s="236"/>
      <c r="J639" s="236"/>
      <c r="K639" s="236"/>
      <c r="L639" s="236"/>
      <c r="M639" s="236"/>
      <c r="N639" s="236"/>
      <c r="O639" s="236"/>
      <c r="P639" s="236"/>
      <c r="Q639" s="236"/>
      <c r="R639" s="236"/>
      <c r="S639" s="236"/>
      <c r="T639" s="236"/>
      <c r="U639" s="236"/>
      <c r="V639" s="23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236"/>
      <c r="AH639" s="236"/>
      <c r="AI639" s="236"/>
      <c r="AJ639" s="236"/>
      <c r="AK639" s="236"/>
      <c r="AL639" s="236"/>
      <c r="AM639" s="236"/>
      <c r="AN639" s="236"/>
      <c r="AO639" s="236"/>
      <c r="AP639" s="236"/>
      <c r="AQ639" s="236"/>
      <c r="AR639" s="236"/>
      <c r="AS639" s="236"/>
      <c r="AT639" s="236"/>
      <c r="AU639" s="236"/>
      <c r="AV639" s="12"/>
      <c r="AW639" s="12"/>
      <c r="AX639" s="12"/>
      <c r="AY639" s="12"/>
      <c r="AZ639" s="12"/>
      <c r="BA639" s="12"/>
      <c r="BB639" s="12"/>
    </row>
    <row r="640" spans="1:54" ht="13">
      <c r="A640" s="12"/>
      <c r="B640" s="27"/>
      <c r="C640" s="27"/>
      <c r="D640" s="407"/>
      <c r="E640" s="27"/>
      <c r="F640" s="27"/>
      <c r="G640" s="27"/>
      <c r="H640" s="408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12"/>
      <c r="AW640" s="12"/>
      <c r="AX640" s="12"/>
      <c r="AY640" s="12"/>
      <c r="AZ640" s="12"/>
      <c r="BA640" s="12"/>
      <c r="BB640" s="12"/>
    </row>
    <row r="641" spans="1:54" ht="13">
      <c r="A641" s="12"/>
      <c r="B641" s="236"/>
      <c r="C641" s="236"/>
      <c r="D641" s="405"/>
      <c r="E641" s="236"/>
      <c r="F641" s="236"/>
      <c r="G641" s="236"/>
      <c r="H641" s="406"/>
      <c r="I641" s="236"/>
      <c r="J641" s="236"/>
      <c r="K641" s="236"/>
      <c r="L641" s="236"/>
      <c r="M641" s="236"/>
      <c r="N641" s="236"/>
      <c r="O641" s="236"/>
      <c r="P641" s="236"/>
      <c r="Q641" s="236"/>
      <c r="R641" s="236"/>
      <c r="S641" s="236"/>
      <c r="T641" s="236"/>
      <c r="U641" s="236"/>
      <c r="V641" s="236"/>
      <c r="W641" s="236"/>
      <c r="X641" s="236"/>
      <c r="Y641" s="236"/>
      <c r="Z641" s="236"/>
      <c r="AA641" s="236"/>
      <c r="AB641" s="236"/>
      <c r="AC641" s="236"/>
      <c r="AD641" s="236"/>
      <c r="AE641" s="236"/>
      <c r="AF641" s="236"/>
      <c r="AG641" s="236"/>
      <c r="AH641" s="236"/>
      <c r="AI641" s="236"/>
      <c r="AJ641" s="236"/>
      <c r="AK641" s="236"/>
      <c r="AL641" s="236"/>
      <c r="AM641" s="236"/>
      <c r="AN641" s="236"/>
      <c r="AO641" s="236"/>
      <c r="AP641" s="236"/>
      <c r="AQ641" s="236"/>
      <c r="AR641" s="236"/>
      <c r="AS641" s="236"/>
      <c r="AT641" s="236"/>
      <c r="AU641" s="236"/>
      <c r="AV641" s="12"/>
      <c r="AW641" s="12"/>
      <c r="AX641" s="12"/>
      <c r="AY641" s="12"/>
      <c r="AZ641" s="12"/>
      <c r="BA641" s="12"/>
      <c r="BB641" s="12"/>
    </row>
    <row r="642" spans="1:54" ht="13">
      <c r="A642" s="12"/>
      <c r="B642" s="27"/>
      <c r="C642" s="27"/>
      <c r="D642" s="407"/>
      <c r="E642" s="27"/>
      <c r="F642" s="27"/>
      <c r="G642" s="27"/>
      <c r="H642" s="408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12"/>
      <c r="AW642" s="12"/>
      <c r="AX642" s="12"/>
      <c r="AY642" s="12"/>
      <c r="AZ642" s="12"/>
      <c r="BA642" s="12"/>
      <c r="BB642" s="12"/>
    </row>
    <row r="643" spans="1:54" ht="13">
      <c r="A643" s="12"/>
      <c r="B643" s="236"/>
      <c r="C643" s="236"/>
      <c r="D643" s="405"/>
      <c r="E643" s="236"/>
      <c r="F643" s="236"/>
      <c r="G643" s="236"/>
      <c r="H643" s="406"/>
      <c r="I643" s="236"/>
      <c r="J643" s="236"/>
      <c r="K643" s="236"/>
      <c r="L643" s="236"/>
      <c r="M643" s="236"/>
      <c r="N643" s="236"/>
      <c r="O643" s="236"/>
      <c r="P643" s="236"/>
      <c r="Q643" s="236"/>
      <c r="R643" s="236"/>
      <c r="S643" s="236"/>
      <c r="T643" s="236"/>
      <c r="U643" s="236"/>
      <c r="V643" s="236"/>
      <c r="W643" s="236"/>
      <c r="X643" s="236"/>
      <c r="Y643" s="236"/>
      <c r="Z643" s="236"/>
      <c r="AA643" s="236"/>
      <c r="AB643" s="236"/>
      <c r="AC643" s="236"/>
      <c r="AD643" s="236"/>
      <c r="AE643" s="236"/>
      <c r="AF643" s="236"/>
      <c r="AG643" s="236"/>
      <c r="AH643" s="236"/>
      <c r="AI643" s="236"/>
      <c r="AJ643" s="236"/>
      <c r="AK643" s="236"/>
      <c r="AL643" s="236"/>
      <c r="AM643" s="236"/>
      <c r="AN643" s="236"/>
      <c r="AO643" s="236"/>
      <c r="AP643" s="236"/>
      <c r="AQ643" s="236"/>
      <c r="AR643" s="236"/>
      <c r="AS643" s="236"/>
      <c r="AT643" s="236"/>
      <c r="AU643" s="236"/>
      <c r="AV643" s="12"/>
      <c r="AW643" s="12"/>
      <c r="AX643" s="12"/>
      <c r="AY643" s="12"/>
      <c r="AZ643" s="12"/>
      <c r="BA643" s="12"/>
      <c r="BB643" s="12"/>
    </row>
    <row r="644" spans="1:54" ht="13">
      <c r="A644" s="12"/>
      <c r="B644" s="27"/>
      <c r="C644" s="27"/>
      <c r="D644" s="407"/>
      <c r="E644" s="27"/>
      <c r="F644" s="27"/>
      <c r="G644" s="27"/>
      <c r="H644" s="408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12"/>
      <c r="AW644" s="12"/>
      <c r="AX644" s="12"/>
      <c r="AY644" s="12"/>
      <c r="AZ644" s="12"/>
      <c r="BA644" s="12"/>
      <c r="BB644" s="12"/>
    </row>
    <row r="645" spans="1:54" ht="13">
      <c r="A645" s="12"/>
      <c r="B645" s="236"/>
      <c r="C645" s="236"/>
      <c r="D645" s="405"/>
      <c r="E645" s="236"/>
      <c r="F645" s="236"/>
      <c r="G645" s="236"/>
      <c r="H645" s="406"/>
      <c r="I645" s="236"/>
      <c r="J645" s="236"/>
      <c r="K645" s="236"/>
      <c r="L645" s="236"/>
      <c r="M645" s="236"/>
      <c r="N645" s="236"/>
      <c r="O645" s="236"/>
      <c r="P645" s="236"/>
      <c r="Q645" s="236"/>
      <c r="R645" s="236"/>
      <c r="S645" s="236"/>
      <c r="T645" s="236"/>
      <c r="U645" s="236"/>
      <c r="V645" s="236"/>
      <c r="W645" s="236"/>
      <c r="X645" s="236"/>
      <c r="Y645" s="236"/>
      <c r="Z645" s="236"/>
      <c r="AA645" s="236"/>
      <c r="AB645" s="236"/>
      <c r="AC645" s="236"/>
      <c r="AD645" s="236"/>
      <c r="AE645" s="236"/>
      <c r="AF645" s="236"/>
      <c r="AG645" s="236"/>
      <c r="AH645" s="236"/>
      <c r="AI645" s="236"/>
      <c r="AJ645" s="236"/>
      <c r="AK645" s="236"/>
      <c r="AL645" s="236"/>
      <c r="AM645" s="236"/>
      <c r="AN645" s="236"/>
      <c r="AO645" s="236"/>
      <c r="AP645" s="236"/>
      <c r="AQ645" s="236"/>
      <c r="AR645" s="236"/>
      <c r="AS645" s="236"/>
      <c r="AT645" s="236"/>
      <c r="AU645" s="236"/>
      <c r="AV645" s="12"/>
      <c r="AW645" s="12"/>
      <c r="AX645" s="12"/>
      <c r="AY645" s="12"/>
      <c r="AZ645" s="12"/>
      <c r="BA645" s="12"/>
      <c r="BB645" s="12"/>
    </row>
    <row r="646" spans="1:54" ht="13">
      <c r="A646" s="12"/>
      <c r="B646" s="27"/>
      <c r="C646" s="27"/>
      <c r="D646" s="407"/>
      <c r="E646" s="27"/>
      <c r="F646" s="27"/>
      <c r="G646" s="27"/>
      <c r="H646" s="408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12"/>
      <c r="AW646" s="12"/>
      <c r="AX646" s="12"/>
      <c r="AY646" s="12"/>
      <c r="AZ646" s="12"/>
      <c r="BA646" s="12"/>
      <c r="BB646" s="12"/>
    </row>
    <row r="647" spans="1:54" ht="13">
      <c r="A647" s="12"/>
      <c r="B647" s="236"/>
      <c r="C647" s="236"/>
      <c r="D647" s="405"/>
      <c r="E647" s="236"/>
      <c r="F647" s="236"/>
      <c r="G647" s="236"/>
      <c r="H647" s="406"/>
      <c r="I647" s="236"/>
      <c r="J647" s="236"/>
      <c r="K647" s="236"/>
      <c r="L647" s="236"/>
      <c r="M647" s="236"/>
      <c r="N647" s="236"/>
      <c r="O647" s="236"/>
      <c r="P647" s="236"/>
      <c r="Q647" s="236"/>
      <c r="R647" s="236"/>
      <c r="S647" s="236"/>
      <c r="T647" s="236"/>
      <c r="U647" s="236"/>
      <c r="V647" s="236"/>
      <c r="W647" s="236"/>
      <c r="X647" s="236"/>
      <c r="Y647" s="236"/>
      <c r="Z647" s="236"/>
      <c r="AA647" s="236"/>
      <c r="AB647" s="236"/>
      <c r="AC647" s="236"/>
      <c r="AD647" s="236"/>
      <c r="AE647" s="236"/>
      <c r="AF647" s="236"/>
      <c r="AG647" s="236"/>
      <c r="AH647" s="236"/>
      <c r="AI647" s="236"/>
      <c r="AJ647" s="236"/>
      <c r="AK647" s="236"/>
      <c r="AL647" s="236"/>
      <c r="AM647" s="236"/>
      <c r="AN647" s="236"/>
      <c r="AO647" s="236"/>
      <c r="AP647" s="236"/>
      <c r="AQ647" s="236"/>
      <c r="AR647" s="236"/>
      <c r="AS647" s="236"/>
      <c r="AT647" s="236"/>
      <c r="AU647" s="236"/>
      <c r="AV647" s="12"/>
      <c r="AW647" s="12"/>
      <c r="AX647" s="12"/>
      <c r="AY647" s="12"/>
      <c r="AZ647" s="12"/>
      <c r="BA647" s="12"/>
      <c r="BB647" s="12"/>
    </row>
    <row r="648" spans="1:54" ht="13">
      <c r="A648" s="12"/>
      <c r="B648" s="27"/>
      <c r="C648" s="27"/>
      <c r="D648" s="407"/>
      <c r="E648" s="27"/>
      <c r="F648" s="27"/>
      <c r="G648" s="27"/>
      <c r="H648" s="408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12"/>
      <c r="AW648" s="12"/>
      <c r="AX648" s="12"/>
      <c r="AY648" s="12"/>
      <c r="AZ648" s="12"/>
      <c r="BA648" s="12"/>
      <c r="BB648" s="12"/>
    </row>
    <row r="649" spans="1:54" ht="13">
      <c r="A649" s="12"/>
      <c r="B649" s="236"/>
      <c r="C649" s="236"/>
      <c r="D649" s="405"/>
      <c r="E649" s="236"/>
      <c r="F649" s="236"/>
      <c r="G649" s="236"/>
      <c r="H649" s="406"/>
      <c r="I649" s="236"/>
      <c r="J649" s="236"/>
      <c r="K649" s="236"/>
      <c r="L649" s="236"/>
      <c r="M649" s="236"/>
      <c r="N649" s="236"/>
      <c r="O649" s="236"/>
      <c r="P649" s="236"/>
      <c r="Q649" s="236"/>
      <c r="R649" s="236"/>
      <c r="S649" s="236"/>
      <c r="T649" s="236"/>
      <c r="U649" s="236"/>
      <c r="V649" s="236"/>
      <c r="W649" s="236"/>
      <c r="X649" s="236"/>
      <c r="Y649" s="236"/>
      <c r="Z649" s="236"/>
      <c r="AA649" s="236"/>
      <c r="AB649" s="236"/>
      <c r="AC649" s="236"/>
      <c r="AD649" s="236"/>
      <c r="AE649" s="236"/>
      <c r="AF649" s="236"/>
      <c r="AG649" s="236"/>
      <c r="AH649" s="236"/>
      <c r="AI649" s="236"/>
      <c r="AJ649" s="236"/>
      <c r="AK649" s="236"/>
      <c r="AL649" s="236"/>
      <c r="AM649" s="236"/>
      <c r="AN649" s="236"/>
      <c r="AO649" s="236"/>
      <c r="AP649" s="236"/>
      <c r="AQ649" s="236"/>
      <c r="AR649" s="236"/>
      <c r="AS649" s="236"/>
      <c r="AT649" s="236"/>
      <c r="AU649" s="236"/>
      <c r="AV649" s="12"/>
      <c r="AW649" s="12"/>
      <c r="AX649" s="12"/>
      <c r="AY649" s="12"/>
      <c r="AZ649" s="12"/>
      <c r="BA649" s="12"/>
      <c r="BB649" s="12"/>
    </row>
    <row r="650" spans="1:54" ht="13">
      <c r="A650" s="12"/>
      <c r="B650" s="27"/>
      <c r="C650" s="27"/>
      <c r="D650" s="407"/>
      <c r="E650" s="27"/>
      <c r="F650" s="27"/>
      <c r="G650" s="27"/>
      <c r="H650" s="408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12"/>
      <c r="AW650" s="12"/>
      <c r="AX650" s="12"/>
      <c r="AY650" s="12"/>
      <c r="AZ650" s="12"/>
      <c r="BA650" s="12"/>
      <c r="BB650" s="12"/>
    </row>
    <row r="651" spans="1:54" ht="13">
      <c r="A651" s="12"/>
      <c r="B651" s="236"/>
      <c r="C651" s="236"/>
      <c r="D651" s="405"/>
      <c r="E651" s="236"/>
      <c r="F651" s="236"/>
      <c r="G651" s="236"/>
      <c r="H651" s="406"/>
      <c r="I651" s="236"/>
      <c r="J651" s="236"/>
      <c r="K651" s="236"/>
      <c r="L651" s="236"/>
      <c r="M651" s="236"/>
      <c r="N651" s="236"/>
      <c r="O651" s="236"/>
      <c r="P651" s="236"/>
      <c r="Q651" s="236"/>
      <c r="R651" s="236"/>
      <c r="S651" s="236"/>
      <c r="T651" s="236"/>
      <c r="U651" s="236"/>
      <c r="V651" s="23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  <c r="AG651" s="236"/>
      <c r="AH651" s="236"/>
      <c r="AI651" s="236"/>
      <c r="AJ651" s="236"/>
      <c r="AK651" s="236"/>
      <c r="AL651" s="236"/>
      <c r="AM651" s="236"/>
      <c r="AN651" s="236"/>
      <c r="AO651" s="236"/>
      <c r="AP651" s="236"/>
      <c r="AQ651" s="236"/>
      <c r="AR651" s="236"/>
      <c r="AS651" s="236"/>
      <c r="AT651" s="236"/>
      <c r="AU651" s="236"/>
      <c r="AV651" s="12"/>
      <c r="AW651" s="12"/>
      <c r="AX651" s="12"/>
      <c r="AY651" s="12"/>
      <c r="AZ651" s="12"/>
      <c r="BA651" s="12"/>
      <c r="BB651" s="12"/>
    </row>
    <row r="652" spans="1:54" ht="13">
      <c r="A652" s="12"/>
      <c r="B652" s="27"/>
      <c r="C652" s="27"/>
      <c r="D652" s="407"/>
      <c r="E652" s="27"/>
      <c r="F652" s="27"/>
      <c r="G652" s="27"/>
      <c r="H652" s="408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12"/>
      <c r="AW652" s="12"/>
      <c r="AX652" s="12"/>
      <c r="AY652" s="12"/>
      <c r="AZ652" s="12"/>
      <c r="BA652" s="12"/>
      <c r="BB652" s="12"/>
    </row>
    <row r="653" spans="1:54" ht="13">
      <c r="A653" s="12"/>
      <c r="B653" s="236"/>
      <c r="C653" s="236"/>
      <c r="D653" s="405"/>
      <c r="E653" s="236"/>
      <c r="F653" s="236"/>
      <c r="G653" s="236"/>
      <c r="H653" s="406"/>
      <c r="I653" s="236"/>
      <c r="J653" s="236"/>
      <c r="K653" s="236"/>
      <c r="L653" s="236"/>
      <c r="M653" s="236"/>
      <c r="N653" s="236"/>
      <c r="O653" s="236"/>
      <c r="P653" s="236"/>
      <c r="Q653" s="236"/>
      <c r="R653" s="236"/>
      <c r="S653" s="236"/>
      <c r="T653" s="236"/>
      <c r="U653" s="236"/>
      <c r="V653" s="236"/>
      <c r="W653" s="236"/>
      <c r="X653" s="236"/>
      <c r="Y653" s="236"/>
      <c r="Z653" s="236"/>
      <c r="AA653" s="236"/>
      <c r="AB653" s="236"/>
      <c r="AC653" s="236"/>
      <c r="AD653" s="236"/>
      <c r="AE653" s="236"/>
      <c r="AF653" s="236"/>
      <c r="AG653" s="236"/>
      <c r="AH653" s="236"/>
      <c r="AI653" s="236"/>
      <c r="AJ653" s="236"/>
      <c r="AK653" s="236"/>
      <c r="AL653" s="236"/>
      <c r="AM653" s="236"/>
      <c r="AN653" s="236"/>
      <c r="AO653" s="236"/>
      <c r="AP653" s="236"/>
      <c r="AQ653" s="236"/>
      <c r="AR653" s="236"/>
      <c r="AS653" s="236"/>
      <c r="AT653" s="236"/>
      <c r="AU653" s="236"/>
      <c r="AV653" s="12"/>
      <c r="AW653" s="12"/>
      <c r="AX653" s="12"/>
      <c r="AY653" s="12"/>
      <c r="AZ653" s="12"/>
      <c r="BA653" s="12"/>
      <c r="BB653" s="12"/>
    </row>
    <row r="654" spans="1:54" ht="13">
      <c r="A654" s="12"/>
      <c r="B654" s="27"/>
      <c r="C654" s="27"/>
      <c r="D654" s="407"/>
      <c r="E654" s="27"/>
      <c r="F654" s="27"/>
      <c r="G654" s="27"/>
      <c r="H654" s="408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12"/>
      <c r="AW654" s="12"/>
      <c r="AX654" s="12"/>
      <c r="AY654" s="12"/>
      <c r="AZ654" s="12"/>
      <c r="BA654" s="12"/>
      <c r="BB654" s="12"/>
    </row>
    <row r="655" spans="1:54" ht="13">
      <c r="A655" s="12"/>
      <c r="B655" s="236"/>
      <c r="C655" s="236"/>
      <c r="D655" s="405"/>
      <c r="E655" s="236"/>
      <c r="F655" s="236"/>
      <c r="G655" s="236"/>
      <c r="H655" s="406"/>
      <c r="I655" s="236"/>
      <c r="J655" s="236"/>
      <c r="K655" s="236"/>
      <c r="L655" s="236"/>
      <c r="M655" s="236"/>
      <c r="N655" s="236"/>
      <c r="O655" s="236"/>
      <c r="P655" s="236"/>
      <c r="Q655" s="236"/>
      <c r="R655" s="236"/>
      <c r="S655" s="236"/>
      <c r="T655" s="236"/>
      <c r="U655" s="236"/>
      <c r="V655" s="236"/>
      <c r="W655" s="236"/>
      <c r="X655" s="236"/>
      <c r="Y655" s="236"/>
      <c r="Z655" s="236"/>
      <c r="AA655" s="236"/>
      <c r="AB655" s="236"/>
      <c r="AC655" s="236"/>
      <c r="AD655" s="236"/>
      <c r="AE655" s="236"/>
      <c r="AF655" s="236"/>
      <c r="AG655" s="236"/>
      <c r="AH655" s="236"/>
      <c r="AI655" s="236"/>
      <c r="AJ655" s="236"/>
      <c r="AK655" s="236"/>
      <c r="AL655" s="236"/>
      <c r="AM655" s="236"/>
      <c r="AN655" s="236"/>
      <c r="AO655" s="236"/>
      <c r="AP655" s="236"/>
      <c r="AQ655" s="236"/>
      <c r="AR655" s="236"/>
      <c r="AS655" s="236"/>
      <c r="AT655" s="236"/>
      <c r="AU655" s="236"/>
      <c r="AV655" s="12"/>
      <c r="AW655" s="12"/>
      <c r="AX655" s="12"/>
      <c r="AY655" s="12"/>
      <c r="AZ655" s="12"/>
      <c r="BA655" s="12"/>
      <c r="BB655" s="12"/>
    </row>
    <row r="656" spans="1:54" ht="13">
      <c r="A656" s="12"/>
      <c r="B656" s="27"/>
      <c r="C656" s="27"/>
      <c r="D656" s="407"/>
      <c r="E656" s="27"/>
      <c r="F656" s="27"/>
      <c r="G656" s="27"/>
      <c r="H656" s="408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12"/>
      <c r="AW656" s="12"/>
      <c r="AX656" s="12"/>
      <c r="AY656" s="12"/>
      <c r="AZ656" s="12"/>
      <c r="BA656" s="12"/>
      <c r="BB656" s="12"/>
    </row>
    <row r="657" spans="1:54" ht="13">
      <c r="A657" s="12"/>
      <c r="B657" s="236"/>
      <c r="C657" s="236"/>
      <c r="D657" s="405"/>
      <c r="E657" s="236"/>
      <c r="F657" s="236"/>
      <c r="G657" s="236"/>
      <c r="H657" s="406"/>
      <c r="I657" s="236"/>
      <c r="J657" s="236"/>
      <c r="K657" s="236"/>
      <c r="L657" s="236"/>
      <c r="M657" s="236"/>
      <c r="N657" s="236"/>
      <c r="O657" s="236"/>
      <c r="P657" s="236"/>
      <c r="Q657" s="236"/>
      <c r="R657" s="236"/>
      <c r="S657" s="236"/>
      <c r="T657" s="236"/>
      <c r="U657" s="236"/>
      <c r="V657" s="236"/>
      <c r="W657" s="236"/>
      <c r="X657" s="236"/>
      <c r="Y657" s="236"/>
      <c r="Z657" s="236"/>
      <c r="AA657" s="236"/>
      <c r="AB657" s="236"/>
      <c r="AC657" s="236"/>
      <c r="AD657" s="236"/>
      <c r="AE657" s="236"/>
      <c r="AF657" s="236"/>
      <c r="AG657" s="236"/>
      <c r="AH657" s="236"/>
      <c r="AI657" s="236"/>
      <c r="AJ657" s="236"/>
      <c r="AK657" s="236"/>
      <c r="AL657" s="236"/>
      <c r="AM657" s="236"/>
      <c r="AN657" s="236"/>
      <c r="AO657" s="236"/>
      <c r="AP657" s="236"/>
      <c r="AQ657" s="236"/>
      <c r="AR657" s="236"/>
      <c r="AS657" s="236"/>
      <c r="AT657" s="236"/>
      <c r="AU657" s="236"/>
      <c r="AV657" s="12"/>
      <c r="AW657" s="12"/>
      <c r="AX657" s="12"/>
      <c r="AY657" s="12"/>
      <c r="AZ657" s="12"/>
      <c r="BA657" s="12"/>
      <c r="BB657" s="12"/>
    </row>
    <row r="658" spans="1:54" ht="13">
      <c r="A658" s="12"/>
      <c r="B658" s="27"/>
      <c r="C658" s="27"/>
      <c r="D658" s="407"/>
      <c r="E658" s="27"/>
      <c r="F658" s="27"/>
      <c r="G658" s="27"/>
      <c r="H658" s="408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12"/>
      <c r="AW658" s="12"/>
      <c r="AX658" s="12"/>
      <c r="AY658" s="12"/>
      <c r="AZ658" s="12"/>
      <c r="BA658" s="12"/>
      <c r="BB658" s="12"/>
    </row>
    <row r="659" spans="1:54" ht="13">
      <c r="A659" s="12"/>
      <c r="B659" s="236"/>
      <c r="C659" s="236"/>
      <c r="D659" s="405"/>
      <c r="E659" s="236"/>
      <c r="F659" s="236"/>
      <c r="G659" s="236"/>
      <c r="H659" s="406"/>
      <c r="I659" s="236"/>
      <c r="J659" s="236"/>
      <c r="K659" s="236"/>
      <c r="L659" s="236"/>
      <c r="M659" s="236"/>
      <c r="N659" s="236"/>
      <c r="O659" s="236"/>
      <c r="P659" s="236"/>
      <c r="Q659" s="236"/>
      <c r="R659" s="236"/>
      <c r="S659" s="236"/>
      <c r="T659" s="236"/>
      <c r="U659" s="236"/>
      <c r="V659" s="236"/>
      <c r="W659" s="236"/>
      <c r="X659" s="236"/>
      <c r="Y659" s="236"/>
      <c r="Z659" s="236"/>
      <c r="AA659" s="236"/>
      <c r="AB659" s="236"/>
      <c r="AC659" s="236"/>
      <c r="AD659" s="236"/>
      <c r="AE659" s="236"/>
      <c r="AF659" s="236"/>
      <c r="AG659" s="236"/>
      <c r="AH659" s="236"/>
      <c r="AI659" s="236"/>
      <c r="AJ659" s="236"/>
      <c r="AK659" s="236"/>
      <c r="AL659" s="236"/>
      <c r="AM659" s="236"/>
      <c r="AN659" s="236"/>
      <c r="AO659" s="236"/>
      <c r="AP659" s="236"/>
      <c r="AQ659" s="236"/>
      <c r="AR659" s="236"/>
      <c r="AS659" s="236"/>
      <c r="AT659" s="236"/>
      <c r="AU659" s="236"/>
      <c r="AV659" s="12"/>
      <c r="AW659" s="12"/>
      <c r="AX659" s="12"/>
      <c r="AY659" s="12"/>
      <c r="AZ659" s="12"/>
      <c r="BA659" s="12"/>
      <c r="BB659" s="12"/>
    </row>
    <row r="660" spans="1:54" ht="13">
      <c r="A660" s="12"/>
      <c r="B660" s="27"/>
      <c r="C660" s="27"/>
      <c r="D660" s="407"/>
      <c r="E660" s="27"/>
      <c r="F660" s="27"/>
      <c r="G660" s="27"/>
      <c r="H660" s="408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12"/>
      <c r="AW660" s="12"/>
      <c r="AX660" s="12"/>
      <c r="AY660" s="12"/>
      <c r="AZ660" s="12"/>
      <c r="BA660" s="12"/>
      <c r="BB660" s="12"/>
    </row>
    <row r="661" spans="1:54" ht="13">
      <c r="A661" s="12"/>
      <c r="B661" s="236"/>
      <c r="C661" s="236"/>
      <c r="D661" s="405"/>
      <c r="E661" s="236"/>
      <c r="F661" s="236"/>
      <c r="G661" s="236"/>
      <c r="H661" s="406"/>
      <c r="I661" s="236"/>
      <c r="J661" s="236"/>
      <c r="K661" s="236"/>
      <c r="L661" s="236"/>
      <c r="M661" s="236"/>
      <c r="N661" s="236"/>
      <c r="O661" s="236"/>
      <c r="P661" s="236"/>
      <c r="Q661" s="236"/>
      <c r="R661" s="236"/>
      <c r="S661" s="236"/>
      <c r="T661" s="236"/>
      <c r="U661" s="236"/>
      <c r="V661" s="236"/>
      <c r="W661" s="236"/>
      <c r="X661" s="236"/>
      <c r="Y661" s="236"/>
      <c r="Z661" s="236"/>
      <c r="AA661" s="236"/>
      <c r="AB661" s="236"/>
      <c r="AC661" s="236"/>
      <c r="AD661" s="236"/>
      <c r="AE661" s="236"/>
      <c r="AF661" s="236"/>
      <c r="AG661" s="236"/>
      <c r="AH661" s="236"/>
      <c r="AI661" s="236"/>
      <c r="AJ661" s="236"/>
      <c r="AK661" s="236"/>
      <c r="AL661" s="236"/>
      <c r="AM661" s="236"/>
      <c r="AN661" s="236"/>
      <c r="AO661" s="236"/>
      <c r="AP661" s="236"/>
      <c r="AQ661" s="236"/>
      <c r="AR661" s="236"/>
      <c r="AS661" s="236"/>
      <c r="AT661" s="236"/>
      <c r="AU661" s="236"/>
      <c r="AV661" s="12"/>
      <c r="AW661" s="12"/>
      <c r="AX661" s="12"/>
      <c r="AY661" s="12"/>
      <c r="AZ661" s="12"/>
      <c r="BA661" s="12"/>
      <c r="BB661" s="12"/>
    </row>
    <row r="662" spans="1:54" ht="13">
      <c r="A662" s="12"/>
      <c r="B662" s="27"/>
      <c r="C662" s="27"/>
      <c r="D662" s="407"/>
      <c r="E662" s="27"/>
      <c r="F662" s="27"/>
      <c r="G662" s="27"/>
      <c r="H662" s="408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12"/>
      <c r="AW662" s="12"/>
      <c r="AX662" s="12"/>
      <c r="AY662" s="12"/>
      <c r="AZ662" s="12"/>
      <c r="BA662" s="12"/>
      <c r="BB662" s="12"/>
    </row>
    <row r="663" spans="1:54" ht="13">
      <c r="A663" s="12"/>
      <c r="B663" s="236"/>
      <c r="C663" s="236"/>
      <c r="D663" s="405"/>
      <c r="E663" s="236"/>
      <c r="F663" s="236"/>
      <c r="G663" s="236"/>
      <c r="H663" s="406"/>
      <c r="I663" s="236"/>
      <c r="J663" s="236"/>
      <c r="K663" s="236"/>
      <c r="L663" s="236"/>
      <c r="M663" s="236"/>
      <c r="N663" s="236"/>
      <c r="O663" s="236"/>
      <c r="P663" s="236"/>
      <c r="Q663" s="236"/>
      <c r="R663" s="236"/>
      <c r="S663" s="236"/>
      <c r="T663" s="236"/>
      <c r="U663" s="236"/>
      <c r="V663" s="236"/>
      <c r="W663" s="236"/>
      <c r="X663" s="236"/>
      <c r="Y663" s="236"/>
      <c r="Z663" s="236"/>
      <c r="AA663" s="236"/>
      <c r="AB663" s="236"/>
      <c r="AC663" s="236"/>
      <c r="AD663" s="236"/>
      <c r="AE663" s="236"/>
      <c r="AF663" s="236"/>
      <c r="AG663" s="236"/>
      <c r="AH663" s="236"/>
      <c r="AI663" s="236"/>
      <c r="AJ663" s="236"/>
      <c r="AK663" s="236"/>
      <c r="AL663" s="236"/>
      <c r="AM663" s="236"/>
      <c r="AN663" s="236"/>
      <c r="AO663" s="236"/>
      <c r="AP663" s="236"/>
      <c r="AQ663" s="236"/>
      <c r="AR663" s="236"/>
      <c r="AS663" s="236"/>
      <c r="AT663" s="236"/>
      <c r="AU663" s="236"/>
      <c r="AV663" s="12"/>
      <c r="AW663" s="12"/>
      <c r="AX663" s="12"/>
      <c r="AY663" s="12"/>
      <c r="AZ663" s="12"/>
      <c r="BA663" s="12"/>
      <c r="BB663" s="12"/>
    </row>
    <row r="664" spans="1:54" ht="13">
      <c r="A664" s="12"/>
      <c r="B664" s="27"/>
      <c r="C664" s="27"/>
      <c r="D664" s="407"/>
      <c r="E664" s="27"/>
      <c r="F664" s="27"/>
      <c r="G664" s="27"/>
      <c r="H664" s="408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12"/>
      <c r="AW664" s="12"/>
      <c r="AX664" s="12"/>
      <c r="AY664" s="12"/>
      <c r="AZ664" s="12"/>
      <c r="BA664" s="12"/>
      <c r="BB664" s="12"/>
    </row>
    <row r="665" spans="1:54" ht="13">
      <c r="A665" s="12"/>
      <c r="B665" s="236"/>
      <c r="C665" s="236"/>
      <c r="D665" s="405"/>
      <c r="E665" s="236"/>
      <c r="F665" s="236"/>
      <c r="G665" s="236"/>
      <c r="H665" s="406"/>
      <c r="I665" s="236"/>
      <c r="J665" s="236"/>
      <c r="K665" s="236"/>
      <c r="L665" s="236"/>
      <c r="M665" s="236"/>
      <c r="N665" s="236"/>
      <c r="O665" s="236"/>
      <c r="P665" s="236"/>
      <c r="Q665" s="236"/>
      <c r="R665" s="236"/>
      <c r="S665" s="236"/>
      <c r="T665" s="236"/>
      <c r="U665" s="236"/>
      <c r="V665" s="236"/>
      <c r="W665" s="236"/>
      <c r="X665" s="236"/>
      <c r="Y665" s="236"/>
      <c r="Z665" s="236"/>
      <c r="AA665" s="236"/>
      <c r="AB665" s="236"/>
      <c r="AC665" s="236"/>
      <c r="AD665" s="236"/>
      <c r="AE665" s="236"/>
      <c r="AF665" s="236"/>
      <c r="AG665" s="236"/>
      <c r="AH665" s="236"/>
      <c r="AI665" s="236"/>
      <c r="AJ665" s="236"/>
      <c r="AK665" s="236"/>
      <c r="AL665" s="236"/>
      <c r="AM665" s="236"/>
      <c r="AN665" s="236"/>
      <c r="AO665" s="236"/>
      <c r="AP665" s="236"/>
      <c r="AQ665" s="236"/>
      <c r="AR665" s="236"/>
      <c r="AS665" s="236"/>
      <c r="AT665" s="236"/>
      <c r="AU665" s="236"/>
      <c r="AV665" s="12"/>
      <c r="AW665" s="12"/>
      <c r="AX665" s="12"/>
      <c r="AY665" s="12"/>
      <c r="AZ665" s="12"/>
      <c r="BA665" s="12"/>
      <c r="BB665" s="12"/>
    </row>
    <row r="666" spans="1:54" ht="13">
      <c r="A666" s="12"/>
      <c r="B666" s="27"/>
      <c r="C666" s="27"/>
      <c r="D666" s="407"/>
      <c r="E666" s="27"/>
      <c r="F666" s="27"/>
      <c r="G666" s="27"/>
      <c r="H666" s="408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12"/>
      <c r="AW666" s="12"/>
      <c r="AX666" s="12"/>
      <c r="AY666" s="12"/>
      <c r="AZ666" s="12"/>
      <c r="BA666" s="12"/>
      <c r="BB666" s="12"/>
    </row>
    <row r="667" spans="1:54" ht="13">
      <c r="A667" s="12"/>
      <c r="B667" s="236"/>
      <c r="C667" s="236"/>
      <c r="D667" s="405"/>
      <c r="E667" s="236"/>
      <c r="F667" s="236"/>
      <c r="G667" s="236"/>
      <c r="H667" s="406"/>
      <c r="I667" s="236"/>
      <c r="J667" s="236"/>
      <c r="K667" s="236"/>
      <c r="L667" s="236"/>
      <c r="M667" s="236"/>
      <c r="N667" s="236"/>
      <c r="O667" s="236"/>
      <c r="P667" s="236"/>
      <c r="Q667" s="236"/>
      <c r="R667" s="236"/>
      <c r="S667" s="236"/>
      <c r="T667" s="236"/>
      <c r="U667" s="236"/>
      <c r="V667" s="236"/>
      <c r="W667" s="236"/>
      <c r="X667" s="236"/>
      <c r="Y667" s="236"/>
      <c r="Z667" s="236"/>
      <c r="AA667" s="236"/>
      <c r="AB667" s="236"/>
      <c r="AC667" s="236"/>
      <c r="AD667" s="236"/>
      <c r="AE667" s="236"/>
      <c r="AF667" s="236"/>
      <c r="AG667" s="236"/>
      <c r="AH667" s="236"/>
      <c r="AI667" s="236"/>
      <c r="AJ667" s="236"/>
      <c r="AK667" s="236"/>
      <c r="AL667" s="236"/>
      <c r="AM667" s="236"/>
      <c r="AN667" s="236"/>
      <c r="AO667" s="236"/>
      <c r="AP667" s="236"/>
      <c r="AQ667" s="236"/>
      <c r="AR667" s="236"/>
      <c r="AS667" s="236"/>
      <c r="AT667" s="236"/>
      <c r="AU667" s="236"/>
      <c r="AV667" s="12"/>
      <c r="AW667" s="12"/>
      <c r="AX667" s="12"/>
      <c r="AY667" s="12"/>
      <c r="AZ667" s="12"/>
      <c r="BA667" s="12"/>
      <c r="BB667" s="12"/>
    </row>
    <row r="668" spans="1:54" ht="13">
      <c r="A668" s="12"/>
      <c r="B668" s="27"/>
      <c r="C668" s="27"/>
      <c r="D668" s="407"/>
      <c r="E668" s="27"/>
      <c r="F668" s="27"/>
      <c r="G668" s="27"/>
      <c r="H668" s="408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12"/>
      <c r="AW668" s="12"/>
      <c r="AX668" s="12"/>
      <c r="AY668" s="12"/>
      <c r="AZ668" s="12"/>
      <c r="BA668" s="12"/>
      <c r="BB668" s="12"/>
    </row>
    <row r="669" spans="1:54" ht="13">
      <c r="A669" s="12"/>
      <c r="B669" s="236"/>
      <c r="C669" s="236"/>
      <c r="D669" s="405"/>
      <c r="E669" s="236"/>
      <c r="F669" s="236"/>
      <c r="G669" s="236"/>
      <c r="H669" s="406"/>
      <c r="I669" s="236"/>
      <c r="J669" s="236"/>
      <c r="K669" s="236"/>
      <c r="L669" s="236"/>
      <c r="M669" s="236"/>
      <c r="N669" s="236"/>
      <c r="O669" s="236"/>
      <c r="P669" s="236"/>
      <c r="Q669" s="236"/>
      <c r="R669" s="236"/>
      <c r="S669" s="236"/>
      <c r="T669" s="236"/>
      <c r="U669" s="236"/>
      <c r="V669" s="236"/>
      <c r="W669" s="236"/>
      <c r="X669" s="236"/>
      <c r="Y669" s="236"/>
      <c r="Z669" s="236"/>
      <c r="AA669" s="236"/>
      <c r="AB669" s="236"/>
      <c r="AC669" s="236"/>
      <c r="AD669" s="236"/>
      <c r="AE669" s="236"/>
      <c r="AF669" s="236"/>
      <c r="AG669" s="236"/>
      <c r="AH669" s="236"/>
      <c r="AI669" s="236"/>
      <c r="AJ669" s="236"/>
      <c r="AK669" s="236"/>
      <c r="AL669" s="236"/>
      <c r="AM669" s="236"/>
      <c r="AN669" s="236"/>
      <c r="AO669" s="236"/>
      <c r="AP669" s="236"/>
      <c r="AQ669" s="236"/>
      <c r="AR669" s="236"/>
      <c r="AS669" s="236"/>
      <c r="AT669" s="236"/>
      <c r="AU669" s="236"/>
      <c r="AV669" s="12"/>
      <c r="AW669" s="12"/>
      <c r="AX669" s="12"/>
      <c r="AY669" s="12"/>
      <c r="AZ669" s="12"/>
      <c r="BA669" s="12"/>
      <c r="BB669" s="12"/>
    </row>
    <row r="670" spans="1:54" ht="13">
      <c r="A670" s="12"/>
      <c r="B670" s="27"/>
      <c r="C670" s="27"/>
      <c r="D670" s="407"/>
      <c r="E670" s="27"/>
      <c r="F670" s="27"/>
      <c r="G670" s="27"/>
      <c r="H670" s="408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12"/>
      <c r="AW670" s="12"/>
      <c r="AX670" s="12"/>
      <c r="AY670" s="12"/>
      <c r="AZ670" s="12"/>
      <c r="BA670" s="12"/>
      <c r="BB670" s="12"/>
    </row>
    <row r="671" spans="1:54" ht="13">
      <c r="A671" s="12"/>
      <c r="B671" s="236"/>
      <c r="C671" s="236"/>
      <c r="D671" s="405"/>
      <c r="E671" s="236"/>
      <c r="F671" s="236"/>
      <c r="G671" s="236"/>
      <c r="H671" s="406"/>
      <c r="I671" s="236"/>
      <c r="J671" s="236"/>
      <c r="K671" s="236"/>
      <c r="L671" s="236"/>
      <c r="M671" s="236"/>
      <c r="N671" s="236"/>
      <c r="O671" s="236"/>
      <c r="P671" s="236"/>
      <c r="Q671" s="236"/>
      <c r="R671" s="236"/>
      <c r="S671" s="236"/>
      <c r="T671" s="236"/>
      <c r="U671" s="236"/>
      <c r="V671" s="236"/>
      <c r="W671" s="236"/>
      <c r="X671" s="236"/>
      <c r="Y671" s="236"/>
      <c r="Z671" s="236"/>
      <c r="AA671" s="236"/>
      <c r="AB671" s="236"/>
      <c r="AC671" s="236"/>
      <c r="AD671" s="236"/>
      <c r="AE671" s="236"/>
      <c r="AF671" s="236"/>
      <c r="AG671" s="236"/>
      <c r="AH671" s="236"/>
      <c r="AI671" s="236"/>
      <c r="AJ671" s="236"/>
      <c r="AK671" s="236"/>
      <c r="AL671" s="236"/>
      <c r="AM671" s="236"/>
      <c r="AN671" s="236"/>
      <c r="AO671" s="236"/>
      <c r="AP671" s="236"/>
      <c r="AQ671" s="236"/>
      <c r="AR671" s="236"/>
      <c r="AS671" s="236"/>
      <c r="AT671" s="236"/>
      <c r="AU671" s="236"/>
      <c r="AV671" s="12"/>
      <c r="AW671" s="12"/>
      <c r="AX671" s="12"/>
      <c r="AY671" s="12"/>
      <c r="AZ671" s="12"/>
      <c r="BA671" s="12"/>
      <c r="BB671" s="12"/>
    </row>
    <row r="672" spans="1:54" ht="13">
      <c r="A672" s="12"/>
      <c r="B672" s="27"/>
      <c r="C672" s="27"/>
      <c r="D672" s="407"/>
      <c r="E672" s="27"/>
      <c r="F672" s="27"/>
      <c r="G672" s="27"/>
      <c r="H672" s="408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12"/>
      <c r="AW672" s="12"/>
      <c r="AX672" s="12"/>
      <c r="AY672" s="12"/>
      <c r="AZ672" s="12"/>
      <c r="BA672" s="12"/>
      <c r="BB672" s="12"/>
    </row>
    <row r="673" spans="1:54" ht="13">
      <c r="A673" s="12"/>
      <c r="B673" s="236"/>
      <c r="C673" s="236"/>
      <c r="D673" s="405"/>
      <c r="E673" s="236"/>
      <c r="F673" s="236"/>
      <c r="G673" s="236"/>
      <c r="H673" s="406"/>
      <c r="I673" s="236"/>
      <c r="J673" s="236"/>
      <c r="K673" s="236"/>
      <c r="L673" s="236"/>
      <c r="M673" s="236"/>
      <c r="N673" s="236"/>
      <c r="O673" s="236"/>
      <c r="P673" s="236"/>
      <c r="Q673" s="236"/>
      <c r="R673" s="236"/>
      <c r="S673" s="236"/>
      <c r="T673" s="236"/>
      <c r="U673" s="236"/>
      <c r="V673" s="236"/>
      <c r="W673" s="236"/>
      <c r="X673" s="236"/>
      <c r="Y673" s="236"/>
      <c r="Z673" s="236"/>
      <c r="AA673" s="236"/>
      <c r="AB673" s="236"/>
      <c r="AC673" s="236"/>
      <c r="AD673" s="236"/>
      <c r="AE673" s="236"/>
      <c r="AF673" s="236"/>
      <c r="AG673" s="236"/>
      <c r="AH673" s="236"/>
      <c r="AI673" s="236"/>
      <c r="AJ673" s="236"/>
      <c r="AK673" s="236"/>
      <c r="AL673" s="236"/>
      <c r="AM673" s="236"/>
      <c r="AN673" s="236"/>
      <c r="AO673" s="236"/>
      <c r="AP673" s="236"/>
      <c r="AQ673" s="236"/>
      <c r="AR673" s="236"/>
      <c r="AS673" s="236"/>
      <c r="AT673" s="236"/>
      <c r="AU673" s="236"/>
      <c r="AV673" s="12"/>
      <c r="AW673" s="12"/>
      <c r="AX673" s="12"/>
      <c r="AY673" s="12"/>
      <c r="AZ673" s="12"/>
      <c r="BA673" s="12"/>
      <c r="BB673" s="12"/>
    </row>
    <row r="674" spans="1:54" ht="13">
      <c r="A674" s="12"/>
      <c r="B674" s="27"/>
      <c r="C674" s="27"/>
      <c r="D674" s="407"/>
      <c r="E674" s="27"/>
      <c r="F674" s="27"/>
      <c r="G674" s="27"/>
      <c r="H674" s="408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12"/>
      <c r="AW674" s="12"/>
      <c r="AX674" s="12"/>
      <c r="AY674" s="12"/>
      <c r="AZ674" s="12"/>
      <c r="BA674" s="12"/>
      <c r="BB674" s="12"/>
    </row>
    <row r="675" spans="1:54" ht="13">
      <c r="A675" s="12"/>
      <c r="B675" s="236"/>
      <c r="C675" s="236"/>
      <c r="D675" s="405"/>
      <c r="E675" s="236"/>
      <c r="F675" s="236"/>
      <c r="G675" s="236"/>
      <c r="H675" s="406"/>
      <c r="I675" s="236"/>
      <c r="J675" s="236"/>
      <c r="K675" s="236"/>
      <c r="L675" s="236"/>
      <c r="M675" s="236"/>
      <c r="N675" s="236"/>
      <c r="O675" s="236"/>
      <c r="P675" s="236"/>
      <c r="Q675" s="236"/>
      <c r="R675" s="236"/>
      <c r="S675" s="236"/>
      <c r="T675" s="236"/>
      <c r="U675" s="236"/>
      <c r="V675" s="236"/>
      <c r="W675" s="236"/>
      <c r="X675" s="236"/>
      <c r="Y675" s="236"/>
      <c r="Z675" s="236"/>
      <c r="AA675" s="236"/>
      <c r="AB675" s="236"/>
      <c r="AC675" s="236"/>
      <c r="AD675" s="236"/>
      <c r="AE675" s="236"/>
      <c r="AF675" s="236"/>
      <c r="AG675" s="236"/>
      <c r="AH675" s="236"/>
      <c r="AI675" s="236"/>
      <c r="AJ675" s="236"/>
      <c r="AK675" s="236"/>
      <c r="AL675" s="236"/>
      <c r="AM675" s="236"/>
      <c r="AN675" s="236"/>
      <c r="AO675" s="236"/>
      <c r="AP675" s="236"/>
      <c r="AQ675" s="236"/>
      <c r="AR675" s="236"/>
      <c r="AS675" s="236"/>
      <c r="AT675" s="236"/>
      <c r="AU675" s="236"/>
      <c r="AV675" s="12"/>
      <c r="AW675" s="12"/>
      <c r="AX675" s="12"/>
      <c r="AY675" s="12"/>
      <c r="AZ675" s="12"/>
      <c r="BA675" s="12"/>
      <c r="BB675" s="12"/>
    </row>
    <row r="676" spans="1:54" ht="13">
      <c r="A676" s="12"/>
      <c r="B676" s="27"/>
      <c r="C676" s="27"/>
      <c r="D676" s="407"/>
      <c r="E676" s="27"/>
      <c r="F676" s="27"/>
      <c r="G676" s="27"/>
      <c r="H676" s="408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12"/>
      <c r="AW676" s="12"/>
      <c r="AX676" s="12"/>
      <c r="AY676" s="12"/>
      <c r="AZ676" s="12"/>
      <c r="BA676" s="12"/>
      <c r="BB676" s="12"/>
    </row>
    <row r="677" spans="1:54" ht="13">
      <c r="A677" s="12"/>
      <c r="B677" s="236"/>
      <c r="C677" s="236"/>
      <c r="D677" s="405"/>
      <c r="E677" s="236"/>
      <c r="F677" s="236"/>
      <c r="G677" s="236"/>
      <c r="H677" s="406"/>
      <c r="I677" s="236"/>
      <c r="J677" s="236"/>
      <c r="K677" s="236"/>
      <c r="L677" s="236"/>
      <c r="M677" s="236"/>
      <c r="N677" s="236"/>
      <c r="O677" s="236"/>
      <c r="P677" s="236"/>
      <c r="Q677" s="236"/>
      <c r="R677" s="236"/>
      <c r="S677" s="236"/>
      <c r="T677" s="236"/>
      <c r="U677" s="236"/>
      <c r="V677" s="236"/>
      <c r="W677" s="236"/>
      <c r="X677" s="236"/>
      <c r="Y677" s="236"/>
      <c r="Z677" s="236"/>
      <c r="AA677" s="236"/>
      <c r="AB677" s="236"/>
      <c r="AC677" s="236"/>
      <c r="AD677" s="236"/>
      <c r="AE677" s="236"/>
      <c r="AF677" s="236"/>
      <c r="AG677" s="236"/>
      <c r="AH677" s="236"/>
      <c r="AI677" s="236"/>
      <c r="AJ677" s="236"/>
      <c r="AK677" s="236"/>
      <c r="AL677" s="236"/>
      <c r="AM677" s="236"/>
      <c r="AN677" s="236"/>
      <c r="AO677" s="236"/>
      <c r="AP677" s="236"/>
      <c r="AQ677" s="236"/>
      <c r="AR677" s="236"/>
      <c r="AS677" s="236"/>
      <c r="AT677" s="236"/>
      <c r="AU677" s="236"/>
      <c r="AV677" s="12"/>
      <c r="AW677" s="12"/>
      <c r="AX677" s="12"/>
      <c r="AY677" s="12"/>
      <c r="AZ677" s="12"/>
      <c r="BA677" s="12"/>
      <c r="BB677" s="12"/>
    </row>
    <row r="678" spans="1:54" ht="13">
      <c r="A678" s="12"/>
      <c r="B678" s="27"/>
      <c r="C678" s="27"/>
      <c r="D678" s="407"/>
      <c r="E678" s="27"/>
      <c r="F678" s="27"/>
      <c r="G678" s="27"/>
      <c r="H678" s="408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12"/>
      <c r="AW678" s="12"/>
      <c r="AX678" s="12"/>
      <c r="AY678" s="12"/>
      <c r="AZ678" s="12"/>
      <c r="BA678" s="12"/>
      <c r="BB678" s="12"/>
    </row>
    <row r="679" spans="1:54" ht="13">
      <c r="A679" s="12"/>
      <c r="B679" s="236"/>
      <c r="C679" s="236"/>
      <c r="D679" s="405"/>
      <c r="E679" s="236"/>
      <c r="F679" s="236"/>
      <c r="G679" s="236"/>
      <c r="H679" s="406"/>
      <c r="I679" s="236"/>
      <c r="J679" s="236"/>
      <c r="K679" s="236"/>
      <c r="L679" s="236"/>
      <c r="M679" s="236"/>
      <c r="N679" s="236"/>
      <c r="O679" s="236"/>
      <c r="P679" s="236"/>
      <c r="Q679" s="236"/>
      <c r="R679" s="236"/>
      <c r="S679" s="236"/>
      <c r="T679" s="236"/>
      <c r="U679" s="236"/>
      <c r="V679" s="236"/>
      <c r="W679" s="236"/>
      <c r="X679" s="236"/>
      <c r="Y679" s="236"/>
      <c r="Z679" s="236"/>
      <c r="AA679" s="236"/>
      <c r="AB679" s="236"/>
      <c r="AC679" s="236"/>
      <c r="AD679" s="236"/>
      <c r="AE679" s="236"/>
      <c r="AF679" s="236"/>
      <c r="AG679" s="236"/>
      <c r="AH679" s="236"/>
      <c r="AI679" s="236"/>
      <c r="AJ679" s="236"/>
      <c r="AK679" s="236"/>
      <c r="AL679" s="236"/>
      <c r="AM679" s="236"/>
      <c r="AN679" s="236"/>
      <c r="AO679" s="236"/>
      <c r="AP679" s="236"/>
      <c r="AQ679" s="236"/>
      <c r="AR679" s="236"/>
      <c r="AS679" s="236"/>
      <c r="AT679" s="236"/>
      <c r="AU679" s="236"/>
      <c r="AV679" s="12"/>
      <c r="AW679" s="12"/>
      <c r="AX679" s="12"/>
      <c r="AY679" s="12"/>
      <c r="AZ679" s="12"/>
      <c r="BA679" s="12"/>
      <c r="BB679" s="12"/>
    </row>
    <row r="680" spans="1:54" ht="13">
      <c r="A680" s="12"/>
      <c r="B680" s="27"/>
      <c r="C680" s="27"/>
      <c r="D680" s="407"/>
      <c r="E680" s="27"/>
      <c r="F680" s="27"/>
      <c r="G680" s="27"/>
      <c r="H680" s="408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12"/>
      <c r="AW680" s="12"/>
      <c r="AX680" s="12"/>
      <c r="AY680" s="12"/>
      <c r="AZ680" s="12"/>
      <c r="BA680" s="12"/>
      <c r="BB680" s="12"/>
    </row>
    <row r="681" spans="1:54" ht="13">
      <c r="A681" s="12"/>
      <c r="B681" s="236"/>
      <c r="C681" s="236"/>
      <c r="D681" s="405"/>
      <c r="E681" s="236"/>
      <c r="F681" s="236"/>
      <c r="G681" s="236"/>
      <c r="H681" s="406"/>
      <c r="I681" s="236"/>
      <c r="J681" s="236"/>
      <c r="K681" s="236"/>
      <c r="L681" s="236"/>
      <c r="M681" s="236"/>
      <c r="N681" s="236"/>
      <c r="O681" s="236"/>
      <c r="P681" s="236"/>
      <c r="Q681" s="236"/>
      <c r="R681" s="236"/>
      <c r="S681" s="236"/>
      <c r="T681" s="236"/>
      <c r="U681" s="236"/>
      <c r="V681" s="236"/>
      <c r="W681" s="236"/>
      <c r="X681" s="236"/>
      <c r="Y681" s="236"/>
      <c r="Z681" s="236"/>
      <c r="AA681" s="236"/>
      <c r="AB681" s="236"/>
      <c r="AC681" s="236"/>
      <c r="AD681" s="236"/>
      <c r="AE681" s="236"/>
      <c r="AF681" s="236"/>
      <c r="AG681" s="236"/>
      <c r="AH681" s="236"/>
      <c r="AI681" s="236"/>
      <c r="AJ681" s="236"/>
      <c r="AK681" s="236"/>
      <c r="AL681" s="236"/>
      <c r="AM681" s="236"/>
      <c r="AN681" s="236"/>
      <c r="AO681" s="236"/>
      <c r="AP681" s="236"/>
      <c r="AQ681" s="236"/>
      <c r="AR681" s="236"/>
      <c r="AS681" s="236"/>
      <c r="AT681" s="236"/>
      <c r="AU681" s="236"/>
      <c r="AV681" s="12"/>
      <c r="AW681" s="12"/>
      <c r="AX681" s="12"/>
      <c r="AY681" s="12"/>
      <c r="AZ681" s="12"/>
      <c r="BA681" s="12"/>
      <c r="BB681" s="12"/>
    </row>
    <row r="682" spans="1:54" ht="13">
      <c r="A682" s="12"/>
      <c r="B682" s="27"/>
      <c r="C682" s="27"/>
      <c r="D682" s="407"/>
      <c r="E682" s="27"/>
      <c r="F682" s="27"/>
      <c r="G682" s="27"/>
      <c r="H682" s="408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12"/>
      <c r="AW682" s="12"/>
      <c r="AX682" s="12"/>
      <c r="AY682" s="12"/>
      <c r="AZ682" s="12"/>
      <c r="BA682" s="12"/>
      <c r="BB682" s="12"/>
    </row>
    <row r="683" spans="1:54" ht="13">
      <c r="A683" s="12"/>
      <c r="B683" s="236"/>
      <c r="C683" s="236"/>
      <c r="D683" s="405"/>
      <c r="E683" s="236"/>
      <c r="F683" s="236"/>
      <c r="G683" s="236"/>
      <c r="H683" s="406"/>
      <c r="I683" s="236"/>
      <c r="J683" s="236"/>
      <c r="K683" s="236"/>
      <c r="L683" s="236"/>
      <c r="M683" s="236"/>
      <c r="N683" s="236"/>
      <c r="O683" s="236"/>
      <c r="P683" s="236"/>
      <c r="Q683" s="236"/>
      <c r="R683" s="236"/>
      <c r="S683" s="236"/>
      <c r="T683" s="236"/>
      <c r="U683" s="236"/>
      <c r="V683" s="236"/>
      <c r="W683" s="236"/>
      <c r="X683" s="236"/>
      <c r="Y683" s="236"/>
      <c r="Z683" s="236"/>
      <c r="AA683" s="236"/>
      <c r="AB683" s="236"/>
      <c r="AC683" s="236"/>
      <c r="AD683" s="236"/>
      <c r="AE683" s="236"/>
      <c r="AF683" s="236"/>
      <c r="AG683" s="236"/>
      <c r="AH683" s="236"/>
      <c r="AI683" s="236"/>
      <c r="AJ683" s="236"/>
      <c r="AK683" s="236"/>
      <c r="AL683" s="236"/>
      <c r="AM683" s="236"/>
      <c r="AN683" s="236"/>
      <c r="AO683" s="236"/>
      <c r="AP683" s="236"/>
      <c r="AQ683" s="236"/>
      <c r="AR683" s="236"/>
      <c r="AS683" s="236"/>
      <c r="AT683" s="236"/>
      <c r="AU683" s="236"/>
      <c r="AV683" s="12"/>
      <c r="AW683" s="12"/>
      <c r="AX683" s="12"/>
      <c r="AY683" s="12"/>
      <c r="AZ683" s="12"/>
      <c r="BA683" s="12"/>
      <c r="BB683" s="12"/>
    </row>
    <row r="684" spans="1:54" ht="13">
      <c r="A684" s="12"/>
      <c r="B684" s="27"/>
      <c r="C684" s="27"/>
      <c r="D684" s="407"/>
      <c r="E684" s="27"/>
      <c r="F684" s="27"/>
      <c r="G684" s="27"/>
      <c r="H684" s="408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12"/>
      <c r="AW684" s="12"/>
      <c r="AX684" s="12"/>
      <c r="AY684" s="12"/>
      <c r="AZ684" s="12"/>
      <c r="BA684" s="12"/>
      <c r="BB684" s="12"/>
    </row>
    <row r="685" spans="1:54" ht="13">
      <c r="A685" s="12"/>
      <c r="B685" s="236"/>
      <c r="C685" s="236"/>
      <c r="D685" s="405"/>
      <c r="E685" s="236"/>
      <c r="F685" s="236"/>
      <c r="G685" s="236"/>
      <c r="H685" s="406"/>
      <c r="I685" s="236"/>
      <c r="J685" s="236"/>
      <c r="K685" s="236"/>
      <c r="L685" s="236"/>
      <c r="M685" s="236"/>
      <c r="N685" s="236"/>
      <c r="O685" s="236"/>
      <c r="P685" s="236"/>
      <c r="Q685" s="236"/>
      <c r="R685" s="236"/>
      <c r="S685" s="236"/>
      <c r="T685" s="236"/>
      <c r="U685" s="236"/>
      <c r="V685" s="236"/>
      <c r="W685" s="236"/>
      <c r="X685" s="236"/>
      <c r="Y685" s="236"/>
      <c r="Z685" s="236"/>
      <c r="AA685" s="236"/>
      <c r="AB685" s="236"/>
      <c r="AC685" s="236"/>
      <c r="AD685" s="236"/>
      <c r="AE685" s="236"/>
      <c r="AF685" s="236"/>
      <c r="AG685" s="236"/>
      <c r="AH685" s="236"/>
      <c r="AI685" s="236"/>
      <c r="AJ685" s="236"/>
      <c r="AK685" s="236"/>
      <c r="AL685" s="236"/>
      <c r="AM685" s="236"/>
      <c r="AN685" s="236"/>
      <c r="AO685" s="236"/>
      <c r="AP685" s="236"/>
      <c r="AQ685" s="236"/>
      <c r="AR685" s="236"/>
      <c r="AS685" s="236"/>
      <c r="AT685" s="236"/>
      <c r="AU685" s="236"/>
      <c r="AV685" s="12"/>
      <c r="AW685" s="12"/>
      <c r="AX685" s="12"/>
      <c r="AY685" s="12"/>
      <c r="AZ685" s="12"/>
      <c r="BA685" s="12"/>
      <c r="BB685" s="12"/>
    </row>
    <row r="686" spans="1:54" ht="13">
      <c r="A686" s="12"/>
      <c r="B686" s="27"/>
      <c r="C686" s="27"/>
      <c r="D686" s="407"/>
      <c r="E686" s="27"/>
      <c r="F686" s="27"/>
      <c r="G686" s="27"/>
      <c r="H686" s="408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12"/>
      <c r="AW686" s="12"/>
      <c r="AX686" s="12"/>
      <c r="AY686" s="12"/>
      <c r="AZ686" s="12"/>
      <c r="BA686" s="12"/>
      <c r="BB686" s="12"/>
    </row>
    <row r="687" spans="1:54" ht="13">
      <c r="A687" s="12"/>
      <c r="B687" s="236"/>
      <c r="C687" s="236"/>
      <c r="D687" s="405"/>
      <c r="E687" s="236"/>
      <c r="F687" s="236"/>
      <c r="G687" s="236"/>
      <c r="H687" s="406"/>
      <c r="I687" s="236"/>
      <c r="J687" s="236"/>
      <c r="K687" s="236"/>
      <c r="L687" s="236"/>
      <c r="M687" s="236"/>
      <c r="N687" s="236"/>
      <c r="O687" s="236"/>
      <c r="P687" s="236"/>
      <c r="Q687" s="236"/>
      <c r="R687" s="236"/>
      <c r="S687" s="236"/>
      <c r="T687" s="236"/>
      <c r="U687" s="236"/>
      <c r="V687" s="236"/>
      <c r="W687" s="236"/>
      <c r="X687" s="236"/>
      <c r="Y687" s="236"/>
      <c r="Z687" s="236"/>
      <c r="AA687" s="236"/>
      <c r="AB687" s="236"/>
      <c r="AC687" s="236"/>
      <c r="AD687" s="236"/>
      <c r="AE687" s="236"/>
      <c r="AF687" s="236"/>
      <c r="AG687" s="236"/>
      <c r="AH687" s="236"/>
      <c r="AI687" s="236"/>
      <c r="AJ687" s="236"/>
      <c r="AK687" s="236"/>
      <c r="AL687" s="236"/>
      <c r="AM687" s="236"/>
      <c r="AN687" s="236"/>
      <c r="AO687" s="236"/>
      <c r="AP687" s="236"/>
      <c r="AQ687" s="236"/>
      <c r="AR687" s="236"/>
      <c r="AS687" s="236"/>
      <c r="AT687" s="236"/>
      <c r="AU687" s="236"/>
      <c r="AV687" s="12"/>
      <c r="AW687" s="12"/>
      <c r="AX687" s="12"/>
      <c r="AY687" s="12"/>
      <c r="AZ687" s="12"/>
      <c r="BA687" s="12"/>
      <c r="BB687" s="12"/>
    </row>
    <row r="688" spans="1:54" ht="13">
      <c r="A688" s="12"/>
      <c r="B688" s="27"/>
      <c r="C688" s="27"/>
      <c r="D688" s="407"/>
      <c r="E688" s="27"/>
      <c r="F688" s="27"/>
      <c r="G688" s="27"/>
      <c r="H688" s="408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12"/>
      <c r="AW688" s="12"/>
      <c r="AX688" s="12"/>
      <c r="AY688" s="12"/>
      <c r="AZ688" s="12"/>
      <c r="BA688" s="12"/>
      <c r="BB688" s="12"/>
    </row>
    <row r="689" spans="1:54" ht="13">
      <c r="A689" s="12"/>
      <c r="B689" s="236"/>
      <c r="C689" s="236"/>
      <c r="D689" s="405"/>
      <c r="E689" s="236"/>
      <c r="F689" s="236"/>
      <c r="G689" s="236"/>
      <c r="H689" s="406"/>
      <c r="I689" s="236"/>
      <c r="J689" s="236"/>
      <c r="K689" s="236"/>
      <c r="L689" s="236"/>
      <c r="M689" s="236"/>
      <c r="N689" s="236"/>
      <c r="O689" s="236"/>
      <c r="P689" s="236"/>
      <c r="Q689" s="236"/>
      <c r="R689" s="236"/>
      <c r="S689" s="236"/>
      <c r="T689" s="236"/>
      <c r="U689" s="236"/>
      <c r="V689" s="236"/>
      <c r="W689" s="236"/>
      <c r="X689" s="236"/>
      <c r="Y689" s="236"/>
      <c r="Z689" s="236"/>
      <c r="AA689" s="236"/>
      <c r="AB689" s="236"/>
      <c r="AC689" s="236"/>
      <c r="AD689" s="236"/>
      <c r="AE689" s="236"/>
      <c r="AF689" s="236"/>
      <c r="AG689" s="236"/>
      <c r="AH689" s="236"/>
      <c r="AI689" s="236"/>
      <c r="AJ689" s="236"/>
      <c r="AK689" s="236"/>
      <c r="AL689" s="236"/>
      <c r="AM689" s="236"/>
      <c r="AN689" s="236"/>
      <c r="AO689" s="236"/>
      <c r="AP689" s="236"/>
      <c r="AQ689" s="236"/>
      <c r="AR689" s="236"/>
      <c r="AS689" s="236"/>
      <c r="AT689" s="236"/>
      <c r="AU689" s="236"/>
      <c r="AV689" s="12"/>
      <c r="AW689" s="12"/>
      <c r="AX689" s="12"/>
      <c r="AY689" s="12"/>
      <c r="AZ689" s="12"/>
      <c r="BA689" s="12"/>
      <c r="BB689" s="12"/>
    </row>
    <row r="690" spans="1:54" ht="13">
      <c r="A690" s="12"/>
      <c r="B690" s="27"/>
      <c r="C690" s="27"/>
      <c r="D690" s="407"/>
      <c r="E690" s="27"/>
      <c r="F690" s="27"/>
      <c r="G690" s="27"/>
      <c r="H690" s="408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12"/>
      <c r="AW690" s="12"/>
      <c r="AX690" s="12"/>
      <c r="AY690" s="12"/>
      <c r="AZ690" s="12"/>
      <c r="BA690" s="12"/>
      <c r="BB690" s="12"/>
    </row>
    <row r="691" spans="1:54" ht="13">
      <c r="A691" s="12"/>
      <c r="B691" s="236"/>
      <c r="C691" s="236"/>
      <c r="D691" s="405"/>
      <c r="E691" s="236"/>
      <c r="F691" s="236"/>
      <c r="G691" s="236"/>
      <c r="H691" s="406"/>
      <c r="I691" s="236"/>
      <c r="J691" s="236"/>
      <c r="K691" s="236"/>
      <c r="L691" s="236"/>
      <c r="M691" s="236"/>
      <c r="N691" s="236"/>
      <c r="O691" s="236"/>
      <c r="P691" s="236"/>
      <c r="Q691" s="236"/>
      <c r="R691" s="236"/>
      <c r="S691" s="236"/>
      <c r="T691" s="236"/>
      <c r="U691" s="236"/>
      <c r="V691" s="236"/>
      <c r="W691" s="236"/>
      <c r="X691" s="236"/>
      <c r="Y691" s="236"/>
      <c r="Z691" s="236"/>
      <c r="AA691" s="236"/>
      <c r="AB691" s="236"/>
      <c r="AC691" s="236"/>
      <c r="AD691" s="236"/>
      <c r="AE691" s="236"/>
      <c r="AF691" s="236"/>
      <c r="AG691" s="236"/>
      <c r="AH691" s="236"/>
      <c r="AI691" s="236"/>
      <c r="AJ691" s="236"/>
      <c r="AK691" s="236"/>
      <c r="AL691" s="236"/>
      <c r="AM691" s="236"/>
      <c r="AN691" s="236"/>
      <c r="AO691" s="236"/>
      <c r="AP691" s="236"/>
      <c r="AQ691" s="236"/>
      <c r="AR691" s="236"/>
      <c r="AS691" s="236"/>
      <c r="AT691" s="236"/>
      <c r="AU691" s="236"/>
      <c r="AV691" s="12"/>
      <c r="AW691" s="12"/>
      <c r="AX691" s="12"/>
      <c r="AY691" s="12"/>
      <c r="AZ691" s="12"/>
      <c r="BA691" s="12"/>
      <c r="BB691" s="12"/>
    </row>
    <row r="692" spans="1:54" ht="13">
      <c r="A692" s="12"/>
      <c r="B692" s="27"/>
      <c r="C692" s="27"/>
      <c r="D692" s="407"/>
      <c r="E692" s="27"/>
      <c r="F692" s="27"/>
      <c r="G692" s="27"/>
      <c r="H692" s="408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12"/>
      <c r="AW692" s="12"/>
      <c r="AX692" s="12"/>
      <c r="AY692" s="12"/>
      <c r="AZ692" s="12"/>
      <c r="BA692" s="12"/>
      <c r="BB692" s="12"/>
    </row>
    <row r="693" spans="1:54" ht="13">
      <c r="A693" s="12"/>
      <c r="B693" s="236"/>
      <c r="C693" s="236"/>
      <c r="D693" s="405"/>
      <c r="E693" s="236"/>
      <c r="F693" s="236"/>
      <c r="G693" s="236"/>
      <c r="H693" s="406"/>
      <c r="I693" s="236"/>
      <c r="J693" s="236"/>
      <c r="K693" s="236"/>
      <c r="L693" s="236"/>
      <c r="M693" s="236"/>
      <c r="N693" s="236"/>
      <c r="O693" s="236"/>
      <c r="P693" s="236"/>
      <c r="Q693" s="236"/>
      <c r="R693" s="236"/>
      <c r="S693" s="236"/>
      <c r="T693" s="236"/>
      <c r="U693" s="236"/>
      <c r="V693" s="23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236"/>
      <c r="AH693" s="236"/>
      <c r="AI693" s="236"/>
      <c r="AJ693" s="236"/>
      <c r="AK693" s="236"/>
      <c r="AL693" s="236"/>
      <c r="AM693" s="236"/>
      <c r="AN693" s="236"/>
      <c r="AO693" s="236"/>
      <c r="AP693" s="236"/>
      <c r="AQ693" s="236"/>
      <c r="AR693" s="236"/>
      <c r="AS693" s="236"/>
      <c r="AT693" s="236"/>
      <c r="AU693" s="236"/>
      <c r="AV693" s="12"/>
      <c r="AW693" s="12"/>
      <c r="AX693" s="12"/>
      <c r="AY693" s="12"/>
      <c r="AZ693" s="12"/>
      <c r="BA693" s="12"/>
      <c r="BB693" s="12"/>
    </row>
    <row r="694" spans="1:54" ht="13">
      <c r="A694" s="12"/>
      <c r="B694" s="27"/>
      <c r="C694" s="27"/>
      <c r="D694" s="407"/>
      <c r="E694" s="27"/>
      <c r="F694" s="27"/>
      <c r="G694" s="27"/>
      <c r="H694" s="408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12"/>
      <c r="AW694" s="12"/>
      <c r="AX694" s="12"/>
      <c r="AY694" s="12"/>
      <c r="AZ694" s="12"/>
      <c r="BA694" s="12"/>
      <c r="BB694" s="12"/>
    </row>
    <row r="695" spans="1:54" ht="13">
      <c r="A695" s="12"/>
      <c r="B695" s="236"/>
      <c r="C695" s="236"/>
      <c r="D695" s="405"/>
      <c r="E695" s="236"/>
      <c r="F695" s="236"/>
      <c r="G695" s="236"/>
      <c r="H695" s="406"/>
      <c r="I695" s="236"/>
      <c r="J695" s="236"/>
      <c r="K695" s="236"/>
      <c r="L695" s="236"/>
      <c r="M695" s="236"/>
      <c r="N695" s="236"/>
      <c r="O695" s="236"/>
      <c r="P695" s="236"/>
      <c r="Q695" s="236"/>
      <c r="R695" s="236"/>
      <c r="S695" s="236"/>
      <c r="T695" s="236"/>
      <c r="U695" s="236"/>
      <c r="V695" s="23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236"/>
      <c r="AH695" s="236"/>
      <c r="AI695" s="236"/>
      <c r="AJ695" s="236"/>
      <c r="AK695" s="236"/>
      <c r="AL695" s="236"/>
      <c r="AM695" s="236"/>
      <c r="AN695" s="236"/>
      <c r="AO695" s="236"/>
      <c r="AP695" s="236"/>
      <c r="AQ695" s="236"/>
      <c r="AR695" s="236"/>
      <c r="AS695" s="236"/>
      <c r="AT695" s="236"/>
      <c r="AU695" s="236"/>
      <c r="AV695" s="12"/>
      <c r="AW695" s="12"/>
      <c r="AX695" s="12"/>
      <c r="AY695" s="12"/>
      <c r="AZ695" s="12"/>
      <c r="BA695" s="12"/>
      <c r="BB695" s="12"/>
    </row>
    <row r="696" spans="1:54" ht="13">
      <c r="A696" s="12"/>
      <c r="B696" s="27"/>
      <c r="C696" s="27"/>
      <c r="D696" s="407"/>
      <c r="E696" s="27"/>
      <c r="F696" s="27"/>
      <c r="G696" s="27"/>
      <c r="H696" s="408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12"/>
      <c r="AW696" s="12"/>
      <c r="AX696" s="12"/>
      <c r="AY696" s="12"/>
      <c r="AZ696" s="12"/>
      <c r="BA696" s="12"/>
      <c r="BB696" s="12"/>
    </row>
    <row r="697" spans="1:54" ht="13">
      <c r="A697" s="12"/>
      <c r="B697" s="236"/>
      <c r="C697" s="236"/>
      <c r="D697" s="405"/>
      <c r="E697" s="236"/>
      <c r="F697" s="236"/>
      <c r="G697" s="236"/>
      <c r="H697" s="406"/>
      <c r="I697" s="236"/>
      <c r="J697" s="236"/>
      <c r="K697" s="236"/>
      <c r="L697" s="236"/>
      <c r="M697" s="236"/>
      <c r="N697" s="236"/>
      <c r="O697" s="236"/>
      <c r="P697" s="236"/>
      <c r="Q697" s="236"/>
      <c r="R697" s="236"/>
      <c r="S697" s="236"/>
      <c r="T697" s="236"/>
      <c r="U697" s="236"/>
      <c r="V697" s="23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236"/>
      <c r="AH697" s="236"/>
      <c r="AI697" s="236"/>
      <c r="AJ697" s="236"/>
      <c r="AK697" s="236"/>
      <c r="AL697" s="236"/>
      <c r="AM697" s="236"/>
      <c r="AN697" s="236"/>
      <c r="AO697" s="236"/>
      <c r="AP697" s="236"/>
      <c r="AQ697" s="236"/>
      <c r="AR697" s="236"/>
      <c r="AS697" s="236"/>
      <c r="AT697" s="236"/>
      <c r="AU697" s="236"/>
      <c r="AV697" s="12"/>
      <c r="AW697" s="12"/>
      <c r="AX697" s="12"/>
      <c r="AY697" s="12"/>
      <c r="AZ697" s="12"/>
      <c r="BA697" s="12"/>
      <c r="BB697" s="12"/>
    </row>
    <row r="698" spans="1:54" ht="13">
      <c r="A698" s="12"/>
      <c r="B698" s="27"/>
      <c r="C698" s="27"/>
      <c r="D698" s="407"/>
      <c r="E698" s="27"/>
      <c r="F698" s="27"/>
      <c r="G698" s="27"/>
      <c r="H698" s="408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12"/>
      <c r="AW698" s="12"/>
      <c r="AX698" s="12"/>
      <c r="AY698" s="12"/>
      <c r="AZ698" s="12"/>
      <c r="BA698" s="12"/>
      <c r="BB698" s="12"/>
    </row>
    <row r="699" spans="1:54" ht="13">
      <c r="A699" s="12"/>
      <c r="B699" s="236"/>
      <c r="C699" s="236"/>
      <c r="D699" s="405"/>
      <c r="E699" s="236"/>
      <c r="F699" s="236"/>
      <c r="G699" s="236"/>
      <c r="H699" s="406"/>
      <c r="I699" s="236"/>
      <c r="J699" s="236"/>
      <c r="K699" s="236"/>
      <c r="L699" s="236"/>
      <c r="M699" s="236"/>
      <c r="N699" s="236"/>
      <c r="O699" s="236"/>
      <c r="P699" s="236"/>
      <c r="Q699" s="236"/>
      <c r="R699" s="236"/>
      <c r="S699" s="236"/>
      <c r="T699" s="236"/>
      <c r="U699" s="236"/>
      <c r="V699" s="23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236"/>
      <c r="AH699" s="236"/>
      <c r="AI699" s="236"/>
      <c r="AJ699" s="236"/>
      <c r="AK699" s="236"/>
      <c r="AL699" s="236"/>
      <c r="AM699" s="236"/>
      <c r="AN699" s="236"/>
      <c r="AO699" s="236"/>
      <c r="AP699" s="236"/>
      <c r="AQ699" s="236"/>
      <c r="AR699" s="236"/>
      <c r="AS699" s="236"/>
      <c r="AT699" s="236"/>
      <c r="AU699" s="236"/>
      <c r="AV699" s="12"/>
      <c r="AW699" s="12"/>
      <c r="AX699" s="12"/>
      <c r="AY699" s="12"/>
      <c r="AZ699" s="12"/>
      <c r="BA699" s="12"/>
      <c r="BB699" s="12"/>
    </row>
    <row r="700" spans="1:54" ht="13">
      <c r="A700" s="12"/>
      <c r="B700" s="27"/>
      <c r="C700" s="27"/>
      <c r="D700" s="407"/>
      <c r="E700" s="27"/>
      <c r="F700" s="27"/>
      <c r="G700" s="27"/>
      <c r="H700" s="408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12"/>
      <c r="AW700" s="12"/>
      <c r="AX700" s="12"/>
      <c r="AY700" s="12"/>
      <c r="AZ700" s="12"/>
      <c r="BA700" s="12"/>
      <c r="BB700" s="12"/>
    </row>
    <row r="701" spans="1:54" ht="13">
      <c r="A701" s="12"/>
      <c r="B701" s="236"/>
      <c r="C701" s="236"/>
      <c r="D701" s="405"/>
      <c r="E701" s="236"/>
      <c r="F701" s="236"/>
      <c r="G701" s="236"/>
      <c r="H701" s="406"/>
      <c r="I701" s="236"/>
      <c r="J701" s="236"/>
      <c r="K701" s="236"/>
      <c r="L701" s="236"/>
      <c r="M701" s="236"/>
      <c r="N701" s="236"/>
      <c r="O701" s="236"/>
      <c r="P701" s="236"/>
      <c r="Q701" s="236"/>
      <c r="R701" s="236"/>
      <c r="S701" s="236"/>
      <c r="T701" s="236"/>
      <c r="U701" s="236"/>
      <c r="V701" s="23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236"/>
      <c r="AH701" s="236"/>
      <c r="AI701" s="236"/>
      <c r="AJ701" s="236"/>
      <c r="AK701" s="236"/>
      <c r="AL701" s="236"/>
      <c r="AM701" s="236"/>
      <c r="AN701" s="236"/>
      <c r="AO701" s="236"/>
      <c r="AP701" s="236"/>
      <c r="AQ701" s="236"/>
      <c r="AR701" s="236"/>
      <c r="AS701" s="236"/>
      <c r="AT701" s="236"/>
      <c r="AU701" s="236"/>
      <c r="AV701" s="12"/>
      <c r="AW701" s="12"/>
      <c r="AX701" s="12"/>
      <c r="AY701" s="12"/>
      <c r="AZ701" s="12"/>
      <c r="BA701" s="12"/>
      <c r="BB701" s="12"/>
    </row>
    <row r="702" spans="1:54" ht="13">
      <c r="A702" s="12"/>
      <c r="B702" s="27"/>
      <c r="C702" s="27"/>
      <c r="D702" s="407"/>
      <c r="E702" s="27"/>
      <c r="F702" s="27"/>
      <c r="G702" s="27"/>
      <c r="H702" s="408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12"/>
      <c r="AW702" s="12"/>
      <c r="AX702" s="12"/>
      <c r="AY702" s="12"/>
      <c r="AZ702" s="12"/>
      <c r="BA702" s="12"/>
      <c r="BB702" s="12"/>
    </row>
    <row r="703" spans="1:54" ht="13">
      <c r="A703" s="12"/>
      <c r="B703" s="236"/>
      <c r="C703" s="236"/>
      <c r="D703" s="405"/>
      <c r="E703" s="236"/>
      <c r="F703" s="236"/>
      <c r="G703" s="236"/>
      <c r="H703" s="406"/>
      <c r="I703" s="236"/>
      <c r="J703" s="236"/>
      <c r="K703" s="236"/>
      <c r="L703" s="236"/>
      <c r="M703" s="236"/>
      <c r="N703" s="236"/>
      <c r="O703" s="236"/>
      <c r="P703" s="236"/>
      <c r="Q703" s="236"/>
      <c r="R703" s="236"/>
      <c r="S703" s="236"/>
      <c r="T703" s="236"/>
      <c r="U703" s="236"/>
      <c r="V703" s="23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236"/>
      <c r="AH703" s="236"/>
      <c r="AI703" s="236"/>
      <c r="AJ703" s="236"/>
      <c r="AK703" s="236"/>
      <c r="AL703" s="236"/>
      <c r="AM703" s="236"/>
      <c r="AN703" s="236"/>
      <c r="AO703" s="236"/>
      <c r="AP703" s="236"/>
      <c r="AQ703" s="236"/>
      <c r="AR703" s="236"/>
      <c r="AS703" s="236"/>
      <c r="AT703" s="236"/>
      <c r="AU703" s="236"/>
      <c r="AV703" s="12"/>
      <c r="AW703" s="12"/>
      <c r="AX703" s="12"/>
      <c r="AY703" s="12"/>
      <c r="AZ703" s="12"/>
      <c r="BA703" s="12"/>
      <c r="BB703" s="12"/>
    </row>
    <row r="704" spans="1:54" ht="13">
      <c r="A704" s="12"/>
      <c r="B704" s="27"/>
      <c r="C704" s="27"/>
      <c r="D704" s="407"/>
      <c r="E704" s="27"/>
      <c r="F704" s="27"/>
      <c r="G704" s="27"/>
      <c r="H704" s="408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12"/>
      <c r="AW704" s="12"/>
      <c r="AX704" s="12"/>
      <c r="AY704" s="12"/>
      <c r="AZ704" s="12"/>
      <c r="BA704" s="12"/>
      <c r="BB704" s="12"/>
    </row>
    <row r="705" spans="1:54" ht="13">
      <c r="A705" s="12"/>
      <c r="B705" s="236"/>
      <c r="C705" s="236"/>
      <c r="D705" s="405"/>
      <c r="E705" s="236"/>
      <c r="F705" s="236"/>
      <c r="G705" s="236"/>
      <c r="H705" s="406"/>
      <c r="I705" s="236"/>
      <c r="J705" s="236"/>
      <c r="K705" s="236"/>
      <c r="L705" s="236"/>
      <c r="M705" s="236"/>
      <c r="N705" s="236"/>
      <c r="O705" s="236"/>
      <c r="P705" s="236"/>
      <c r="Q705" s="236"/>
      <c r="R705" s="236"/>
      <c r="S705" s="236"/>
      <c r="T705" s="236"/>
      <c r="U705" s="236"/>
      <c r="V705" s="23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236"/>
      <c r="AH705" s="236"/>
      <c r="AI705" s="236"/>
      <c r="AJ705" s="236"/>
      <c r="AK705" s="236"/>
      <c r="AL705" s="236"/>
      <c r="AM705" s="236"/>
      <c r="AN705" s="236"/>
      <c r="AO705" s="236"/>
      <c r="AP705" s="236"/>
      <c r="AQ705" s="236"/>
      <c r="AR705" s="236"/>
      <c r="AS705" s="236"/>
      <c r="AT705" s="236"/>
      <c r="AU705" s="236"/>
      <c r="AV705" s="12"/>
      <c r="AW705" s="12"/>
      <c r="AX705" s="12"/>
      <c r="AY705" s="12"/>
      <c r="AZ705" s="12"/>
      <c r="BA705" s="12"/>
      <c r="BB705" s="12"/>
    </row>
    <row r="706" spans="1:54" ht="13">
      <c r="A706" s="12"/>
      <c r="B706" s="27"/>
      <c r="C706" s="27"/>
      <c r="D706" s="407"/>
      <c r="E706" s="27"/>
      <c r="F706" s="27"/>
      <c r="G706" s="27"/>
      <c r="H706" s="408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12"/>
      <c r="AW706" s="12"/>
      <c r="AX706" s="12"/>
      <c r="AY706" s="12"/>
      <c r="AZ706" s="12"/>
      <c r="BA706" s="12"/>
      <c r="BB706" s="12"/>
    </row>
    <row r="707" spans="1:54" ht="13">
      <c r="A707" s="12"/>
      <c r="B707" s="236"/>
      <c r="C707" s="236"/>
      <c r="D707" s="405"/>
      <c r="E707" s="236"/>
      <c r="F707" s="236"/>
      <c r="G707" s="236"/>
      <c r="H707" s="406"/>
      <c r="I707" s="236"/>
      <c r="J707" s="236"/>
      <c r="K707" s="236"/>
      <c r="L707" s="236"/>
      <c r="M707" s="236"/>
      <c r="N707" s="236"/>
      <c r="O707" s="236"/>
      <c r="P707" s="236"/>
      <c r="Q707" s="236"/>
      <c r="R707" s="236"/>
      <c r="S707" s="236"/>
      <c r="T707" s="236"/>
      <c r="U707" s="236"/>
      <c r="V707" s="23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236"/>
      <c r="AH707" s="236"/>
      <c r="AI707" s="236"/>
      <c r="AJ707" s="236"/>
      <c r="AK707" s="236"/>
      <c r="AL707" s="236"/>
      <c r="AM707" s="236"/>
      <c r="AN707" s="236"/>
      <c r="AO707" s="236"/>
      <c r="AP707" s="236"/>
      <c r="AQ707" s="236"/>
      <c r="AR707" s="236"/>
      <c r="AS707" s="236"/>
      <c r="AT707" s="236"/>
      <c r="AU707" s="236"/>
      <c r="AV707" s="12"/>
      <c r="AW707" s="12"/>
      <c r="AX707" s="12"/>
      <c r="AY707" s="12"/>
      <c r="AZ707" s="12"/>
      <c r="BA707" s="12"/>
      <c r="BB707" s="12"/>
    </row>
    <row r="708" spans="1:54" ht="13">
      <c r="A708" s="12"/>
      <c r="B708" s="27"/>
      <c r="C708" s="27"/>
      <c r="D708" s="407"/>
      <c r="E708" s="27"/>
      <c r="F708" s="27"/>
      <c r="G708" s="27"/>
      <c r="H708" s="408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12"/>
      <c r="AW708" s="12"/>
      <c r="AX708" s="12"/>
      <c r="AY708" s="12"/>
      <c r="AZ708" s="12"/>
      <c r="BA708" s="12"/>
      <c r="BB708" s="12"/>
    </row>
    <row r="709" spans="1:54" ht="13">
      <c r="A709" s="12"/>
      <c r="B709" s="236"/>
      <c r="C709" s="236"/>
      <c r="D709" s="405"/>
      <c r="E709" s="236"/>
      <c r="F709" s="236"/>
      <c r="G709" s="236"/>
      <c r="H709" s="406"/>
      <c r="I709" s="236"/>
      <c r="J709" s="236"/>
      <c r="K709" s="236"/>
      <c r="L709" s="236"/>
      <c r="M709" s="236"/>
      <c r="N709" s="236"/>
      <c r="O709" s="236"/>
      <c r="P709" s="236"/>
      <c r="Q709" s="236"/>
      <c r="R709" s="236"/>
      <c r="S709" s="236"/>
      <c r="T709" s="236"/>
      <c r="U709" s="236"/>
      <c r="V709" s="23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236"/>
      <c r="AH709" s="236"/>
      <c r="AI709" s="236"/>
      <c r="AJ709" s="236"/>
      <c r="AK709" s="236"/>
      <c r="AL709" s="236"/>
      <c r="AM709" s="236"/>
      <c r="AN709" s="236"/>
      <c r="AO709" s="236"/>
      <c r="AP709" s="236"/>
      <c r="AQ709" s="236"/>
      <c r="AR709" s="236"/>
      <c r="AS709" s="236"/>
      <c r="AT709" s="236"/>
      <c r="AU709" s="236"/>
      <c r="AV709" s="12"/>
      <c r="AW709" s="12"/>
      <c r="AX709" s="12"/>
      <c r="AY709" s="12"/>
      <c r="AZ709" s="12"/>
      <c r="BA709" s="12"/>
      <c r="BB709" s="12"/>
    </row>
    <row r="710" spans="1:54" ht="13">
      <c r="A710" s="12"/>
      <c r="B710" s="27"/>
      <c r="C710" s="27"/>
      <c r="D710" s="407"/>
      <c r="E710" s="27"/>
      <c r="F710" s="27"/>
      <c r="G710" s="27"/>
      <c r="H710" s="408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12"/>
      <c r="AW710" s="12"/>
      <c r="AX710" s="12"/>
      <c r="AY710" s="12"/>
      <c r="AZ710" s="12"/>
      <c r="BA710" s="12"/>
      <c r="BB710" s="12"/>
    </row>
    <row r="711" spans="1:54" ht="13">
      <c r="A711" s="12"/>
      <c r="B711" s="236"/>
      <c r="C711" s="236"/>
      <c r="D711" s="405"/>
      <c r="E711" s="236"/>
      <c r="F711" s="236"/>
      <c r="G711" s="236"/>
      <c r="H711" s="406"/>
      <c r="I711" s="236"/>
      <c r="J711" s="236"/>
      <c r="K711" s="236"/>
      <c r="L711" s="236"/>
      <c r="M711" s="236"/>
      <c r="N711" s="236"/>
      <c r="O711" s="236"/>
      <c r="P711" s="236"/>
      <c r="Q711" s="236"/>
      <c r="R711" s="236"/>
      <c r="S711" s="236"/>
      <c r="T711" s="236"/>
      <c r="U711" s="236"/>
      <c r="V711" s="236"/>
      <c r="W711" s="236"/>
      <c r="X711" s="236"/>
      <c r="Y711" s="236"/>
      <c r="Z711" s="236"/>
      <c r="AA711" s="236"/>
      <c r="AB711" s="236"/>
      <c r="AC711" s="236"/>
      <c r="AD711" s="236"/>
      <c r="AE711" s="236"/>
      <c r="AF711" s="236"/>
      <c r="AG711" s="236"/>
      <c r="AH711" s="236"/>
      <c r="AI711" s="236"/>
      <c r="AJ711" s="236"/>
      <c r="AK711" s="236"/>
      <c r="AL711" s="236"/>
      <c r="AM711" s="236"/>
      <c r="AN711" s="236"/>
      <c r="AO711" s="236"/>
      <c r="AP711" s="236"/>
      <c r="AQ711" s="236"/>
      <c r="AR711" s="236"/>
      <c r="AS711" s="236"/>
      <c r="AT711" s="236"/>
      <c r="AU711" s="236"/>
      <c r="AV711" s="12"/>
      <c r="AW711" s="12"/>
      <c r="AX711" s="12"/>
      <c r="AY711" s="12"/>
      <c r="AZ711" s="12"/>
      <c r="BA711" s="12"/>
      <c r="BB711" s="12"/>
    </row>
    <row r="712" spans="1:54" ht="13">
      <c r="A712" s="12"/>
      <c r="B712" s="27"/>
      <c r="C712" s="27"/>
      <c r="D712" s="407"/>
      <c r="E712" s="27"/>
      <c r="F712" s="27"/>
      <c r="G712" s="27"/>
      <c r="H712" s="408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12"/>
      <c r="AW712" s="12"/>
      <c r="AX712" s="12"/>
      <c r="AY712" s="12"/>
      <c r="AZ712" s="12"/>
      <c r="BA712" s="12"/>
      <c r="BB712" s="12"/>
    </row>
    <row r="713" spans="1:54" ht="13">
      <c r="A713" s="12"/>
      <c r="B713" s="236"/>
      <c r="C713" s="236"/>
      <c r="D713" s="405"/>
      <c r="E713" s="236"/>
      <c r="F713" s="236"/>
      <c r="G713" s="236"/>
      <c r="H713" s="406"/>
      <c r="I713" s="236"/>
      <c r="J713" s="236"/>
      <c r="K713" s="236"/>
      <c r="L713" s="236"/>
      <c r="M713" s="236"/>
      <c r="N713" s="236"/>
      <c r="O713" s="236"/>
      <c r="P713" s="236"/>
      <c r="Q713" s="236"/>
      <c r="R713" s="236"/>
      <c r="S713" s="236"/>
      <c r="T713" s="236"/>
      <c r="U713" s="236"/>
      <c r="V713" s="236"/>
      <c r="W713" s="236"/>
      <c r="X713" s="236"/>
      <c r="Y713" s="236"/>
      <c r="Z713" s="236"/>
      <c r="AA713" s="236"/>
      <c r="AB713" s="236"/>
      <c r="AC713" s="236"/>
      <c r="AD713" s="236"/>
      <c r="AE713" s="236"/>
      <c r="AF713" s="236"/>
      <c r="AG713" s="236"/>
      <c r="AH713" s="236"/>
      <c r="AI713" s="236"/>
      <c r="AJ713" s="236"/>
      <c r="AK713" s="236"/>
      <c r="AL713" s="236"/>
      <c r="AM713" s="236"/>
      <c r="AN713" s="236"/>
      <c r="AO713" s="236"/>
      <c r="AP713" s="236"/>
      <c r="AQ713" s="236"/>
      <c r="AR713" s="236"/>
      <c r="AS713" s="236"/>
      <c r="AT713" s="236"/>
      <c r="AU713" s="236"/>
      <c r="AV713" s="12"/>
      <c r="AW713" s="12"/>
      <c r="AX713" s="12"/>
      <c r="AY713" s="12"/>
      <c r="AZ713" s="12"/>
      <c r="BA713" s="12"/>
      <c r="BB713" s="12"/>
    </row>
    <row r="714" spans="1:54" ht="13">
      <c r="A714" s="12"/>
      <c r="B714" s="27"/>
      <c r="C714" s="27"/>
      <c r="D714" s="407"/>
      <c r="E714" s="27"/>
      <c r="F714" s="27"/>
      <c r="G714" s="27"/>
      <c r="H714" s="408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12"/>
      <c r="AW714" s="12"/>
      <c r="AX714" s="12"/>
      <c r="AY714" s="12"/>
      <c r="AZ714" s="12"/>
      <c r="BA714" s="12"/>
      <c r="BB714" s="12"/>
    </row>
    <row r="715" spans="1:54" ht="13">
      <c r="A715" s="12"/>
      <c r="B715" s="236"/>
      <c r="C715" s="236"/>
      <c r="D715" s="405"/>
      <c r="E715" s="236"/>
      <c r="F715" s="236"/>
      <c r="G715" s="236"/>
      <c r="H715" s="406"/>
      <c r="I715" s="236"/>
      <c r="J715" s="236"/>
      <c r="K715" s="236"/>
      <c r="L715" s="236"/>
      <c r="M715" s="236"/>
      <c r="N715" s="236"/>
      <c r="O715" s="236"/>
      <c r="P715" s="236"/>
      <c r="Q715" s="236"/>
      <c r="R715" s="236"/>
      <c r="S715" s="236"/>
      <c r="T715" s="236"/>
      <c r="U715" s="236"/>
      <c r="V715" s="236"/>
      <c r="W715" s="236"/>
      <c r="X715" s="236"/>
      <c r="Y715" s="236"/>
      <c r="Z715" s="236"/>
      <c r="AA715" s="236"/>
      <c r="AB715" s="236"/>
      <c r="AC715" s="236"/>
      <c r="AD715" s="236"/>
      <c r="AE715" s="236"/>
      <c r="AF715" s="236"/>
      <c r="AG715" s="236"/>
      <c r="AH715" s="236"/>
      <c r="AI715" s="236"/>
      <c r="AJ715" s="236"/>
      <c r="AK715" s="236"/>
      <c r="AL715" s="236"/>
      <c r="AM715" s="236"/>
      <c r="AN715" s="236"/>
      <c r="AO715" s="236"/>
      <c r="AP715" s="236"/>
      <c r="AQ715" s="236"/>
      <c r="AR715" s="236"/>
      <c r="AS715" s="236"/>
      <c r="AT715" s="236"/>
      <c r="AU715" s="236"/>
      <c r="AV715" s="12"/>
      <c r="AW715" s="12"/>
      <c r="AX715" s="12"/>
      <c r="AY715" s="12"/>
      <c r="AZ715" s="12"/>
      <c r="BA715" s="12"/>
      <c r="BB715" s="12"/>
    </row>
    <row r="716" spans="1:54" ht="13">
      <c r="A716" s="12"/>
      <c r="B716" s="27"/>
      <c r="C716" s="27"/>
      <c r="D716" s="407"/>
      <c r="E716" s="27"/>
      <c r="F716" s="27"/>
      <c r="G716" s="27"/>
      <c r="H716" s="408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12"/>
      <c r="AW716" s="12"/>
      <c r="AX716" s="12"/>
      <c r="AY716" s="12"/>
      <c r="AZ716" s="12"/>
      <c r="BA716" s="12"/>
      <c r="BB716" s="12"/>
    </row>
    <row r="717" spans="1:54" ht="13">
      <c r="A717" s="12"/>
      <c r="B717" s="236"/>
      <c r="C717" s="236"/>
      <c r="D717" s="405"/>
      <c r="E717" s="236"/>
      <c r="F717" s="236"/>
      <c r="G717" s="236"/>
      <c r="H717" s="406"/>
      <c r="I717" s="236"/>
      <c r="J717" s="236"/>
      <c r="K717" s="236"/>
      <c r="L717" s="236"/>
      <c r="M717" s="236"/>
      <c r="N717" s="236"/>
      <c r="O717" s="236"/>
      <c r="P717" s="236"/>
      <c r="Q717" s="236"/>
      <c r="R717" s="236"/>
      <c r="S717" s="236"/>
      <c r="T717" s="236"/>
      <c r="U717" s="236"/>
      <c r="V717" s="236"/>
      <c r="W717" s="236"/>
      <c r="X717" s="236"/>
      <c r="Y717" s="236"/>
      <c r="Z717" s="236"/>
      <c r="AA717" s="236"/>
      <c r="AB717" s="236"/>
      <c r="AC717" s="236"/>
      <c r="AD717" s="236"/>
      <c r="AE717" s="236"/>
      <c r="AF717" s="236"/>
      <c r="AG717" s="236"/>
      <c r="AH717" s="236"/>
      <c r="AI717" s="236"/>
      <c r="AJ717" s="236"/>
      <c r="AK717" s="236"/>
      <c r="AL717" s="236"/>
      <c r="AM717" s="236"/>
      <c r="AN717" s="236"/>
      <c r="AO717" s="236"/>
      <c r="AP717" s="236"/>
      <c r="AQ717" s="236"/>
      <c r="AR717" s="236"/>
      <c r="AS717" s="236"/>
      <c r="AT717" s="236"/>
      <c r="AU717" s="236"/>
      <c r="AV717" s="12"/>
      <c r="AW717" s="12"/>
      <c r="AX717" s="12"/>
      <c r="AY717" s="12"/>
      <c r="AZ717" s="12"/>
      <c r="BA717" s="12"/>
      <c r="BB717" s="12"/>
    </row>
    <row r="718" spans="1:54" ht="13">
      <c r="A718" s="12"/>
      <c r="B718" s="27"/>
      <c r="C718" s="27"/>
      <c r="D718" s="407"/>
      <c r="E718" s="27"/>
      <c r="F718" s="27"/>
      <c r="G718" s="27"/>
      <c r="H718" s="408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12"/>
      <c r="AW718" s="12"/>
      <c r="AX718" s="12"/>
      <c r="AY718" s="12"/>
      <c r="AZ718" s="12"/>
      <c r="BA718" s="12"/>
      <c r="BB718" s="12"/>
    </row>
    <row r="719" spans="1:54" ht="13">
      <c r="A719" s="12"/>
      <c r="B719" s="236"/>
      <c r="C719" s="236"/>
      <c r="D719" s="405"/>
      <c r="E719" s="236"/>
      <c r="F719" s="236"/>
      <c r="G719" s="236"/>
      <c r="H719" s="406"/>
      <c r="I719" s="236"/>
      <c r="J719" s="236"/>
      <c r="K719" s="236"/>
      <c r="L719" s="236"/>
      <c r="M719" s="236"/>
      <c r="N719" s="236"/>
      <c r="O719" s="236"/>
      <c r="P719" s="236"/>
      <c r="Q719" s="236"/>
      <c r="R719" s="236"/>
      <c r="S719" s="236"/>
      <c r="T719" s="236"/>
      <c r="U719" s="236"/>
      <c r="V719" s="236"/>
      <c r="W719" s="236"/>
      <c r="X719" s="236"/>
      <c r="Y719" s="236"/>
      <c r="Z719" s="236"/>
      <c r="AA719" s="236"/>
      <c r="AB719" s="236"/>
      <c r="AC719" s="236"/>
      <c r="AD719" s="236"/>
      <c r="AE719" s="236"/>
      <c r="AF719" s="236"/>
      <c r="AG719" s="236"/>
      <c r="AH719" s="236"/>
      <c r="AI719" s="236"/>
      <c r="AJ719" s="236"/>
      <c r="AK719" s="236"/>
      <c r="AL719" s="236"/>
      <c r="AM719" s="236"/>
      <c r="AN719" s="236"/>
      <c r="AO719" s="236"/>
      <c r="AP719" s="236"/>
      <c r="AQ719" s="236"/>
      <c r="AR719" s="236"/>
      <c r="AS719" s="236"/>
      <c r="AT719" s="236"/>
      <c r="AU719" s="236"/>
      <c r="AV719" s="12"/>
      <c r="AW719" s="12"/>
      <c r="AX719" s="12"/>
      <c r="AY719" s="12"/>
      <c r="AZ719" s="12"/>
      <c r="BA719" s="12"/>
      <c r="BB719" s="12"/>
    </row>
    <row r="720" spans="1:54" ht="13">
      <c r="A720" s="12"/>
      <c r="B720" s="27"/>
      <c r="C720" s="27"/>
      <c r="D720" s="407"/>
      <c r="E720" s="27"/>
      <c r="F720" s="27"/>
      <c r="G720" s="27"/>
      <c r="H720" s="408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12"/>
      <c r="AW720" s="12"/>
      <c r="AX720" s="12"/>
      <c r="AY720" s="12"/>
      <c r="AZ720" s="12"/>
      <c r="BA720" s="12"/>
      <c r="BB720" s="12"/>
    </row>
    <row r="721" spans="1:54" ht="13">
      <c r="A721" s="12"/>
      <c r="B721" s="236"/>
      <c r="C721" s="236"/>
      <c r="D721" s="405"/>
      <c r="E721" s="236"/>
      <c r="F721" s="236"/>
      <c r="G721" s="236"/>
      <c r="H721" s="406"/>
      <c r="I721" s="236"/>
      <c r="J721" s="236"/>
      <c r="K721" s="236"/>
      <c r="L721" s="236"/>
      <c r="M721" s="236"/>
      <c r="N721" s="236"/>
      <c r="O721" s="236"/>
      <c r="P721" s="236"/>
      <c r="Q721" s="236"/>
      <c r="R721" s="236"/>
      <c r="S721" s="236"/>
      <c r="T721" s="236"/>
      <c r="U721" s="236"/>
      <c r="V721" s="236"/>
      <c r="W721" s="236"/>
      <c r="X721" s="236"/>
      <c r="Y721" s="236"/>
      <c r="Z721" s="236"/>
      <c r="AA721" s="236"/>
      <c r="AB721" s="236"/>
      <c r="AC721" s="236"/>
      <c r="AD721" s="236"/>
      <c r="AE721" s="236"/>
      <c r="AF721" s="236"/>
      <c r="AG721" s="236"/>
      <c r="AH721" s="236"/>
      <c r="AI721" s="236"/>
      <c r="AJ721" s="236"/>
      <c r="AK721" s="236"/>
      <c r="AL721" s="236"/>
      <c r="AM721" s="236"/>
      <c r="AN721" s="236"/>
      <c r="AO721" s="236"/>
      <c r="AP721" s="236"/>
      <c r="AQ721" s="236"/>
      <c r="AR721" s="236"/>
      <c r="AS721" s="236"/>
      <c r="AT721" s="236"/>
      <c r="AU721" s="236"/>
      <c r="AV721" s="12"/>
      <c r="AW721" s="12"/>
      <c r="AX721" s="12"/>
      <c r="AY721" s="12"/>
      <c r="AZ721" s="12"/>
      <c r="BA721" s="12"/>
      <c r="BB721" s="12"/>
    </row>
    <row r="722" spans="1:54" ht="13">
      <c r="A722" s="12"/>
      <c r="B722" s="27"/>
      <c r="C722" s="27"/>
      <c r="D722" s="407"/>
      <c r="E722" s="27"/>
      <c r="F722" s="27"/>
      <c r="G722" s="27"/>
      <c r="H722" s="408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12"/>
      <c r="AW722" s="12"/>
      <c r="AX722" s="12"/>
      <c r="AY722" s="12"/>
      <c r="AZ722" s="12"/>
      <c r="BA722" s="12"/>
      <c r="BB722" s="12"/>
    </row>
    <row r="723" spans="1:54" ht="13">
      <c r="A723" s="12"/>
      <c r="B723" s="236"/>
      <c r="C723" s="236"/>
      <c r="D723" s="405"/>
      <c r="E723" s="236"/>
      <c r="F723" s="236"/>
      <c r="G723" s="236"/>
      <c r="H723" s="406"/>
      <c r="I723" s="236"/>
      <c r="J723" s="236"/>
      <c r="K723" s="236"/>
      <c r="L723" s="236"/>
      <c r="M723" s="236"/>
      <c r="N723" s="236"/>
      <c r="O723" s="236"/>
      <c r="P723" s="236"/>
      <c r="Q723" s="236"/>
      <c r="R723" s="236"/>
      <c r="S723" s="236"/>
      <c r="T723" s="236"/>
      <c r="U723" s="236"/>
      <c r="V723" s="236"/>
      <c r="W723" s="236"/>
      <c r="X723" s="236"/>
      <c r="Y723" s="236"/>
      <c r="Z723" s="236"/>
      <c r="AA723" s="236"/>
      <c r="AB723" s="236"/>
      <c r="AC723" s="236"/>
      <c r="AD723" s="236"/>
      <c r="AE723" s="236"/>
      <c r="AF723" s="236"/>
      <c r="AG723" s="236"/>
      <c r="AH723" s="236"/>
      <c r="AI723" s="236"/>
      <c r="AJ723" s="236"/>
      <c r="AK723" s="236"/>
      <c r="AL723" s="236"/>
      <c r="AM723" s="236"/>
      <c r="AN723" s="236"/>
      <c r="AO723" s="236"/>
      <c r="AP723" s="236"/>
      <c r="AQ723" s="236"/>
      <c r="AR723" s="236"/>
      <c r="AS723" s="236"/>
      <c r="AT723" s="236"/>
      <c r="AU723" s="236"/>
      <c r="AV723" s="12"/>
      <c r="AW723" s="12"/>
      <c r="AX723" s="12"/>
      <c r="AY723" s="12"/>
      <c r="AZ723" s="12"/>
      <c r="BA723" s="12"/>
      <c r="BB723" s="12"/>
    </row>
    <row r="724" spans="1:54" ht="13">
      <c r="A724" s="12"/>
      <c r="B724" s="27"/>
      <c r="C724" s="27"/>
      <c r="D724" s="407"/>
      <c r="E724" s="27"/>
      <c r="F724" s="27"/>
      <c r="G724" s="27"/>
      <c r="H724" s="408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12"/>
      <c r="AW724" s="12"/>
      <c r="AX724" s="12"/>
      <c r="AY724" s="12"/>
      <c r="AZ724" s="12"/>
      <c r="BA724" s="12"/>
      <c r="BB724" s="12"/>
    </row>
    <row r="725" spans="1:54" ht="13">
      <c r="A725" s="12"/>
      <c r="B725" s="236"/>
      <c r="C725" s="236"/>
      <c r="D725" s="405"/>
      <c r="E725" s="236"/>
      <c r="F725" s="236"/>
      <c r="G725" s="236"/>
      <c r="H725" s="406"/>
      <c r="I725" s="236"/>
      <c r="J725" s="236"/>
      <c r="K725" s="236"/>
      <c r="L725" s="236"/>
      <c r="M725" s="236"/>
      <c r="N725" s="236"/>
      <c r="O725" s="236"/>
      <c r="P725" s="236"/>
      <c r="Q725" s="236"/>
      <c r="R725" s="236"/>
      <c r="S725" s="236"/>
      <c r="T725" s="236"/>
      <c r="U725" s="236"/>
      <c r="V725" s="236"/>
      <c r="W725" s="236"/>
      <c r="X725" s="236"/>
      <c r="Y725" s="236"/>
      <c r="Z725" s="236"/>
      <c r="AA725" s="236"/>
      <c r="AB725" s="236"/>
      <c r="AC725" s="236"/>
      <c r="AD725" s="236"/>
      <c r="AE725" s="236"/>
      <c r="AF725" s="236"/>
      <c r="AG725" s="236"/>
      <c r="AH725" s="236"/>
      <c r="AI725" s="236"/>
      <c r="AJ725" s="236"/>
      <c r="AK725" s="236"/>
      <c r="AL725" s="236"/>
      <c r="AM725" s="236"/>
      <c r="AN725" s="236"/>
      <c r="AO725" s="236"/>
      <c r="AP725" s="236"/>
      <c r="AQ725" s="236"/>
      <c r="AR725" s="236"/>
      <c r="AS725" s="236"/>
      <c r="AT725" s="236"/>
      <c r="AU725" s="236"/>
      <c r="AV725" s="12"/>
      <c r="AW725" s="12"/>
      <c r="AX725" s="12"/>
      <c r="AY725" s="12"/>
      <c r="AZ725" s="12"/>
      <c r="BA725" s="12"/>
      <c r="BB725" s="12"/>
    </row>
    <row r="726" spans="1:54" ht="13">
      <c r="A726" s="12"/>
      <c r="B726" s="27"/>
      <c r="C726" s="27"/>
      <c r="D726" s="407"/>
      <c r="E726" s="27"/>
      <c r="F726" s="27"/>
      <c r="G726" s="27"/>
      <c r="H726" s="408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12"/>
      <c r="AW726" s="12"/>
      <c r="AX726" s="12"/>
      <c r="AY726" s="12"/>
      <c r="AZ726" s="12"/>
      <c r="BA726" s="12"/>
      <c r="BB726" s="12"/>
    </row>
    <row r="727" spans="1:54" ht="13">
      <c r="A727" s="12"/>
      <c r="B727" s="236"/>
      <c r="C727" s="236"/>
      <c r="D727" s="405"/>
      <c r="E727" s="236"/>
      <c r="F727" s="236"/>
      <c r="G727" s="236"/>
      <c r="H727" s="406"/>
      <c r="I727" s="236"/>
      <c r="J727" s="236"/>
      <c r="K727" s="236"/>
      <c r="L727" s="236"/>
      <c r="M727" s="236"/>
      <c r="N727" s="236"/>
      <c r="O727" s="236"/>
      <c r="P727" s="236"/>
      <c r="Q727" s="236"/>
      <c r="R727" s="236"/>
      <c r="S727" s="236"/>
      <c r="T727" s="236"/>
      <c r="U727" s="236"/>
      <c r="V727" s="236"/>
      <c r="W727" s="236"/>
      <c r="X727" s="236"/>
      <c r="Y727" s="236"/>
      <c r="Z727" s="236"/>
      <c r="AA727" s="236"/>
      <c r="AB727" s="236"/>
      <c r="AC727" s="236"/>
      <c r="AD727" s="236"/>
      <c r="AE727" s="236"/>
      <c r="AF727" s="236"/>
      <c r="AG727" s="236"/>
      <c r="AH727" s="236"/>
      <c r="AI727" s="236"/>
      <c r="AJ727" s="236"/>
      <c r="AK727" s="236"/>
      <c r="AL727" s="236"/>
      <c r="AM727" s="236"/>
      <c r="AN727" s="236"/>
      <c r="AO727" s="236"/>
      <c r="AP727" s="236"/>
      <c r="AQ727" s="236"/>
      <c r="AR727" s="236"/>
      <c r="AS727" s="236"/>
      <c r="AT727" s="236"/>
      <c r="AU727" s="236"/>
      <c r="AV727" s="12"/>
      <c r="AW727" s="12"/>
      <c r="AX727" s="12"/>
      <c r="AY727" s="12"/>
      <c r="AZ727" s="12"/>
      <c r="BA727" s="12"/>
      <c r="BB727" s="12"/>
    </row>
    <row r="728" spans="1:54" ht="13">
      <c r="A728" s="12"/>
      <c r="B728" s="27"/>
      <c r="C728" s="27"/>
      <c r="D728" s="407"/>
      <c r="E728" s="27"/>
      <c r="F728" s="27"/>
      <c r="G728" s="27"/>
      <c r="H728" s="408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12"/>
      <c r="AW728" s="12"/>
      <c r="AX728" s="12"/>
      <c r="AY728" s="12"/>
      <c r="AZ728" s="12"/>
      <c r="BA728" s="12"/>
      <c r="BB728" s="12"/>
    </row>
    <row r="729" spans="1:54" ht="13">
      <c r="A729" s="12"/>
      <c r="B729" s="236"/>
      <c r="C729" s="236"/>
      <c r="D729" s="405"/>
      <c r="E729" s="236"/>
      <c r="F729" s="236"/>
      <c r="G729" s="236"/>
      <c r="H729" s="406"/>
      <c r="I729" s="236"/>
      <c r="J729" s="236"/>
      <c r="K729" s="236"/>
      <c r="L729" s="236"/>
      <c r="M729" s="236"/>
      <c r="N729" s="236"/>
      <c r="O729" s="236"/>
      <c r="P729" s="236"/>
      <c r="Q729" s="236"/>
      <c r="R729" s="236"/>
      <c r="S729" s="236"/>
      <c r="T729" s="236"/>
      <c r="U729" s="236"/>
      <c r="V729" s="236"/>
      <c r="W729" s="236"/>
      <c r="X729" s="236"/>
      <c r="Y729" s="236"/>
      <c r="Z729" s="236"/>
      <c r="AA729" s="236"/>
      <c r="AB729" s="236"/>
      <c r="AC729" s="236"/>
      <c r="AD729" s="236"/>
      <c r="AE729" s="236"/>
      <c r="AF729" s="236"/>
      <c r="AG729" s="236"/>
      <c r="AH729" s="236"/>
      <c r="AI729" s="236"/>
      <c r="AJ729" s="236"/>
      <c r="AK729" s="236"/>
      <c r="AL729" s="236"/>
      <c r="AM729" s="236"/>
      <c r="AN729" s="236"/>
      <c r="AO729" s="236"/>
      <c r="AP729" s="236"/>
      <c r="AQ729" s="236"/>
      <c r="AR729" s="236"/>
      <c r="AS729" s="236"/>
      <c r="AT729" s="236"/>
      <c r="AU729" s="236"/>
      <c r="AV729" s="12"/>
      <c r="AW729" s="12"/>
      <c r="AX729" s="12"/>
      <c r="AY729" s="12"/>
      <c r="AZ729" s="12"/>
      <c r="BA729" s="12"/>
      <c r="BB729" s="12"/>
    </row>
    <row r="730" spans="1:54" ht="13">
      <c r="A730" s="12"/>
      <c r="B730" s="27"/>
      <c r="C730" s="27"/>
      <c r="D730" s="407"/>
      <c r="E730" s="27"/>
      <c r="F730" s="27"/>
      <c r="G730" s="27"/>
      <c r="H730" s="408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12"/>
      <c r="AW730" s="12"/>
      <c r="AX730" s="12"/>
      <c r="AY730" s="12"/>
      <c r="AZ730" s="12"/>
      <c r="BA730" s="12"/>
      <c r="BB730" s="12"/>
    </row>
    <row r="731" spans="1:54" ht="13">
      <c r="A731" s="12"/>
      <c r="B731" s="236"/>
      <c r="C731" s="236"/>
      <c r="D731" s="405"/>
      <c r="E731" s="236"/>
      <c r="F731" s="236"/>
      <c r="G731" s="236"/>
      <c r="H731" s="406"/>
      <c r="I731" s="236"/>
      <c r="J731" s="236"/>
      <c r="K731" s="236"/>
      <c r="L731" s="236"/>
      <c r="M731" s="236"/>
      <c r="N731" s="236"/>
      <c r="O731" s="236"/>
      <c r="P731" s="236"/>
      <c r="Q731" s="236"/>
      <c r="R731" s="236"/>
      <c r="S731" s="236"/>
      <c r="T731" s="236"/>
      <c r="U731" s="236"/>
      <c r="V731" s="236"/>
      <c r="W731" s="236"/>
      <c r="X731" s="236"/>
      <c r="Y731" s="236"/>
      <c r="Z731" s="236"/>
      <c r="AA731" s="236"/>
      <c r="AB731" s="236"/>
      <c r="AC731" s="236"/>
      <c r="AD731" s="236"/>
      <c r="AE731" s="236"/>
      <c r="AF731" s="236"/>
      <c r="AG731" s="236"/>
      <c r="AH731" s="236"/>
      <c r="AI731" s="236"/>
      <c r="AJ731" s="236"/>
      <c r="AK731" s="236"/>
      <c r="AL731" s="236"/>
      <c r="AM731" s="236"/>
      <c r="AN731" s="236"/>
      <c r="AO731" s="236"/>
      <c r="AP731" s="236"/>
      <c r="AQ731" s="236"/>
      <c r="AR731" s="236"/>
      <c r="AS731" s="236"/>
      <c r="AT731" s="236"/>
      <c r="AU731" s="236"/>
      <c r="AV731" s="12"/>
      <c r="AW731" s="12"/>
      <c r="AX731" s="12"/>
      <c r="AY731" s="12"/>
      <c r="AZ731" s="12"/>
      <c r="BA731" s="12"/>
      <c r="BB731" s="12"/>
    </row>
    <row r="732" spans="1:54" ht="13">
      <c r="A732" s="12"/>
      <c r="B732" s="27"/>
      <c r="C732" s="27"/>
      <c r="D732" s="407"/>
      <c r="E732" s="27"/>
      <c r="F732" s="27"/>
      <c r="G732" s="27"/>
      <c r="H732" s="408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12"/>
      <c r="AW732" s="12"/>
      <c r="AX732" s="12"/>
      <c r="AY732" s="12"/>
      <c r="AZ732" s="12"/>
      <c r="BA732" s="12"/>
      <c r="BB732" s="12"/>
    </row>
    <row r="733" spans="1:54" ht="13">
      <c r="A733" s="12"/>
      <c r="B733" s="236"/>
      <c r="C733" s="236"/>
      <c r="D733" s="405"/>
      <c r="E733" s="236"/>
      <c r="F733" s="236"/>
      <c r="G733" s="236"/>
      <c r="H733" s="406"/>
      <c r="I733" s="236"/>
      <c r="J733" s="236"/>
      <c r="K733" s="236"/>
      <c r="L733" s="236"/>
      <c r="M733" s="236"/>
      <c r="N733" s="236"/>
      <c r="O733" s="236"/>
      <c r="P733" s="236"/>
      <c r="Q733" s="236"/>
      <c r="R733" s="236"/>
      <c r="S733" s="236"/>
      <c r="T733" s="236"/>
      <c r="U733" s="236"/>
      <c r="V733" s="236"/>
      <c r="W733" s="236"/>
      <c r="X733" s="236"/>
      <c r="Y733" s="236"/>
      <c r="Z733" s="236"/>
      <c r="AA733" s="236"/>
      <c r="AB733" s="236"/>
      <c r="AC733" s="236"/>
      <c r="AD733" s="236"/>
      <c r="AE733" s="236"/>
      <c r="AF733" s="236"/>
      <c r="AG733" s="236"/>
      <c r="AH733" s="236"/>
      <c r="AI733" s="236"/>
      <c r="AJ733" s="236"/>
      <c r="AK733" s="236"/>
      <c r="AL733" s="236"/>
      <c r="AM733" s="236"/>
      <c r="AN733" s="236"/>
      <c r="AO733" s="236"/>
      <c r="AP733" s="236"/>
      <c r="AQ733" s="236"/>
      <c r="AR733" s="236"/>
      <c r="AS733" s="236"/>
      <c r="AT733" s="236"/>
      <c r="AU733" s="236"/>
      <c r="AV733" s="12"/>
      <c r="AW733" s="12"/>
      <c r="AX733" s="12"/>
      <c r="AY733" s="12"/>
      <c r="AZ733" s="12"/>
      <c r="BA733" s="12"/>
      <c r="BB733" s="12"/>
    </row>
    <row r="734" spans="1:54" ht="13">
      <c r="A734" s="12"/>
      <c r="B734" s="27"/>
      <c r="C734" s="27"/>
      <c r="D734" s="407"/>
      <c r="E734" s="27"/>
      <c r="F734" s="27"/>
      <c r="G734" s="27"/>
      <c r="H734" s="408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12"/>
      <c r="AW734" s="12"/>
      <c r="AX734" s="12"/>
      <c r="AY734" s="12"/>
      <c r="AZ734" s="12"/>
      <c r="BA734" s="12"/>
      <c r="BB734" s="12"/>
    </row>
    <row r="735" spans="1:54" ht="13">
      <c r="A735" s="12"/>
      <c r="B735" s="236"/>
      <c r="C735" s="236"/>
      <c r="D735" s="405"/>
      <c r="E735" s="236"/>
      <c r="F735" s="236"/>
      <c r="G735" s="236"/>
      <c r="H735" s="406"/>
      <c r="I735" s="236"/>
      <c r="J735" s="236"/>
      <c r="K735" s="236"/>
      <c r="L735" s="236"/>
      <c r="M735" s="236"/>
      <c r="N735" s="236"/>
      <c r="O735" s="236"/>
      <c r="P735" s="236"/>
      <c r="Q735" s="236"/>
      <c r="R735" s="236"/>
      <c r="S735" s="236"/>
      <c r="T735" s="236"/>
      <c r="U735" s="236"/>
      <c r="V735" s="236"/>
      <c r="W735" s="236"/>
      <c r="X735" s="236"/>
      <c r="Y735" s="236"/>
      <c r="Z735" s="236"/>
      <c r="AA735" s="236"/>
      <c r="AB735" s="236"/>
      <c r="AC735" s="236"/>
      <c r="AD735" s="236"/>
      <c r="AE735" s="236"/>
      <c r="AF735" s="236"/>
      <c r="AG735" s="236"/>
      <c r="AH735" s="236"/>
      <c r="AI735" s="236"/>
      <c r="AJ735" s="236"/>
      <c r="AK735" s="236"/>
      <c r="AL735" s="236"/>
      <c r="AM735" s="236"/>
      <c r="AN735" s="236"/>
      <c r="AO735" s="236"/>
      <c r="AP735" s="236"/>
      <c r="AQ735" s="236"/>
      <c r="AR735" s="236"/>
      <c r="AS735" s="236"/>
      <c r="AT735" s="236"/>
      <c r="AU735" s="236"/>
      <c r="AV735" s="12"/>
      <c r="AW735" s="12"/>
      <c r="AX735" s="12"/>
      <c r="AY735" s="12"/>
      <c r="AZ735" s="12"/>
      <c r="BA735" s="12"/>
      <c r="BB735" s="12"/>
    </row>
    <row r="736" spans="1:54" ht="13">
      <c r="A736" s="12"/>
      <c r="B736" s="27"/>
      <c r="C736" s="27"/>
      <c r="D736" s="407"/>
      <c r="E736" s="27"/>
      <c r="F736" s="27"/>
      <c r="G736" s="27"/>
      <c r="H736" s="408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12"/>
      <c r="AW736" s="12"/>
      <c r="AX736" s="12"/>
      <c r="AY736" s="12"/>
      <c r="AZ736" s="12"/>
      <c r="BA736" s="12"/>
      <c r="BB736" s="12"/>
    </row>
    <row r="737" spans="1:54" ht="13">
      <c r="A737" s="12"/>
      <c r="B737" s="236"/>
      <c r="C737" s="236"/>
      <c r="D737" s="405"/>
      <c r="E737" s="236"/>
      <c r="F737" s="236"/>
      <c r="G737" s="236"/>
      <c r="H737" s="406"/>
      <c r="I737" s="236"/>
      <c r="J737" s="236"/>
      <c r="K737" s="236"/>
      <c r="L737" s="236"/>
      <c r="M737" s="236"/>
      <c r="N737" s="236"/>
      <c r="O737" s="236"/>
      <c r="P737" s="236"/>
      <c r="Q737" s="236"/>
      <c r="R737" s="236"/>
      <c r="S737" s="236"/>
      <c r="T737" s="236"/>
      <c r="U737" s="236"/>
      <c r="V737" s="236"/>
      <c r="W737" s="236"/>
      <c r="X737" s="236"/>
      <c r="Y737" s="236"/>
      <c r="Z737" s="236"/>
      <c r="AA737" s="236"/>
      <c r="AB737" s="236"/>
      <c r="AC737" s="236"/>
      <c r="AD737" s="236"/>
      <c r="AE737" s="236"/>
      <c r="AF737" s="236"/>
      <c r="AG737" s="236"/>
      <c r="AH737" s="236"/>
      <c r="AI737" s="236"/>
      <c r="AJ737" s="236"/>
      <c r="AK737" s="236"/>
      <c r="AL737" s="236"/>
      <c r="AM737" s="236"/>
      <c r="AN737" s="236"/>
      <c r="AO737" s="236"/>
      <c r="AP737" s="236"/>
      <c r="AQ737" s="236"/>
      <c r="AR737" s="236"/>
      <c r="AS737" s="236"/>
      <c r="AT737" s="236"/>
      <c r="AU737" s="236"/>
      <c r="AV737" s="12"/>
      <c r="AW737" s="12"/>
      <c r="AX737" s="12"/>
      <c r="AY737" s="12"/>
      <c r="AZ737" s="12"/>
      <c r="BA737" s="12"/>
      <c r="BB737" s="12"/>
    </row>
    <row r="738" spans="1:54" ht="13">
      <c r="A738" s="12"/>
      <c r="B738" s="27"/>
      <c r="C738" s="27"/>
      <c r="D738" s="407"/>
      <c r="E738" s="27"/>
      <c r="F738" s="27"/>
      <c r="G738" s="27"/>
      <c r="H738" s="408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12"/>
      <c r="AW738" s="12"/>
      <c r="AX738" s="12"/>
      <c r="AY738" s="12"/>
      <c r="AZ738" s="12"/>
      <c r="BA738" s="12"/>
      <c r="BB738" s="12"/>
    </row>
    <row r="739" spans="1:54" ht="13">
      <c r="A739" s="12"/>
      <c r="B739" s="236"/>
      <c r="C739" s="236"/>
      <c r="D739" s="405"/>
      <c r="E739" s="236"/>
      <c r="F739" s="236"/>
      <c r="G739" s="236"/>
      <c r="H739" s="406"/>
      <c r="I739" s="236"/>
      <c r="J739" s="236"/>
      <c r="K739" s="236"/>
      <c r="L739" s="236"/>
      <c r="M739" s="236"/>
      <c r="N739" s="236"/>
      <c r="O739" s="236"/>
      <c r="P739" s="236"/>
      <c r="Q739" s="236"/>
      <c r="R739" s="236"/>
      <c r="S739" s="236"/>
      <c r="T739" s="236"/>
      <c r="U739" s="236"/>
      <c r="V739" s="236"/>
      <c r="W739" s="236"/>
      <c r="X739" s="236"/>
      <c r="Y739" s="236"/>
      <c r="Z739" s="236"/>
      <c r="AA739" s="236"/>
      <c r="AB739" s="236"/>
      <c r="AC739" s="236"/>
      <c r="AD739" s="236"/>
      <c r="AE739" s="236"/>
      <c r="AF739" s="236"/>
      <c r="AG739" s="236"/>
      <c r="AH739" s="236"/>
      <c r="AI739" s="236"/>
      <c r="AJ739" s="236"/>
      <c r="AK739" s="236"/>
      <c r="AL739" s="236"/>
      <c r="AM739" s="236"/>
      <c r="AN739" s="236"/>
      <c r="AO739" s="236"/>
      <c r="AP739" s="236"/>
      <c r="AQ739" s="236"/>
      <c r="AR739" s="236"/>
      <c r="AS739" s="236"/>
      <c r="AT739" s="236"/>
      <c r="AU739" s="236"/>
      <c r="AV739" s="12"/>
      <c r="AW739" s="12"/>
      <c r="AX739" s="12"/>
      <c r="AY739" s="12"/>
      <c r="AZ739" s="12"/>
      <c r="BA739" s="12"/>
      <c r="BB739" s="12"/>
    </row>
    <row r="740" spans="1:54" ht="13">
      <c r="A740" s="12"/>
      <c r="B740" s="27"/>
      <c r="C740" s="27"/>
      <c r="D740" s="407"/>
      <c r="E740" s="27"/>
      <c r="F740" s="27"/>
      <c r="G740" s="27"/>
      <c r="H740" s="408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12"/>
      <c r="AW740" s="12"/>
      <c r="AX740" s="12"/>
      <c r="AY740" s="12"/>
      <c r="AZ740" s="12"/>
      <c r="BA740" s="12"/>
      <c r="BB740" s="12"/>
    </row>
    <row r="741" spans="1:54" ht="13">
      <c r="A741" s="12"/>
      <c r="B741" s="236"/>
      <c r="C741" s="236"/>
      <c r="D741" s="405"/>
      <c r="E741" s="236"/>
      <c r="F741" s="236"/>
      <c r="G741" s="236"/>
      <c r="H741" s="406"/>
      <c r="I741" s="236"/>
      <c r="J741" s="236"/>
      <c r="K741" s="236"/>
      <c r="L741" s="236"/>
      <c r="M741" s="236"/>
      <c r="N741" s="236"/>
      <c r="O741" s="236"/>
      <c r="P741" s="236"/>
      <c r="Q741" s="236"/>
      <c r="R741" s="236"/>
      <c r="S741" s="236"/>
      <c r="T741" s="236"/>
      <c r="U741" s="236"/>
      <c r="V741" s="236"/>
      <c r="W741" s="236"/>
      <c r="X741" s="236"/>
      <c r="Y741" s="236"/>
      <c r="Z741" s="236"/>
      <c r="AA741" s="236"/>
      <c r="AB741" s="236"/>
      <c r="AC741" s="236"/>
      <c r="AD741" s="236"/>
      <c r="AE741" s="236"/>
      <c r="AF741" s="236"/>
      <c r="AG741" s="236"/>
      <c r="AH741" s="236"/>
      <c r="AI741" s="236"/>
      <c r="AJ741" s="236"/>
      <c r="AK741" s="236"/>
      <c r="AL741" s="236"/>
      <c r="AM741" s="236"/>
      <c r="AN741" s="236"/>
      <c r="AO741" s="236"/>
      <c r="AP741" s="236"/>
      <c r="AQ741" s="236"/>
      <c r="AR741" s="236"/>
      <c r="AS741" s="236"/>
      <c r="AT741" s="236"/>
      <c r="AU741" s="236"/>
      <c r="AV741" s="12"/>
      <c r="AW741" s="12"/>
      <c r="AX741" s="12"/>
      <c r="AY741" s="12"/>
      <c r="AZ741" s="12"/>
      <c r="BA741" s="12"/>
      <c r="BB741" s="12"/>
    </row>
    <row r="742" spans="1:54" ht="13">
      <c r="A742" s="12"/>
      <c r="B742" s="27"/>
      <c r="C742" s="27"/>
      <c r="D742" s="407"/>
      <c r="E742" s="27"/>
      <c r="F742" s="27"/>
      <c r="G742" s="27"/>
      <c r="H742" s="408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12"/>
      <c r="AW742" s="12"/>
      <c r="AX742" s="12"/>
      <c r="AY742" s="12"/>
      <c r="AZ742" s="12"/>
      <c r="BA742" s="12"/>
      <c r="BB742" s="12"/>
    </row>
    <row r="743" spans="1:54" ht="13">
      <c r="A743" s="12"/>
      <c r="B743" s="236"/>
      <c r="C743" s="236"/>
      <c r="D743" s="405"/>
      <c r="E743" s="236"/>
      <c r="F743" s="236"/>
      <c r="G743" s="236"/>
      <c r="H743" s="406"/>
      <c r="I743" s="236"/>
      <c r="J743" s="236"/>
      <c r="K743" s="236"/>
      <c r="L743" s="236"/>
      <c r="M743" s="236"/>
      <c r="N743" s="236"/>
      <c r="O743" s="236"/>
      <c r="P743" s="236"/>
      <c r="Q743" s="236"/>
      <c r="R743" s="236"/>
      <c r="S743" s="236"/>
      <c r="T743" s="236"/>
      <c r="U743" s="236"/>
      <c r="V743" s="236"/>
      <c r="W743" s="236"/>
      <c r="X743" s="236"/>
      <c r="Y743" s="236"/>
      <c r="Z743" s="236"/>
      <c r="AA743" s="236"/>
      <c r="AB743" s="236"/>
      <c r="AC743" s="236"/>
      <c r="AD743" s="236"/>
      <c r="AE743" s="236"/>
      <c r="AF743" s="236"/>
      <c r="AG743" s="236"/>
      <c r="AH743" s="236"/>
      <c r="AI743" s="236"/>
      <c r="AJ743" s="236"/>
      <c r="AK743" s="236"/>
      <c r="AL743" s="236"/>
      <c r="AM743" s="236"/>
      <c r="AN743" s="236"/>
      <c r="AO743" s="236"/>
      <c r="AP743" s="236"/>
      <c r="AQ743" s="236"/>
      <c r="AR743" s="236"/>
      <c r="AS743" s="236"/>
      <c r="AT743" s="236"/>
      <c r="AU743" s="236"/>
      <c r="AV743" s="12"/>
      <c r="AW743" s="12"/>
      <c r="AX743" s="12"/>
      <c r="AY743" s="12"/>
      <c r="AZ743" s="12"/>
      <c r="BA743" s="12"/>
      <c r="BB743" s="12"/>
    </row>
    <row r="744" spans="1:54" ht="13">
      <c r="A744" s="12"/>
      <c r="B744" s="27"/>
      <c r="C744" s="27"/>
      <c r="D744" s="407"/>
      <c r="E744" s="27"/>
      <c r="F744" s="27"/>
      <c r="G744" s="27"/>
      <c r="H744" s="408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12"/>
      <c r="AW744" s="12"/>
      <c r="AX744" s="12"/>
      <c r="AY744" s="12"/>
      <c r="AZ744" s="12"/>
      <c r="BA744" s="12"/>
      <c r="BB744" s="12"/>
    </row>
    <row r="745" spans="1:54" ht="13">
      <c r="A745" s="12"/>
      <c r="B745" s="236"/>
      <c r="C745" s="236"/>
      <c r="D745" s="405"/>
      <c r="E745" s="236"/>
      <c r="F745" s="236"/>
      <c r="G745" s="236"/>
      <c r="H745" s="406"/>
      <c r="I745" s="236"/>
      <c r="J745" s="236"/>
      <c r="K745" s="236"/>
      <c r="L745" s="236"/>
      <c r="M745" s="236"/>
      <c r="N745" s="236"/>
      <c r="O745" s="236"/>
      <c r="P745" s="236"/>
      <c r="Q745" s="236"/>
      <c r="R745" s="236"/>
      <c r="S745" s="236"/>
      <c r="T745" s="236"/>
      <c r="U745" s="236"/>
      <c r="V745" s="236"/>
      <c r="W745" s="236"/>
      <c r="X745" s="236"/>
      <c r="Y745" s="236"/>
      <c r="Z745" s="236"/>
      <c r="AA745" s="236"/>
      <c r="AB745" s="236"/>
      <c r="AC745" s="236"/>
      <c r="AD745" s="236"/>
      <c r="AE745" s="236"/>
      <c r="AF745" s="236"/>
      <c r="AG745" s="236"/>
      <c r="AH745" s="236"/>
      <c r="AI745" s="236"/>
      <c r="AJ745" s="236"/>
      <c r="AK745" s="236"/>
      <c r="AL745" s="236"/>
      <c r="AM745" s="236"/>
      <c r="AN745" s="236"/>
      <c r="AO745" s="236"/>
      <c r="AP745" s="236"/>
      <c r="AQ745" s="236"/>
      <c r="AR745" s="236"/>
      <c r="AS745" s="236"/>
      <c r="AT745" s="236"/>
      <c r="AU745" s="236"/>
      <c r="AV745" s="12"/>
      <c r="AW745" s="12"/>
      <c r="AX745" s="12"/>
      <c r="AY745" s="12"/>
      <c r="AZ745" s="12"/>
      <c r="BA745" s="12"/>
      <c r="BB745" s="12"/>
    </row>
    <row r="746" spans="1:54" ht="13">
      <c r="A746" s="12"/>
      <c r="B746" s="27"/>
      <c r="C746" s="27"/>
      <c r="D746" s="407"/>
      <c r="E746" s="27"/>
      <c r="F746" s="27"/>
      <c r="G746" s="27"/>
      <c r="H746" s="408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12"/>
      <c r="AW746" s="12"/>
      <c r="AX746" s="12"/>
      <c r="AY746" s="12"/>
      <c r="AZ746" s="12"/>
      <c r="BA746" s="12"/>
      <c r="BB746" s="12"/>
    </row>
    <row r="747" spans="1:54" ht="13">
      <c r="A747" s="12"/>
      <c r="B747" s="236"/>
      <c r="C747" s="236"/>
      <c r="D747" s="405"/>
      <c r="E747" s="236"/>
      <c r="F747" s="236"/>
      <c r="G747" s="236"/>
      <c r="H747" s="406"/>
      <c r="I747" s="236"/>
      <c r="J747" s="236"/>
      <c r="K747" s="236"/>
      <c r="L747" s="236"/>
      <c r="M747" s="236"/>
      <c r="N747" s="236"/>
      <c r="O747" s="236"/>
      <c r="P747" s="236"/>
      <c r="Q747" s="236"/>
      <c r="R747" s="236"/>
      <c r="S747" s="236"/>
      <c r="T747" s="236"/>
      <c r="U747" s="236"/>
      <c r="V747" s="236"/>
      <c r="W747" s="236"/>
      <c r="X747" s="236"/>
      <c r="Y747" s="236"/>
      <c r="Z747" s="236"/>
      <c r="AA747" s="236"/>
      <c r="AB747" s="236"/>
      <c r="AC747" s="236"/>
      <c r="AD747" s="236"/>
      <c r="AE747" s="236"/>
      <c r="AF747" s="236"/>
      <c r="AG747" s="236"/>
      <c r="AH747" s="236"/>
      <c r="AI747" s="236"/>
      <c r="AJ747" s="236"/>
      <c r="AK747" s="236"/>
      <c r="AL747" s="236"/>
      <c r="AM747" s="236"/>
      <c r="AN747" s="236"/>
      <c r="AO747" s="236"/>
      <c r="AP747" s="236"/>
      <c r="AQ747" s="236"/>
      <c r="AR747" s="236"/>
      <c r="AS747" s="236"/>
      <c r="AT747" s="236"/>
      <c r="AU747" s="236"/>
      <c r="AV747" s="12"/>
      <c r="AW747" s="12"/>
      <c r="AX747" s="12"/>
      <c r="AY747" s="12"/>
      <c r="AZ747" s="12"/>
      <c r="BA747" s="12"/>
      <c r="BB747" s="12"/>
    </row>
    <row r="748" spans="1:54" ht="13">
      <c r="A748" s="12"/>
      <c r="B748" s="27"/>
      <c r="C748" s="27"/>
      <c r="D748" s="407"/>
      <c r="E748" s="27"/>
      <c r="F748" s="27"/>
      <c r="G748" s="27"/>
      <c r="H748" s="408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12"/>
      <c r="AW748" s="12"/>
      <c r="AX748" s="12"/>
      <c r="AY748" s="12"/>
      <c r="AZ748" s="12"/>
      <c r="BA748" s="12"/>
      <c r="BB748" s="12"/>
    </row>
    <row r="749" spans="1:54" ht="13">
      <c r="A749" s="12"/>
      <c r="B749" s="236"/>
      <c r="C749" s="236"/>
      <c r="D749" s="405"/>
      <c r="E749" s="236"/>
      <c r="F749" s="236"/>
      <c r="G749" s="236"/>
      <c r="H749" s="406"/>
      <c r="I749" s="236"/>
      <c r="J749" s="236"/>
      <c r="K749" s="236"/>
      <c r="L749" s="236"/>
      <c r="M749" s="236"/>
      <c r="N749" s="236"/>
      <c r="O749" s="236"/>
      <c r="P749" s="236"/>
      <c r="Q749" s="236"/>
      <c r="R749" s="236"/>
      <c r="S749" s="236"/>
      <c r="T749" s="236"/>
      <c r="U749" s="236"/>
      <c r="V749" s="236"/>
      <c r="W749" s="236"/>
      <c r="X749" s="236"/>
      <c r="Y749" s="236"/>
      <c r="Z749" s="236"/>
      <c r="AA749" s="236"/>
      <c r="AB749" s="236"/>
      <c r="AC749" s="236"/>
      <c r="AD749" s="236"/>
      <c r="AE749" s="236"/>
      <c r="AF749" s="236"/>
      <c r="AG749" s="236"/>
      <c r="AH749" s="236"/>
      <c r="AI749" s="236"/>
      <c r="AJ749" s="236"/>
      <c r="AK749" s="236"/>
      <c r="AL749" s="236"/>
      <c r="AM749" s="236"/>
      <c r="AN749" s="236"/>
      <c r="AO749" s="236"/>
      <c r="AP749" s="236"/>
      <c r="AQ749" s="236"/>
      <c r="AR749" s="236"/>
      <c r="AS749" s="236"/>
      <c r="AT749" s="236"/>
      <c r="AU749" s="236"/>
      <c r="AV749" s="12"/>
      <c r="AW749" s="12"/>
      <c r="AX749" s="12"/>
      <c r="AY749" s="12"/>
      <c r="AZ749" s="12"/>
      <c r="BA749" s="12"/>
      <c r="BB749" s="12"/>
    </row>
    <row r="750" spans="1:54" ht="13">
      <c r="A750" s="12"/>
      <c r="B750" s="27"/>
      <c r="C750" s="27"/>
      <c r="D750" s="407"/>
      <c r="E750" s="27"/>
      <c r="F750" s="27"/>
      <c r="G750" s="27"/>
      <c r="H750" s="408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12"/>
      <c r="AW750" s="12"/>
      <c r="AX750" s="12"/>
      <c r="AY750" s="12"/>
      <c r="AZ750" s="12"/>
      <c r="BA750" s="12"/>
      <c r="BB750" s="12"/>
    </row>
    <row r="751" spans="1:54" ht="13">
      <c r="A751" s="12"/>
      <c r="B751" s="236"/>
      <c r="C751" s="236"/>
      <c r="D751" s="405"/>
      <c r="E751" s="236"/>
      <c r="F751" s="236"/>
      <c r="G751" s="236"/>
      <c r="H751" s="406"/>
      <c r="I751" s="236"/>
      <c r="J751" s="236"/>
      <c r="K751" s="236"/>
      <c r="L751" s="236"/>
      <c r="M751" s="236"/>
      <c r="N751" s="236"/>
      <c r="O751" s="236"/>
      <c r="P751" s="236"/>
      <c r="Q751" s="236"/>
      <c r="R751" s="236"/>
      <c r="S751" s="236"/>
      <c r="T751" s="236"/>
      <c r="U751" s="236"/>
      <c r="V751" s="236"/>
      <c r="W751" s="236"/>
      <c r="X751" s="236"/>
      <c r="Y751" s="236"/>
      <c r="Z751" s="236"/>
      <c r="AA751" s="236"/>
      <c r="AB751" s="236"/>
      <c r="AC751" s="236"/>
      <c r="AD751" s="236"/>
      <c r="AE751" s="236"/>
      <c r="AF751" s="236"/>
      <c r="AG751" s="236"/>
      <c r="AH751" s="236"/>
      <c r="AI751" s="236"/>
      <c r="AJ751" s="236"/>
      <c r="AK751" s="236"/>
      <c r="AL751" s="236"/>
      <c r="AM751" s="236"/>
      <c r="AN751" s="236"/>
      <c r="AO751" s="236"/>
      <c r="AP751" s="236"/>
      <c r="AQ751" s="236"/>
      <c r="AR751" s="236"/>
      <c r="AS751" s="236"/>
      <c r="AT751" s="236"/>
      <c r="AU751" s="236"/>
      <c r="AV751" s="12"/>
      <c r="AW751" s="12"/>
      <c r="AX751" s="12"/>
      <c r="AY751" s="12"/>
      <c r="AZ751" s="12"/>
      <c r="BA751" s="12"/>
      <c r="BB751" s="12"/>
    </row>
    <row r="752" spans="1:54" ht="13">
      <c r="A752" s="12"/>
      <c r="B752" s="27"/>
      <c r="C752" s="27"/>
      <c r="D752" s="407"/>
      <c r="E752" s="27"/>
      <c r="F752" s="27"/>
      <c r="G752" s="27"/>
      <c r="H752" s="408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12"/>
      <c r="AW752" s="12"/>
      <c r="AX752" s="12"/>
      <c r="AY752" s="12"/>
      <c r="AZ752" s="12"/>
      <c r="BA752" s="12"/>
      <c r="BB752" s="12"/>
    </row>
    <row r="753" spans="1:54" ht="13">
      <c r="A753" s="12"/>
      <c r="B753" s="236"/>
      <c r="C753" s="236"/>
      <c r="D753" s="405"/>
      <c r="E753" s="236"/>
      <c r="F753" s="236"/>
      <c r="G753" s="236"/>
      <c r="H753" s="406"/>
      <c r="I753" s="236"/>
      <c r="J753" s="236"/>
      <c r="K753" s="236"/>
      <c r="L753" s="236"/>
      <c r="M753" s="236"/>
      <c r="N753" s="236"/>
      <c r="O753" s="236"/>
      <c r="P753" s="236"/>
      <c r="Q753" s="236"/>
      <c r="R753" s="236"/>
      <c r="S753" s="236"/>
      <c r="T753" s="236"/>
      <c r="U753" s="236"/>
      <c r="V753" s="236"/>
      <c r="W753" s="236"/>
      <c r="X753" s="236"/>
      <c r="Y753" s="236"/>
      <c r="Z753" s="236"/>
      <c r="AA753" s="236"/>
      <c r="AB753" s="236"/>
      <c r="AC753" s="236"/>
      <c r="AD753" s="236"/>
      <c r="AE753" s="236"/>
      <c r="AF753" s="236"/>
      <c r="AG753" s="236"/>
      <c r="AH753" s="236"/>
      <c r="AI753" s="236"/>
      <c r="AJ753" s="236"/>
      <c r="AK753" s="236"/>
      <c r="AL753" s="236"/>
      <c r="AM753" s="236"/>
      <c r="AN753" s="236"/>
      <c r="AO753" s="236"/>
      <c r="AP753" s="236"/>
      <c r="AQ753" s="236"/>
      <c r="AR753" s="236"/>
      <c r="AS753" s="236"/>
      <c r="AT753" s="236"/>
      <c r="AU753" s="236"/>
      <c r="AV753" s="12"/>
      <c r="AW753" s="12"/>
      <c r="AX753" s="12"/>
      <c r="AY753" s="12"/>
      <c r="AZ753" s="12"/>
      <c r="BA753" s="12"/>
      <c r="BB753" s="12"/>
    </row>
    <row r="754" spans="1:54" ht="13">
      <c r="A754" s="12"/>
      <c r="B754" s="27"/>
      <c r="C754" s="27"/>
      <c r="D754" s="407"/>
      <c r="E754" s="27"/>
      <c r="F754" s="27"/>
      <c r="G754" s="27"/>
      <c r="H754" s="408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12"/>
      <c r="AW754" s="12"/>
      <c r="AX754" s="12"/>
      <c r="AY754" s="12"/>
      <c r="AZ754" s="12"/>
      <c r="BA754" s="12"/>
      <c r="BB754" s="12"/>
    </row>
    <row r="755" spans="1:54" ht="13">
      <c r="A755" s="12"/>
      <c r="B755" s="236"/>
      <c r="C755" s="236"/>
      <c r="D755" s="405"/>
      <c r="E755" s="236"/>
      <c r="F755" s="236"/>
      <c r="G755" s="236"/>
      <c r="H755" s="406"/>
      <c r="I755" s="236"/>
      <c r="J755" s="236"/>
      <c r="K755" s="236"/>
      <c r="L755" s="236"/>
      <c r="M755" s="236"/>
      <c r="N755" s="236"/>
      <c r="O755" s="236"/>
      <c r="P755" s="236"/>
      <c r="Q755" s="236"/>
      <c r="R755" s="236"/>
      <c r="S755" s="236"/>
      <c r="T755" s="236"/>
      <c r="U755" s="236"/>
      <c r="V755" s="236"/>
      <c r="W755" s="236"/>
      <c r="X755" s="236"/>
      <c r="Y755" s="236"/>
      <c r="Z755" s="236"/>
      <c r="AA755" s="236"/>
      <c r="AB755" s="236"/>
      <c r="AC755" s="236"/>
      <c r="AD755" s="236"/>
      <c r="AE755" s="236"/>
      <c r="AF755" s="236"/>
      <c r="AG755" s="236"/>
      <c r="AH755" s="236"/>
      <c r="AI755" s="236"/>
      <c r="AJ755" s="236"/>
      <c r="AK755" s="236"/>
      <c r="AL755" s="236"/>
      <c r="AM755" s="236"/>
      <c r="AN755" s="236"/>
      <c r="AO755" s="236"/>
      <c r="AP755" s="236"/>
      <c r="AQ755" s="236"/>
      <c r="AR755" s="236"/>
      <c r="AS755" s="236"/>
      <c r="AT755" s="236"/>
      <c r="AU755" s="236"/>
      <c r="AV755" s="12"/>
      <c r="AW755" s="12"/>
      <c r="AX755" s="12"/>
      <c r="AY755" s="12"/>
      <c r="AZ755" s="12"/>
      <c r="BA755" s="12"/>
      <c r="BB755" s="12"/>
    </row>
    <row r="756" spans="1:54" ht="13">
      <c r="A756" s="12"/>
      <c r="B756" s="27"/>
      <c r="C756" s="27"/>
      <c r="D756" s="407"/>
      <c r="E756" s="27"/>
      <c r="F756" s="27"/>
      <c r="G756" s="27"/>
      <c r="H756" s="408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12"/>
      <c r="AW756" s="12"/>
      <c r="AX756" s="12"/>
      <c r="AY756" s="12"/>
      <c r="AZ756" s="12"/>
      <c r="BA756" s="12"/>
      <c r="BB756" s="12"/>
    </row>
    <row r="757" spans="1:54" ht="13">
      <c r="A757" s="12"/>
      <c r="B757" s="236"/>
      <c r="C757" s="236"/>
      <c r="D757" s="405"/>
      <c r="E757" s="236"/>
      <c r="F757" s="236"/>
      <c r="G757" s="236"/>
      <c r="H757" s="406"/>
      <c r="I757" s="236"/>
      <c r="J757" s="236"/>
      <c r="K757" s="236"/>
      <c r="L757" s="236"/>
      <c r="M757" s="236"/>
      <c r="N757" s="236"/>
      <c r="O757" s="236"/>
      <c r="P757" s="236"/>
      <c r="Q757" s="236"/>
      <c r="R757" s="236"/>
      <c r="S757" s="236"/>
      <c r="T757" s="236"/>
      <c r="U757" s="236"/>
      <c r="V757" s="236"/>
      <c r="W757" s="236"/>
      <c r="X757" s="236"/>
      <c r="Y757" s="236"/>
      <c r="Z757" s="236"/>
      <c r="AA757" s="236"/>
      <c r="AB757" s="236"/>
      <c r="AC757" s="236"/>
      <c r="AD757" s="236"/>
      <c r="AE757" s="236"/>
      <c r="AF757" s="236"/>
      <c r="AG757" s="236"/>
      <c r="AH757" s="236"/>
      <c r="AI757" s="236"/>
      <c r="AJ757" s="236"/>
      <c r="AK757" s="236"/>
      <c r="AL757" s="236"/>
      <c r="AM757" s="236"/>
      <c r="AN757" s="236"/>
      <c r="AO757" s="236"/>
      <c r="AP757" s="236"/>
      <c r="AQ757" s="236"/>
      <c r="AR757" s="236"/>
      <c r="AS757" s="236"/>
      <c r="AT757" s="236"/>
      <c r="AU757" s="236"/>
      <c r="AV757" s="12"/>
      <c r="AW757" s="12"/>
      <c r="AX757" s="12"/>
      <c r="AY757" s="12"/>
      <c r="AZ757" s="12"/>
      <c r="BA757" s="12"/>
      <c r="BB757" s="12"/>
    </row>
    <row r="758" spans="1:54" ht="13">
      <c r="A758" s="12"/>
      <c r="B758" s="27"/>
      <c r="C758" s="27"/>
      <c r="D758" s="407"/>
      <c r="E758" s="27"/>
      <c r="F758" s="27"/>
      <c r="G758" s="27"/>
      <c r="H758" s="408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12"/>
      <c r="AW758" s="12"/>
      <c r="AX758" s="12"/>
      <c r="AY758" s="12"/>
      <c r="AZ758" s="12"/>
      <c r="BA758" s="12"/>
      <c r="BB758" s="12"/>
    </row>
    <row r="759" spans="1:54" ht="13">
      <c r="A759" s="12"/>
      <c r="B759" s="236"/>
      <c r="C759" s="236"/>
      <c r="D759" s="405"/>
      <c r="E759" s="236"/>
      <c r="F759" s="236"/>
      <c r="G759" s="236"/>
      <c r="H759" s="406"/>
      <c r="I759" s="236"/>
      <c r="J759" s="236"/>
      <c r="K759" s="236"/>
      <c r="L759" s="236"/>
      <c r="M759" s="236"/>
      <c r="N759" s="236"/>
      <c r="O759" s="236"/>
      <c r="P759" s="236"/>
      <c r="Q759" s="236"/>
      <c r="R759" s="236"/>
      <c r="S759" s="236"/>
      <c r="T759" s="236"/>
      <c r="U759" s="236"/>
      <c r="V759" s="236"/>
      <c r="W759" s="236"/>
      <c r="X759" s="236"/>
      <c r="Y759" s="236"/>
      <c r="Z759" s="236"/>
      <c r="AA759" s="236"/>
      <c r="AB759" s="236"/>
      <c r="AC759" s="236"/>
      <c r="AD759" s="236"/>
      <c r="AE759" s="236"/>
      <c r="AF759" s="236"/>
      <c r="AG759" s="236"/>
      <c r="AH759" s="236"/>
      <c r="AI759" s="236"/>
      <c r="AJ759" s="236"/>
      <c r="AK759" s="236"/>
      <c r="AL759" s="236"/>
      <c r="AM759" s="236"/>
      <c r="AN759" s="236"/>
      <c r="AO759" s="236"/>
      <c r="AP759" s="236"/>
      <c r="AQ759" s="236"/>
      <c r="AR759" s="236"/>
      <c r="AS759" s="236"/>
      <c r="AT759" s="236"/>
      <c r="AU759" s="236"/>
      <c r="AV759" s="12"/>
      <c r="AW759" s="12"/>
      <c r="AX759" s="12"/>
      <c r="AY759" s="12"/>
      <c r="AZ759" s="12"/>
      <c r="BA759" s="12"/>
      <c r="BB759" s="12"/>
    </row>
    <row r="760" spans="1:54" ht="13">
      <c r="A760" s="12"/>
      <c r="B760" s="27"/>
      <c r="C760" s="27"/>
      <c r="D760" s="407"/>
      <c r="E760" s="27"/>
      <c r="F760" s="27"/>
      <c r="G760" s="27"/>
      <c r="H760" s="408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12"/>
      <c r="AW760" s="12"/>
      <c r="AX760" s="12"/>
      <c r="AY760" s="12"/>
      <c r="AZ760" s="12"/>
      <c r="BA760" s="12"/>
      <c r="BB760" s="12"/>
    </row>
    <row r="761" spans="1:54" ht="13">
      <c r="A761" s="12"/>
      <c r="B761" s="236"/>
      <c r="C761" s="236"/>
      <c r="D761" s="405"/>
      <c r="E761" s="236"/>
      <c r="F761" s="236"/>
      <c r="G761" s="236"/>
      <c r="H761" s="406"/>
      <c r="I761" s="236"/>
      <c r="J761" s="236"/>
      <c r="K761" s="236"/>
      <c r="L761" s="236"/>
      <c r="M761" s="236"/>
      <c r="N761" s="236"/>
      <c r="O761" s="236"/>
      <c r="P761" s="236"/>
      <c r="Q761" s="236"/>
      <c r="R761" s="236"/>
      <c r="S761" s="236"/>
      <c r="T761" s="236"/>
      <c r="U761" s="236"/>
      <c r="V761" s="236"/>
      <c r="W761" s="236"/>
      <c r="X761" s="236"/>
      <c r="Y761" s="236"/>
      <c r="Z761" s="236"/>
      <c r="AA761" s="236"/>
      <c r="AB761" s="236"/>
      <c r="AC761" s="236"/>
      <c r="AD761" s="236"/>
      <c r="AE761" s="236"/>
      <c r="AF761" s="236"/>
      <c r="AG761" s="236"/>
      <c r="AH761" s="236"/>
      <c r="AI761" s="236"/>
      <c r="AJ761" s="236"/>
      <c r="AK761" s="236"/>
      <c r="AL761" s="236"/>
      <c r="AM761" s="236"/>
      <c r="AN761" s="236"/>
      <c r="AO761" s="236"/>
      <c r="AP761" s="236"/>
      <c r="AQ761" s="236"/>
      <c r="AR761" s="236"/>
      <c r="AS761" s="236"/>
      <c r="AT761" s="236"/>
      <c r="AU761" s="236"/>
      <c r="AV761" s="12"/>
      <c r="AW761" s="12"/>
      <c r="AX761" s="12"/>
      <c r="AY761" s="12"/>
      <c r="AZ761" s="12"/>
      <c r="BA761" s="12"/>
      <c r="BB761" s="12"/>
    </row>
    <row r="762" spans="1:54" ht="13">
      <c r="A762" s="12"/>
      <c r="B762" s="27"/>
      <c r="C762" s="27"/>
      <c r="D762" s="407"/>
      <c r="E762" s="27"/>
      <c r="F762" s="27"/>
      <c r="G762" s="27"/>
      <c r="H762" s="408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12"/>
      <c r="AW762" s="12"/>
      <c r="AX762" s="12"/>
      <c r="AY762" s="12"/>
      <c r="AZ762" s="12"/>
      <c r="BA762" s="12"/>
      <c r="BB762" s="12"/>
    </row>
    <row r="763" spans="1:54" ht="13">
      <c r="A763" s="12"/>
      <c r="B763" s="236"/>
      <c r="C763" s="236"/>
      <c r="D763" s="405"/>
      <c r="E763" s="236"/>
      <c r="F763" s="236"/>
      <c r="G763" s="236"/>
      <c r="H763" s="406"/>
      <c r="I763" s="236"/>
      <c r="J763" s="236"/>
      <c r="K763" s="236"/>
      <c r="L763" s="236"/>
      <c r="M763" s="236"/>
      <c r="N763" s="236"/>
      <c r="O763" s="236"/>
      <c r="P763" s="236"/>
      <c r="Q763" s="236"/>
      <c r="R763" s="236"/>
      <c r="S763" s="236"/>
      <c r="T763" s="236"/>
      <c r="U763" s="236"/>
      <c r="V763" s="236"/>
      <c r="W763" s="236"/>
      <c r="X763" s="236"/>
      <c r="Y763" s="236"/>
      <c r="Z763" s="236"/>
      <c r="AA763" s="236"/>
      <c r="AB763" s="236"/>
      <c r="AC763" s="236"/>
      <c r="AD763" s="236"/>
      <c r="AE763" s="236"/>
      <c r="AF763" s="236"/>
      <c r="AG763" s="236"/>
      <c r="AH763" s="236"/>
      <c r="AI763" s="236"/>
      <c r="AJ763" s="236"/>
      <c r="AK763" s="236"/>
      <c r="AL763" s="236"/>
      <c r="AM763" s="236"/>
      <c r="AN763" s="236"/>
      <c r="AO763" s="236"/>
      <c r="AP763" s="236"/>
      <c r="AQ763" s="236"/>
      <c r="AR763" s="236"/>
      <c r="AS763" s="236"/>
      <c r="AT763" s="236"/>
      <c r="AU763" s="236"/>
      <c r="AV763" s="12"/>
      <c r="AW763" s="12"/>
      <c r="AX763" s="12"/>
      <c r="AY763" s="12"/>
      <c r="AZ763" s="12"/>
      <c r="BA763" s="12"/>
      <c r="BB763" s="12"/>
    </row>
    <row r="764" spans="1:54" ht="13">
      <c r="A764" s="12"/>
      <c r="B764" s="27"/>
      <c r="C764" s="27"/>
      <c r="D764" s="407"/>
      <c r="E764" s="27"/>
      <c r="F764" s="27"/>
      <c r="G764" s="27"/>
      <c r="H764" s="408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12"/>
      <c r="AW764" s="12"/>
      <c r="AX764" s="12"/>
      <c r="AY764" s="12"/>
      <c r="AZ764" s="12"/>
      <c r="BA764" s="12"/>
      <c r="BB764" s="12"/>
    </row>
    <row r="765" spans="1:54" ht="13">
      <c r="A765" s="12"/>
      <c r="B765" s="236"/>
      <c r="C765" s="236"/>
      <c r="D765" s="405"/>
      <c r="E765" s="236"/>
      <c r="F765" s="236"/>
      <c r="G765" s="236"/>
      <c r="H765" s="406"/>
      <c r="I765" s="236"/>
      <c r="J765" s="236"/>
      <c r="K765" s="236"/>
      <c r="L765" s="236"/>
      <c r="M765" s="236"/>
      <c r="N765" s="236"/>
      <c r="O765" s="236"/>
      <c r="P765" s="236"/>
      <c r="Q765" s="236"/>
      <c r="R765" s="236"/>
      <c r="S765" s="236"/>
      <c r="T765" s="236"/>
      <c r="U765" s="236"/>
      <c r="V765" s="236"/>
      <c r="W765" s="236"/>
      <c r="X765" s="236"/>
      <c r="Y765" s="236"/>
      <c r="Z765" s="236"/>
      <c r="AA765" s="236"/>
      <c r="AB765" s="236"/>
      <c r="AC765" s="236"/>
      <c r="AD765" s="236"/>
      <c r="AE765" s="236"/>
      <c r="AF765" s="236"/>
      <c r="AG765" s="236"/>
      <c r="AH765" s="236"/>
      <c r="AI765" s="236"/>
      <c r="AJ765" s="236"/>
      <c r="AK765" s="236"/>
      <c r="AL765" s="236"/>
      <c r="AM765" s="236"/>
      <c r="AN765" s="236"/>
      <c r="AO765" s="236"/>
      <c r="AP765" s="236"/>
      <c r="AQ765" s="236"/>
      <c r="AR765" s="236"/>
      <c r="AS765" s="236"/>
      <c r="AT765" s="236"/>
      <c r="AU765" s="236"/>
      <c r="AV765" s="12"/>
      <c r="AW765" s="12"/>
      <c r="AX765" s="12"/>
      <c r="AY765" s="12"/>
      <c r="AZ765" s="12"/>
      <c r="BA765" s="12"/>
      <c r="BB765" s="12"/>
    </row>
    <row r="766" spans="1:54" ht="13">
      <c r="A766" s="12"/>
      <c r="B766" s="27"/>
      <c r="C766" s="27"/>
      <c r="D766" s="407"/>
      <c r="E766" s="27"/>
      <c r="F766" s="27"/>
      <c r="G766" s="27"/>
      <c r="H766" s="408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12"/>
      <c r="AW766" s="12"/>
      <c r="AX766" s="12"/>
      <c r="AY766" s="12"/>
      <c r="AZ766" s="12"/>
      <c r="BA766" s="12"/>
      <c r="BB766" s="12"/>
    </row>
    <row r="767" spans="1:54" ht="13">
      <c r="A767" s="12"/>
      <c r="B767" s="236"/>
      <c r="C767" s="236"/>
      <c r="D767" s="405"/>
      <c r="E767" s="236"/>
      <c r="F767" s="236"/>
      <c r="G767" s="236"/>
      <c r="H767" s="406"/>
      <c r="I767" s="236"/>
      <c r="J767" s="236"/>
      <c r="K767" s="236"/>
      <c r="L767" s="236"/>
      <c r="M767" s="236"/>
      <c r="N767" s="236"/>
      <c r="O767" s="236"/>
      <c r="P767" s="236"/>
      <c r="Q767" s="236"/>
      <c r="R767" s="236"/>
      <c r="S767" s="236"/>
      <c r="T767" s="236"/>
      <c r="U767" s="236"/>
      <c r="V767" s="236"/>
      <c r="W767" s="236"/>
      <c r="X767" s="236"/>
      <c r="Y767" s="236"/>
      <c r="Z767" s="236"/>
      <c r="AA767" s="236"/>
      <c r="AB767" s="236"/>
      <c r="AC767" s="236"/>
      <c r="AD767" s="236"/>
      <c r="AE767" s="236"/>
      <c r="AF767" s="236"/>
      <c r="AG767" s="236"/>
      <c r="AH767" s="236"/>
      <c r="AI767" s="236"/>
      <c r="AJ767" s="236"/>
      <c r="AK767" s="236"/>
      <c r="AL767" s="236"/>
      <c r="AM767" s="236"/>
      <c r="AN767" s="236"/>
      <c r="AO767" s="236"/>
      <c r="AP767" s="236"/>
      <c r="AQ767" s="236"/>
      <c r="AR767" s="236"/>
      <c r="AS767" s="236"/>
      <c r="AT767" s="236"/>
      <c r="AU767" s="236"/>
      <c r="AV767" s="12"/>
      <c r="AW767" s="12"/>
      <c r="AX767" s="12"/>
      <c r="AY767" s="12"/>
      <c r="AZ767" s="12"/>
      <c r="BA767" s="12"/>
      <c r="BB767" s="12"/>
    </row>
    <row r="768" spans="1:54" ht="13">
      <c r="A768" s="12"/>
      <c r="B768" s="27"/>
      <c r="C768" s="27"/>
      <c r="D768" s="407"/>
      <c r="E768" s="27"/>
      <c r="F768" s="27"/>
      <c r="G768" s="27"/>
      <c r="H768" s="408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12"/>
      <c r="AW768" s="12"/>
      <c r="AX768" s="12"/>
      <c r="AY768" s="12"/>
      <c r="AZ768" s="12"/>
      <c r="BA768" s="12"/>
      <c r="BB768" s="12"/>
    </row>
    <row r="769" spans="1:54" ht="13">
      <c r="A769" s="12"/>
      <c r="B769" s="236"/>
      <c r="C769" s="236"/>
      <c r="D769" s="405"/>
      <c r="E769" s="236"/>
      <c r="F769" s="236"/>
      <c r="G769" s="236"/>
      <c r="H769" s="406"/>
      <c r="I769" s="236"/>
      <c r="J769" s="236"/>
      <c r="K769" s="236"/>
      <c r="L769" s="236"/>
      <c r="M769" s="236"/>
      <c r="N769" s="236"/>
      <c r="O769" s="236"/>
      <c r="P769" s="236"/>
      <c r="Q769" s="236"/>
      <c r="R769" s="236"/>
      <c r="S769" s="236"/>
      <c r="T769" s="236"/>
      <c r="U769" s="236"/>
      <c r="V769" s="236"/>
      <c r="W769" s="236"/>
      <c r="X769" s="236"/>
      <c r="Y769" s="236"/>
      <c r="Z769" s="236"/>
      <c r="AA769" s="236"/>
      <c r="AB769" s="236"/>
      <c r="AC769" s="236"/>
      <c r="AD769" s="236"/>
      <c r="AE769" s="236"/>
      <c r="AF769" s="236"/>
      <c r="AG769" s="236"/>
      <c r="AH769" s="236"/>
      <c r="AI769" s="236"/>
      <c r="AJ769" s="236"/>
      <c r="AK769" s="236"/>
      <c r="AL769" s="236"/>
      <c r="AM769" s="236"/>
      <c r="AN769" s="236"/>
      <c r="AO769" s="236"/>
      <c r="AP769" s="236"/>
      <c r="AQ769" s="236"/>
      <c r="AR769" s="236"/>
      <c r="AS769" s="236"/>
      <c r="AT769" s="236"/>
      <c r="AU769" s="236"/>
      <c r="AV769" s="12"/>
      <c r="AW769" s="12"/>
      <c r="AX769" s="12"/>
      <c r="AY769" s="12"/>
      <c r="AZ769" s="12"/>
      <c r="BA769" s="12"/>
      <c r="BB769" s="12"/>
    </row>
    <row r="770" spans="1:54" ht="13">
      <c r="A770" s="12"/>
      <c r="B770" s="27"/>
      <c r="C770" s="27"/>
      <c r="D770" s="407"/>
      <c r="E770" s="27"/>
      <c r="F770" s="27"/>
      <c r="G770" s="27"/>
      <c r="H770" s="408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12"/>
      <c r="AW770" s="12"/>
      <c r="AX770" s="12"/>
      <c r="AY770" s="12"/>
      <c r="AZ770" s="12"/>
      <c r="BA770" s="12"/>
      <c r="BB770" s="12"/>
    </row>
    <row r="771" spans="1:54" ht="13">
      <c r="A771" s="12"/>
      <c r="B771" s="236"/>
      <c r="C771" s="236"/>
      <c r="D771" s="405"/>
      <c r="E771" s="236"/>
      <c r="F771" s="236"/>
      <c r="G771" s="236"/>
      <c r="H771" s="406"/>
      <c r="I771" s="236"/>
      <c r="J771" s="236"/>
      <c r="K771" s="236"/>
      <c r="L771" s="236"/>
      <c r="M771" s="236"/>
      <c r="N771" s="236"/>
      <c r="O771" s="236"/>
      <c r="P771" s="236"/>
      <c r="Q771" s="236"/>
      <c r="R771" s="236"/>
      <c r="S771" s="236"/>
      <c r="T771" s="236"/>
      <c r="U771" s="236"/>
      <c r="V771" s="236"/>
      <c r="W771" s="236"/>
      <c r="X771" s="236"/>
      <c r="Y771" s="236"/>
      <c r="Z771" s="236"/>
      <c r="AA771" s="236"/>
      <c r="AB771" s="236"/>
      <c r="AC771" s="236"/>
      <c r="AD771" s="236"/>
      <c r="AE771" s="236"/>
      <c r="AF771" s="236"/>
      <c r="AG771" s="236"/>
      <c r="AH771" s="236"/>
      <c r="AI771" s="236"/>
      <c r="AJ771" s="236"/>
      <c r="AK771" s="236"/>
      <c r="AL771" s="236"/>
      <c r="AM771" s="236"/>
      <c r="AN771" s="236"/>
      <c r="AO771" s="236"/>
      <c r="AP771" s="236"/>
      <c r="AQ771" s="236"/>
      <c r="AR771" s="236"/>
      <c r="AS771" s="236"/>
      <c r="AT771" s="236"/>
      <c r="AU771" s="236"/>
      <c r="AV771" s="12"/>
      <c r="AW771" s="12"/>
      <c r="AX771" s="12"/>
      <c r="AY771" s="12"/>
      <c r="AZ771" s="12"/>
      <c r="BA771" s="12"/>
      <c r="BB771" s="12"/>
    </row>
    <row r="772" spans="1:54" ht="13">
      <c r="A772" s="12"/>
      <c r="B772" s="27"/>
      <c r="C772" s="27"/>
      <c r="D772" s="407"/>
      <c r="E772" s="27"/>
      <c r="F772" s="27"/>
      <c r="G772" s="27"/>
      <c r="H772" s="408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12"/>
      <c r="AW772" s="12"/>
      <c r="AX772" s="12"/>
      <c r="AY772" s="12"/>
      <c r="AZ772" s="12"/>
      <c r="BA772" s="12"/>
      <c r="BB772" s="12"/>
    </row>
    <row r="773" spans="1:54" ht="13">
      <c r="A773" s="12"/>
      <c r="B773" s="236"/>
      <c r="C773" s="236"/>
      <c r="D773" s="405"/>
      <c r="E773" s="236"/>
      <c r="F773" s="236"/>
      <c r="G773" s="236"/>
      <c r="H773" s="406"/>
      <c r="I773" s="236"/>
      <c r="J773" s="236"/>
      <c r="K773" s="236"/>
      <c r="L773" s="236"/>
      <c r="M773" s="236"/>
      <c r="N773" s="236"/>
      <c r="O773" s="236"/>
      <c r="P773" s="236"/>
      <c r="Q773" s="236"/>
      <c r="R773" s="236"/>
      <c r="S773" s="236"/>
      <c r="T773" s="236"/>
      <c r="U773" s="236"/>
      <c r="V773" s="236"/>
      <c r="W773" s="236"/>
      <c r="X773" s="236"/>
      <c r="Y773" s="236"/>
      <c r="Z773" s="236"/>
      <c r="AA773" s="236"/>
      <c r="AB773" s="236"/>
      <c r="AC773" s="236"/>
      <c r="AD773" s="236"/>
      <c r="AE773" s="236"/>
      <c r="AF773" s="236"/>
      <c r="AG773" s="236"/>
      <c r="AH773" s="236"/>
      <c r="AI773" s="236"/>
      <c r="AJ773" s="236"/>
      <c r="AK773" s="236"/>
      <c r="AL773" s="236"/>
      <c r="AM773" s="236"/>
      <c r="AN773" s="236"/>
      <c r="AO773" s="236"/>
      <c r="AP773" s="236"/>
      <c r="AQ773" s="236"/>
      <c r="AR773" s="236"/>
      <c r="AS773" s="236"/>
      <c r="AT773" s="236"/>
      <c r="AU773" s="236"/>
      <c r="AV773" s="12"/>
      <c r="AW773" s="12"/>
      <c r="AX773" s="12"/>
      <c r="AY773" s="12"/>
      <c r="AZ773" s="12"/>
      <c r="BA773" s="12"/>
      <c r="BB773" s="12"/>
    </row>
    <row r="774" spans="1:54" ht="13">
      <c r="A774" s="12"/>
      <c r="B774" s="27"/>
      <c r="C774" s="27"/>
      <c r="D774" s="407"/>
      <c r="E774" s="27"/>
      <c r="F774" s="27"/>
      <c r="G774" s="27"/>
      <c r="H774" s="408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12"/>
      <c r="AW774" s="12"/>
      <c r="AX774" s="12"/>
      <c r="AY774" s="12"/>
      <c r="AZ774" s="12"/>
      <c r="BA774" s="12"/>
      <c r="BB774" s="12"/>
    </row>
    <row r="775" spans="1:54" ht="13">
      <c r="A775" s="12"/>
      <c r="B775" s="236"/>
      <c r="C775" s="236"/>
      <c r="D775" s="405"/>
      <c r="E775" s="236"/>
      <c r="F775" s="236"/>
      <c r="G775" s="236"/>
      <c r="H775" s="406"/>
      <c r="I775" s="236"/>
      <c r="J775" s="236"/>
      <c r="K775" s="236"/>
      <c r="L775" s="236"/>
      <c r="M775" s="236"/>
      <c r="N775" s="236"/>
      <c r="O775" s="236"/>
      <c r="P775" s="236"/>
      <c r="Q775" s="236"/>
      <c r="R775" s="236"/>
      <c r="S775" s="236"/>
      <c r="T775" s="236"/>
      <c r="U775" s="236"/>
      <c r="V775" s="236"/>
      <c r="W775" s="236"/>
      <c r="X775" s="236"/>
      <c r="Y775" s="236"/>
      <c r="Z775" s="236"/>
      <c r="AA775" s="236"/>
      <c r="AB775" s="236"/>
      <c r="AC775" s="236"/>
      <c r="AD775" s="236"/>
      <c r="AE775" s="236"/>
      <c r="AF775" s="236"/>
      <c r="AG775" s="236"/>
      <c r="AH775" s="236"/>
      <c r="AI775" s="236"/>
      <c r="AJ775" s="236"/>
      <c r="AK775" s="236"/>
      <c r="AL775" s="236"/>
      <c r="AM775" s="236"/>
      <c r="AN775" s="236"/>
      <c r="AO775" s="236"/>
      <c r="AP775" s="236"/>
      <c r="AQ775" s="236"/>
      <c r="AR775" s="236"/>
      <c r="AS775" s="236"/>
      <c r="AT775" s="236"/>
      <c r="AU775" s="236"/>
      <c r="AV775" s="12"/>
      <c r="AW775" s="12"/>
      <c r="AX775" s="12"/>
      <c r="AY775" s="12"/>
      <c r="AZ775" s="12"/>
      <c r="BA775" s="12"/>
      <c r="BB775" s="12"/>
    </row>
    <row r="776" spans="1:54" ht="13">
      <c r="A776" s="12"/>
      <c r="B776" s="27"/>
      <c r="C776" s="27"/>
      <c r="D776" s="407"/>
      <c r="E776" s="27"/>
      <c r="F776" s="27"/>
      <c r="G776" s="27"/>
      <c r="H776" s="408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12"/>
      <c r="AW776" s="12"/>
      <c r="AX776" s="12"/>
      <c r="AY776" s="12"/>
      <c r="AZ776" s="12"/>
      <c r="BA776" s="12"/>
      <c r="BB776" s="12"/>
    </row>
    <row r="777" spans="1:54" ht="13">
      <c r="A777" s="12"/>
      <c r="B777" s="236"/>
      <c r="C777" s="236"/>
      <c r="D777" s="405"/>
      <c r="E777" s="236"/>
      <c r="F777" s="236"/>
      <c r="G777" s="236"/>
      <c r="H777" s="406"/>
      <c r="I777" s="236"/>
      <c r="J777" s="236"/>
      <c r="K777" s="236"/>
      <c r="L777" s="236"/>
      <c r="M777" s="236"/>
      <c r="N777" s="236"/>
      <c r="O777" s="236"/>
      <c r="P777" s="236"/>
      <c r="Q777" s="236"/>
      <c r="R777" s="236"/>
      <c r="S777" s="236"/>
      <c r="T777" s="236"/>
      <c r="U777" s="236"/>
      <c r="V777" s="236"/>
      <c r="W777" s="236"/>
      <c r="X777" s="236"/>
      <c r="Y777" s="236"/>
      <c r="Z777" s="236"/>
      <c r="AA777" s="236"/>
      <c r="AB777" s="236"/>
      <c r="AC777" s="236"/>
      <c r="AD777" s="236"/>
      <c r="AE777" s="236"/>
      <c r="AF777" s="236"/>
      <c r="AG777" s="236"/>
      <c r="AH777" s="236"/>
      <c r="AI777" s="236"/>
      <c r="AJ777" s="236"/>
      <c r="AK777" s="236"/>
      <c r="AL777" s="236"/>
      <c r="AM777" s="236"/>
      <c r="AN777" s="236"/>
      <c r="AO777" s="236"/>
      <c r="AP777" s="236"/>
      <c r="AQ777" s="236"/>
      <c r="AR777" s="236"/>
      <c r="AS777" s="236"/>
      <c r="AT777" s="236"/>
      <c r="AU777" s="236"/>
      <c r="AV777" s="12"/>
      <c r="AW777" s="12"/>
      <c r="AX777" s="12"/>
      <c r="AY777" s="12"/>
      <c r="AZ777" s="12"/>
      <c r="BA777" s="12"/>
      <c r="BB777" s="12"/>
    </row>
    <row r="778" spans="1:54" ht="13">
      <c r="A778" s="12"/>
      <c r="B778" s="27"/>
      <c r="C778" s="27"/>
      <c r="D778" s="407"/>
      <c r="E778" s="27"/>
      <c r="F778" s="27"/>
      <c r="G778" s="27"/>
      <c r="H778" s="408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12"/>
      <c r="AW778" s="12"/>
      <c r="AX778" s="12"/>
      <c r="AY778" s="12"/>
      <c r="AZ778" s="12"/>
      <c r="BA778" s="12"/>
      <c r="BB778" s="12"/>
    </row>
    <row r="779" spans="1:54" ht="13">
      <c r="A779" s="12"/>
      <c r="B779" s="236"/>
      <c r="C779" s="236"/>
      <c r="D779" s="405"/>
      <c r="E779" s="236"/>
      <c r="F779" s="236"/>
      <c r="G779" s="236"/>
      <c r="H779" s="406"/>
      <c r="I779" s="236"/>
      <c r="J779" s="236"/>
      <c r="K779" s="236"/>
      <c r="L779" s="236"/>
      <c r="M779" s="236"/>
      <c r="N779" s="236"/>
      <c r="O779" s="236"/>
      <c r="P779" s="236"/>
      <c r="Q779" s="236"/>
      <c r="R779" s="236"/>
      <c r="S779" s="236"/>
      <c r="T779" s="236"/>
      <c r="U779" s="236"/>
      <c r="V779" s="236"/>
      <c r="W779" s="236"/>
      <c r="X779" s="236"/>
      <c r="Y779" s="236"/>
      <c r="Z779" s="236"/>
      <c r="AA779" s="236"/>
      <c r="AB779" s="236"/>
      <c r="AC779" s="236"/>
      <c r="AD779" s="236"/>
      <c r="AE779" s="236"/>
      <c r="AF779" s="236"/>
      <c r="AG779" s="236"/>
      <c r="AH779" s="236"/>
      <c r="AI779" s="236"/>
      <c r="AJ779" s="236"/>
      <c r="AK779" s="236"/>
      <c r="AL779" s="236"/>
      <c r="AM779" s="236"/>
      <c r="AN779" s="236"/>
      <c r="AO779" s="236"/>
      <c r="AP779" s="236"/>
      <c r="AQ779" s="236"/>
      <c r="AR779" s="236"/>
      <c r="AS779" s="236"/>
      <c r="AT779" s="236"/>
      <c r="AU779" s="236"/>
      <c r="AV779" s="12"/>
      <c r="AW779" s="12"/>
      <c r="AX779" s="12"/>
      <c r="AY779" s="12"/>
      <c r="AZ779" s="12"/>
      <c r="BA779" s="12"/>
      <c r="BB779" s="12"/>
    </row>
    <row r="780" spans="1:54" ht="13">
      <c r="A780" s="12"/>
      <c r="B780" s="27"/>
      <c r="C780" s="27"/>
      <c r="D780" s="407"/>
      <c r="E780" s="27"/>
      <c r="F780" s="27"/>
      <c r="G780" s="27"/>
      <c r="H780" s="408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12"/>
      <c r="AW780" s="12"/>
      <c r="AX780" s="12"/>
      <c r="AY780" s="12"/>
      <c r="AZ780" s="12"/>
      <c r="BA780" s="12"/>
      <c r="BB780" s="12"/>
    </row>
    <row r="781" spans="1:54" ht="13">
      <c r="A781" s="12"/>
      <c r="B781" s="236"/>
      <c r="C781" s="236"/>
      <c r="D781" s="405"/>
      <c r="E781" s="236"/>
      <c r="F781" s="236"/>
      <c r="G781" s="236"/>
      <c r="H781" s="406"/>
      <c r="I781" s="236"/>
      <c r="J781" s="236"/>
      <c r="K781" s="236"/>
      <c r="L781" s="236"/>
      <c r="M781" s="236"/>
      <c r="N781" s="236"/>
      <c r="O781" s="236"/>
      <c r="P781" s="236"/>
      <c r="Q781" s="236"/>
      <c r="R781" s="236"/>
      <c r="S781" s="236"/>
      <c r="T781" s="236"/>
      <c r="U781" s="236"/>
      <c r="V781" s="236"/>
      <c r="W781" s="236"/>
      <c r="X781" s="236"/>
      <c r="Y781" s="236"/>
      <c r="Z781" s="236"/>
      <c r="AA781" s="236"/>
      <c r="AB781" s="236"/>
      <c r="AC781" s="236"/>
      <c r="AD781" s="236"/>
      <c r="AE781" s="236"/>
      <c r="AF781" s="236"/>
      <c r="AG781" s="236"/>
      <c r="AH781" s="236"/>
      <c r="AI781" s="236"/>
      <c r="AJ781" s="236"/>
      <c r="AK781" s="236"/>
      <c r="AL781" s="236"/>
      <c r="AM781" s="236"/>
      <c r="AN781" s="236"/>
      <c r="AO781" s="236"/>
      <c r="AP781" s="236"/>
      <c r="AQ781" s="236"/>
      <c r="AR781" s="236"/>
      <c r="AS781" s="236"/>
      <c r="AT781" s="236"/>
      <c r="AU781" s="236"/>
      <c r="AV781" s="12"/>
      <c r="AW781" s="12"/>
      <c r="AX781" s="12"/>
      <c r="AY781" s="12"/>
      <c r="AZ781" s="12"/>
      <c r="BA781" s="12"/>
      <c r="BB781" s="12"/>
    </row>
    <row r="782" spans="1:54" ht="13">
      <c r="A782" s="12"/>
      <c r="B782" s="27"/>
      <c r="C782" s="27"/>
      <c r="D782" s="407"/>
      <c r="E782" s="27"/>
      <c r="F782" s="27"/>
      <c r="G782" s="27"/>
      <c r="H782" s="408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12"/>
      <c r="AW782" s="12"/>
      <c r="AX782" s="12"/>
      <c r="AY782" s="12"/>
      <c r="AZ782" s="12"/>
      <c r="BA782" s="12"/>
      <c r="BB782" s="12"/>
    </row>
    <row r="783" spans="1:54" ht="13">
      <c r="A783" s="12"/>
      <c r="B783" s="236"/>
      <c r="C783" s="236"/>
      <c r="D783" s="405"/>
      <c r="E783" s="236"/>
      <c r="F783" s="236"/>
      <c r="G783" s="236"/>
      <c r="H783" s="406"/>
      <c r="I783" s="236"/>
      <c r="J783" s="236"/>
      <c r="K783" s="236"/>
      <c r="L783" s="236"/>
      <c r="M783" s="236"/>
      <c r="N783" s="236"/>
      <c r="O783" s="236"/>
      <c r="P783" s="236"/>
      <c r="Q783" s="236"/>
      <c r="R783" s="236"/>
      <c r="S783" s="236"/>
      <c r="T783" s="236"/>
      <c r="U783" s="236"/>
      <c r="V783" s="236"/>
      <c r="W783" s="236"/>
      <c r="X783" s="236"/>
      <c r="Y783" s="236"/>
      <c r="Z783" s="236"/>
      <c r="AA783" s="236"/>
      <c r="AB783" s="236"/>
      <c r="AC783" s="236"/>
      <c r="AD783" s="236"/>
      <c r="AE783" s="236"/>
      <c r="AF783" s="236"/>
      <c r="AG783" s="236"/>
      <c r="AH783" s="236"/>
      <c r="AI783" s="236"/>
      <c r="AJ783" s="236"/>
      <c r="AK783" s="236"/>
      <c r="AL783" s="236"/>
      <c r="AM783" s="236"/>
      <c r="AN783" s="236"/>
      <c r="AO783" s="236"/>
      <c r="AP783" s="236"/>
      <c r="AQ783" s="236"/>
      <c r="AR783" s="236"/>
      <c r="AS783" s="236"/>
      <c r="AT783" s="236"/>
      <c r="AU783" s="236"/>
      <c r="AV783" s="12"/>
      <c r="AW783" s="12"/>
      <c r="AX783" s="12"/>
      <c r="AY783" s="12"/>
      <c r="AZ783" s="12"/>
      <c r="BA783" s="12"/>
      <c r="BB783" s="12"/>
    </row>
    <row r="784" spans="1:54" ht="13">
      <c r="A784" s="12"/>
      <c r="B784" s="27"/>
      <c r="C784" s="27"/>
      <c r="D784" s="407"/>
      <c r="E784" s="27"/>
      <c r="F784" s="27"/>
      <c r="G784" s="27"/>
      <c r="H784" s="408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12"/>
      <c r="AW784" s="12"/>
      <c r="AX784" s="12"/>
      <c r="AY784" s="12"/>
      <c r="AZ784" s="12"/>
      <c r="BA784" s="12"/>
      <c r="BB784" s="12"/>
    </row>
    <row r="785" spans="1:54" ht="13">
      <c r="A785" s="12"/>
      <c r="B785" s="236"/>
      <c r="C785" s="236"/>
      <c r="D785" s="405"/>
      <c r="E785" s="236"/>
      <c r="F785" s="236"/>
      <c r="G785" s="236"/>
      <c r="H785" s="406"/>
      <c r="I785" s="236"/>
      <c r="J785" s="236"/>
      <c r="K785" s="236"/>
      <c r="L785" s="236"/>
      <c r="M785" s="236"/>
      <c r="N785" s="236"/>
      <c r="O785" s="236"/>
      <c r="P785" s="236"/>
      <c r="Q785" s="236"/>
      <c r="R785" s="236"/>
      <c r="S785" s="236"/>
      <c r="T785" s="236"/>
      <c r="U785" s="236"/>
      <c r="V785" s="236"/>
      <c r="W785" s="236"/>
      <c r="X785" s="236"/>
      <c r="Y785" s="236"/>
      <c r="Z785" s="236"/>
      <c r="AA785" s="236"/>
      <c r="AB785" s="236"/>
      <c r="AC785" s="236"/>
      <c r="AD785" s="236"/>
      <c r="AE785" s="236"/>
      <c r="AF785" s="236"/>
      <c r="AG785" s="236"/>
      <c r="AH785" s="236"/>
      <c r="AI785" s="236"/>
      <c r="AJ785" s="236"/>
      <c r="AK785" s="236"/>
      <c r="AL785" s="236"/>
      <c r="AM785" s="236"/>
      <c r="AN785" s="236"/>
      <c r="AO785" s="236"/>
      <c r="AP785" s="236"/>
      <c r="AQ785" s="236"/>
      <c r="AR785" s="236"/>
      <c r="AS785" s="236"/>
      <c r="AT785" s="236"/>
      <c r="AU785" s="236"/>
      <c r="AV785" s="12"/>
      <c r="AW785" s="12"/>
      <c r="AX785" s="12"/>
      <c r="AY785" s="12"/>
      <c r="AZ785" s="12"/>
      <c r="BA785" s="12"/>
      <c r="BB785" s="12"/>
    </row>
    <row r="786" spans="1:54" ht="13">
      <c r="A786" s="12"/>
      <c r="B786" s="27"/>
      <c r="C786" s="27"/>
      <c r="D786" s="407"/>
      <c r="E786" s="27"/>
      <c r="F786" s="27"/>
      <c r="G786" s="27"/>
      <c r="H786" s="408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12"/>
      <c r="AW786" s="12"/>
      <c r="AX786" s="12"/>
      <c r="AY786" s="12"/>
      <c r="AZ786" s="12"/>
      <c r="BA786" s="12"/>
      <c r="BB786" s="12"/>
    </row>
    <row r="787" spans="1:54" ht="13">
      <c r="A787" s="12"/>
      <c r="B787" s="236"/>
      <c r="C787" s="236"/>
      <c r="D787" s="405"/>
      <c r="E787" s="236"/>
      <c r="F787" s="236"/>
      <c r="G787" s="236"/>
      <c r="H787" s="406"/>
      <c r="I787" s="236"/>
      <c r="J787" s="236"/>
      <c r="K787" s="236"/>
      <c r="L787" s="236"/>
      <c r="M787" s="236"/>
      <c r="N787" s="236"/>
      <c r="O787" s="236"/>
      <c r="P787" s="236"/>
      <c r="Q787" s="236"/>
      <c r="R787" s="236"/>
      <c r="S787" s="236"/>
      <c r="T787" s="236"/>
      <c r="U787" s="236"/>
      <c r="V787" s="236"/>
      <c r="W787" s="236"/>
      <c r="X787" s="236"/>
      <c r="Y787" s="236"/>
      <c r="Z787" s="236"/>
      <c r="AA787" s="236"/>
      <c r="AB787" s="236"/>
      <c r="AC787" s="236"/>
      <c r="AD787" s="236"/>
      <c r="AE787" s="236"/>
      <c r="AF787" s="236"/>
      <c r="AG787" s="236"/>
      <c r="AH787" s="236"/>
      <c r="AI787" s="236"/>
      <c r="AJ787" s="236"/>
      <c r="AK787" s="236"/>
      <c r="AL787" s="236"/>
      <c r="AM787" s="236"/>
      <c r="AN787" s="236"/>
      <c r="AO787" s="236"/>
      <c r="AP787" s="236"/>
      <c r="AQ787" s="236"/>
      <c r="AR787" s="236"/>
      <c r="AS787" s="236"/>
      <c r="AT787" s="236"/>
      <c r="AU787" s="236"/>
      <c r="AV787" s="12"/>
      <c r="AW787" s="12"/>
      <c r="AX787" s="12"/>
      <c r="AY787" s="12"/>
      <c r="AZ787" s="12"/>
      <c r="BA787" s="12"/>
      <c r="BB787" s="12"/>
    </row>
    <row r="788" spans="1:54" ht="13">
      <c r="A788" s="12"/>
      <c r="B788" s="27"/>
      <c r="C788" s="27"/>
      <c r="D788" s="407"/>
      <c r="E788" s="27"/>
      <c r="F788" s="27"/>
      <c r="G788" s="27"/>
      <c r="H788" s="408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12"/>
      <c r="AW788" s="12"/>
      <c r="AX788" s="12"/>
      <c r="AY788" s="12"/>
      <c r="AZ788" s="12"/>
      <c r="BA788" s="12"/>
      <c r="BB788" s="12"/>
    </row>
    <row r="789" spans="1:54" ht="13">
      <c r="A789" s="12"/>
      <c r="B789" s="236"/>
      <c r="C789" s="236"/>
      <c r="D789" s="405"/>
      <c r="E789" s="236"/>
      <c r="F789" s="236"/>
      <c r="G789" s="236"/>
      <c r="H789" s="406"/>
      <c r="I789" s="236"/>
      <c r="J789" s="236"/>
      <c r="K789" s="236"/>
      <c r="L789" s="236"/>
      <c r="M789" s="236"/>
      <c r="N789" s="236"/>
      <c r="O789" s="236"/>
      <c r="P789" s="236"/>
      <c r="Q789" s="236"/>
      <c r="R789" s="236"/>
      <c r="S789" s="236"/>
      <c r="T789" s="236"/>
      <c r="U789" s="236"/>
      <c r="V789" s="236"/>
      <c r="W789" s="236"/>
      <c r="X789" s="236"/>
      <c r="Y789" s="236"/>
      <c r="Z789" s="236"/>
      <c r="AA789" s="236"/>
      <c r="AB789" s="236"/>
      <c r="AC789" s="236"/>
      <c r="AD789" s="236"/>
      <c r="AE789" s="236"/>
      <c r="AF789" s="236"/>
      <c r="AG789" s="236"/>
      <c r="AH789" s="236"/>
      <c r="AI789" s="236"/>
      <c r="AJ789" s="236"/>
      <c r="AK789" s="236"/>
      <c r="AL789" s="236"/>
      <c r="AM789" s="236"/>
      <c r="AN789" s="236"/>
      <c r="AO789" s="236"/>
      <c r="AP789" s="236"/>
      <c r="AQ789" s="236"/>
      <c r="AR789" s="236"/>
      <c r="AS789" s="236"/>
      <c r="AT789" s="236"/>
      <c r="AU789" s="236"/>
      <c r="AV789" s="12"/>
      <c r="AW789" s="12"/>
      <c r="AX789" s="12"/>
      <c r="AY789" s="12"/>
      <c r="AZ789" s="12"/>
      <c r="BA789" s="12"/>
      <c r="BB789" s="12"/>
    </row>
    <row r="790" spans="1:54" ht="13">
      <c r="A790" s="12"/>
      <c r="B790" s="27"/>
      <c r="C790" s="27"/>
      <c r="D790" s="407"/>
      <c r="E790" s="27"/>
      <c r="F790" s="27"/>
      <c r="G790" s="27"/>
      <c r="H790" s="408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12"/>
      <c r="AW790" s="12"/>
      <c r="AX790" s="12"/>
      <c r="AY790" s="12"/>
      <c r="AZ790" s="12"/>
      <c r="BA790" s="12"/>
      <c r="BB790" s="12"/>
    </row>
    <row r="791" spans="1:54" ht="13">
      <c r="A791" s="12"/>
      <c r="B791" s="236"/>
      <c r="C791" s="236"/>
      <c r="D791" s="405"/>
      <c r="E791" s="236"/>
      <c r="F791" s="236"/>
      <c r="G791" s="236"/>
      <c r="H791" s="406"/>
      <c r="I791" s="236"/>
      <c r="J791" s="236"/>
      <c r="K791" s="236"/>
      <c r="L791" s="236"/>
      <c r="M791" s="236"/>
      <c r="N791" s="236"/>
      <c r="O791" s="236"/>
      <c r="P791" s="236"/>
      <c r="Q791" s="236"/>
      <c r="R791" s="236"/>
      <c r="S791" s="236"/>
      <c r="T791" s="236"/>
      <c r="U791" s="236"/>
      <c r="V791" s="236"/>
      <c r="W791" s="236"/>
      <c r="X791" s="236"/>
      <c r="Y791" s="236"/>
      <c r="Z791" s="236"/>
      <c r="AA791" s="236"/>
      <c r="AB791" s="236"/>
      <c r="AC791" s="236"/>
      <c r="AD791" s="236"/>
      <c r="AE791" s="236"/>
      <c r="AF791" s="236"/>
      <c r="AG791" s="236"/>
      <c r="AH791" s="236"/>
      <c r="AI791" s="236"/>
      <c r="AJ791" s="236"/>
      <c r="AK791" s="236"/>
      <c r="AL791" s="236"/>
      <c r="AM791" s="236"/>
      <c r="AN791" s="236"/>
      <c r="AO791" s="236"/>
      <c r="AP791" s="236"/>
      <c r="AQ791" s="236"/>
      <c r="AR791" s="236"/>
      <c r="AS791" s="236"/>
      <c r="AT791" s="236"/>
      <c r="AU791" s="236"/>
      <c r="AV791" s="12"/>
      <c r="AW791" s="12"/>
      <c r="AX791" s="12"/>
      <c r="AY791" s="12"/>
      <c r="AZ791" s="12"/>
      <c r="BA791" s="12"/>
      <c r="BB791" s="12"/>
    </row>
    <row r="792" spans="1:54" ht="13">
      <c r="A792" s="12"/>
      <c r="B792" s="27"/>
      <c r="C792" s="27"/>
      <c r="D792" s="407"/>
      <c r="E792" s="27"/>
      <c r="F792" s="27"/>
      <c r="G792" s="27"/>
      <c r="H792" s="408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12"/>
      <c r="AW792" s="12"/>
      <c r="AX792" s="12"/>
      <c r="AY792" s="12"/>
      <c r="AZ792" s="12"/>
      <c r="BA792" s="12"/>
      <c r="BB792" s="12"/>
    </row>
    <row r="793" spans="1:54" ht="13">
      <c r="A793" s="12"/>
      <c r="B793" s="236"/>
      <c r="C793" s="236"/>
      <c r="D793" s="405"/>
      <c r="E793" s="236"/>
      <c r="F793" s="236"/>
      <c r="G793" s="236"/>
      <c r="H793" s="406"/>
      <c r="I793" s="236"/>
      <c r="J793" s="236"/>
      <c r="K793" s="236"/>
      <c r="L793" s="236"/>
      <c r="M793" s="236"/>
      <c r="N793" s="236"/>
      <c r="O793" s="236"/>
      <c r="P793" s="236"/>
      <c r="Q793" s="236"/>
      <c r="R793" s="236"/>
      <c r="S793" s="236"/>
      <c r="T793" s="236"/>
      <c r="U793" s="236"/>
      <c r="V793" s="236"/>
      <c r="W793" s="236"/>
      <c r="X793" s="236"/>
      <c r="Y793" s="236"/>
      <c r="Z793" s="236"/>
      <c r="AA793" s="236"/>
      <c r="AB793" s="236"/>
      <c r="AC793" s="236"/>
      <c r="AD793" s="236"/>
      <c r="AE793" s="236"/>
      <c r="AF793" s="236"/>
      <c r="AG793" s="236"/>
      <c r="AH793" s="236"/>
      <c r="AI793" s="236"/>
      <c r="AJ793" s="236"/>
      <c r="AK793" s="236"/>
      <c r="AL793" s="236"/>
      <c r="AM793" s="236"/>
      <c r="AN793" s="236"/>
      <c r="AO793" s="236"/>
      <c r="AP793" s="236"/>
      <c r="AQ793" s="236"/>
      <c r="AR793" s="236"/>
      <c r="AS793" s="236"/>
      <c r="AT793" s="236"/>
      <c r="AU793" s="236"/>
      <c r="AV793" s="12"/>
      <c r="AW793" s="12"/>
      <c r="AX793" s="12"/>
      <c r="AY793" s="12"/>
      <c r="AZ793" s="12"/>
      <c r="BA793" s="12"/>
      <c r="BB793" s="12"/>
    </row>
    <row r="794" spans="1:54" ht="13">
      <c r="A794" s="12"/>
      <c r="B794" s="27"/>
      <c r="C794" s="27"/>
      <c r="D794" s="407"/>
      <c r="E794" s="27"/>
      <c r="F794" s="27"/>
      <c r="G794" s="27"/>
      <c r="H794" s="408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12"/>
      <c r="AW794" s="12"/>
      <c r="AX794" s="12"/>
      <c r="AY794" s="12"/>
      <c r="AZ794" s="12"/>
      <c r="BA794" s="12"/>
      <c r="BB794" s="12"/>
    </row>
    <row r="795" spans="1:54" ht="13">
      <c r="A795" s="12"/>
      <c r="B795" s="236"/>
      <c r="C795" s="236"/>
      <c r="D795" s="405"/>
      <c r="E795" s="236"/>
      <c r="F795" s="236"/>
      <c r="G795" s="236"/>
      <c r="H795" s="406"/>
      <c r="I795" s="236"/>
      <c r="J795" s="236"/>
      <c r="K795" s="236"/>
      <c r="L795" s="236"/>
      <c r="M795" s="236"/>
      <c r="N795" s="236"/>
      <c r="O795" s="236"/>
      <c r="P795" s="236"/>
      <c r="Q795" s="236"/>
      <c r="R795" s="236"/>
      <c r="S795" s="236"/>
      <c r="T795" s="236"/>
      <c r="U795" s="236"/>
      <c r="V795" s="236"/>
      <c r="W795" s="236"/>
      <c r="X795" s="236"/>
      <c r="Y795" s="236"/>
      <c r="Z795" s="236"/>
      <c r="AA795" s="236"/>
      <c r="AB795" s="236"/>
      <c r="AC795" s="236"/>
      <c r="AD795" s="236"/>
      <c r="AE795" s="236"/>
      <c r="AF795" s="236"/>
      <c r="AG795" s="236"/>
      <c r="AH795" s="236"/>
      <c r="AI795" s="236"/>
      <c r="AJ795" s="236"/>
      <c r="AK795" s="236"/>
      <c r="AL795" s="236"/>
      <c r="AM795" s="236"/>
      <c r="AN795" s="236"/>
      <c r="AO795" s="236"/>
      <c r="AP795" s="236"/>
      <c r="AQ795" s="236"/>
      <c r="AR795" s="236"/>
      <c r="AS795" s="236"/>
      <c r="AT795" s="236"/>
      <c r="AU795" s="236"/>
      <c r="AV795" s="12"/>
      <c r="AW795" s="12"/>
      <c r="AX795" s="12"/>
      <c r="AY795" s="12"/>
      <c r="AZ795" s="12"/>
      <c r="BA795" s="12"/>
      <c r="BB795" s="12"/>
    </row>
    <row r="796" spans="1:54" ht="13">
      <c r="A796" s="12"/>
      <c r="B796" s="27"/>
      <c r="C796" s="27"/>
      <c r="D796" s="407"/>
      <c r="E796" s="27"/>
      <c r="F796" s="27"/>
      <c r="G796" s="27"/>
      <c r="H796" s="408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12"/>
      <c r="AW796" s="12"/>
      <c r="AX796" s="12"/>
      <c r="AY796" s="12"/>
      <c r="AZ796" s="12"/>
      <c r="BA796" s="12"/>
      <c r="BB796" s="12"/>
    </row>
    <row r="797" spans="1:54" ht="13">
      <c r="A797" s="12"/>
      <c r="B797" s="236"/>
      <c r="C797" s="236"/>
      <c r="D797" s="405"/>
      <c r="E797" s="236"/>
      <c r="F797" s="236"/>
      <c r="G797" s="236"/>
      <c r="H797" s="406"/>
      <c r="I797" s="236"/>
      <c r="J797" s="236"/>
      <c r="K797" s="236"/>
      <c r="L797" s="236"/>
      <c r="M797" s="236"/>
      <c r="N797" s="236"/>
      <c r="O797" s="236"/>
      <c r="P797" s="236"/>
      <c r="Q797" s="236"/>
      <c r="R797" s="236"/>
      <c r="S797" s="236"/>
      <c r="T797" s="236"/>
      <c r="U797" s="236"/>
      <c r="V797" s="236"/>
      <c r="W797" s="236"/>
      <c r="X797" s="236"/>
      <c r="Y797" s="236"/>
      <c r="Z797" s="236"/>
      <c r="AA797" s="236"/>
      <c r="AB797" s="236"/>
      <c r="AC797" s="236"/>
      <c r="AD797" s="236"/>
      <c r="AE797" s="236"/>
      <c r="AF797" s="236"/>
      <c r="AG797" s="236"/>
      <c r="AH797" s="236"/>
      <c r="AI797" s="236"/>
      <c r="AJ797" s="236"/>
      <c r="AK797" s="236"/>
      <c r="AL797" s="236"/>
      <c r="AM797" s="236"/>
      <c r="AN797" s="236"/>
      <c r="AO797" s="236"/>
      <c r="AP797" s="236"/>
      <c r="AQ797" s="236"/>
      <c r="AR797" s="236"/>
      <c r="AS797" s="236"/>
      <c r="AT797" s="236"/>
      <c r="AU797" s="236"/>
      <c r="AV797" s="12"/>
      <c r="AW797" s="12"/>
      <c r="AX797" s="12"/>
      <c r="AY797" s="12"/>
      <c r="AZ797" s="12"/>
      <c r="BA797" s="12"/>
      <c r="BB797" s="12"/>
    </row>
    <row r="798" spans="1:54" ht="13">
      <c r="A798" s="12"/>
      <c r="B798" s="27"/>
      <c r="C798" s="27"/>
      <c r="D798" s="407"/>
      <c r="E798" s="27"/>
      <c r="F798" s="27"/>
      <c r="G798" s="27"/>
      <c r="H798" s="408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12"/>
      <c r="AW798" s="12"/>
      <c r="AX798" s="12"/>
      <c r="AY798" s="12"/>
      <c r="AZ798" s="12"/>
      <c r="BA798" s="12"/>
      <c r="BB798" s="12"/>
    </row>
    <row r="799" spans="1:54" ht="13">
      <c r="A799" s="12"/>
      <c r="B799" s="236"/>
      <c r="C799" s="236"/>
      <c r="D799" s="405"/>
      <c r="E799" s="236"/>
      <c r="F799" s="236"/>
      <c r="G799" s="236"/>
      <c r="H799" s="406"/>
      <c r="I799" s="236"/>
      <c r="J799" s="236"/>
      <c r="K799" s="236"/>
      <c r="L799" s="236"/>
      <c r="M799" s="236"/>
      <c r="N799" s="236"/>
      <c r="O799" s="236"/>
      <c r="P799" s="236"/>
      <c r="Q799" s="236"/>
      <c r="R799" s="236"/>
      <c r="S799" s="236"/>
      <c r="T799" s="236"/>
      <c r="U799" s="236"/>
      <c r="V799" s="236"/>
      <c r="W799" s="236"/>
      <c r="X799" s="236"/>
      <c r="Y799" s="236"/>
      <c r="Z799" s="236"/>
      <c r="AA799" s="236"/>
      <c r="AB799" s="236"/>
      <c r="AC799" s="236"/>
      <c r="AD799" s="236"/>
      <c r="AE799" s="236"/>
      <c r="AF799" s="236"/>
      <c r="AG799" s="236"/>
      <c r="AH799" s="236"/>
      <c r="AI799" s="236"/>
      <c r="AJ799" s="236"/>
      <c r="AK799" s="236"/>
      <c r="AL799" s="236"/>
      <c r="AM799" s="236"/>
      <c r="AN799" s="236"/>
      <c r="AO799" s="236"/>
      <c r="AP799" s="236"/>
      <c r="AQ799" s="236"/>
      <c r="AR799" s="236"/>
      <c r="AS799" s="236"/>
      <c r="AT799" s="236"/>
      <c r="AU799" s="236"/>
      <c r="AV799" s="12"/>
      <c r="AW799" s="12"/>
      <c r="AX799" s="12"/>
      <c r="AY799" s="12"/>
      <c r="AZ799" s="12"/>
      <c r="BA799" s="12"/>
      <c r="BB799" s="12"/>
    </row>
    <row r="800" spans="1:54" ht="13">
      <c r="A800" s="12"/>
      <c r="B800" s="27"/>
      <c r="C800" s="27"/>
      <c r="D800" s="407"/>
      <c r="E800" s="27"/>
      <c r="F800" s="27"/>
      <c r="G800" s="27"/>
      <c r="H800" s="408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12"/>
      <c r="AW800" s="12"/>
      <c r="AX800" s="12"/>
      <c r="AY800" s="12"/>
      <c r="AZ800" s="12"/>
      <c r="BA800" s="12"/>
      <c r="BB800" s="12"/>
    </row>
    <row r="801" spans="1:54" ht="13">
      <c r="A801" s="12"/>
      <c r="B801" s="236"/>
      <c r="C801" s="236"/>
      <c r="D801" s="405"/>
      <c r="E801" s="236"/>
      <c r="F801" s="236"/>
      <c r="G801" s="236"/>
      <c r="H801" s="406"/>
      <c r="I801" s="236"/>
      <c r="J801" s="236"/>
      <c r="K801" s="236"/>
      <c r="L801" s="236"/>
      <c r="M801" s="236"/>
      <c r="N801" s="236"/>
      <c r="O801" s="236"/>
      <c r="P801" s="236"/>
      <c r="Q801" s="236"/>
      <c r="R801" s="236"/>
      <c r="S801" s="236"/>
      <c r="T801" s="236"/>
      <c r="U801" s="236"/>
      <c r="V801" s="236"/>
      <c r="W801" s="236"/>
      <c r="X801" s="236"/>
      <c r="Y801" s="236"/>
      <c r="Z801" s="236"/>
      <c r="AA801" s="236"/>
      <c r="AB801" s="236"/>
      <c r="AC801" s="236"/>
      <c r="AD801" s="236"/>
      <c r="AE801" s="236"/>
      <c r="AF801" s="236"/>
      <c r="AG801" s="236"/>
      <c r="AH801" s="236"/>
      <c r="AI801" s="236"/>
      <c r="AJ801" s="236"/>
      <c r="AK801" s="236"/>
      <c r="AL801" s="236"/>
      <c r="AM801" s="236"/>
      <c r="AN801" s="236"/>
      <c r="AO801" s="236"/>
      <c r="AP801" s="236"/>
      <c r="AQ801" s="236"/>
      <c r="AR801" s="236"/>
      <c r="AS801" s="236"/>
      <c r="AT801" s="236"/>
      <c r="AU801" s="236"/>
      <c r="AV801" s="12"/>
      <c r="AW801" s="12"/>
      <c r="AX801" s="12"/>
      <c r="AY801" s="12"/>
      <c r="AZ801" s="12"/>
      <c r="BA801" s="12"/>
      <c r="BB801" s="12"/>
    </row>
    <row r="802" spans="1:54" ht="13">
      <c r="A802" s="12"/>
      <c r="B802" s="27"/>
      <c r="C802" s="27"/>
      <c r="D802" s="407"/>
      <c r="E802" s="27"/>
      <c r="F802" s="27"/>
      <c r="G802" s="27"/>
      <c r="H802" s="408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12"/>
      <c r="AW802" s="12"/>
      <c r="AX802" s="12"/>
      <c r="AY802" s="12"/>
      <c r="AZ802" s="12"/>
      <c r="BA802" s="12"/>
      <c r="BB802" s="12"/>
    </row>
    <row r="803" spans="1:54" ht="13">
      <c r="A803" s="12"/>
      <c r="B803" s="236"/>
      <c r="C803" s="236"/>
      <c r="D803" s="405"/>
      <c r="E803" s="236"/>
      <c r="F803" s="236"/>
      <c r="G803" s="236"/>
      <c r="H803" s="406"/>
      <c r="I803" s="236"/>
      <c r="J803" s="236"/>
      <c r="K803" s="236"/>
      <c r="L803" s="236"/>
      <c r="M803" s="236"/>
      <c r="N803" s="236"/>
      <c r="O803" s="236"/>
      <c r="P803" s="236"/>
      <c r="Q803" s="236"/>
      <c r="R803" s="236"/>
      <c r="S803" s="236"/>
      <c r="T803" s="236"/>
      <c r="U803" s="236"/>
      <c r="V803" s="236"/>
      <c r="W803" s="236"/>
      <c r="X803" s="236"/>
      <c r="Y803" s="236"/>
      <c r="Z803" s="236"/>
      <c r="AA803" s="236"/>
      <c r="AB803" s="236"/>
      <c r="AC803" s="236"/>
      <c r="AD803" s="236"/>
      <c r="AE803" s="236"/>
      <c r="AF803" s="236"/>
      <c r="AG803" s="236"/>
      <c r="AH803" s="236"/>
      <c r="AI803" s="236"/>
      <c r="AJ803" s="236"/>
      <c r="AK803" s="236"/>
      <c r="AL803" s="236"/>
      <c r="AM803" s="236"/>
      <c r="AN803" s="236"/>
      <c r="AO803" s="236"/>
      <c r="AP803" s="236"/>
      <c r="AQ803" s="236"/>
      <c r="AR803" s="236"/>
      <c r="AS803" s="236"/>
      <c r="AT803" s="236"/>
      <c r="AU803" s="236"/>
      <c r="AV803" s="12"/>
      <c r="AW803" s="12"/>
      <c r="AX803" s="12"/>
      <c r="AY803" s="12"/>
      <c r="AZ803" s="12"/>
      <c r="BA803" s="12"/>
      <c r="BB803" s="12"/>
    </row>
    <row r="804" spans="1:54" ht="13">
      <c r="A804" s="12"/>
      <c r="B804" s="27"/>
      <c r="C804" s="27"/>
      <c r="D804" s="407"/>
      <c r="E804" s="27"/>
      <c r="F804" s="27"/>
      <c r="G804" s="27"/>
      <c r="H804" s="408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12"/>
      <c r="AW804" s="12"/>
      <c r="AX804" s="12"/>
      <c r="AY804" s="12"/>
      <c r="AZ804" s="12"/>
      <c r="BA804" s="12"/>
      <c r="BB804" s="12"/>
    </row>
    <row r="805" spans="1:54" ht="13">
      <c r="A805" s="12"/>
      <c r="B805" s="236"/>
      <c r="C805" s="236"/>
      <c r="D805" s="405"/>
      <c r="E805" s="236"/>
      <c r="F805" s="236"/>
      <c r="G805" s="236"/>
      <c r="H805" s="406"/>
      <c r="I805" s="236"/>
      <c r="J805" s="236"/>
      <c r="K805" s="236"/>
      <c r="L805" s="236"/>
      <c r="M805" s="236"/>
      <c r="N805" s="236"/>
      <c r="O805" s="236"/>
      <c r="P805" s="236"/>
      <c r="Q805" s="236"/>
      <c r="R805" s="236"/>
      <c r="S805" s="236"/>
      <c r="T805" s="236"/>
      <c r="U805" s="236"/>
      <c r="V805" s="236"/>
      <c r="W805" s="236"/>
      <c r="X805" s="236"/>
      <c r="Y805" s="236"/>
      <c r="Z805" s="236"/>
      <c r="AA805" s="236"/>
      <c r="AB805" s="236"/>
      <c r="AC805" s="236"/>
      <c r="AD805" s="236"/>
      <c r="AE805" s="236"/>
      <c r="AF805" s="236"/>
      <c r="AG805" s="236"/>
      <c r="AH805" s="236"/>
      <c r="AI805" s="236"/>
      <c r="AJ805" s="236"/>
      <c r="AK805" s="236"/>
      <c r="AL805" s="236"/>
      <c r="AM805" s="236"/>
      <c r="AN805" s="236"/>
      <c r="AO805" s="236"/>
      <c r="AP805" s="236"/>
      <c r="AQ805" s="236"/>
      <c r="AR805" s="236"/>
      <c r="AS805" s="236"/>
      <c r="AT805" s="236"/>
      <c r="AU805" s="236"/>
      <c r="AV805" s="12"/>
      <c r="AW805" s="12"/>
      <c r="AX805" s="12"/>
      <c r="AY805" s="12"/>
      <c r="AZ805" s="12"/>
      <c r="BA805" s="12"/>
      <c r="BB805" s="12"/>
    </row>
    <row r="806" spans="1:54" ht="13">
      <c r="A806" s="12"/>
      <c r="B806" s="27"/>
      <c r="C806" s="27"/>
      <c r="D806" s="407"/>
      <c r="E806" s="27"/>
      <c r="F806" s="27"/>
      <c r="G806" s="27"/>
      <c r="H806" s="408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12"/>
      <c r="AW806" s="12"/>
      <c r="AX806" s="12"/>
      <c r="AY806" s="12"/>
      <c r="AZ806" s="12"/>
      <c r="BA806" s="12"/>
      <c r="BB806" s="12"/>
    </row>
    <row r="807" spans="1:54" ht="13">
      <c r="A807" s="12"/>
      <c r="B807" s="236"/>
      <c r="C807" s="236"/>
      <c r="D807" s="405"/>
      <c r="E807" s="236"/>
      <c r="F807" s="236"/>
      <c r="G807" s="236"/>
      <c r="H807" s="406"/>
      <c r="I807" s="236"/>
      <c r="J807" s="236"/>
      <c r="K807" s="236"/>
      <c r="L807" s="236"/>
      <c r="M807" s="236"/>
      <c r="N807" s="236"/>
      <c r="O807" s="236"/>
      <c r="P807" s="236"/>
      <c r="Q807" s="236"/>
      <c r="R807" s="236"/>
      <c r="S807" s="236"/>
      <c r="T807" s="236"/>
      <c r="U807" s="236"/>
      <c r="V807" s="236"/>
      <c r="W807" s="236"/>
      <c r="X807" s="236"/>
      <c r="Y807" s="236"/>
      <c r="Z807" s="236"/>
      <c r="AA807" s="236"/>
      <c r="AB807" s="236"/>
      <c r="AC807" s="236"/>
      <c r="AD807" s="236"/>
      <c r="AE807" s="236"/>
      <c r="AF807" s="236"/>
      <c r="AG807" s="236"/>
      <c r="AH807" s="236"/>
      <c r="AI807" s="236"/>
      <c r="AJ807" s="236"/>
      <c r="AK807" s="236"/>
      <c r="AL807" s="236"/>
      <c r="AM807" s="236"/>
      <c r="AN807" s="236"/>
      <c r="AO807" s="236"/>
      <c r="AP807" s="236"/>
      <c r="AQ807" s="236"/>
      <c r="AR807" s="236"/>
      <c r="AS807" s="236"/>
      <c r="AT807" s="236"/>
      <c r="AU807" s="236"/>
      <c r="AV807" s="12"/>
      <c r="AW807" s="12"/>
      <c r="AX807" s="12"/>
      <c r="AY807" s="12"/>
      <c r="AZ807" s="12"/>
      <c r="BA807" s="12"/>
      <c r="BB807" s="12"/>
    </row>
    <row r="808" spans="1:54" ht="13">
      <c r="A808" s="12"/>
      <c r="B808" s="27"/>
      <c r="C808" s="27"/>
      <c r="D808" s="407"/>
      <c r="E808" s="27"/>
      <c r="F808" s="27"/>
      <c r="G808" s="27"/>
      <c r="H808" s="408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12"/>
      <c r="AW808" s="12"/>
      <c r="AX808" s="12"/>
      <c r="AY808" s="12"/>
      <c r="AZ808" s="12"/>
      <c r="BA808" s="12"/>
      <c r="BB808" s="12"/>
    </row>
    <row r="809" spans="1:54" ht="13">
      <c r="A809" s="12"/>
      <c r="B809" s="236"/>
      <c r="C809" s="236"/>
      <c r="D809" s="405"/>
      <c r="E809" s="236"/>
      <c r="F809" s="236"/>
      <c r="G809" s="236"/>
      <c r="H809" s="406"/>
      <c r="I809" s="236"/>
      <c r="J809" s="236"/>
      <c r="K809" s="236"/>
      <c r="L809" s="236"/>
      <c r="M809" s="236"/>
      <c r="N809" s="236"/>
      <c r="O809" s="236"/>
      <c r="P809" s="236"/>
      <c r="Q809" s="236"/>
      <c r="R809" s="236"/>
      <c r="S809" s="236"/>
      <c r="T809" s="236"/>
      <c r="U809" s="236"/>
      <c r="V809" s="236"/>
      <c r="W809" s="236"/>
      <c r="X809" s="236"/>
      <c r="Y809" s="236"/>
      <c r="Z809" s="236"/>
      <c r="AA809" s="236"/>
      <c r="AB809" s="236"/>
      <c r="AC809" s="236"/>
      <c r="AD809" s="236"/>
      <c r="AE809" s="236"/>
      <c r="AF809" s="236"/>
      <c r="AG809" s="236"/>
      <c r="AH809" s="236"/>
      <c r="AI809" s="236"/>
      <c r="AJ809" s="236"/>
      <c r="AK809" s="236"/>
      <c r="AL809" s="236"/>
      <c r="AM809" s="236"/>
      <c r="AN809" s="236"/>
      <c r="AO809" s="236"/>
      <c r="AP809" s="236"/>
      <c r="AQ809" s="236"/>
      <c r="AR809" s="236"/>
      <c r="AS809" s="236"/>
      <c r="AT809" s="236"/>
      <c r="AU809" s="236"/>
      <c r="AV809" s="12"/>
      <c r="AW809" s="12"/>
      <c r="AX809" s="12"/>
      <c r="AY809" s="12"/>
      <c r="AZ809" s="12"/>
      <c r="BA809" s="12"/>
      <c r="BB809" s="12"/>
    </row>
    <row r="810" spans="1:54" ht="13">
      <c r="A810" s="12"/>
      <c r="B810" s="27"/>
      <c r="C810" s="27"/>
      <c r="D810" s="407"/>
      <c r="E810" s="27"/>
      <c r="F810" s="27"/>
      <c r="G810" s="27"/>
      <c r="H810" s="408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12"/>
      <c r="AW810" s="12"/>
      <c r="AX810" s="12"/>
      <c r="AY810" s="12"/>
      <c r="AZ810" s="12"/>
      <c r="BA810" s="12"/>
      <c r="BB810" s="12"/>
    </row>
    <row r="811" spans="1:54" ht="13">
      <c r="A811" s="12"/>
      <c r="B811" s="236"/>
      <c r="C811" s="236"/>
      <c r="D811" s="405"/>
      <c r="E811" s="236"/>
      <c r="F811" s="236"/>
      <c r="G811" s="236"/>
      <c r="H811" s="406"/>
      <c r="I811" s="236"/>
      <c r="J811" s="236"/>
      <c r="K811" s="236"/>
      <c r="L811" s="236"/>
      <c r="M811" s="236"/>
      <c r="N811" s="236"/>
      <c r="O811" s="236"/>
      <c r="P811" s="236"/>
      <c r="Q811" s="236"/>
      <c r="R811" s="236"/>
      <c r="S811" s="236"/>
      <c r="T811" s="236"/>
      <c r="U811" s="236"/>
      <c r="V811" s="236"/>
      <c r="W811" s="236"/>
      <c r="X811" s="236"/>
      <c r="Y811" s="236"/>
      <c r="Z811" s="236"/>
      <c r="AA811" s="236"/>
      <c r="AB811" s="236"/>
      <c r="AC811" s="236"/>
      <c r="AD811" s="236"/>
      <c r="AE811" s="236"/>
      <c r="AF811" s="236"/>
      <c r="AG811" s="236"/>
      <c r="AH811" s="236"/>
      <c r="AI811" s="236"/>
      <c r="AJ811" s="236"/>
      <c r="AK811" s="236"/>
      <c r="AL811" s="236"/>
      <c r="AM811" s="236"/>
      <c r="AN811" s="236"/>
      <c r="AO811" s="236"/>
      <c r="AP811" s="236"/>
      <c r="AQ811" s="236"/>
      <c r="AR811" s="236"/>
      <c r="AS811" s="236"/>
      <c r="AT811" s="236"/>
      <c r="AU811" s="236"/>
      <c r="AV811" s="12"/>
      <c r="AW811" s="12"/>
      <c r="AX811" s="12"/>
      <c r="AY811" s="12"/>
      <c r="AZ811" s="12"/>
      <c r="BA811" s="12"/>
      <c r="BB811" s="12"/>
    </row>
    <row r="812" spans="1:54" ht="13">
      <c r="A812" s="12"/>
      <c r="B812" s="27"/>
      <c r="C812" s="27"/>
      <c r="D812" s="407"/>
      <c r="E812" s="27"/>
      <c r="F812" s="27"/>
      <c r="G812" s="27"/>
      <c r="H812" s="408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12"/>
      <c r="AW812" s="12"/>
      <c r="AX812" s="12"/>
      <c r="AY812" s="12"/>
      <c r="AZ812" s="12"/>
      <c r="BA812" s="12"/>
      <c r="BB812" s="12"/>
    </row>
    <row r="813" spans="1:54" ht="13">
      <c r="A813" s="12"/>
      <c r="B813" s="236"/>
      <c r="C813" s="236"/>
      <c r="D813" s="405"/>
      <c r="E813" s="236"/>
      <c r="F813" s="236"/>
      <c r="G813" s="236"/>
      <c r="H813" s="406"/>
      <c r="I813" s="236"/>
      <c r="J813" s="236"/>
      <c r="K813" s="236"/>
      <c r="L813" s="236"/>
      <c r="M813" s="236"/>
      <c r="N813" s="236"/>
      <c r="O813" s="236"/>
      <c r="P813" s="236"/>
      <c r="Q813" s="236"/>
      <c r="R813" s="236"/>
      <c r="S813" s="236"/>
      <c r="T813" s="236"/>
      <c r="U813" s="236"/>
      <c r="V813" s="236"/>
      <c r="W813" s="236"/>
      <c r="X813" s="236"/>
      <c r="Y813" s="236"/>
      <c r="Z813" s="236"/>
      <c r="AA813" s="236"/>
      <c r="AB813" s="236"/>
      <c r="AC813" s="236"/>
      <c r="AD813" s="236"/>
      <c r="AE813" s="236"/>
      <c r="AF813" s="236"/>
      <c r="AG813" s="236"/>
      <c r="AH813" s="236"/>
      <c r="AI813" s="236"/>
      <c r="AJ813" s="236"/>
      <c r="AK813" s="236"/>
      <c r="AL813" s="236"/>
      <c r="AM813" s="236"/>
      <c r="AN813" s="236"/>
      <c r="AO813" s="236"/>
      <c r="AP813" s="236"/>
      <c r="AQ813" s="236"/>
      <c r="AR813" s="236"/>
      <c r="AS813" s="236"/>
      <c r="AT813" s="236"/>
      <c r="AU813" s="236"/>
      <c r="AV813" s="12"/>
      <c r="AW813" s="12"/>
      <c r="AX813" s="12"/>
      <c r="AY813" s="12"/>
      <c r="AZ813" s="12"/>
      <c r="BA813" s="12"/>
      <c r="BB813" s="12"/>
    </row>
    <row r="814" spans="1:54" ht="13">
      <c r="A814" s="12"/>
      <c r="B814" s="27"/>
      <c r="C814" s="27"/>
      <c r="D814" s="407"/>
      <c r="E814" s="27"/>
      <c r="F814" s="27"/>
      <c r="G814" s="27"/>
      <c r="H814" s="408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12"/>
      <c r="AW814" s="12"/>
      <c r="AX814" s="12"/>
      <c r="AY814" s="12"/>
      <c r="AZ814" s="12"/>
      <c r="BA814" s="12"/>
      <c r="BB814" s="12"/>
    </row>
    <row r="815" spans="1:54" ht="13">
      <c r="A815" s="12"/>
      <c r="B815" s="236"/>
      <c r="C815" s="236"/>
      <c r="D815" s="405"/>
      <c r="E815" s="236"/>
      <c r="F815" s="236"/>
      <c r="G815" s="236"/>
      <c r="H815" s="406"/>
      <c r="I815" s="236"/>
      <c r="J815" s="236"/>
      <c r="K815" s="236"/>
      <c r="L815" s="236"/>
      <c r="M815" s="236"/>
      <c r="N815" s="236"/>
      <c r="O815" s="236"/>
      <c r="P815" s="236"/>
      <c r="Q815" s="236"/>
      <c r="R815" s="236"/>
      <c r="S815" s="236"/>
      <c r="T815" s="236"/>
      <c r="U815" s="236"/>
      <c r="V815" s="236"/>
      <c r="W815" s="236"/>
      <c r="X815" s="236"/>
      <c r="Y815" s="236"/>
      <c r="Z815" s="236"/>
      <c r="AA815" s="236"/>
      <c r="AB815" s="236"/>
      <c r="AC815" s="236"/>
      <c r="AD815" s="236"/>
      <c r="AE815" s="236"/>
      <c r="AF815" s="236"/>
      <c r="AG815" s="236"/>
      <c r="AH815" s="236"/>
      <c r="AI815" s="236"/>
      <c r="AJ815" s="236"/>
      <c r="AK815" s="236"/>
      <c r="AL815" s="236"/>
      <c r="AM815" s="236"/>
      <c r="AN815" s="236"/>
      <c r="AO815" s="236"/>
      <c r="AP815" s="236"/>
      <c r="AQ815" s="236"/>
      <c r="AR815" s="236"/>
      <c r="AS815" s="236"/>
      <c r="AT815" s="236"/>
      <c r="AU815" s="236"/>
      <c r="AV815" s="12"/>
      <c r="AW815" s="12"/>
      <c r="AX815" s="12"/>
      <c r="AY815" s="12"/>
      <c r="AZ815" s="12"/>
      <c r="BA815" s="12"/>
      <c r="BB815" s="12"/>
    </row>
    <row r="816" spans="1:54" ht="13">
      <c r="A816" s="12"/>
      <c r="B816" s="27"/>
      <c r="C816" s="27"/>
      <c r="D816" s="407"/>
      <c r="E816" s="27"/>
      <c r="F816" s="27"/>
      <c r="G816" s="27"/>
      <c r="H816" s="408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12"/>
      <c r="AW816" s="12"/>
      <c r="AX816" s="12"/>
      <c r="AY816" s="12"/>
      <c r="AZ816" s="12"/>
      <c r="BA816" s="12"/>
      <c r="BB816" s="12"/>
    </row>
    <row r="817" spans="1:54" ht="13">
      <c r="A817" s="12"/>
      <c r="B817" s="236"/>
      <c r="C817" s="236"/>
      <c r="D817" s="405"/>
      <c r="E817" s="236"/>
      <c r="F817" s="236"/>
      <c r="G817" s="236"/>
      <c r="H817" s="406"/>
      <c r="I817" s="236"/>
      <c r="J817" s="236"/>
      <c r="K817" s="236"/>
      <c r="L817" s="236"/>
      <c r="M817" s="236"/>
      <c r="N817" s="236"/>
      <c r="O817" s="236"/>
      <c r="P817" s="236"/>
      <c r="Q817" s="236"/>
      <c r="R817" s="236"/>
      <c r="S817" s="236"/>
      <c r="T817" s="236"/>
      <c r="U817" s="236"/>
      <c r="V817" s="236"/>
      <c r="W817" s="236"/>
      <c r="X817" s="236"/>
      <c r="Y817" s="236"/>
      <c r="Z817" s="236"/>
      <c r="AA817" s="236"/>
      <c r="AB817" s="236"/>
      <c r="AC817" s="236"/>
      <c r="AD817" s="236"/>
      <c r="AE817" s="236"/>
      <c r="AF817" s="236"/>
      <c r="AG817" s="236"/>
      <c r="AH817" s="236"/>
      <c r="AI817" s="236"/>
      <c r="AJ817" s="236"/>
      <c r="AK817" s="236"/>
      <c r="AL817" s="236"/>
      <c r="AM817" s="236"/>
      <c r="AN817" s="236"/>
      <c r="AO817" s="236"/>
      <c r="AP817" s="236"/>
      <c r="AQ817" s="236"/>
      <c r="AR817" s="236"/>
      <c r="AS817" s="236"/>
      <c r="AT817" s="236"/>
      <c r="AU817" s="236"/>
      <c r="AV817" s="12"/>
      <c r="AW817" s="12"/>
      <c r="AX817" s="12"/>
      <c r="AY817" s="12"/>
      <c r="AZ817" s="12"/>
      <c r="BA817" s="12"/>
      <c r="BB817" s="12"/>
    </row>
    <row r="818" spans="1:54" ht="13">
      <c r="A818" s="12"/>
      <c r="B818" s="27"/>
      <c r="C818" s="27"/>
      <c r="D818" s="407"/>
      <c r="E818" s="27"/>
      <c r="F818" s="27"/>
      <c r="G818" s="27"/>
      <c r="H818" s="408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12"/>
      <c r="AW818" s="12"/>
      <c r="AX818" s="12"/>
      <c r="AY818" s="12"/>
      <c r="AZ818" s="12"/>
      <c r="BA818" s="12"/>
      <c r="BB818" s="12"/>
    </row>
    <row r="819" spans="1:54" ht="13">
      <c r="A819" s="12"/>
      <c r="B819" s="236"/>
      <c r="C819" s="236"/>
      <c r="D819" s="405"/>
      <c r="E819" s="236"/>
      <c r="F819" s="236"/>
      <c r="G819" s="236"/>
      <c r="H819" s="406"/>
      <c r="I819" s="236"/>
      <c r="J819" s="236"/>
      <c r="K819" s="236"/>
      <c r="L819" s="236"/>
      <c r="M819" s="236"/>
      <c r="N819" s="236"/>
      <c r="O819" s="236"/>
      <c r="P819" s="236"/>
      <c r="Q819" s="236"/>
      <c r="R819" s="236"/>
      <c r="S819" s="236"/>
      <c r="T819" s="236"/>
      <c r="U819" s="236"/>
      <c r="V819" s="236"/>
      <c r="W819" s="236"/>
      <c r="X819" s="236"/>
      <c r="Y819" s="236"/>
      <c r="Z819" s="236"/>
      <c r="AA819" s="236"/>
      <c r="AB819" s="236"/>
      <c r="AC819" s="236"/>
      <c r="AD819" s="236"/>
      <c r="AE819" s="236"/>
      <c r="AF819" s="236"/>
      <c r="AG819" s="236"/>
      <c r="AH819" s="236"/>
      <c r="AI819" s="236"/>
      <c r="AJ819" s="236"/>
      <c r="AK819" s="236"/>
      <c r="AL819" s="236"/>
      <c r="AM819" s="236"/>
      <c r="AN819" s="236"/>
      <c r="AO819" s="236"/>
      <c r="AP819" s="236"/>
      <c r="AQ819" s="236"/>
      <c r="AR819" s="236"/>
      <c r="AS819" s="236"/>
      <c r="AT819" s="236"/>
      <c r="AU819" s="236"/>
      <c r="AV819" s="12"/>
      <c r="AW819" s="12"/>
      <c r="AX819" s="12"/>
      <c r="AY819" s="12"/>
      <c r="AZ819" s="12"/>
      <c r="BA819" s="12"/>
      <c r="BB819" s="12"/>
    </row>
    <row r="820" spans="1:54" ht="13">
      <c r="A820" s="12"/>
      <c r="B820" s="27"/>
      <c r="C820" s="27"/>
      <c r="D820" s="407"/>
      <c r="E820" s="27"/>
      <c r="F820" s="27"/>
      <c r="G820" s="27"/>
      <c r="H820" s="408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12"/>
      <c r="AW820" s="12"/>
      <c r="AX820" s="12"/>
      <c r="AY820" s="12"/>
      <c r="AZ820" s="12"/>
      <c r="BA820" s="12"/>
      <c r="BB820" s="12"/>
    </row>
    <row r="821" spans="1:54" ht="13">
      <c r="A821" s="12"/>
      <c r="B821" s="236"/>
      <c r="C821" s="236"/>
      <c r="D821" s="405"/>
      <c r="E821" s="236"/>
      <c r="F821" s="236"/>
      <c r="G821" s="236"/>
      <c r="H821" s="406"/>
      <c r="I821" s="236"/>
      <c r="J821" s="236"/>
      <c r="K821" s="236"/>
      <c r="L821" s="236"/>
      <c r="M821" s="236"/>
      <c r="N821" s="236"/>
      <c r="O821" s="236"/>
      <c r="P821" s="236"/>
      <c r="Q821" s="236"/>
      <c r="R821" s="236"/>
      <c r="S821" s="236"/>
      <c r="T821" s="236"/>
      <c r="U821" s="236"/>
      <c r="V821" s="236"/>
      <c r="W821" s="236"/>
      <c r="X821" s="236"/>
      <c r="Y821" s="236"/>
      <c r="Z821" s="236"/>
      <c r="AA821" s="236"/>
      <c r="AB821" s="236"/>
      <c r="AC821" s="236"/>
      <c r="AD821" s="236"/>
      <c r="AE821" s="236"/>
      <c r="AF821" s="236"/>
      <c r="AG821" s="236"/>
      <c r="AH821" s="236"/>
      <c r="AI821" s="236"/>
      <c r="AJ821" s="236"/>
      <c r="AK821" s="236"/>
      <c r="AL821" s="236"/>
      <c r="AM821" s="236"/>
      <c r="AN821" s="236"/>
      <c r="AO821" s="236"/>
      <c r="AP821" s="236"/>
      <c r="AQ821" s="236"/>
      <c r="AR821" s="236"/>
      <c r="AS821" s="236"/>
      <c r="AT821" s="236"/>
      <c r="AU821" s="236"/>
      <c r="AV821" s="12"/>
      <c r="AW821" s="12"/>
      <c r="AX821" s="12"/>
      <c r="AY821" s="12"/>
      <c r="AZ821" s="12"/>
      <c r="BA821" s="12"/>
      <c r="BB821" s="12"/>
    </row>
    <row r="822" spans="1:54" ht="13">
      <c r="A822" s="12"/>
      <c r="B822" s="27"/>
      <c r="C822" s="27"/>
      <c r="D822" s="407"/>
      <c r="E822" s="27"/>
      <c r="F822" s="27"/>
      <c r="G822" s="27"/>
      <c r="H822" s="408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12"/>
      <c r="AW822" s="12"/>
      <c r="AX822" s="12"/>
      <c r="AY822" s="12"/>
      <c r="AZ822" s="12"/>
      <c r="BA822" s="12"/>
      <c r="BB822" s="12"/>
    </row>
    <row r="823" spans="1:54" ht="13">
      <c r="A823" s="12"/>
      <c r="B823" s="236"/>
      <c r="C823" s="236"/>
      <c r="D823" s="405"/>
      <c r="E823" s="236"/>
      <c r="F823" s="236"/>
      <c r="G823" s="236"/>
      <c r="H823" s="406"/>
      <c r="I823" s="236"/>
      <c r="J823" s="236"/>
      <c r="K823" s="236"/>
      <c r="L823" s="236"/>
      <c r="M823" s="236"/>
      <c r="N823" s="236"/>
      <c r="O823" s="236"/>
      <c r="P823" s="236"/>
      <c r="Q823" s="236"/>
      <c r="R823" s="236"/>
      <c r="S823" s="236"/>
      <c r="T823" s="236"/>
      <c r="U823" s="236"/>
      <c r="V823" s="236"/>
      <c r="W823" s="236"/>
      <c r="X823" s="236"/>
      <c r="Y823" s="236"/>
      <c r="Z823" s="236"/>
      <c r="AA823" s="236"/>
      <c r="AB823" s="236"/>
      <c r="AC823" s="236"/>
      <c r="AD823" s="236"/>
      <c r="AE823" s="236"/>
      <c r="AF823" s="236"/>
      <c r="AG823" s="236"/>
      <c r="AH823" s="236"/>
      <c r="AI823" s="236"/>
      <c r="AJ823" s="236"/>
      <c r="AK823" s="236"/>
      <c r="AL823" s="236"/>
      <c r="AM823" s="236"/>
      <c r="AN823" s="236"/>
      <c r="AO823" s="236"/>
      <c r="AP823" s="236"/>
      <c r="AQ823" s="236"/>
      <c r="AR823" s="236"/>
      <c r="AS823" s="236"/>
      <c r="AT823" s="236"/>
      <c r="AU823" s="236"/>
      <c r="AV823" s="12"/>
      <c r="AW823" s="12"/>
      <c r="AX823" s="12"/>
      <c r="AY823" s="12"/>
      <c r="AZ823" s="12"/>
      <c r="BA823" s="12"/>
      <c r="BB823" s="12"/>
    </row>
    <row r="824" spans="1:54" ht="13">
      <c r="A824" s="12"/>
      <c r="B824" s="27"/>
      <c r="C824" s="27"/>
      <c r="D824" s="407"/>
      <c r="E824" s="27"/>
      <c r="F824" s="27"/>
      <c r="G824" s="27"/>
      <c r="H824" s="408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12"/>
      <c r="AW824" s="12"/>
      <c r="AX824" s="12"/>
      <c r="AY824" s="12"/>
      <c r="AZ824" s="12"/>
      <c r="BA824" s="12"/>
      <c r="BB824" s="12"/>
    </row>
    <row r="825" spans="1:54" ht="13">
      <c r="A825" s="12"/>
      <c r="B825" s="236"/>
      <c r="C825" s="236"/>
      <c r="D825" s="405"/>
      <c r="E825" s="236"/>
      <c r="F825" s="236"/>
      <c r="G825" s="236"/>
      <c r="H825" s="406"/>
      <c r="I825" s="236"/>
      <c r="J825" s="236"/>
      <c r="K825" s="236"/>
      <c r="L825" s="236"/>
      <c r="M825" s="236"/>
      <c r="N825" s="236"/>
      <c r="O825" s="236"/>
      <c r="P825" s="236"/>
      <c r="Q825" s="236"/>
      <c r="R825" s="236"/>
      <c r="S825" s="236"/>
      <c r="T825" s="236"/>
      <c r="U825" s="236"/>
      <c r="V825" s="236"/>
      <c r="W825" s="236"/>
      <c r="X825" s="236"/>
      <c r="Y825" s="236"/>
      <c r="Z825" s="236"/>
      <c r="AA825" s="236"/>
      <c r="AB825" s="236"/>
      <c r="AC825" s="236"/>
      <c r="AD825" s="236"/>
      <c r="AE825" s="236"/>
      <c r="AF825" s="236"/>
      <c r="AG825" s="236"/>
      <c r="AH825" s="236"/>
      <c r="AI825" s="236"/>
      <c r="AJ825" s="236"/>
      <c r="AK825" s="236"/>
      <c r="AL825" s="236"/>
      <c r="AM825" s="236"/>
      <c r="AN825" s="236"/>
      <c r="AO825" s="236"/>
      <c r="AP825" s="236"/>
      <c r="AQ825" s="236"/>
      <c r="AR825" s="236"/>
      <c r="AS825" s="236"/>
      <c r="AT825" s="236"/>
      <c r="AU825" s="236"/>
      <c r="AV825" s="12"/>
      <c r="AW825" s="12"/>
      <c r="AX825" s="12"/>
      <c r="AY825" s="12"/>
      <c r="AZ825" s="12"/>
      <c r="BA825" s="12"/>
      <c r="BB825" s="12"/>
    </row>
    <row r="826" spans="1:54" ht="13">
      <c r="A826" s="12"/>
      <c r="B826" s="27"/>
      <c r="C826" s="27"/>
      <c r="D826" s="407"/>
      <c r="E826" s="27"/>
      <c r="F826" s="27"/>
      <c r="G826" s="27"/>
      <c r="H826" s="408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12"/>
      <c r="AW826" s="12"/>
      <c r="AX826" s="12"/>
      <c r="AY826" s="12"/>
      <c r="AZ826" s="12"/>
      <c r="BA826" s="12"/>
      <c r="BB826" s="12"/>
    </row>
    <row r="827" spans="1:54" ht="13">
      <c r="A827" s="12"/>
      <c r="B827" s="236"/>
      <c r="C827" s="236"/>
      <c r="D827" s="405"/>
      <c r="E827" s="236"/>
      <c r="F827" s="236"/>
      <c r="G827" s="236"/>
      <c r="H827" s="406"/>
      <c r="I827" s="236"/>
      <c r="J827" s="236"/>
      <c r="K827" s="236"/>
      <c r="L827" s="236"/>
      <c r="M827" s="236"/>
      <c r="N827" s="236"/>
      <c r="O827" s="236"/>
      <c r="P827" s="236"/>
      <c r="Q827" s="236"/>
      <c r="R827" s="236"/>
      <c r="S827" s="236"/>
      <c r="T827" s="236"/>
      <c r="U827" s="236"/>
      <c r="V827" s="236"/>
      <c r="W827" s="236"/>
      <c r="X827" s="236"/>
      <c r="Y827" s="236"/>
      <c r="Z827" s="236"/>
      <c r="AA827" s="236"/>
      <c r="AB827" s="236"/>
      <c r="AC827" s="236"/>
      <c r="AD827" s="236"/>
      <c r="AE827" s="236"/>
      <c r="AF827" s="236"/>
      <c r="AG827" s="236"/>
      <c r="AH827" s="236"/>
      <c r="AI827" s="236"/>
      <c r="AJ827" s="236"/>
      <c r="AK827" s="236"/>
      <c r="AL827" s="236"/>
      <c r="AM827" s="236"/>
      <c r="AN827" s="236"/>
      <c r="AO827" s="236"/>
      <c r="AP827" s="236"/>
      <c r="AQ827" s="236"/>
      <c r="AR827" s="236"/>
      <c r="AS827" s="236"/>
      <c r="AT827" s="236"/>
      <c r="AU827" s="236"/>
      <c r="AV827" s="12"/>
      <c r="AW827" s="12"/>
      <c r="AX827" s="12"/>
      <c r="AY827" s="12"/>
      <c r="AZ827" s="12"/>
      <c r="BA827" s="12"/>
      <c r="BB827" s="12"/>
    </row>
    <row r="828" spans="1:54" ht="13">
      <c r="A828" s="12"/>
      <c r="B828" s="27"/>
      <c r="C828" s="27"/>
      <c r="D828" s="407"/>
      <c r="E828" s="27"/>
      <c r="F828" s="27"/>
      <c r="G828" s="27"/>
      <c r="H828" s="408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12"/>
      <c r="AW828" s="12"/>
      <c r="AX828" s="12"/>
      <c r="AY828" s="12"/>
      <c r="AZ828" s="12"/>
      <c r="BA828" s="12"/>
      <c r="BB828" s="12"/>
    </row>
    <row r="829" spans="1:54" ht="13">
      <c r="A829" s="12"/>
      <c r="B829" s="236"/>
      <c r="C829" s="236"/>
      <c r="D829" s="405"/>
      <c r="E829" s="236"/>
      <c r="F829" s="236"/>
      <c r="G829" s="236"/>
      <c r="H829" s="406"/>
      <c r="I829" s="236"/>
      <c r="J829" s="236"/>
      <c r="K829" s="236"/>
      <c r="L829" s="236"/>
      <c r="M829" s="236"/>
      <c r="N829" s="236"/>
      <c r="O829" s="236"/>
      <c r="P829" s="236"/>
      <c r="Q829" s="236"/>
      <c r="R829" s="236"/>
      <c r="S829" s="236"/>
      <c r="T829" s="236"/>
      <c r="U829" s="236"/>
      <c r="V829" s="236"/>
      <c r="W829" s="236"/>
      <c r="X829" s="236"/>
      <c r="Y829" s="236"/>
      <c r="Z829" s="236"/>
      <c r="AA829" s="236"/>
      <c r="AB829" s="236"/>
      <c r="AC829" s="236"/>
      <c r="AD829" s="236"/>
      <c r="AE829" s="236"/>
      <c r="AF829" s="236"/>
      <c r="AG829" s="236"/>
      <c r="AH829" s="236"/>
      <c r="AI829" s="236"/>
      <c r="AJ829" s="236"/>
      <c r="AK829" s="236"/>
      <c r="AL829" s="236"/>
      <c r="AM829" s="236"/>
      <c r="AN829" s="236"/>
      <c r="AO829" s="236"/>
      <c r="AP829" s="236"/>
      <c r="AQ829" s="236"/>
      <c r="AR829" s="236"/>
      <c r="AS829" s="236"/>
      <c r="AT829" s="236"/>
      <c r="AU829" s="236"/>
      <c r="AV829" s="12"/>
      <c r="AW829" s="12"/>
      <c r="AX829" s="12"/>
      <c r="AY829" s="12"/>
      <c r="AZ829" s="12"/>
      <c r="BA829" s="12"/>
      <c r="BB829" s="12"/>
    </row>
    <row r="830" spans="1:54" ht="13">
      <c r="A830" s="12"/>
      <c r="B830" s="27"/>
      <c r="C830" s="27"/>
      <c r="D830" s="407"/>
      <c r="E830" s="27"/>
      <c r="F830" s="27"/>
      <c r="G830" s="27"/>
      <c r="H830" s="408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12"/>
      <c r="AW830" s="12"/>
      <c r="AX830" s="12"/>
      <c r="AY830" s="12"/>
      <c r="AZ830" s="12"/>
      <c r="BA830" s="12"/>
      <c r="BB830" s="12"/>
    </row>
    <row r="831" spans="1:54" ht="13">
      <c r="A831" s="12"/>
      <c r="B831" s="236"/>
      <c r="C831" s="236"/>
      <c r="D831" s="405"/>
      <c r="E831" s="236"/>
      <c r="F831" s="236"/>
      <c r="G831" s="236"/>
      <c r="H831" s="406"/>
      <c r="I831" s="236"/>
      <c r="J831" s="236"/>
      <c r="K831" s="236"/>
      <c r="L831" s="236"/>
      <c r="M831" s="236"/>
      <c r="N831" s="236"/>
      <c r="O831" s="236"/>
      <c r="P831" s="236"/>
      <c r="Q831" s="236"/>
      <c r="R831" s="236"/>
      <c r="S831" s="236"/>
      <c r="T831" s="236"/>
      <c r="U831" s="236"/>
      <c r="V831" s="236"/>
      <c r="W831" s="236"/>
      <c r="X831" s="236"/>
      <c r="Y831" s="236"/>
      <c r="Z831" s="236"/>
      <c r="AA831" s="236"/>
      <c r="AB831" s="236"/>
      <c r="AC831" s="236"/>
      <c r="AD831" s="236"/>
      <c r="AE831" s="236"/>
      <c r="AF831" s="236"/>
      <c r="AG831" s="236"/>
      <c r="AH831" s="236"/>
      <c r="AI831" s="236"/>
      <c r="AJ831" s="236"/>
      <c r="AK831" s="236"/>
      <c r="AL831" s="236"/>
      <c r="AM831" s="236"/>
      <c r="AN831" s="236"/>
      <c r="AO831" s="236"/>
      <c r="AP831" s="236"/>
      <c r="AQ831" s="236"/>
      <c r="AR831" s="236"/>
      <c r="AS831" s="236"/>
      <c r="AT831" s="236"/>
      <c r="AU831" s="236"/>
      <c r="AV831" s="12"/>
      <c r="AW831" s="12"/>
      <c r="AX831" s="12"/>
      <c r="AY831" s="12"/>
      <c r="AZ831" s="12"/>
      <c r="BA831" s="12"/>
      <c r="BB831" s="12"/>
    </row>
    <row r="832" spans="1:54" ht="13">
      <c r="A832" s="12"/>
      <c r="B832" s="27"/>
      <c r="C832" s="27"/>
      <c r="D832" s="407"/>
      <c r="E832" s="27"/>
      <c r="F832" s="27"/>
      <c r="G832" s="27"/>
      <c r="H832" s="408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12"/>
      <c r="AW832" s="12"/>
      <c r="AX832" s="12"/>
      <c r="AY832" s="12"/>
      <c r="AZ832" s="12"/>
      <c r="BA832" s="12"/>
      <c r="BB832" s="12"/>
    </row>
    <row r="833" spans="1:54" ht="13">
      <c r="A833" s="12"/>
      <c r="B833" s="236"/>
      <c r="C833" s="236"/>
      <c r="D833" s="405"/>
      <c r="E833" s="236"/>
      <c r="F833" s="236"/>
      <c r="G833" s="236"/>
      <c r="H833" s="406"/>
      <c r="I833" s="236"/>
      <c r="J833" s="236"/>
      <c r="K833" s="236"/>
      <c r="L833" s="236"/>
      <c r="M833" s="236"/>
      <c r="N833" s="236"/>
      <c r="O833" s="236"/>
      <c r="P833" s="236"/>
      <c r="Q833" s="236"/>
      <c r="R833" s="236"/>
      <c r="S833" s="236"/>
      <c r="T833" s="236"/>
      <c r="U833" s="236"/>
      <c r="V833" s="236"/>
      <c r="W833" s="236"/>
      <c r="X833" s="236"/>
      <c r="Y833" s="236"/>
      <c r="Z833" s="236"/>
      <c r="AA833" s="236"/>
      <c r="AB833" s="236"/>
      <c r="AC833" s="236"/>
      <c r="AD833" s="236"/>
      <c r="AE833" s="236"/>
      <c r="AF833" s="236"/>
      <c r="AG833" s="236"/>
      <c r="AH833" s="236"/>
      <c r="AI833" s="236"/>
      <c r="AJ833" s="236"/>
      <c r="AK833" s="236"/>
      <c r="AL833" s="236"/>
      <c r="AM833" s="236"/>
      <c r="AN833" s="236"/>
      <c r="AO833" s="236"/>
      <c r="AP833" s="236"/>
      <c r="AQ833" s="236"/>
      <c r="AR833" s="236"/>
      <c r="AS833" s="236"/>
      <c r="AT833" s="236"/>
      <c r="AU833" s="236"/>
      <c r="AV833" s="12"/>
      <c r="AW833" s="12"/>
      <c r="AX833" s="12"/>
      <c r="AY833" s="12"/>
      <c r="AZ833" s="12"/>
      <c r="BA833" s="12"/>
      <c r="BB833" s="12"/>
    </row>
    <row r="834" spans="1:54" ht="13">
      <c r="A834" s="12"/>
      <c r="B834" s="27"/>
      <c r="C834" s="27"/>
      <c r="D834" s="407"/>
      <c r="E834" s="27"/>
      <c r="F834" s="27"/>
      <c r="G834" s="27"/>
      <c r="H834" s="408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12"/>
      <c r="AW834" s="12"/>
      <c r="AX834" s="12"/>
      <c r="AY834" s="12"/>
      <c r="AZ834" s="12"/>
      <c r="BA834" s="12"/>
      <c r="BB834" s="12"/>
    </row>
    <row r="835" spans="1:54" ht="13">
      <c r="A835" s="12"/>
      <c r="B835" s="236"/>
      <c r="C835" s="236"/>
      <c r="D835" s="405"/>
      <c r="E835" s="236"/>
      <c r="F835" s="236"/>
      <c r="G835" s="236"/>
      <c r="H835" s="406"/>
      <c r="I835" s="236"/>
      <c r="J835" s="236"/>
      <c r="K835" s="236"/>
      <c r="L835" s="236"/>
      <c r="M835" s="236"/>
      <c r="N835" s="236"/>
      <c r="O835" s="236"/>
      <c r="P835" s="236"/>
      <c r="Q835" s="236"/>
      <c r="R835" s="236"/>
      <c r="S835" s="236"/>
      <c r="T835" s="236"/>
      <c r="U835" s="236"/>
      <c r="V835" s="236"/>
      <c r="W835" s="236"/>
      <c r="X835" s="236"/>
      <c r="Y835" s="236"/>
      <c r="Z835" s="236"/>
      <c r="AA835" s="236"/>
      <c r="AB835" s="236"/>
      <c r="AC835" s="236"/>
      <c r="AD835" s="236"/>
      <c r="AE835" s="236"/>
      <c r="AF835" s="236"/>
      <c r="AG835" s="236"/>
      <c r="AH835" s="236"/>
      <c r="AI835" s="236"/>
      <c r="AJ835" s="236"/>
      <c r="AK835" s="236"/>
      <c r="AL835" s="236"/>
      <c r="AM835" s="236"/>
      <c r="AN835" s="236"/>
      <c r="AO835" s="236"/>
      <c r="AP835" s="236"/>
      <c r="AQ835" s="236"/>
      <c r="AR835" s="236"/>
      <c r="AS835" s="236"/>
      <c r="AT835" s="236"/>
      <c r="AU835" s="236"/>
      <c r="AV835" s="12"/>
      <c r="AW835" s="12"/>
      <c r="AX835" s="12"/>
      <c r="AY835" s="12"/>
      <c r="AZ835" s="12"/>
      <c r="BA835" s="12"/>
      <c r="BB835" s="12"/>
    </row>
    <row r="836" spans="1:54" ht="13">
      <c r="A836" s="12"/>
      <c r="B836" s="27"/>
      <c r="C836" s="27"/>
      <c r="D836" s="407"/>
      <c r="E836" s="27"/>
      <c r="F836" s="27"/>
      <c r="G836" s="27"/>
      <c r="H836" s="408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12"/>
      <c r="AW836" s="12"/>
      <c r="AX836" s="12"/>
      <c r="AY836" s="12"/>
      <c r="AZ836" s="12"/>
      <c r="BA836" s="12"/>
      <c r="BB836" s="12"/>
    </row>
    <row r="837" spans="1:54" ht="13">
      <c r="A837" s="12"/>
      <c r="B837" s="236"/>
      <c r="C837" s="236"/>
      <c r="D837" s="405"/>
      <c r="E837" s="236"/>
      <c r="F837" s="236"/>
      <c r="G837" s="236"/>
      <c r="H837" s="406"/>
      <c r="I837" s="236"/>
      <c r="J837" s="236"/>
      <c r="K837" s="236"/>
      <c r="L837" s="236"/>
      <c r="M837" s="236"/>
      <c r="N837" s="236"/>
      <c r="O837" s="236"/>
      <c r="P837" s="236"/>
      <c r="Q837" s="236"/>
      <c r="R837" s="236"/>
      <c r="S837" s="236"/>
      <c r="T837" s="236"/>
      <c r="U837" s="236"/>
      <c r="V837" s="236"/>
      <c r="W837" s="236"/>
      <c r="X837" s="236"/>
      <c r="Y837" s="236"/>
      <c r="Z837" s="236"/>
      <c r="AA837" s="236"/>
      <c r="AB837" s="236"/>
      <c r="AC837" s="236"/>
      <c r="AD837" s="236"/>
      <c r="AE837" s="236"/>
      <c r="AF837" s="236"/>
      <c r="AG837" s="236"/>
      <c r="AH837" s="236"/>
      <c r="AI837" s="236"/>
      <c r="AJ837" s="236"/>
      <c r="AK837" s="236"/>
      <c r="AL837" s="236"/>
      <c r="AM837" s="236"/>
      <c r="AN837" s="236"/>
      <c r="AO837" s="236"/>
      <c r="AP837" s="236"/>
      <c r="AQ837" s="236"/>
      <c r="AR837" s="236"/>
      <c r="AS837" s="236"/>
      <c r="AT837" s="236"/>
      <c r="AU837" s="236"/>
      <c r="AV837" s="12"/>
      <c r="AW837" s="12"/>
      <c r="AX837" s="12"/>
      <c r="AY837" s="12"/>
      <c r="AZ837" s="12"/>
      <c r="BA837" s="12"/>
      <c r="BB837" s="12"/>
    </row>
    <row r="838" spans="1:54" ht="13">
      <c r="A838" s="12"/>
      <c r="B838" s="27"/>
      <c r="C838" s="27"/>
      <c r="D838" s="407"/>
      <c r="E838" s="27"/>
      <c r="F838" s="27"/>
      <c r="G838" s="27"/>
      <c r="H838" s="408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12"/>
      <c r="AW838" s="12"/>
      <c r="AX838" s="12"/>
      <c r="AY838" s="12"/>
      <c r="AZ838" s="12"/>
      <c r="BA838" s="12"/>
      <c r="BB838" s="12"/>
    </row>
    <row r="839" spans="1:54" ht="13">
      <c r="A839" s="12"/>
      <c r="B839" s="236"/>
      <c r="C839" s="236"/>
      <c r="D839" s="405"/>
      <c r="E839" s="236"/>
      <c r="F839" s="236"/>
      <c r="G839" s="236"/>
      <c r="H839" s="406"/>
      <c r="I839" s="236"/>
      <c r="J839" s="236"/>
      <c r="K839" s="236"/>
      <c r="L839" s="236"/>
      <c r="M839" s="236"/>
      <c r="N839" s="236"/>
      <c r="O839" s="236"/>
      <c r="P839" s="236"/>
      <c r="Q839" s="236"/>
      <c r="R839" s="236"/>
      <c r="S839" s="236"/>
      <c r="T839" s="236"/>
      <c r="U839" s="236"/>
      <c r="V839" s="236"/>
      <c r="W839" s="236"/>
      <c r="X839" s="236"/>
      <c r="Y839" s="236"/>
      <c r="Z839" s="236"/>
      <c r="AA839" s="236"/>
      <c r="AB839" s="236"/>
      <c r="AC839" s="236"/>
      <c r="AD839" s="236"/>
      <c r="AE839" s="236"/>
      <c r="AF839" s="236"/>
      <c r="AG839" s="236"/>
      <c r="AH839" s="236"/>
      <c r="AI839" s="236"/>
      <c r="AJ839" s="236"/>
      <c r="AK839" s="236"/>
      <c r="AL839" s="236"/>
      <c r="AM839" s="236"/>
      <c r="AN839" s="236"/>
      <c r="AO839" s="236"/>
      <c r="AP839" s="236"/>
      <c r="AQ839" s="236"/>
      <c r="AR839" s="236"/>
      <c r="AS839" s="236"/>
      <c r="AT839" s="236"/>
      <c r="AU839" s="236"/>
      <c r="AV839" s="12"/>
      <c r="AW839" s="12"/>
      <c r="AX839" s="12"/>
      <c r="AY839" s="12"/>
      <c r="AZ839" s="12"/>
      <c r="BA839" s="12"/>
      <c r="BB839" s="12"/>
    </row>
    <row r="840" spans="1:54" ht="13">
      <c r="A840" s="12"/>
      <c r="B840" s="27"/>
      <c r="C840" s="27"/>
      <c r="D840" s="407"/>
      <c r="E840" s="27"/>
      <c r="F840" s="27"/>
      <c r="G840" s="27"/>
      <c r="H840" s="408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12"/>
      <c r="AW840" s="12"/>
      <c r="AX840" s="12"/>
      <c r="AY840" s="12"/>
      <c r="AZ840" s="12"/>
      <c r="BA840" s="12"/>
      <c r="BB840" s="12"/>
    </row>
    <row r="841" spans="1:54" ht="13">
      <c r="A841" s="12"/>
      <c r="B841" s="236"/>
      <c r="C841" s="236"/>
      <c r="D841" s="405"/>
      <c r="E841" s="236"/>
      <c r="F841" s="236"/>
      <c r="G841" s="236"/>
      <c r="H841" s="406"/>
      <c r="I841" s="236"/>
      <c r="J841" s="236"/>
      <c r="K841" s="236"/>
      <c r="L841" s="236"/>
      <c r="M841" s="236"/>
      <c r="N841" s="236"/>
      <c r="O841" s="236"/>
      <c r="P841" s="236"/>
      <c r="Q841" s="236"/>
      <c r="R841" s="236"/>
      <c r="S841" s="236"/>
      <c r="T841" s="236"/>
      <c r="U841" s="236"/>
      <c r="V841" s="236"/>
      <c r="W841" s="236"/>
      <c r="X841" s="236"/>
      <c r="Y841" s="236"/>
      <c r="Z841" s="236"/>
      <c r="AA841" s="236"/>
      <c r="AB841" s="236"/>
      <c r="AC841" s="236"/>
      <c r="AD841" s="236"/>
      <c r="AE841" s="236"/>
      <c r="AF841" s="236"/>
      <c r="AG841" s="236"/>
      <c r="AH841" s="236"/>
      <c r="AI841" s="236"/>
      <c r="AJ841" s="236"/>
      <c r="AK841" s="236"/>
      <c r="AL841" s="236"/>
      <c r="AM841" s="236"/>
      <c r="AN841" s="236"/>
      <c r="AO841" s="236"/>
      <c r="AP841" s="236"/>
      <c r="AQ841" s="236"/>
      <c r="AR841" s="236"/>
      <c r="AS841" s="236"/>
      <c r="AT841" s="236"/>
      <c r="AU841" s="236"/>
      <c r="AV841" s="12"/>
      <c r="AW841" s="12"/>
      <c r="AX841" s="12"/>
      <c r="AY841" s="12"/>
      <c r="AZ841" s="12"/>
      <c r="BA841" s="12"/>
      <c r="BB841" s="12"/>
    </row>
    <row r="842" spans="1:54" ht="13">
      <c r="A842" s="12"/>
      <c r="B842" s="27"/>
      <c r="C842" s="27"/>
      <c r="D842" s="407"/>
      <c r="E842" s="27"/>
      <c r="F842" s="27"/>
      <c r="G842" s="27"/>
      <c r="H842" s="408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12"/>
      <c r="AW842" s="12"/>
      <c r="AX842" s="12"/>
      <c r="AY842" s="12"/>
      <c r="AZ842" s="12"/>
      <c r="BA842" s="12"/>
      <c r="BB842" s="12"/>
    </row>
    <row r="843" spans="1:54" ht="13">
      <c r="A843" s="12"/>
      <c r="B843" s="236"/>
      <c r="C843" s="236"/>
      <c r="D843" s="405"/>
      <c r="E843" s="236"/>
      <c r="F843" s="236"/>
      <c r="G843" s="236"/>
      <c r="H843" s="406"/>
      <c r="I843" s="236"/>
      <c r="J843" s="236"/>
      <c r="K843" s="236"/>
      <c r="L843" s="236"/>
      <c r="M843" s="236"/>
      <c r="N843" s="236"/>
      <c r="O843" s="236"/>
      <c r="P843" s="236"/>
      <c r="Q843" s="236"/>
      <c r="R843" s="236"/>
      <c r="S843" s="236"/>
      <c r="T843" s="236"/>
      <c r="U843" s="236"/>
      <c r="V843" s="236"/>
      <c r="W843" s="236"/>
      <c r="X843" s="236"/>
      <c r="Y843" s="236"/>
      <c r="Z843" s="236"/>
      <c r="AA843" s="236"/>
      <c r="AB843" s="236"/>
      <c r="AC843" s="236"/>
      <c r="AD843" s="236"/>
      <c r="AE843" s="236"/>
      <c r="AF843" s="236"/>
      <c r="AG843" s="236"/>
      <c r="AH843" s="236"/>
      <c r="AI843" s="236"/>
      <c r="AJ843" s="236"/>
      <c r="AK843" s="236"/>
      <c r="AL843" s="236"/>
      <c r="AM843" s="236"/>
      <c r="AN843" s="236"/>
      <c r="AO843" s="236"/>
      <c r="AP843" s="236"/>
      <c r="AQ843" s="236"/>
      <c r="AR843" s="236"/>
      <c r="AS843" s="236"/>
      <c r="AT843" s="236"/>
      <c r="AU843" s="236"/>
      <c r="AV843" s="12"/>
      <c r="AW843" s="12"/>
      <c r="AX843" s="12"/>
      <c r="AY843" s="12"/>
      <c r="AZ843" s="12"/>
      <c r="BA843" s="12"/>
      <c r="BB843" s="12"/>
    </row>
    <row r="844" spans="1:54" ht="13">
      <c r="A844" s="12"/>
      <c r="B844" s="27"/>
      <c r="C844" s="27"/>
      <c r="D844" s="407"/>
      <c r="E844" s="27"/>
      <c r="F844" s="27"/>
      <c r="G844" s="27"/>
      <c r="H844" s="408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12"/>
      <c r="AW844" s="12"/>
      <c r="AX844" s="12"/>
      <c r="AY844" s="12"/>
      <c r="AZ844" s="12"/>
      <c r="BA844" s="12"/>
      <c r="BB844" s="12"/>
    </row>
    <row r="845" spans="1:54" ht="13">
      <c r="A845" s="12"/>
      <c r="B845" s="236"/>
      <c r="C845" s="236"/>
      <c r="D845" s="405"/>
      <c r="E845" s="236"/>
      <c r="F845" s="236"/>
      <c r="G845" s="236"/>
      <c r="H845" s="406"/>
      <c r="I845" s="236"/>
      <c r="J845" s="236"/>
      <c r="K845" s="236"/>
      <c r="L845" s="236"/>
      <c r="M845" s="236"/>
      <c r="N845" s="236"/>
      <c r="O845" s="236"/>
      <c r="P845" s="236"/>
      <c r="Q845" s="236"/>
      <c r="R845" s="236"/>
      <c r="S845" s="236"/>
      <c r="T845" s="236"/>
      <c r="U845" s="236"/>
      <c r="V845" s="236"/>
      <c r="W845" s="236"/>
      <c r="X845" s="236"/>
      <c r="Y845" s="236"/>
      <c r="Z845" s="236"/>
      <c r="AA845" s="236"/>
      <c r="AB845" s="236"/>
      <c r="AC845" s="236"/>
      <c r="AD845" s="236"/>
      <c r="AE845" s="236"/>
      <c r="AF845" s="236"/>
      <c r="AG845" s="236"/>
      <c r="AH845" s="236"/>
      <c r="AI845" s="236"/>
      <c r="AJ845" s="236"/>
      <c r="AK845" s="236"/>
      <c r="AL845" s="236"/>
      <c r="AM845" s="236"/>
      <c r="AN845" s="236"/>
      <c r="AO845" s="236"/>
      <c r="AP845" s="236"/>
      <c r="AQ845" s="236"/>
      <c r="AR845" s="236"/>
      <c r="AS845" s="236"/>
      <c r="AT845" s="236"/>
      <c r="AU845" s="236"/>
      <c r="AV845" s="12"/>
      <c r="AW845" s="12"/>
      <c r="AX845" s="12"/>
      <c r="AY845" s="12"/>
      <c r="AZ845" s="12"/>
      <c r="BA845" s="12"/>
      <c r="BB845" s="12"/>
    </row>
    <row r="846" spans="1:54" ht="13">
      <c r="A846" s="12"/>
      <c r="B846" s="27"/>
      <c r="C846" s="27"/>
      <c r="D846" s="407"/>
      <c r="E846" s="27"/>
      <c r="F846" s="27"/>
      <c r="G846" s="27"/>
      <c r="H846" s="408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12"/>
      <c r="AW846" s="12"/>
      <c r="AX846" s="12"/>
      <c r="AY846" s="12"/>
      <c r="AZ846" s="12"/>
      <c r="BA846" s="12"/>
      <c r="BB846" s="12"/>
    </row>
    <row r="847" spans="1:54" ht="13">
      <c r="A847" s="12"/>
      <c r="B847" s="236"/>
      <c r="C847" s="236"/>
      <c r="D847" s="405"/>
      <c r="E847" s="236"/>
      <c r="F847" s="236"/>
      <c r="G847" s="236"/>
      <c r="H847" s="406"/>
      <c r="I847" s="236"/>
      <c r="J847" s="236"/>
      <c r="K847" s="236"/>
      <c r="L847" s="236"/>
      <c r="M847" s="236"/>
      <c r="N847" s="236"/>
      <c r="O847" s="236"/>
      <c r="P847" s="236"/>
      <c r="Q847" s="236"/>
      <c r="R847" s="236"/>
      <c r="S847" s="236"/>
      <c r="T847" s="236"/>
      <c r="U847" s="236"/>
      <c r="V847" s="236"/>
      <c r="W847" s="236"/>
      <c r="X847" s="236"/>
      <c r="Y847" s="236"/>
      <c r="Z847" s="236"/>
      <c r="AA847" s="236"/>
      <c r="AB847" s="236"/>
      <c r="AC847" s="236"/>
      <c r="AD847" s="236"/>
      <c r="AE847" s="236"/>
      <c r="AF847" s="236"/>
      <c r="AG847" s="236"/>
      <c r="AH847" s="236"/>
      <c r="AI847" s="236"/>
      <c r="AJ847" s="236"/>
      <c r="AK847" s="236"/>
      <c r="AL847" s="236"/>
      <c r="AM847" s="236"/>
      <c r="AN847" s="236"/>
      <c r="AO847" s="236"/>
      <c r="AP847" s="236"/>
      <c r="AQ847" s="236"/>
      <c r="AR847" s="236"/>
      <c r="AS847" s="236"/>
      <c r="AT847" s="236"/>
      <c r="AU847" s="236"/>
      <c r="AV847" s="12"/>
      <c r="AW847" s="12"/>
      <c r="AX847" s="12"/>
      <c r="AY847" s="12"/>
      <c r="AZ847" s="12"/>
      <c r="BA847" s="12"/>
      <c r="BB847" s="12"/>
    </row>
    <row r="848" spans="1:54" ht="13">
      <c r="A848" s="12"/>
      <c r="B848" s="27"/>
      <c r="C848" s="27"/>
      <c r="D848" s="407"/>
      <c r="E848" s="27"/>
      <c r="F848" s="27"/>
      <c r="G848" s="27"/>
      <c r="H848" s="408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12"/>
      <c r="AW848" s="12"/>
      <c r="AX848" s="12"/>
      <c r="AY848" s="12"/>
      <c r="AZ848" s="12"/>
      <c r="BA848" s="12"/>
      <c r="BB848" s="12"/>
    </row>
    <row r="849" spans="1:54" ht="13">
      <c r="A849" s="12"/>
      <c r="B849" s="236"/>
      <c r="C849" s="236"/>
      <c r="D849" s="405"/>
      <c r="E849" s="236"/>
      <c r="F849" s="236"/>
      <c r="G849" s="236"/>
      <c r="H849" s="406"/>
      <c r="I849" s="236"/>
      <c r="J849" s="236"/>
      <c r="K849" s="236"/>
      <c r="L849" s="236"/>
      <c r="M849" s="236"/>
      <c r="N849" s="236"/>
      <c r="O849" s="236"/>
      <c r="P849" s="236"/>
      <c r="Q849" s="236"/>
      <c r="R849" s="236"/>
      <c r="S849" s="236"/>
      <c r="T849" s="236"/>
      <c r="U849" s="236"/>
      <c r="V849" s="236"/>
      <c r="W849" s="236"/>
      <c r="X849" s="236"/>
      <c r="Y849" s="236"/>
      <c r="Z849" s="236"/>
      <c r="AA849" s="236"/>
      <c r="AB849" s="236"/>
      <c r="AC849" s="236"/>
      <c r="AD849" s="236"/>
      <c r="AE849" s="236"/>
      <c r="AF849" s="236"/>
      <c r="AG849" s="236"/>
      <c r="AH849" s="236"/>
      <c r="AI849" s="236"/>
      <c r="AJ849" s="236"/>
      <c r="AK849" s="236"/>
      <c r="AL849" s="236"/>
      <c r="AM849" s="236"/>
      <c r="AN849" s="236"/>
      <c r="AO849" s="236"/>
      <c r="AP849" s="236"/>
      <c r="AQ849" s="236"/>
      <c r="AR849" s="236"/>
      <c r="AS849" s="236"/>
      <c r="AT849" s="236"/>
      <c r="AU849" s="236"/>
      <c r="AV849" s="12"/>
      <c r="AW849" s="12"/>
      <c r="AX849" s="12"/>
      <c r="AY849" s="12"/>
      <c r="AZ849" s="12"/>
      <c r="BA849" s="12"/>
      <c r="BB849" s="12"/>
    </row>
    <row r="850" spans="1:54" ht="13">
      <c r="A850" s="12"/>
      <c r="B850" s="27"/>
      <c r="C850" s="27"/>
      <c r="D850" s="407"/>
      <c r="E850" s="27"/>
      <c r="F850" s="27"/>
      <c r="G850" s="27"/>
      <c r="H850" s="408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12"/>
      <c r="AW850" s="12"/>
      <c r="AX850" s="12"/>
      <c r="AY850" s="12"/>
      <c r="AZ850" s="12"/>
      <c r="BA850" s="12"/>
      <c r="BB850" s="12"/>
    </row>
    <row r="851" spans="1:54" ht="13">
      <c r="A851" s="12"/>
      <c r="B851" s="236"/>
      <c r="C851" s="236"/>
      <c r="D851" s="405"/>
      <c r="E851" s="236"/>
      <c r="F851" s="236"/>
      <c r="G851" s="236"/>
      <c r="H851" s="406"/>
      <c r="I851" s="236"/>
      <c r="J851" s="236"/>
      <c r="K851" s="236"/>
      <c r="L851" s="236"/>
      <c r="M851" s="236"/>
      <c r="N851" s="236"/>
      <c r="O851" s="236"/>
      <c r="P851" s="236"/>
      <c r="Q851" s="236"/>
      <c r="R851" s="236"/>
      <c r="S851" s="236"/>
      <c r="T851" s="236"/>
      <c r="U851" s="236"/>
      <c r="V851" s="236"/>
      <c r="W851" s="236"/>
      <c r="X851" s="236"/>
      <c r="Y851" s="236"/>
      <c r="Z851" s="236"/>
      <c r="AA851" s="236"/>
      <c r="AB851" s="236"/>
      <c r="AC851" s="236"/>
      <c r="AD851" s="236"/>
      <c r="AE851" s="236"/>
      <c r="AF851" s="236"/>
      <c r="AG851" s="236"/>
      <c r="AH851" s="236"/>
      <c r="AI851" s="236"/>
      <c r="AJ851" s="236"/>
      <c r="AK851" s="236"/>
      <c r="AL851" s="236"/>
      <c r="AM851" s="236"/>
      <c r="AN851" s="236"/>
      <c r="AO851" s="236"/>
      <c r="AP851" s="236"/>
      <c r="AQ851" s="236"/>
      <c r="AR851" s="236"/>
      <c r="AS851" s="236"/>
      <c r="AT851" s="236"/>
      <c r="AU851" s="236"/>
      <c r="AV851" s="12"/>
      <c r="AW851" s="12"/>
      <c r="AX851" s="12"/>
      <c r="AY851" s="12"/>
      <c r="AZ851" s="12"/>
      <c r="BA851" s="12"/>
      <c r="BB851" s="12"/>
    </row>
    <row r="852" spans="1:54" ht="13">
      <c r="A852" s="12"/>
      <c r="B852" s="27"/>
      <c r="C852" s="27"/>
      <c r="D852" s="407"/>
      <c r="E852" s="27"/>
      <c r="F852" s="27"/>
      <c r="G852" s="27"/>
      <c r="H852" s="408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12"/>
      <c r="AW852" s="12"/>
      <c r="AX852" s="12"/>
      <c r="AY852" s="12"/>
      <c r="AZ852" s="12"/>
      <c r="BA852" s="12"/>
      <c r="BB852" s="12"/>
    </row>
    <row r="853" spans="1:54" ht="13">
      <c r="A853" s="12"/>
      <c r="B853" s="236"/>
      <c r="C853" s="236"/>
      <c r="D853" s="405"/>
      <c r="E853" s="236"/>
      <c r="F853" s="236"/>
      <c r="G853" s="236"/>
      <c r="H853" s="406"/>
      <c r="I853" s="236"/>
      <c r="J853" s="236"/>
      <c r="K853" s="236"/>
      <c r="L853" s="236"/>
      <c r="M853" s="236"/>
      <c r="N853" s="236"/>
      <c r="O853" s="236"/>
      <c r="P853" s="236"/>
      <c r="Q853" s="236"/>
      <c r="R853" s="236"/>
      <c r="S853" s="236"/>
      <c r="T853" s="236"/>
      <c r="U853" s="236"/>
      <c r="V853" s="236"/>
      <c r="W853" s="236"/>
      <c r="X853" s="236"/>
      <c r="Y853" s="236"/>
      <c r="Z853" s="236"/>
      <c r="AA853" s="236"/>
      <c r="AB853" s="236"/>
      <c r="AC853" s="236"/>
      <c r="AD853" s="236"/>
      <c r="AE853" s="236"/>
      <c r="AF853" s="236"/>
      <c r="AG853" s="236"/>
      <c r="AH853" s="236"/>
      <c r="AI853" s="236"/>
      <c r="AJ853" s="236"/>
      <c r="AK853" s="236"/>
      <c r="AL853" s="236"/>
      <c r="AM853" s="236"/>
      <c r="AN853" s="236"/>
      <c r="AO853" s="236"/>
      <c r="AP853" s="236"/>
      <c r="AQ853" s="236"/>
      <c r="AR853" s="236"/>
      <c r="AS853" s="236"/>
      <c r="AT853" s="236"/>
      <c r="AU853" s="236"/>
      <c r="AV853" s="12"/>
      <c r="AW853" s="12"/>
      <c r="AX853" s="12"/>
      <c r="AY853" s="12"/>
      <c r="AZ853" s="12"/>
      <c r="BA853" s="12"/>
      <c r="BB853" s="12"/>
    </row>
    <row r="854" spans="1:54" ht="13">
      <c r="A854" s="12"/>
      <c r="B854" s="27"/>
      <c r="C854" s="27"/>
      <c r="D854" s="407"/>
      <c r="E854" s="27"/>
      <c r="F854" s="27"/>
      <c r="G854" s="27"/>
      <c r="H854" s="408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12"/>
      <c r="AW854" s="12"/>
      <c r="AX854" s="12"/>
      <c r="AY854" s="12"/>
      <c r="AZ854" s="12"/>
      <c r="BA854" s="12"/>
      <c r="BB854" s="12"/>
    </row>
    <row r="855" spans="1:54" ht="13">
      <c r="A855" s="12"/>
      <c r="B855" s="236"/>
      <c r="C855" s="236"/>
      <c r="D855" s="405"/>
      <c r="E855" s="236"/>
      <c r="F855" s="236"/>
      <c r="G855" s="236"/>
      <c r="H855" s="406"/>
      <c r="I855" s="236"/>
      <c r="J855" s="236"/>
      <c r="K855" s="236"/>
      <c r="L855" s="236"/>
      <c r="M855" s="236"/>
      <c r="N855" s="236"/>
      <c r="O855" s="236"/>
      <c r="P855" s="236"/>
      <c r="Q855" s="236"/>
      <c r="R855" s="236"/>
      <c r="S855" s="236"/>
      <c r="T855" s="236"/>
      <c r="U855" s="236"/>
      <c r="V855" s="236"/>
      <c r="W855" s="236"/>
      <c r="X855" s="236"/>
      <c r="Y855" s="236"/>
      <c r="Z855" s="236"/>
      <c r="AA855" s="236"/>
      <c r="AB855" s="236"/>
      <c r="AC855" s="236"/>
      <c r="AD855" s="236"/>
      <c r="AE855" s="236"/>
      <c r="AF855" s="236"/>
      <c r="AG855" s="236"/>
      <c r="AH855" s="236"/>
      <c r="AI855" s="236"/>
      <c r="AJ855" s="236"/>
      <c r="AK855" s="236"/>
      <c r="AL855" s="236"/>
      <c r="AM855" s="236"/>
      <c r="AN855" s="236"/>
      <c r="AO855" s="236"/>
      <c r="AP855" s="236"/>
      <c r="AQ855" s="236"/>
      <c r="AR855" s="236"/>
      <c r="AS855" s="236"/>
      <c r="AT855" s="236"/>
      <c r="AU855" s="236"/>
      <c r="AV855" s="12"/>
      <c r="AW855" s="12"/>
      <c r="AX855" s="12"/>
      <c r="AY855" s="12"/>
      <c r="AZ855" s="12"/>
      <c r="BA855" s="12"/>
      <c r="BB855" s="12"/>
    </row>
    <row r="856" spans="1:54" ht="13">
      <c r="A856" s="12"/>
      <c r="B856" s="27"/>
      <c r="C856" s="27"/>
      <c r="D856" s="407"/>
      <c r="E856" s="27"/>
      <c r="F856" s="27"/>
      <c r="G856" s="27"/>
      <c r="H856" s="408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12"/>
      <c r="AW856" s="12"/>
      <c r="AX856" s="12"/>
      <c r="AY856" s="12"/>
      <c r="AZ856" s="12"/>
      <c r="BA856" s="12"/>
      <c r="BB856" s="12"/>
    </row>
    <row r="857" spans="1:54" ht="13">
      <c r="A857" s="12"/>
      <c r="B857" s="236"/>
      <c r="C857" s="236"/>
      <c r="D857" s="405"/>
      <c r="E857" s="236"/>
      <c r="F857" s="236"/>
      <c r="G857" s="236"/>
      <c r="H857" s="406"/>
      <c r="I857" s="236"/>
      <c r="J857" s="236"/>
      <c r="K857" s="236"/>
      <c r="L857" s="236"/>
      <c r="M857" s="236"/>
      <c r="N857" s="236"/>
      <c r="O857" s="236"/>
      <c r="P857" s="236"/>
      <c r="Q857" s="236"/>
      <c r="R857" s="236"/>
      <c r="S857" s="236"/>
      <c r="T857" s="236"/>
      <c r="U857" s="236"/>
      <c r="V857" s="236"/>
      <c r="W857" s="236"/>
      <c r="X857" s="236"/>
      <c r="Y857" s="236"/>
      <c r="Z857" s="236"/>
      <c r="AA857" s="236"/>
      <c r="AB857" s="236"/>
      <c r="AC857" s="236"/>
      <c r="AD857" s="236"/>
      <c r="AE857" s="236"/>
      <c r="AF857" s="236"/>
      <c r="AG857" s="236"/>
      <c r="AH857" s="236"/>
      <c r="AI857" s="236"/>
      <c r="AJ857" s="236"/>
      <c r="AK857" s="236"/>
      <c r="AL857" s="236"/>
      <c r="AM857" s="236"/>
      <c r="AN857" s="236"/>
      <c r="AO857" s="236"/>
      <c r="AP857" s="236"/>
      <c r="AQ857" s="236"/>
      <c r="AR857" s="236"/>
      <c r="AS857" s="236"/>
      <c r="AT857" s="236"/>
      <c r="AU857" s="236"/>
      <c r="AV857" s="12"/>
      <c r="AW857" s="12"/>
      <c r="AX857" s="12"/>
      <c r="AY857" s="12"/>
      <c r="AZ857" s="12"/>
      <c r="BA857" s="12"/>
      <c r="BB857" s="12"/>
    </row>
    <row r="858" spans="1:54" ht="13">
      <c r="A858" s="12"/>
      <c r="B858" s="27"/>
      <c r="C858" s="27"/>
      <c r="D858" s="407"/>
      <c r="E858" s="27"/>
      <c r="F858" s="27"/>
      <c r="G858" s="27"/>
      <c r="H858" s="408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12"/>
      <c r="AW858" s="12"/>
      <c r="AX858" s="12"/>
      <c r="AY858" s="12"/>
      <c r="AZ858" s="12"/>
      <c r="BA858" s="12"/>
      <c r="BB858" s="12"/>
    </row>
    <row r="859" spans="1:54" ht="13">
      <c r="A859" s="12"/>
      <c r="B859" s="236"/>
      <c r="C859" s="236"/>
      <c r="D859" s="405"/>
      <c r="E859" s="236"/>
      <c r="F859" s="236"/>
      <c r="G859" s="236"/>
      <c r="H859" s="406"/>
      <c r="I859" s="236"/>
      <c r="J859" s="236"/>
      <c r="K859" s="236"/>
      <c r="L859" s="236"/>
      <c r="M859" s="236"/>
      <c r="N859" s="236"/>
      <c r="O859" s="236"/>
      <c r="P859" s="236"/>
      <c r="Q859" s="236"/>
      <c r="R859" s="236"/>
      <c r="S859" s="236"/>
      <c r="T859" s="236"/>
      <c r="U859" s="236"/>
      <c r="V859" s="236"/>
      <c r="W859" s="236"/>
      <c r="X859" s="236"/>
      <c r="Y859" s="236"/>
      <c r="Z859" s="236"/>
      <c r="AA859" s="236"/>
      <c r="AB859" s="236"/>
      <c r="AC859" s="236"/>
      <c r="AD859" s="236"/>
      <c r="AE859" s="236"/>
      <c r="AF859" s="236"/>
      <c r="AG859" s="236"/>
      <c r="AH859" s="236"/>
      <c r="AI859" s="236"/>
      <c r="AJ859" s="236"/>
      <c r="AK859" s="236"/>
      <c r="AL859" s="236"/>
      <c r="AM859" s="236"/>
      <c r="AN859" s="236"/>
      <c r="AO859" s="236"/>
      <c r="AP859" s="236"/>
      <c r="AQ859" s="236"/>
      <c r="AR859" s="236"/>
      <c r="AS859" s="236"/>
      <c r="AT859" s="236"/>
      <c r="AU859" s="236"/>
      <c r="AV859" s="12"/>
      <c r="AW859" s="12"/>
      <c r="AX859" s="12"/>
      <c r="AY859" s="12"/>
      <c r="AZ859" s="12"/>
      <c r="BA859" s="12"/>
      <c r="BB859" s="12"/>
    </row>
    <row r="860" spans="1:54" ht="13">
      <c r="A860" s="12"/>
      <c r="B860" s="27"/>
      <c r="C860" s="27"/>
      <c r="D860" s="407"/>
      <c r="E860" s="27"/>
      <c r="F860" s="27"/>
      <c r="G860" s="27"/>
      <c r="H860" s="408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12"/>
      <c r="AW860" s="12"/>
      <c r="AX860" s="12"/>
      <c r="AY860" s="12"/>
      <c r="AZ860" s="12"/>
      <c r="BA860" s="12"/>
      <c r="BB860" s="12"/>
    </row>
    <row r="861" spans="1:54" ht="13">
      <c r="A861" s="12"/>
      <c r="B861" s="236"/>
      <c r="C861" s="236"/>
      <c r="D861" s="405"/>
      <c r="E861" s="236"/>
      <c r="F861" s="236"/>
      <c r="G861" s="236"/>
      <c r="H861" s="406"/>
      <c r="I861" s="236"/>
      <c r="J861" s="236"/>
      <c r="K861" s="236"/>
      <c r="L861" s="236"/>
      <c r="M861" s="236"/>
      <c r="N861" s="236"/>
      <c r="O861" s="236"/>
      <c r="P861" s="236"/>
      <c r="Q861" s="236"/>
      <c r="R861" s="236"/>
      <c r="S861" s="236"/>
      <c r="T861" s="236"/>
      <c r="U861" s="236"/>
      <c r="V861" s="236"/>
      <c r="W861" s="236"/>
      <c r="X861" s="236"/>
      <c r="Y861" s="236"/>
      <c r="Z861" s="236"/>
      <c r="AA861" s="236"/>
      <c r="AB861" s="236"/>
      <c r="AC861" s="236"/>
      <c r="AD861" s="236"/>
      <c r="AE861" s="236"/>
      <c r="AF861" s="236"/>
      <c r="AG861" s="236"/>
      <c r="AH861" s="236"/>
      <c r="AI861" s="236"/>
      <c r="AJ861" s="236"/>
      <c r="AK861" s="236"/>
      <c r="AL861" s="236"/>
      <c r="AM861" s="236"/>
      <c r="AN861" s="236"/>
      <c r="AO861" s="236"/>
      <c r="AP861" s="236"/>
      <c r="AQ861" s="236"/>
      <c r="AR861" s="236"/>
      <c r="AS861" s="236"/>
      <c r="AT861" s="236"/>
      <c r="AU861" s="236"/>
      <c r="AV861" s="12"/>
      <c r="AW861" s="12"/>
      <c r="AX861" s="12"/>
      <c r="AY861" s="12"/>
      <c r="AZ861" s="12"/>
      <c r="BA861" s="12"/>
      <c r="BB861" s="12"/>
    </row>
    <row r="862" spans="1:54" ht="13">
      <c r="A862" s="12"/>
      <c r="B862" s="27"/>
      <c r="C862" s="27"/>
      <c r="D862" s="407"/>
      <c r="E862" s="27"/>
      <c r="F862" s="27"/>
      <c r="G862" s="27"/>
      <c r="H862" s="408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12"/>
      <c r="AW862" s="12"/>
      <c r="AX862" s="12"/>
      <c r="AY862" s="12"/>
      <c r="AZ862" s="12"/>
      <c r="BA862" s="12"/>
      <c r="BB862" s="12"/>
    </row>
    <row r="863" spans="1:54" ht="13">
      <c r="A863" s="12"/>
      <c r="B863" s="236"/>
      <c r="C863" s="236"/>
      <c r="D863" s="405"/>
      <c r="E863" s="236"/>
      <c r="F863" s="236"/>
      <c r="G863" s="236"/>
      <c r="H863" s="406"/>
      <c r="I863" s="236"/>
      <c r="J863" s="236"/>
      <c r="K863" s="236"/>
      <c r="L863" s="236"/>
      <c r="M863" s="236"/>
      <c r="N863" s="236"/>
      <c r="O863" s="236"/>
      <c r="P863" s="236"/>
      <c r="Q863" s="236"/>
      <c r="R863" s="236"/>
      <c r="S863" s="236"/>
      <c r="T863" s="236"/>
      <c r="U863" s="236"/>
      <c r="V863" s="236"/>
      <c r="W863" s="236"/>
      <c r="X863" s="236"/>
      <c r="Y863" s="236"/>
      <c r="Z863" s="236"/>
      <c r="AA863" s="236"/>
      <c r="AB863" s="236"/>
      <c r="AC863" s="236"/>
      <c r="AD863" s="236"/>
      <c r="AE863" s="236"/>
      <c r="AF863" s="236"/>
      <c r="AG863" s="236"/>
      <c r="AH863" s="236"/>
      <c r="AI863" s="236"/>
      <c r="AJ863" s="236"/>
      <c r="AK863" s="236"/>
      <c r="AL863" s="236"/>
      <c r="AM863" s="236"/>
      <c r="AN863" s="236"/>
      <c r="AO863" s="236"/>
      <c r="AP863" s="236"/>
      <c r="AQ863" s="236"/>
      <c r="AR863" s="236"/>
      <c r="AS863" s="236"/>
      <c r="AT863" s="236"/>
      <c r="AU863" s="236"/>
      <c r="AV863" s="12"/>
      <c r="AW863" s="12"/>
      <c r="AX863" s="12"/>
      <c r="AY863" s="12"/>
      <c r="AZ863" s="12"/>
      <c r="BA863" s="12"/>
      <c r="BB863" s="12"/>
    </row>
    <row r="864" spans="1:54" ht="13">
      <c r="A864" s="12"/>
      <c r="B864" s="27"/>
      <c r="C864" s="27"/>
      <c r="D864" s="407"/>
      <c r="E864" s="27"/>
      <c r="F864" s="27"/>
      <c r="G864" s="27"/>
      <c r="H864" s="408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12"/>
      <c r="AW864" s="12"/>
      <c r="AX864" s="12"/>
      <c r="AY864" s="12"/>
      <c r="AZ864" s="12"/>
      <c r="BA864" s="12"/>
      <c r="BB864" s="12"/>
    </row>
    <row r="865" spans="1:54" ht="13">
      <c r="A865" s="12"/>
      <c r="B865" s="236"/>
      <c r="C865" s="236"/>
      <c r="D865" s="405"/>
      <c r="E865" s="236"/>
      <c r="F865" s="236"/>
      <c r="G865" s="236"/>
      <c r="H865" s="406"/>
      <c r="I865" s="236"/>
      <c r="J865" s="236"/>
      <c r="K865" s="236"/>
      <c r="L865" s="236"/>
      <c r="M865" s="236"/>
      <c r="N865" s="236"/>
      <c r="O865" s="236"/>
      <c r="P865" s="236"/>
      <c r="Q865" s="236"/>
      <c r="R865" s="236"/>
      <c r="S865" s="236"/>
      <c r="T865" s="236"/>
      <c r="U865" s="236"/>
      <c r="V865" s="236"/>
      <c r="W865" s="236"/>
      <c r="X865" s="236"/>
      <c r="Y865" s="236"/>
      <c r="Z865" s="236"/>
      <c r="AA865" s="236"/>
      <c r="AB865" s="236"/>
      <c r="AC865" s="236"/>
      <c r="AD865" s="236"/>
      <c r="AE865" s="236"/>
      <c r="AF865" s="236"/>
      <c r="AG865" s="236"/>
      <c r="AH865" s="236"/>
      <c r="AI865" s="236"/>
      <c r="AJ865" s="236"/>
      <c r="AK865" s="236"/>
      <c r="AL865" s="236"/>
      <c r="AM865" s="236"/>
      <c r="AN865" s="236"/>
      <c r="AO865" s="236"/>
      <c r="AP865" s="236"/>
      <c r="AQ865" s="236"/>
      <c r="AR865" s="236"/>
      <c r="AS865" s="236"/>
      <c r="AT865" s="236"/>
      <c r="AU865" s="236"/>
      <c r="AV865" s="12"/>
      <c r="AW865" s="12"/>
      <c r="AX865" s="12"/>
      <c r="AY865" s="12"/>
      <c r="AZ865" s="12"/>
      <c r="BA865" s="12"/>
      <c r="BB865" s="12"/>
    </row>
    <row r="866" spans="1:54" ht="13">
      <c r="A866" s="12"/>
      <c r="B866" s="27"/>
      <c r="C866" s="27"/>
      <c r="D866" s="407"/>
      <c r="E866" s="27"/>
      <c r="F866" s="27"/>
      <c r="G866" s="27"/>
      <c r="H866" s="408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12"/>
      <c r="AW866" s="12"/>
      <c r="AX866" s="12"/>
      <c r="AY866" s="12"/>
      <c r="AZ866" s="12"/>
      <c r="BA866" s="12"/>
      <c r="BB866" s="12"/>
    </row>
    <row r="867" spans="1:54" ht="13">
      <c r="A867" s="12"/>
      <c r="B867" s="236"/>
      <c r="C867" s="236"/>
      <c r="D867" s="405"/>
      <c r="E867" s="236"/>
      <c r="F867" s="236"/>
      <c r="G867" s="236"/>
      <c r="H867" s="406"/>
      <c r="I867" s="236"/>
      <c r="J867" s="236"/>
      <c r="K867" s="236"/>
      <c r="L867" s="236"/>
      <c r="M867" s="236"/>
      <c r="N867" s="236"/>
      <c r="O867" s="236"/>
      <c r="P867" s="236"/>
      <c r="Q867" s="236"/>
      <c r="R867" s="236"/>
      <c r="S867" s="236"/>
      <c r="T867" s="236"/>
      <c r="U867" s="236"/>
      <c r="V867" s="236"/>
      <c r="W867" s="236"/>
      <c r="X867" s="236"/>
      <c r="Y867" s="236"/>
      <c r="Z867" s="236"/>
      <c r="AA867" s="236"/>
      <c r="AB867" s="236"/>
      <c r="AC867" s="236"/>
      <c r="AD867" s="236"/>
      <c r="AE867" s="236"/>
      <c r="AF867" s="236"/>
      <c r="AG867" s="236"/>
      <c r="AH867" s="236"/>
      <c r="AI867" s="236"/>
      <c r="AJ867" s="236"/>
      <c r="AK867" s="236"/>
      <c r="AL867" s="236"/>
      <c r="AM867" s="236"/>
      <c r="AN867" s="236"/>
      <c r="AO867" s="236"/>
      <c r="AP867" s="236"/>
      <c r="AQ867" s="236"/>
      <c r="AR867" s="236"/>
      <c r="AS867" s="236"/>
      <c r="AT867" s="236"/>
      <c r="AU867" s="236"/>
      <c r="AV867" s="12"/>
      <c r="AW867" s="12"/>
      <c r="AX867" s="12"/>
      <c r="AY867" s="12"/>
      <c r="AZ867" s="12"/>
      <c r="BA867" s="12"/>
      <c r="BB867" s="12"/>
    </row>
    <row r="868" spans="1:54" ht="13">
      <c r="A868" s="12"/>
      <c r="B868" s="27"/>
      <c r="C868" s="27"/>
      <c r="D868" s="407"/>
      <c r="E868" s="27"/>
      <c r="F868" s="27"/>
      <c r="G868" s="27"/>
      <c r="H868" s="408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12"/>
      <c r="AW868" s="12"/>
      <c r="AX868" s="12"/>
      <c r="AY868" s="12"/>
      <c r="AZ868" s="12"/>
      <c r="BA868" s="12"/>
      <c r="BB868" s="12"/>
    </row>
    <row r="869" spans="1:54" ht="13">
      <c r="A869" s="12"/>
      <c r="B869" s="236"/>
      <c r="C869" s="236"/>
      <c r="D869" s="405"/>
      <c r="E869" s="236"/>
      <c r="F869" s="236"/>
      <c r="G869" s="236"/>
      <c r="H869" s="406"/>
      <c r="I869" s="236"/>
      <c r="J869" s="236"/>
      <c r="K869" s="236"/>
      <c r="L869" s="236"/>
      <c r="M869" s="236"/>
      <c r="N869" s="236"/>
      <c r="O869" s="236"/>
      <c r="P869" s="236"/>
      <c r="Q869" s="236"/>
      <c r="R869" s="236"/>
      <c r="S869" s="236"/>
      <c r="T869" s="236"/>
      <c r="U869" s="236"/>
      <c r="V869" s="236"/>
      <c r="W869" s="236"/>
      <c r="X869" s="236"/>
      <c r="Y869" s="236"/>
      <c r="Z869" s="236"/>
      <c r="AA869" s="236"/>
      <c r="AB869" s="236"/>
      <c r="AC869" s="236"/>
      <c r="AD869" s="236"/>
      <c r="AE869" s="236"/>
      <c r="AF869" s="236"/>
      <c r="AG869" s="236"/>
      <c r="AH869" s="236"/>
      <c r="AI869" s="236"/>
      <c r="AJ869" s="236"/>
      <c r="AK869" s="236"/>
      <c r="AL869" s="236"/>
      <c r="AM869" s="236"/>
      <c r="AN869" s="236"/>
      <c r="AO869" s="236"/>
      <c r="AP869" s="236"/>
      <c r="AQ869" s="236"/>
      <c r="AR869" s="236"/>
      <c r="AS869" s="236"/>
      <c r="AT869" s="236"/>
      <c r="AU869" s="236"/>
      <c r="AV869" s="12"/>
      <c r="AW869" s="12"/>
      <c r="AX869" s="12"/>
      <c r="AY869" s="12"/>
      <c r="AZ869" s="12"/>
      <c r="BA869" s="12"/>
      <c r="BB869" s="12"/>
    </row>
    <row r="870" spans="1:54" ht="13">
      <c r="A870" s="12"/>
      <c r="B870" s="27"/>
      <c r="C870" s="27"/>
      <c r="D870" s="407"/>
      <c r="E870" s="27"/>
      <c r="F870" s="27"/>
      <c r="G870" s="27"/>
      <c r="H870" s="408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12"/>
      <c r="AW870" s="12"/>
      <c r="AX870" s="12"/>
      <c r="AY870" s="12"/>
      <c r="AZ870" s="12"/>
      <c r="BA870" s="12"/>
      <c r="BB870" s="12"/>
    </row>
    <row r="871" spans="1:54" ht="13">
      <c r="A871" s="12"/>
      <c r="B871" s="236"/>
      <c r="C871" s="236"/>
      <c r="D871" s="405"/>
      <c r="E871" s="236"/>
      <c r="F871" s="236"/>
      <c r="G871" s="236"/>
      <c r="H871" s="406"/>
      <c r="I871" s="236"/>
      <c r="J871" s="236"/>
      <c r="K871" s="236"/>
      <c r="L871" s="236"/>
      <c r="M871" s="236"/>
      <c r="N871" s="236"/>
      <c r="O871" s="236"/>
      <c r="P871" s="236"/>
      <c r="Q871" s="236"/>
      <c r="R871" s="236"/>
      <c r="S871" s="236"/>
      <c r="T871" s="236"/>
      <c r="U871" s="236"/>
      <c r="V871" s="236"/>
      <c r="W871" s="236"/>
      <c r="X871" s="236"/>
      <c r="Y871" s="236"/>
      <c r="Z871" s="236"/>
      <c r="AA871" s="236"/>
      <c r="AB871" s="236"/>
      <c r="AC871" s="236"/>
      <c r="AD871" s="236"/>
      <c r="AE871" s="236"/>
      <c r="AF871" s="236"/>
      <c r="AG871" s="236"/>
      <c r="AH871" s="236"/>
      <c r="AI871" s="236"/>
      <c r="AJ871" s="236"/>
      <c r="AK871" s="236"/>
      <c r="AL871" s="236"/>
      <c r="AM871" s="236"/>
      <c r="AN871" s="236"/>
      <c r="AO871" s="236"/>
      <c r="AP871" s="236"/>
      <c r="AQ871" s="236"/>
      <c r="AR871" s="236"/>
      <c r="AS871" s="236"/>
      <c r="AT871" s="236"/>
      <c r="AU871" s="236"/>
      <c r="AV871" s="12"/>
      <c r="AW871" s="12"/>
      <c r="AX871" s="12"/>
      <c r="AY871" s="12"/>
      <c r="AZ871" s="12"/>
      <c r="BA871" s="12"/>
      <c r="BB871" s="12"/>
    </row>
    <row r="872" spans="1:54" ht="13">
      <c r="A872" s="12"/>
      <c r="B872" s="27"/>
      <c r="C872" s="27"/>
      <c r="D872" s="407"/>
      <c r="E872" s="27"/>
      <c r="F872" s="27"/>
      <c r="G872" s="27"/>
      <c r="H872" s="408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12"/>
      <c r="AW872" s="12"/>
      <c r="AX872" s="12"/>
      <c r="AY872" s="12"/>
      <c r="AZ872" s="12"/>
      <c r="BA872" s="12"/>
      <c r="BB872" s="12"/>
    </row>
    <row r="873" spans="1:54" ht="13">
      <c r="A873" s="12"/>
      <c r="B873" s="236"/>
      <c r="C873" s="236"/>
      <c r="D873" s="405"/>
      <c r="E873" s="236"/>
      <c r="F873" s="236"/>
      <c r="G873" s="236"/>
      <c r="H873" s="406"/>
      <c r="I873" s="236"/>
      <c r="J873" s="236"/>
      <c r="K873" s="236"/>
      <c r="L873" s="236"/>
      <c r="M873" s="236"/>
      <c r="N873" s="236"/>
      <c r="O873" s="236"/>
      <c r="P873" s="236"/>
      <c r="Q873" s="236"/>
      <c r="R873" s="236"/>
      <c r="S873" s="236"/>
      <c r="T873" s="236"/>
      <c r="U873" s="236"/>
      <c r="V873" s="236"/>
      <c r="W873" s="236"/>
      <c r="X873" s="236"/>
      <c r="Y873" s="236"/>
      <c r="Z873" s="236"/>
      <c r="AA873" s="236"/>
      <c r="AB873" s="236"/>
      <c r="AC873" s="236"/>
      <c r="AD873" s="236"/>
      <c r="AE873" s="236"/>
      <c r="AF873" s="236"/>
      <c r="AG873" s="236"/>
      <c r="AH873" s="236"/>
      <c r="AI873" s="236"/>
      <c r="AJ873" s="236"/>
      <c r="AK873" s="236"/>
      <c r="AL873" s="236"/>
      <c r="AM873" s="236"/>
      <c r="AN873" s="236"/>
      <c r="AO873" s="236"/>
      <c r="AP873" s="236"/>
      <c r="AQ873" s="236"/>
      <c r="AR873" s="236"/>
      <c r="AS873" s="236"/>
      <c r="AT873" s="236"/>
      <c r="AU873" s="236"/>
      <c r="AV873" s="12"/>
      <c r="AW873" s="12"/>
      <c r="AX873" s="12"/>
      <c r="AY873" s="12"/>
      <c r="AZ873" s="12"/>
      <c r="BA873" s="12"/>
      <c r="BB873" s="12"/>
    </row>
    <row r="874" spans="1:54" ht="13">
      <c r="A874" s="12"/>
      <c r="B874" s="27"/>
      <c r="C874" s="27"/>
      <c r="D874" s="407"/>
      <c r="E874" s="27"/>
      <c r="F874" s="27"/>
      <c r="G874" s="27"/>
      <c r="H874" s="408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12"/>
      <c r="AW874" s="12"/>
      <c r="AX874" s="12"/>
      <c r="AY874" s="12"/>
      <c r="AZ874" s="12"/>
      <c r="BA874" s="12"/>
      <c r="BB874" s="12"/>
    </row>
    <row r="875" spans="1:54" ht="13">
      <c r="A875" s="12"/>
      <c r="B875" s="236"/>
      <c r="C875" s="236"/>
      <c r="D875" s="405"/>
      <c r="E875" s="236"/>
      <c r="F875" s="236"/>
      <c r="G875" s="236"/>
      <c r="H875" s="406"/>
      <c r="I875" s="236"/>
      <c r="J875" s="236"/>
      <c r="K875" s="236"/>
      <c r="L875" s="236"/>
      <c r="M875" s="236"/>
      <c r="N875" s="236"/>
      <c r="O875" s="236"/>
      <c r="P875" s="236"/>
      <c r="Q875" s="236"/>
      <c r="R875" s="236"/>
      <c r="S875" s="236"/>
      <c r="T875" s="236"/>
      <c r="U875" s="236"/>
      <c r="V875" s="236"/>
      <c r="W875" s="236"/>
      <c r="X875" s="236"/>
      <c r="Y875" s="236"/>
      <c r="Z875" s="236"/>
      <c r="AA875" s="236"/>
      <c r="AB875" s="236"/>
      <c r="AC875" s="236"/>
      <c r="AD875" s="236"/>
      <c r="AE875" s="236"/>
      <c r="AF875" s="236"/>
      <c r="AG875" s="236"/>
      <c r="AH875" s="236"/>
      <c r="AI875" s="236"/>
      <c r="AJ875" s="236"/>
      <c r="AK875" s="236"/>
      <c r="AL875" s="236"/>
      <c r="AM875" s="236"/>
      <c r="AN875" s="236"/>
      <c r="AO875" s="236"/>
      <c r="AP875" s="236"/>
      <c r="AQ875" s="236"/>
      <c r="AR875" s="236"/>
      <c r="AS875" s="236"/>
      <c r="AT875" s="236"/>
      <c r="AU875" s="236"/>
      <c r="AV875" s="12"/>
      <c r="AW875" s="12"/>
      <c r="AX875" s="12"/>
      <c r="AY875" s="12"/>
      <c r="AZ875" s="12"/>
      <c r="BA875" s="12"/>
      <c r="BB875" s="12"/>
    </row>
    <row r="876" spans="1:54" ht="13">
      <c r="A876" s="12"/>
      <c r="B876" s="27"/>
      <c r="C876" s="27"/>
      <c r="D876" s="407"/>
      <c r="E876" s="27"/>
      <c r="F876" s="27"/>
      <c r="G876" s="27"/>
      <c r="H876" s="408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12"/>
      <c r="AW876" s="12"/>
      <c r="AX876" s="12"/>
      <c r="AY876" s="12"/>
      <c r="AZ876" s="12"/>
      <c r="BA876" s="12"/>
      <c r="BB876" s="12"/>
    </row>
    <row r="877" spans="1:54" ht="13">
      <c r="A877" s="12"/>
      <c r="B877" s="236"/>
      <c r="C877" s="236"/>
      <c r="D877" s="405"/>
      <c r="E877" s="236"/>
      <c r="F877" s="236"/>
      <c r="G877" s="236"/>
      <c r="H877" s="406"/>
      <c r="I877" s="236"/>
      <c r="J877" s="236"/>
      <c r="K877" s="236"/>
      <c r="L877" s="236"/>
      <c r="M877" s="236"/>
      <c r="N877" s="236"/>
      <c r="O877" s="236"/>
      <c r="P877" s="236"/>
      <c r="Q877" s="236"/>
      <c r="R877" s="236"/>
      <c r="S877" s="236"/>
      <c r="T877" s="236"/>
      <c r="U877" s="236"/>
      <c r="V877" s="236"/>
      <c r="W877" s="236"/>
      <c r="X877" s="236"/>
      <c r="Y877" s="236"/>
      <c r="Z877" s="236"/>
      <c r="AA877" s="236"/>
      <c r="AB877" s="236"/>
      <c r="AC877" s="236"/>
      <c r="AD877" s="236"/>
      <c r="AE877" s="236"/>
      <c r="AF877" s="236"/>
      <c r="AG877" s="236"/>
      <c r="AH877" s="236"/>
      <c r="AI877" s="236"/>
      <c r="AJ877" s="236"/>
      <c r="AK877" s="236"/>
      <c r="AL877" s="236"/>
      <c r="AM877" s="236"/>
      <c r="AN877" s="236"/>
      <c r="AO877" s="236"/>
      <c r="AP877" s="236"/>
      <c r="AQ877" s="236"/>
      <c r="AR877" s="236"/>
      <c r="AS877" s="236"/>
      <c r="AT877" s="236"/>
      <c r="AU877" s="236"/>
      <c r="AV877" s="12"/>
      <c r="AW877" s="12"/>
      <c r="AX877" s="12"/>
      <c r="AY877" s="12"/>
      <c r="AZ877" s="12"/>
      <c r="BA877" s="12"/>
      <c r="BB877" s="12"/>
    </row>
    <row r="878" spans="1:54" ht="13">
      <c r="A878" s="12"/>
      <c r="B878" s="27"/>
      <c r="C878" s="27"/>
      <c r="D878" s="407"/>
      <c r="E878" s="27"/>
      <c r="F878" s="27"/>
      <c r="G878" s="27"/>
      <c r="H878" s="408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12"/>
      <c r="AW878" s="12"/>
      <c r="AX878" s="12"/>
      <c r="AY878" s="12"/>
      <c r="AZ878" s="12"/>
      <c r="BA878" s="12"/>
      <c r="BB878" s="12"/>
    </row>
    <row r="879" spans="1:54" ht="13">
      <c r="A879" s="12"/>
      <c r="B879" s="236"/>
      <c r="C879" s="236"/>
      <c r="D879" s="405"/>
      <c r="E879" s="236"/>
      <c r="F879" s="236"/>
      <c r="G879" s="236"/>
      <c r="H879" s="406"/>
      <c r="I879" s="236"/>
      <c r="J879" s="236"/>
      <c r="K879" s="236"/>
      <c r="L879" s="236"/>
      <c r="M879" s="236"/>
      <c r="N879" s="236"/>
      <c r="O879" s="236"/>
      <c r="P879" s="236"/>
      <c r="Q879" s="236"/>
      <c r="R879" s="236"/>
      <c r="S879" s="236"/>
      <c r="T879" s="236"/>
      <c r="U879" s="236"/>
      <c r="V879" s="236"/>
      <c r="W879" s="236"/>
      <c r="X879" s="236"/>
      <c r="Y879" s="236"/>
      <c r="Z879" s="236"/>
      <c r="AA879" s="236"/>
      <c r="AB879" s="236"/>
      <c r="AC879" s="236"/>
      <c r="AD879" s="236"/>
      <c r="AE879" s="236"/>
      <c r="AF879" s="236"/>
      <c r="AG879" s="236"/>
      <c r="AH879" s="236"/>
      <c r="AI879" s="236"/>
      <c r="AJ879" s="236"/>
      <c r="AK879" s="236"/>
      <c r="AL879" s="236"/>
      <c r="AM879" s="236"/>
      <c r="AN879" s="236"/>
      <c r="AO879" s="236"/>
      <c r="AP879" s="236"/>
      <c r="AQ879" s="236"/>
      <c r="AR879" s="236"/>
      <c r="AS879" s="236"/>
      <c r="AT879" s="236"/>
      <c r="AU879" s="236"/>
      <c r="AV879" s="12"/>
      <c r="AW879" s="12"/>
      <c r="AX879" s="12"/>
      <c r="AY879" s="12"/>
      <c r="AZ879" s="12"/>
      <c r="BA879" s="12"/>
      <c r="BB879" s="12"/>
    </row>
    <row r="880" spans="1:54" ht="13">
      <c r="A880" s="12"/>
      <c r="B880" s="27"/>
      <c r="C880" s="27"/>
      <c r="D880" s="407"/>
      <c r="E880" s="27"/>
      <c r="F880" s="27"/>
      <c r="G880" s="27"/>
      <c r="H880" s="408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12"/>
      <c r="AW880" s="12"/>
      <c r="AX880" s="12"/>
      <c r="AY880" s="12"/>
      <c r="AZ880" s="12"/>
      <c r="BA880" s="12"/>
      <c r="BB880" s="12"/>
    </row>
    <row r="881" spans="1:54" ht="13">
      <c r="A881" s="12"/>
      <c r="B881" s="236"/>
      <c r="C881" s="236"/>
      <c r="D881" s="405"/>
      <c r="E881" s="236"/>
      <c r="F881" s="236"/>
      <c r="G881" s="236"/>
      <c r="H881" s="406"/>
      <c r="I881" s="236"/>
      <c r="J881" s="236"/>
      <c r="K881" s="236"/>
      <c r="L881" s="236"/>
      <c r="M881" s="236"/>
      <c r="N881" s="236"/>
      <c r="O881" s="236"/>
      <c r="P881" s="236"/>
      <c r="Q881" s="236"/>
      <c r="R881" s="236"/>
      <c r="S881" s="236"/>
      <c r="T881" s="236"/>
      <c r="U881" s="236"/>
      <c r="V881" s="236"/>
      <c r="W881" s="236"/>
      <c r="X881" s="236"/>
      <c r="Y881" s="236"/>
      <c r="Z881" s="236"/>
      <c r="AA881" s="236"/>
      <c r="AB881" s="236"/>
      <c r="AC881" s="236"/>
      <c r="AD881" s="236"/>
      <c r="AE881" s="236"/>
      <c r="AF881" s="236"/>
      <c r="AG881" s="236"/>
      <c r="AH881" s="236"/>
      <c r="AI881" s="236"/>
      <c r="AJ881" s="236"/>
      <c r="AK881" s="236"/>
      <c r="AL881" s="236"/>
      <c r="AM881" s="236"/>
      <c r="AN881" s="236"/>
      <c r="AO881" s="236"/>
      <c r="AP881" s="236"/>
      <c r="AQ881" s="236"/>
      <c r="AR881" s="236"/>
      <c r="AS881" s="236"/>
      <c r="AT881" s="236"/>
      <c r="AU881" s="236"/>
      <c r="AV881" s="12"/>
      <c r="AW881" s="12"/>
      <c r="AX881" s="12"/>
      <c r="AY881" s="12"/>
      <c r="AZ881" s="12"/>
      <c r="BA881" s="12"/>
      <c r="BB881" s="12"/>
    </row>
    <row r="882" spans="1:54" ht="13">
      <c r="A882" s="12"/>
      <c r="B882" s="27"/>
      <c r="C882" s="27"/>
      <c r="D882" s="407"/>
      <c r="E882" s="27"/>
      <c r="F882" s="27"/>
      <c r="G882" s="27"/>
      <c r="H882" s="408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12"/>
      <c r="AW882" s="12"/>
      <c r="AX882" s="12"/>
      <c r="AY882" s="12"/>
      <c r="AZ882" s="12"/>
      <c r="BA882" s="12"/>
      <c r="BB882" s="12"/>
    </row>
    <row r="883" spans="1:54" ht="13">
      <c r="A883" s="12"/>
      <c r="B883" s="236"/>
      <c r="C883" s="236"/>
      <c r="D883" s="405"/>
      <c r="E883" s="236"/>
      <c r="F883" s="236"/>
      <c r="G883" s="236"/>
      <c r="H883" s="406"/>
      <c r="I883" s="236"/>
      <c r="J883" s="236"/>
      <c r="K883" s="236"/>
      <c r="L883" s="236"/>
      <c r="M883" s="236"/>
      <c r="N883" s="236"/>
      <c r="O883" s="236"/>
      <c r="P883" s="236"/>
      <c r="Q883" s="236"/>
      <c r="R883" s="236"/>
      <c r="S883" s="236"/>
      <c r="T883" s="236"/>
      <c r="U883" s="236"/>
      <c r="V883" s="236"/>
      <c r="W883" s="236"/>
      <c r="X883" s="236"/>
      <c r="Y883" s="236"/>
      <c r="Z883" s="236"/>
      <c r="AA883" s="236"/>
      <c r="AB883" s="236"/>
      <c r="AC883" s="236"/>
      <c r="AD883" s="236"/>
      <c r="AE883" s="236"/>
      <c r="AF883" s="236"/>
      <c r="AG883" s="236"/>
      <c r="AH883" s="236"/>
      <c r="AI883" s="236"/>
      <c r="AJ883" s="236"/>
      <c r="AK883" s="236"/>
      <c r="AL883" s="236"/>
      <c r="AM883" s="236"/>
      <c r="AN883" s="236"/>
      <c r="AO883" s="236"/>
      <c r="AP883" s="236"/>
      <c r="AQ883" s="236"/>
      <c r="AR883" s="236"/>
      <c r="AS883" s="236"/>
      <c r="AT883" s="236"/>
      <c r="AU883" s="236"/>
      <c r="AV883" s="12"/>
      <c r="AW883" s="12"/>
      <c r="AX883" s="12"/>
      <c r="AY883" s="12"/>
      <c r="AZ883" s="12"/>
      <c r="BA883" s="12"/>
      <c r="BB883" s="12"/>
    </row>
    <row r="884" spans="1:54" ht="13">
      <c r="A884" s="12"/>
      <c r="B884" s="27"/>
      <c r="C884" s="27"/>
      <c r="D884" s="407"/>
      <c r="E884" s="27"/>
      <c r="F884" s="27"/>
      <c r="G884" s="27"/>
      <c r="H884" s="408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12"/>
      <c r="AW884" s="12"/>
      <c r="AX884" s="12"/>
      <c r="AY884" s="12"/>
      <c r="AZ884" s="12"/>
      <c r="BA884" s="12"/>
      <c r="BB884" s="12"/>
    </row>
    <row r="885" spans="1:54" ht="13">
      <c r="A885" s="12"/>
      <c r="B885" s="236"/>
      <c r="C885" s="236"/>
      <c r="D885" s="405"/>
      <c r="E885" s="236"/>
      <c r="F885" s="236"/>
      <c r="G885" s="236"/>
      <c r="H885" s="406"/>
      <c r="I885" s="236"/>
      <c r="J885" s="236"/>
      <c r="K885" s="236"/>
      <c r="L885" s="236"/>
      <c r="M885" s="236"/>
      <c r="N885" s="236"/>
      <c r="O885" s="236"/>
      <c r="P885" s="236"/>
      <c r="Q885" s="236"/>
      <c r="R885" s="236"/>
      <c r="S885" s="236"/>
      <c r="T885" s="236"/>
      <c r="U885" s="236"/>
      <c r="V885" s="236"/>
      <c r="W885" s="236"/>
      <c r="X885" s="236"/>
      <c r="Y885" s="236"/>
      <c r="Z885" s="236"/>
      <c r="AA885" s="236"/>
      <c r="AB885" s="236"/>
      <c r="AC885" s="236"/>
      <c r="AD885" s="236"/>
      <c r="AE885" s="236"/>
      <c r="AF885" s="236"/>
      <c r="AG885" s="236"/>
      <c r="AH885" s="236"/>
      <c r="AI885" s="236"/>
      <c r="AJ885" s="236"/>
      <c r="AK885" s="236"/>
      <c r="AL885" s="236"/>
      <c r="AM885" s="236"/>
      <c r="AN885" s="236"/>
      <c r="AO885" s="236"/>
      <c r="AP885" s="236"/>
      <c r="AQ885" s="236"/>
      <c r="AR885" s="236"/>
      <c r="AS885" s="236"/>
      <c r="AT885" s="236"/>
      <c r="AU885" s="236"/>
      <c r="AV885" s="12"/>
      <c r="AW885" s="12"/>
      <c r="AX885" s="12"/>
      <c r="AY885" s="12"/>
      <c r="AZ885" s="12"/>
      <c r="BA885" s="12"/>
      <c r="BB885" s="12"/>
    </row>
    <row r="886" spans="1:54" ht="13">
      <c r="A886" s="12"/>
      <c r="B886" s="27"/>
      <c r="C886" s="27"/>
      <c r="D886" s="407"/>
      <c r="E886" s="27"/>
      <c r="F886" s="27"/>
      <c r="G886" s="27"/>
      <c r="H886" s="408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12"/>
      <c r="AW886" s="12"/>
      <c r="AX886" s="12"/>
      <c r="AY886" s="12"/>
      <c r="AZ886" s="12"/>
      <c r="BA886" s="12"/>
      <c r="BB886" s="12"/>
    </row>
    <row r="887" spans="1:54" ht="13">
      <c r="A887" s="12"/>
      <c r="B887" s="236"/>
      <c r="C887" s="236"/>
      <c r="D887" s="405"/>
      <c r="E887" s="236"/>
      <c r="F887" s="236"/>
      <c r="G887" s="236"/>
      <c r="H887" s="406"/>
      <c r="I887" s="236"/>
      <c r="J887" s="236"/>
      <c r="K887" s="236"/>
      <c r="L887" s="236"/>
      <c r="M887" s="236"/>
      <c r="N887" s="236"/>
      <c r="O887" s="236"/>
      <c r="P887" s="236"/>
      <c r="Q887" s="236"/>
      <c r="R887" s="236"/>
      <c r="S887" s="236"/>
      <c r="T887" s="236"/>
      <c r="U887" s="236"/>
      <c r="V887" s="236"/>
      <c r="W887" s="236"/>
      <c r="X887" s="236"/>
      <c r="Y887" s="236"/>
      <c r="Z887" s="236"/>
      <c r="AA887" s="236"/>
      <c r="AB887" s="236"/>
      <c r="AC887" s="236"/>
      <c r="AD887" s="236"/>
      <c r="AE887" s="236"/>
      <c r="AF887" s="236"/>
      <c r="AG887" s="236"/>
      <c r="AH887" s="236"/>
      <c r="AI887" s="236"/>
      <c r="AJ887" s="236"/>
      <c r="AK887" s="236"/>
      <c r="AL887" s="236"/>
      <c r="AM887" s="236"/>
      <c r="AN887" s="236"/>
      <c r="AO887" s="236"/>
      <c r="AP887" s="236"/>
      <c r="AQ887" s="236"/>
      <c r="AR887" s="236"/>
      <c r="AS887" s="236"/>
      <c r="AT887" s="236"/>
      <c r="AU887" s="236"/>
      <c r="AV887" s="12"/>
      <c r="AW887" s="12"/>
      <c r="AX887" s="12"/>
      <c r="AY887" s="12"/>
      <c r="AZ887" s="12"/>
      <c r="BA887" s="12"/>
      <c r="BB887" s="12"/>
    </row>
    <row r="888" spans="1:54" ht="13">
      <c r="A888" s="12"/>
      <c r="B888" s="27"/>
      <c r="C888" s="27"/>
      <c r="D888" s="407"/>
      <c r="E888" s="27"/>
      <c r="F888" s="27"/>
      <c r="G888" s="27"/>
      <c r="H888" s="408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12"/>
      <c r="AW888" s="12"/>
      <c r="AX888" s="12"/>
      <c r="AY888" s="12"/>
      <c r="AZ888" s="12"/>
      <c r="BA888" s="12"/>
      <c r="BB888" s="12"/>
    </row>
    <row r="889" spans="1:54" ht="13">
      <c r="A889" s="12"/>
      <c r="B889" s="236"/>
      <c r="C889" s="236"/>
      <c r="D889" s="405"/>
      <c r="E889" s="236"/>
      <c r="F889" s="236"/>
      <c r="G889" s="236"/>
      <c r="H889" s="406"/>
      <c r="I889" s="236"/>
      <c r="J889" s="236"/>
      <c r="K889" s="236"/>
      <c r="L889" s="236"/>
      <c r="M889" s="236"/>
      <c r="N889" s="236"/>
      <c r="O889" s="236"/>
      <c r="P889" s="236"/>
      <c r="Q889" s="236"/>
      <c r="R889" s="236"/>
      <c r="S889" s="236"/>
      <c r="T889" s="236"/>
      <c r="U889" s="236"/>
      <c r="V889" s="236"/>
      <c r="W889" s="236"/>
      <c r="X889" s="236"/>
      <c r="Y889" s="236"/>
      <c r="Z889" s="236"/>
      <c r="AA889" s="236"/>
      <c r="AB889" s="236"/>
      <c r="AC889" s="236"/>
      <c r="AD889" s="236"/>
      <c r="AE889" s="236"/>
      <c r="AF889" s="236"/>
      <c r="AG889" s="236"/>
      <c r="AH889" s="236"/>
      <c r="AI889" s="236"/>
      <c r="AJ889" s="236"/>
      <c r="AK889" s="236"/>
      <c r="AL889" s="236"/>
      <c r="AM889" s="236"/>
      <c r="AN889" s="236"/>
      <c r="AO889" s="236"/>
      <c r="AP889" s="236"/>
      <c r="AQ889" s="236"/>
      <c r="AR889" s="236"/>
      <c r="AS889" s="236"/>
      <c r="AT889" s="236"/>
      <c r="AU889" s="236"/>
      <c r="AV889" s="12"/>
      <c r="AW889" s="12"/>
      <c r="AX889" s="12"/>
      <c r="AY889" s="12"/>
      <c r="AZ889" s="12"/>
      <c r="BA889" s="12"/>
      <c r="BB889" s="12"/>
    </row>
    <row r="890" spans="1:54" ht="13">
      <c r="A890" s="12"/>
      <c r="B890" s="27"/>
      <c r="C890" s="27"/>
      <c r="D890" s="407"/>
      <c r="E890" s="27"/>
      <c r="F890" s="27"/>
      <c r="G890" s="27"/>
      <c r="H890" s="408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12"/>
      <c r="AW890" s="12"/>
      <c r="AX890" s="12"/>
      <c r="AY890" s="12"/>
      <c r="AZ890" s="12"/>
      <c r="BA890" s="12"/>
      <c r="BB890" s="12"/>
    </row>
    <row r="891" spans="1:54" ht="13">
      <c r="A891" s="12"/>
      <c r="B891" s="236"/>
      <c r="C891" s="236"/>
      <c r="D891" s="405"/>
      <c r="E891" s="236"/>
      <c r="F891" s="236"/>
      <c r="G891" s="236"/>
      <c r="H891" s="406"/>
      <c r="I891" s="236"/>
      <c r="J891" s="236"/>
      <c r="K891" s="236"/>
      <c r="L891" s="236"/>
      <c r="M891" s="236"/>
      <c r="N891" s="236"/>
      <c r="O891" s="236"/>
      <c r="P891" s="236"/>
      <c r="Q891" s="236"/>
      <c r="R891" s="236"/>
      <c r="S891" s="236"/>
      <c r="T891" s="236"/>
      <c r="U891" s="236"/>
      <c r="V891" s="236"/>
      <c r="W891" s="236"/>
      <c r="X891" s="236"/>
      <c r="Y891" s="236"/>
      <c r="Z891" s="236"/>
      <c r="AA891" s="236"/>
      <c r="AB891" s="236"/>
      <c r="AC891" s="236"/>
      <c r="AD891" s="236"/>
      <c r="AE891" s="236"/>
      <c r="AF891" s="236"/>
      <c r="AG891" s="236"/>
      <c r="AH891" s="236"/>
      <c r="AI891" s="236"/>
      <c r="AJ891" s="236"/>
      <c r="AK891" s="236"/>
      <c r="AL891" s="236"/>
      <c r="AM891" s="236"/>
      <c r="AN891" s="236"/>
      <c r="AO891" s="236"/>
      <c r="AP891" s="236"/>
      <c r="AQ891" s="236"/>
      <c r="AR891" s="236"/>
      <c r="AS891" s="236"/>
      <c r="AT891" s="236"/>
      <c r="AU891" s="236"/>
      <c r="AV891" s="12"/>
      <c r="AW891" s="12"/>
      <c r="AX891" s="12"/>
      <c r="AY891" s="12"/>
      <c r="AZ891" s="12"/>
      <c r="BA891" s="12"/>
      <c r="BB891" s="12"/>
    </row>
    <row r="892" spans="1:54" ht="13">
      <c r="A892" s="12"/>
      <c r="B892" s="27"/>
      <c r="C892" s="27"/>
      <c r="D892" s="407"/>
      <c r="E892" s="27"/>
      <c r="F892" s="27"/>
      <c r="G892" s="27"/>
      <c r="H892" s="408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12"/>
      <c r="AW892" s="12"/>
      <c r="AX892" s="12"/>
      <c r="AY892" s="12"/>
      <c r="AZ892" s="12"/>
      <c r="BA892" s="12"/>
      <c r="BB892" s="12"/>
    </row>
    <row r="893" spans="1:54" ht="13">
      <c r="A893" s="12"/>
      <c r="B893" s="236"/>
      <c r="C893" s="236"/>
      <c r="D893" s="405"/>
      <c r="E893" s="236"/>
      <c r="F893" s="236"/>
      <c r="G893" s="236"/>
      <c r="H893" s="406"/>
      <c r="I893" s="236"/>
      <c r="J893" s="236"/>
      <c r="K893" s="236"/>
      <c r="L893" s="236"/>
      <c r="M893" s="236"/>
      <c r="N893" s="236"/>
      <c r="O893" s="236"/>
      <c r="P893" s="236"/>
      <c r="Q893" s="236"/>
      <c r="R893" s="236"/>
      <c r="S893" s="236"/>
      <c r="T893" s="236"/>
      <c r="U893" s="236"/>
      <c r="V893" s="236"/>
      <c r="W893" s="236"/>
      <c r="X893" s="236"/>
      <c r="Y893" s="236"/>
      <c r="Z893" s="236"/>
      <c r="AA893" s="236"/>
      <c r="AB893" s="236"/>
      <c r="AC893" s="236"/>
      <c r="AD893" s="236"/>
      <c r="AE893" s="236"/>
      <c r="AF893" s="236"/>
      <c r="AG893" s="236"/>
      <c r="AH893" s="236"/>
      <c r="AI893" s="236"/>
      <c r="AJ893" s="236"/>
      <c r="AK893" s="236"/>
      <c r="AL893" s="236"/>
      <c r="AM893" s="236"/>
      <c r="AN893" s="236"/>
      <c r="AO893" s="236"/>
      <c r="AP893" s="236"/>
      <c r="AQ893" s="236"/>
      <c r="AR893" s="236"/>
      <c r="AS893" s="236"/>
      <c r="AT893" s="236"/>
      <c r="AU893" s="236"/>
      <c r="AV893" s="12"/>
      <c r="AW893" s="12"/>
      <c r="AX893" s="12"/>
      <c r="AY893" s="12"/>
      <c r="AZ893" s="12"/>
      <c r="BA893" s="12"/>
      <c r="BB893" s="12"/>
    </row>
    <row r="894" spans="1:54" ht="13">
      <c r="A894" s="12"/>
      <c r="B894" s="27"/>
      <c r="C894" s="27"/>
      <c r="D894" s="407"/>
      <c r="E894" s="27"/>
      <c r="F894" s="27"/>
      <c r="G894" s="27"/>
      <c r="H894" s="408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12"/>
      <c r="AW894" s="12"/>
      <c r="AX894" s="12"/>
      <c r="AY894" s="12"/>
      <c r="AZ894" s="12"/>
      <c r="BA894" s="12"/>
      <c r="BB894" s="12"/>
    </row>
    <row r="895" spans="1:54" ht="13">
      <c r="A895" s="12"/>
      <c r="B895" s="236"/>
      <c r="C895" s="236"/>
      <c r="D895" s="405"/>
      <c r="E895" s="236"/>
      <c r="F895" s="236"/>
      <c r="G895" s="236"/>
      <c r="H895" s="406"/>
      <c r="I895" s="236"/>
      <c r="J895" s="236"/>
      <c r="K895" s="236"/>
      <c r="L895" s="236"/>
      <c r="M895" s="236"/>
      <c r="N895" s="236"/>
      <c r="O895" s="236"/>
      <c r="P895" s="236"/>
      <c r="Q895" s="236"/>
      <c r="R895" s="236"/>
      <c r="S895" s="236"/>
      <c r="T895" s="236"/>
      <c r="U895" s="236"/>
      <c r="V895" s="236"/>
      <c r="W895" s="236"/>
      <c r="X895" s="236"/>
      <c r="Y895" s="236"/>
      <c r="Z895" s="236"/>
      <c r="AA895" s="236"/>
      <c r="AB895" s="236"/>
      <c r="AC895" s="236"/>
      <c r="AD895" s="236"/>
      <c r="AE895" s="236"/>
      <c r="AF895" s="236"/>
      <c r="AG895" s="236"/>
      <c r="AH895" s="236"/>
      <c r="AI895" s="236"/>
      <c r="AJ895" s="236"/>
      <c r="AK895" s="236"/>
      <c r="AL895" s="236"/>
      <c r="AM895" s="236"/>
      <c r="AN895" s="236"/>
      <c r="AO895" s="236"/>
      <c r="AP895" s="236"/>
      <c r="AQ895" s="236"/>
      <c r="AR895" s="236"/>
      <c r="AS895" s="236"/>
      <c r="AT895" s="236"/>
      <c r="AU895" s="236"/>
      <c r="AV895" s="12"/>
      <c r="AW895" s="12"/>
      <c r="AX895" s="12"/>
      <c r="AY895" s="12"/>
      <c r="AZ895" s="12"/>
      <c r="BA895" s="12"/>
      <c r="BB895" s="12"/>
    </row>
    <row r="896" spans="1:54" ht="13">
      <c r="A896" s="12"/>
      <c r="B896" s="27"/>
      <c r="C896" s="27"/>
      <c r="D896" s="407"/>
      <c r="E896" s="27"/>
      <c r="F896" s="27"/>
      <c r="G896" s="27"/>
      <c r="H896" s="408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12"/>
      <c r="AW896" s="12"/>
      <c r="AX896" s="12"/>
      <c r="AY896" s="12"/>
      <c r="AZ896" s="12"/>
      <c r="BA896" s="12"/>
      <c r="BB896" s="12"/>
    </row>
    <row r="897" spans="1:54" ht="13">
      <c r="A897" s="12"/>
      <c r="B897" s="236"/>
      <c r="C897" s="236"/>
      <c r="D897" s="405"/>
      <c r="E897" s="236"/>
      <c r="F897" s="236"/>
      <c r="G897" s="236"/>
      <c r="H897" s="406"/>
      <c r="I897" s="236"/>
      <c r="J897" s="236"/>
      <c r="K897" s="236"/>
      <c r="L897" s="236"/>
      <c r="M897" s="236"/>
      <c r="N897" s="236"/>
      <c r="O897" s="236"/>
      <c r="P897" s="236"/>
      <c r="Q897" s="236"/>
      <c r="R897" s="236"/>
      <c r="S897" s="236"/>
      <c r="T897" s="236"/>
      <c r="U897" s="236"/>
      <c r="V897" s="236"/>
      <c r="W897" s="236"/>
      <c r="X897" s="236"/>
      <c r="Y897" s="236"/>
      <c r="Z897" s="236"/>
      <c r="AA897" s="236"/>
      <c r="AB897" s="236"/>
      <c r="AC897" s="236"/>
      <c r="AD897" s="236"/>
      <c r="AE897" s="236"/>
      <c r="AF897" s="236"/>
      <c r="AG897" s="236"/>
      <c r="AH897" s="236"/>
      <c r="AI897" s="236"/>
      <c r="AJ897" s="236"/>
      <c r="AK897" s="236"/>
      <c r="AL897" s="236"/>
      <c r="AM897" s="236"/>
      <c r="AN897" s="236"/>
      <c r="AO897" s="236"/>
      <c r="AP897" s="236"/>
      <c r="AQ897" s="236"/>
      <c r="AR897" s="236"/>
      <c r="AS897" s="236"/>
      <c r="AT897" s="236"/>
      <c r="AU897" s="236"/>
      <c r="AV897" s="12"/>
      <c r="AW897" s="12"/>
      <c r="AX897" s="12"/>
      <c r="AY897" s="12"/>
      <c r="AZ897" s="12"/>
      <c r="BA897" s="12"/>
      <c r="BB897" s="12"/>
    </row>
    <row r="898" spans="1:54" ht="13">
      <c r="A898" s="12"/>
      <c r="B898" s="27"/>
      <c r="C898" s="27"/>
      <c r="D898" s="407"/>
      <c r="E898" s="27"/>
      <c r="F898" s="27"/>
      <c r="G898" s="27"/>
      <c r="H898" s="408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12"/>
      <c r="AW898" s="12"/>
      <c r="AX898" s="12"/>
      <c r="AY898" s="12"/>
      <c r="AZ898" s="12"/>
      <c r="BA898" s="12"/>
      <c r="BB898" s="12"/>
    </row>
    <row r="899" spans="1:54" ht="13">
      <c r="A899" s="12"/>
      <c r="B899" s="236"/>
      <c r="C899" s="236"/>
      <c r="D899" s="405"/>
      <c r="E899" s="236"/>
      <c r="F899" s="236"/>
      <c r="G899" s="236"/>
      <c r="H899" s="406"/>
      <c r="I899" s="236"/>
      <c r="J899" s="236"/>
      <c r="K899" s="236"/>
      <c r="L899" s="236"/>
      <c r="M899" s="236"/>
      <c r="N899" s="236"/>
      <c r="O899" s="236"/>
      <c r="P899" s="236"/>
      <c r="Q899" s="236"/>
      <c r="R899" s="236"/>
      <c r="S899" s="236"/>
      <c r="T899" s="236"/>
      <c r="U899" s="236"/>
      <c r="V899" s="236"/>
      <c r="W899" s="236"/>
      <c r="X899" s="236"/>
      <c r="Y899" s="236"/>
      <c r="Z899" s="236"/>
      <c r="AA899" s="236"/>
      <c r="AB899" s="236"/>
      <c r="AC899" s="236"/>
      <c r="AD899" s="236"/>
      <c r="AE899" s="236"/>
      <c r="AF899" s="236"/>
      <c r="AG899" s="236"/>
      <c r="AH899" s="236"/>
      <c r="AI899" s="236"/>
      <c r="AJ899" s="236"/>
      <c r="AK899" s="236"/>
      <c r="AL899" s="236"/>
      <c r="AM899" s="236"/>
      <c r="AN899" s="236"/>
      <c r="AO899" s="236"/>
      <c r="AP899" s="236"/>
      <c r="AQ899" s="236"/>
      <c r="AR899" s="236"/>
      <c r="AS899" s="236"/>
      <c r="AT899" s="236"/>
      <c r="AU899" s="236"/>
      <c r="AV899" s="12"/>
      <c r="AW899" s="12"/>
      <c r="AX899" s="12"/>
      <c r="AY899" s="12"/>
      <c r="AZ899" s="12"/>
      <c r="BA899" s="12"/>
      <c r="BB899" s="12"/>
    </row>
    <row r="900" spans="1:54" ht="13">
      <c r="A900" s="12"/>
      <c r="B900" s="27"/>
      <c r="C900" s="27"/>
      <c r="D900" s="407"/>
      <c r="E900" s="27"/>
      <c r="F900" s="27"/>
      <c r="G900" s="27"/>
      <c r="H900" s="408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12"/>
      <c r="AW900" s="12"/>
      <c r="AX900" s="12"/>
      <c r="AY900" s="12"/>
      <c r="AZ900" s="12"/>
      <c r="BA900" s="12"/>
      <c r="BB900" s="12"/>
    </row>
    <row r="901" spans="1:54" ht="13">
      <c r="A901" s="12"/>
      <c r="B901" s="236"/>
      <c r="C901" s="236"/>
      <c r="D901" s="405"/>
      <c r="E901" s="236"/>
      <c r="F901" s="236"/>
      <c r="G901" s="236"/>
      <c r="H901" s="406"/>
      <c r="I901" s="236"/>
      <c r="J901" s="236"/>
      <c r="K901" s="236"/>
      <c r="L901" s="236"/>
      <c r="M901" s="236"/>
      <c r="N901" s="236"/>
      <c r="O901" s="236"/>
      <c r="P901" s="236"/>
      <c r="Q901" s="236"/>
      <c r="R901" s="236"/>
      <c r="S901" s="236"/>
      <c r="T901" s="236"/>
      <c r="U901" s="236"/>
      <c r="V901" s="236"/>
      <c r="W901" s="236"/>
      <c r="X901" s="236"/>
      <c r="Y901" s="236"/>
      <c r="Z901" s="236"/>
      <c r="AA901" s="236"/>
      <c r="AB901" s="236"/>
      <c r="AC901" s="236"/>
      <c r="AD901" s="236"/>
      <c r="AE901" s="236"/>
      <c r="AF901" s="236"/>
      <c r="AG901" s="236"/>
      <c r="AH901" s="236"/>
      <c r="AI901" s="236"/>
      <c r="AJ901" s="236"/>
      <c r="AK901" s="236"/>
      <c r="AL901" s="236"/>
      <c r="AM901" s="236"/>
      <c r="AN901" s="236"/>
      <c r="AO901" s="236"/>
      <c r="AP901" s="236"/>
      <c r="AQ901" s="236"/>
      <c r="AR901" s="236"/>
      <c r="AS901" s="236"/>
      <c r="AT901" s="236"/>
      <c r="AU901" s="236"/>
      <c r="AV901" s="12"/>
      <c r="AW901" s="12"/>
      <c r="AX901" s="12"/>
      <c r="AY901" s="12"/>
      <c r="AZ901" s="12"/>
      <c r="BA901" s="12"/>
      <c r="BB901" s="12"/>
    </row>
    <row r="902" spans="1:54" ht="13">
      <c r="A902" s="12"/>
      <c r="B902" s="27"/>
      <c r="C902" s="27"/>
      <c r="D902" s="407"/>
      <c r="E902" s="27"/>
      <c r="F902" s="27"/>
      <c r="G902" s="27"/>
      <c r="H902" s="408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12"/>
      <c r="AW902" s="12"/>
      <c r="AX902" s="12"/>
      <c r="AY902" s="12"/>
      <c r="AZ902" s="12"/>
      <c r="BA902" s="12"/>
      <c r="BB902" s="12"/>
    </row>
    <row r="903" spans="1:54" ht="13">
      <c r="A903" s="12"/>
      <c r="B903" s="236"/>
      <c r="C903" s="236"/>
      <c r="D903" s="405"/>
      <c r="E903" s="236"/>
      <c r="F903" s="236"/>
      <c r="G903" s="236"/>
      <c r="H903" s="406"/>
      <c r="I903" s="236"/>
      <c r="J903" s="236"/>
      <c r="K903" s="236"/>
      <c r="L903" s="236"/>
      <c r="M903" s="236"/>
      <c r="N903" s="236"/>
      <c r="O903" s="236"/>
      <c r="P903" s="236"/>
      <c r="Q903" s="236"/>
      <c r="R903" s="236"/>
      <c r="S903" s="236"/>
      <c r="T903" s="236"/>
      <c r="U903" s="236"/>
      <c r="V903" s="236"/>
      <c r="W903" s="236"/>
      <c r="X903" s="236"/>
      <c r="Y903" s="236"/>
      <c r="Z903" s="236"/>
      <c r="AA903" s="236"/>
      <c r="AB903" s="236"/>
      <c r="AC903" s="236"/>
      <c r="AD903" s="236"/>
      <c r="AE903" s="236"/>
      <c r="AF903" s="236"/>
      <c r="AG903" s="236"/>
      <c r="AH903" s="236"/>
      <c r="AI903" s="236"/>
      <c r="AJ903" s="236"/>
      <c r="AK903" s="236"/>
      <c r="AL903" s="236"/>
      <c r="AM903" s="236"/>
      <c r="AN903" s="236"/>
      <c r="AO903" s="236"/>
      <c r="AP903" s="236"/>
      <c r="AQ903" s="236"/>
      <c r="AR903" s="236"/>
      <c r="AS903" s="236"/>
      <c r="AT903" s="236"/>
      <c r="AU903" s="236"/>
      <c r="AV903" s="12"/>
      <c r="AW903" s="12"/>
      <c r="AX903" s="12"/>
      <c r="AY903" s="12"/>
      <c r="AZ903" s="12"/>
      <c r="BA903" s="12"/>
      <c r="BB903" s="12"/>
    </row>
    <row r="904" spans="1:54" ht="13">
      <c r="A904" s="12"/>
      <c r="B904" s="27"/>
      <c r="C904" s="27"/>
      <c r="D904" s="407"/>
      <c r="E904" s="27"/>
      <c r="F904" s="27"/>
      <c r="G904" s="27"/>
      <c r="H904" s="408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12"/>
      <c r="AW904" s="12"/>
      <c r="AX904" s="12"/>
      <c r="AY904" s="12"/>
      <c r="AZ904" s="12"/>
      <c r="BA904" s="12"/>
      <c r="BB904" s="12"/>
    </row>
    <row r="905" spans="1:54" ht="13">
      <c r="A905" s="12"/>
      <c r="B905" s="236"/>
      <c r="C905" s="236"/>
      <c r="D905" s="405"/>
      <c r="E905" s="236"/>
      <c r="F905" s="236"/>
      <c r="G905" s="236"/>
      <c r="H905" s="406"/>
      <c r="I905" s="236"/>
      <c r="J905" s="236"/>
      <c r="K905" s="236"/>
      <c r="L905" s="236"/>
      <c r="M905" s="236"/>
      <c r="N905" s="236"/>
      <c r="O905" s="236"/>
      <c r="P905" s="236"/>
      <c r="Q905" s="236"/>
      <c r="R905" s="236"/>
      <c r="S905" s="236"/>
      <c r="T905" s="236"/>
      <c r="U905" s="236"/>
      <c r="V905" s="236"/>
      <c r="W905" s="236"/>
      <c r="X905" s="236"/>
      <c r="Y905" s="236"/>
      <c r="Z905" s="236"/>
      <c r="AA905" s="236"/>
      <c r="AB905" s="236"/>
      <c r="AC905" s="236"/>
      <c r="AD905" s="236"/>
      <c r="AE905" s="236"/>
      <c r="AF905" s="236"/>
      <c r="AG905" s="236"/>
      <c r="AH905" s="236"/>
      <c r="AI905" s="236"/>
      <c r="AJ905" s="236"/>
      <c r="AK905" s="236"/>
      <c r="AL905" s="236"/>
      <c r="AM905" s="236"/>
      <c r="AN905" s="236"/>
      <c r="AO905" s="236"/>
      <c r="AP905" s="236"/>
      <c r="AQ905" s="236"/>
      <c r="AR905" s="236"/>
      <c r="AS905" s="236"/>
      <c r="AT905" s="236"/>
      <c r="AU905" s="236"/>
      <c r="AV905" s="12"/>
      <c r="AW905" s="12"/>
      <c r="AX905" s="12"/>
      <c r="AY905" s="12"/>
      <c r="AZ905" s="12"/>
      <c r="BA905" s="12"/>
      <c r="BB905" s="12"/>
    </row>
    <row r="906" spans="1:54" ht="13">
      <c r="A906" s="12"/>
      <c r="B906" s="27"/>
      <c r="C906" s="27"/>
      <c r="D906" s="407"/>
      <c r="E906" s="27"/>
      <c r="F906" s="27"/>
      <c r="G906" s="27"/>
      <c r="H906" s="408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12"/>
      <c r="AW906" s="12"/>
      <c r="AX906" s="12"/>
      <c r="AY906" s="12"/>
      <c r="AZ906" s="12"/>
      <c r="BA906" s="12"/>
      <c r="BB906" s="12"/>
    </row>
    <row r="907" spans="1:54" ht="13">
      <c r="A907" s="12"/>
      <c r="B907" s="236"/>
      <c r="C907" s="236"/>
      <c r="D907" s="405"/>
      <c r="E907" s="236"/>
      <c r="F907" s="236"/>
      <c r="G907" s="236"/>
      <c r="H907" s="406"/>
      <c r="I907" s="236"/>
      <c r="J907" s="236"/>
      <c r="K907" s="236"/>
      <c r="L907" s="236"/>
      <c r="M907" s="236"/>
      <c r="N907" s="236"/>
      <c r="O907" s="236"/>
      <c r="P907" s="236"/>
      <c r="Q907" s="236"/>
      <c r="R907" s="236"/>
      <c r="S907" s="236"/>
      <c r="T907" s="236"/>
      <c r="U907" s="236"/>
      <c r="V907" s="236"/>
      <c r="W907" s="236"/>
      <c r="X907" s="236"/>
      <c r="Y907" s="236"/>
      <c r="Z907" s="236"/>
      <c r="AA907" s="236"/>
      <c r="AB907" s="236"/>
      <c r="AC907" s="236"/>
      <c r="AD907" s="236"/>
      <c r="AE907" s="236"/>
      <c r="AF907" s="236"/>
      <c r="AG907" s="236"/>
      <c r="AH907" s="236"/>
      <c r="AI907" s="236"/>
      <c r="AJ907" s="236"/>
      <c r="AK907" s="236"/>
      <c r="AL907" s="236"/>
      <c r="AM907" s="236"/>
      <c r="AN907" s="236"/>
      <c r="AO907" s="236"/>
      <c r="AP907" s="236"/>
      <c r="AQ907" s="236"/>
      <c r="AR907" s="236"/>
      <c r="AS907" s="236"/>
      <c r="AT907" s="236"/>
      <c r="AU907" s="236"/>
      <c r="AV907" s="12"/>
      <c r="AW907" s="12"/>
      <c r="AX907" s="12"/>
      <c r="AY907" s="12"/>
      <c r="AZ907" s="12"/>
      <c r="BA907" s="12"/>
      <c r="BB907" s="12"/>
    </row>
    <row r="908" spans="1:54" ht="13">
      <c r="A908" s="12"/>
      <c r="B908" s="27"/>
      <c r="C908" s="27"/>
      <c r="D908" s="407"/>
      <c r="E908" s="27"/>
      <c r="F908" s="27"/>
      <c r="G908" s="27"/>
      <c r="H908" s="408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12"/>
      <c r="AW908" s="12"/>
      <c r="AX908" s="12"/>
      <c r="AY908" s="12"/>
      <c r="AZ908" s="12"/>
      <c r="BA908" s="12"/>
      <c r="BB908" s="12"/>
    </row>
    <row r="909" spans="1:54" ht="13">
      <c r="A909" s="12"/>
      <c r="B909" s="236"/>
      <c r="C909" s="236"/>
      <c r="D909" s="405"/>
      <c r="E909" s="236"/>
      <c r="F909" s="236"/>
      <c r="G909" s="236"/>
      <c r="H909" s="406"/>
      <c r="I909" s="236"/>
      <c r="J909" s="236"/>
      <c r="K909" s="236"/>
      <c r="L909" s="236"/>
      <c r="M909" s="236"/>
      <c r="N909" s="236"/>
      <c r="O909" s="236"/>
      <c r="P909" s="236"/>
      <c r="Q909" s="236"/>
      <c r="R909" s="236"/>
      <c r="S909" s="236"/>
      <c r="T909" s="236"/>
      <c r="U909" s="236"/>
      <c r="V909" s="236"/>
      <c r="W909" s="236"/>
      <c r="X909" s="236"/>
      <c r="Y909" s="236"/>
      <c r="Z909" s="236"/>
      <c r="AA909" s="236"/>
      <c r="AB909" s="236"/>
      <c r="AC909" s="236"/>
      <c r="AD909" s="236"/>
      <c r="AE909" s="236"/>
      <c r="AF909" s="236"/>
      <c r="AG909" s="236"/>
      <c r="AH909" s="236"/>
      <c r="AI909" s="236"/>
      <c r="AJ909" s="236"/>
      <c r="AK909" s="236"/>
      <c r="AL909" s="236"/>
      <c r="AM909" s="236"/>
      <c r="AN909" s="236"/>
      <c r="AO909" s="236"/>
      <c r="AP909" s="236"/>
      <c r="AQ909" s="236"/>
      <c r="AR909" s="236"/>
      <c r="AS909" s="236"/>
      <c r="AT909" s="236"/>
      <c r="AU909" s="236"/>
      <c r="AV909" s="12"/>
      <c r="AW909" s="12"/>
      <c r="AX909" s="12"/>
      <c r="AY909" s="12"/>
      <c r="AZ909" s="12"/>
      <c r="BA909" s="12"/>
      <c r="BB909" s="12"/>
    </row>
    <row r="910" spans="1:54" ht="13">
      <c r="A910" s="12"/>
      <c r="B910" s="27"/>
      <c r="C910" s="27"/>
      <c r="D910" s="407"/>
      <c r="E910" s="27"/>
      <c r="F910" s="27"/>
      <c r="G910" s="27"/>
      <c r="H910" s="408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12"/>
      <c r="AW910" s="12"/>
      <c r="AX910" s="12"/>
      <c r="AY910" s="12"/>
      <c r="AZ910" s="12"/>
      <c r="BA910" s="12"/>
      <c r="BB910" s="12"/>
    </row>
    <row r="911" spans="1:54" ht="13">
      <c r="A911" s="12"/>
      <c r="B911" s="236"/>
      <c r="C911" s="236"/>
      <c r="D911" s="405"/>
      <c r="E911" s="236"/>
      <c r="F911" s="236"/>
      <c r="G911" s="236"/>
      <c r="H911" s="406"/>
      <c r="I911" s="236"/>
      <c r="J911" s="236"/>
      <c r="K911" s="236"/>
      <c r="L911" s="236"/>
      <c r="M911" s="236"/>
      <c r="N911" s="236"/>
      <c r="O911" s="236"/>
      <c r="P911" s="236"/>
      <c r="Q911" s="236"/>
      <c r="R911" s="236"/>
      <c r="S911" s="236"/>
      <c r="T911" s="236"/>
      <c r="U911" s="236"/>
      <c r="V911" s="236"/>
      <c r="W911" s="236"/>
      <c r="X911" s="236"/>
      <c r="Y911" s="236"/>
      <c r="Z911" s="236"/>
      <c r="AA911" s="236"/>
      <c r="AB911" s="236"/>
      <c r="AC911" s="236"/>
      <c r="AD911" s="236"/>
      <c r="AE911" s="236"/>
      <c r="AF911" s="236"/>
      <c r="AG911" s="236"/>
      <c r="AH911" s="236"/>
      <c r="AI911" s="236"/>
      <c r="AJ911" s="236"/>
      <c r="AK911" s="236"/>
      <c r="AL911" s="236"/>
      <c r="AM911" s="236"/>
      <c r="AN911" s="236"/>
      <c r="AO911" s="236"/>
      <c r="AP911" s="236"/>
      <c r="AQ911" s="236"/>
      <c r="AR911" s="236"/>
      <c r="AS911" s="236"/>
      <c r="AT911" s="236"/>
      <c r="AU911" s="236"/>
      <c r="AV911" s="12"/>
      <c r="AW911" s="12"/>
      <c r="AX911" s="12"/>
      <c r="AY911" s="12"/>
      <c r="AZ911" s="12"/>
      <c r="BA911" s="12"/>
      <c r="BB911" s="12"/>
    </row>
    <row r="912" spans="1:54" ht="13">
      <c r="A912" s="12"/>
      <c r="B912" s="27"/>
      <c r="C912" s="27"/>
      <c r="D912" s="407"/>
      <c r="E912" s="27"/>
      <c r="F912" s="27"/>
      <c r="G912" s="27"/>
      <c r="H912" s="408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12"/>
      <c r="AW912" s="12"/>
      <c r="AX912" s="12"/>
      <c r="AY912" s="12"/>
      <c r="AZ912" s="12"/>
      <c r="BA912" s="12"/>
      <c r="BB912" s="12"/>
    </row>
    <row r="913" spans="1:54" ht="13">
      <c r="A913" s="12"/>
      <c r="B913" s="236"/>
      <c r="C913" s="236"/>
      <c r="D913" s="405"/>
      <c r="E913" s="236"/>
      <c r="F913" s="236"/>
      <c r="G913" s="236"/>
      <c r="H913" s="406"/>
      <c r="I913" s="236"/>
      <c r="J913" s="236"/>
      <c r="K913" s="236"/>
      <c r="L913" s="236"/>
      <c r="M913" s="236"/>
      <c r="N913" s="236"/>
      <c r="O913" s="236"/>
      <c r="P913" s="236"/>
      <c r="Q913" s="236"/>
      <c r="R913" s="236"/>
      <c r="S913" s="236"/>
      <c r="T913" s="236"/>
      <c r="U913" s="236"/>
      <c r="V913" s="236"/>
      <c r="W913" s="236"/>
      <c r="X913" s="236"/>
      <c r="Y913" s="236"/>
      <c r="Z913" s="236"/>
      <c r="AA913" s="236"/>
      <c r="AB913" s="236"/>
      <c r="AC913" s="236"/>
      <c r="AD913" s="236"/>
      <c r="AE913" s="236"/>
      <c r="AF913" s="236"/>
      <c r="AG913" s="236"/>
      <c r="AH913" s="236"/>
      <c r="AI913" s="236"/>
      <c r="AJ913" s="236"/>
      <c r="AK913" s="236"/>
      <c r="AL913" s="236"/>
      <c r="AM913" s="236"/>
      <c r="AN913" s="236"/>
      <c r="AO913" s="236"/>
      <c r="AP913" s="236"/>
      <c r="AQ913" s="236"/>
      <c r="AR913" s="236"/>
      <c r="AS913" s="236"/>
      <c r="AT913" s="236"/>
      <c r="AU913" s="236"/>
      <c r="AV913" s="12"/>
      <c r="AW913" s="12"/>
      <c r="AX913" s="12"/>
      <c r="AY913" s="12"/>
      <c r="AZ913" s="12"/>
      <c r="BA913" s="12"/>
      <c r="BB913" s="12"/>
    </row>
    <row r="914" spans="1:54" ht="13">
      <c r="A914" s="12"/>
      <c r="B914" s="27"/>
      <c r="C914" s="27"/>
      <c r="D914" s="407"/>
      <c r="E914" s="27"/>
      <c r="F914" s="27"/>
      <c r="G914" s="27"/>
      <c r="H914" s="408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12"/>
      <c r="AW914" s="12"/>
      <c r="AX914" s="12"/>
      <c r="AY914" s="12"/>
      <c r="AZ914" s="12"/>
      <c r="BA914" s="12"/>
      <c r="BB914" s="12"/>
    </row>
    <row r="915" spans="1:54" ht="13">
      <c r="A915" s="12"/>
      <c r="B915" s="236"/>
      <c r="C915" s="236"/>
      <c r="D915" s="405"/>
      <c r="E915" s="236"/>
      <c r="F915" s="236"/>
      <c r="G915" s="236"/>
      <c r="H915" s="406"/>
      <c r="I915" s="236"/>
      <c r="J915" s="236"/>
      <c r="K915" s="236"/>
      <c r="L915" s="236"/>
      <c r="M915" s="236"/>
      <c r="N915" s="236"/>
      <c r="O915" s="236"/>
      <c r="P915" s="236"/>
      <c r="Q915" s="236"/>
      <c r="R915" s="236"/>
      <c r="S915" s="236"/>
      <c r="T915" s="236"/>
      <c r="U915" s="236"/>
      <c r="V915" s="236"/>
      <c r="W915" s="236"/>
      <c r="X915" s="236"/>
      <c r="Y915" s="236"/>
      <c r="Z915" s="236"/>
      <c r="AA915" s="236"/>
      <c r="AB915" s="236"/>
      <c r="AC915" s="236"/>
      <c r="AD915" s="236"/>
      <c r="AE915" s="236"/>
      <c r="AF915" s="236"/>
      <c r="AG915" s="236"/>
      <c r="AH915" s="236"/>
      <c r="AI915" s="236"/>
      <c r="AJ915" s="236"/>
      <c r="AK915" s="236"/>
      <c r="AL915" s="236"/>
      <c r="AM915" s="236"/>
      <c r="AN915" s="236"/>
      <c r="AO915" s="236"/>
      <c r="AP915" s="236"/>
      <c r="AQ915" s="236"/>
      <c r="AR915" s="236"/>
      <c r="AS915" s="236"/>
      <c r="AT915" s="236"/>
      <c r="AU915" s="236"/>
      <c r="AV915" s="12"/>
      <c r="AW915" s="12"/>
      <c r="AX915" s="12"/>
      <c r="AY915" s="12"/>
      <c r="AZ915" s="12"/>
      <c r="BA915" s="12"/>
      <c r="BB915" s="12"/>
    </row>
    <row r="916" spans="1:54" ht="13">
      <c r="A916" s="12"/>
      <c r="B916" s="27"/>
      <c r="C916" s="27"/>
      <c r="D916" s="407"/>
      <c r="E916" s="27"/>
      <c r="F916" s="27"/>
      <c r="G916" s="27"/>
      <c r="H916" s="408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12"/>
      <c r="AW916" s="12"/>
      <c r="AX916" s="12"/>
      <c r="AY916" s="12"/>
      <c r="AZ916" s="12"/>
      <c r="BA916" s="12"/>
      <c r="BB916" s="12"/>
    </row>
    <row r="917" spans="1:54" ht="13">
      <c r="A917" s="12"/>
      <c r="B917" s="236"/>
      <c r="C917" s="236"/>
      <c r="D917" s="405"/>
      <c r="E917" s="236"/>
      <c r="F917" s="236"/>
      <c r="G917" s="236"/>
      <c r="H917" s="406"/>
      <c r="I917" s="236"/>
      <c r="J917" s="236"/>
      <c r="K917" s="236"/>
      <c r="L917" s="236"/>
      <c r="M917" s="236"/>
      <c r="N917" s="236"/>
      <c r="O917" s="236"/>
      <c r="P917" s="236"/>
      <c r="Q917" s="236"/>
      <c r="R917" s="236"/>
      <c r="S917" s="236"/>
      <c r="T917" s="236"/>
      <c r="U917" s="236"/>
      <c r="V917" s="236"/>
      <c r="W917" s="236"/>
      <c r="X917" s="236"/>
      <c r="Y917" s="236"/>
      <c r="Z917" s="236"/>
      <c r="AA917" s="236"/>
      <c r="AB917" s="236"/>
      <c r="AC917" s="236"/>
      <c r="AD917" s="236"/>
      <c r="AE917" s="236"/>
      <c r="AF917" s="236"/>
      <c r="AG917" s="236"/>
      <c r="AH917" s="236"/>
      <c r="AI917" s="236"/>
      <c r="AJ917" s="236"/>
      <c r="AK917" s="236"/>
      <c r="AL917" s="236"/>
      <c r="AM917" s="236"/>
      <c r="AN917" s="236"/>
      <c r="AO917" s="236"/>
      <c r="AP917" s="236"/>
      <c r="AQ917" s="236"/>
      <c r="AR917" s="236"/>
      <c r="AS917" s="236"/>
      <c r="AT917" s="236"/>
      <c r="AU917" s="236"/>
      <c r="AV917" s="12"/>
      <c r="AW917" s="12"/>
      <c r="AX917" s="12"/>
      <c r="AY917" s="12"/>
      <c r="AZ917" s="12"/>
      <c r="BA917" s="12"/>
      <c r="BB917" s="12"/>
    </row>
    <row r="918" spans="1:54" ht="13">
      <c r="A918" s="12"/>
      <c r="B918" s="27"/>
      <c r="C918" s="27"/>
      <c r="D918" s="407"/>
      <c r="E918" s="27"/>
      <c r="F918" s="27"/>
      <c r="G918" s="27"/>
      <c r="H918" s="408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12"/>
      <c r="AW918" s="12"/>
      <c r="AX918" s="12"/>
      <c r="AY918" s="12"/>
      <c r="AZ918" s="12"/>
      <c r="BA918" s="12"/>
      <c r="BB918" s="12"/>
    </row>
    <row r="919" spans="1:54" ht="13">
      <c r="A919" s="12"/>
      <c r="B919" s="236"/>
      <c r="C919" s="236"/>
      <c r="D919" s="405"/>
      <c r="E919" s="236"/>
      <c r="F919" s="236"/>
      <c r="G919" s="236"/>
      <c r="H919" s="406"/>
      <c r="I919" s="236"/>
      <c r="J919" s="236"/>
      <c r="K919" s="236"/>
      <c r="L919" s="236"/>
      <c r="M919" s="236"/>
      <c r="N919" s="236"/>
      <c r="O919" s="236"/>
      <c r="P919" s="236"/>
      <c r="Q919" s="236"/>
      <c r="R919" s="236"/>
      <c r="S919" s="236"/>
      <c r="T919" s="236"/>
      <c r="U919" s="236"/>
      <c r="V919" s="236"/>
      <c r="W919" s="236"/>
      <c r="X919" s="236"/>
      <c r="Y919" s="236"/>
      <c r="Z919" s="236"/>
      <c r="AA919" s="236"/>
      <c r="AB919" s="236"/>
      <c r="AC919" s="236"/>
      <c r="AD919" s="236"/>
      <c r="AE919" s="236"/>
      <c r="AF919" s="236"/>
      <c r="AG919" s="236"/>
      <c r="AH919" s="236"/>
      <c r="AI919" s="236"/>
      <c r="AJ919" s="236"/>
      <c r="AK919" s="236"/>
      <c r="AL919" s="236"/>
      <c r="AM919" s="236"/>
      <c r="AN919" s="236"/>
      <c r="AO919" s="236"/>
      <c r="AP919" s="236"/>
      <c r="AQ919" s="236"/>
      <c r="AR919" s="236"/>
      <c r="AS919" s="236"/>
      <c r="AT919" s="236"/>
      <c r="AU919" s="236"/>
      <c r="AV919" s="12"/>
      <c r="AW919" s="12"/>
      <c r="AX919" s="12"/>
      <c r="AY919" s="12"/>
      <c r="AZ919" s="12"/>
      <c r="BA919" s="12"/>
      <c r="BB919" s="12"/>
    </row>
    <row r="920" spans="1:54" ht="13">
      <c r="A920" s="12"/>
      <c r="B920" s="27"/>
      <c r="C920" s="27"/>
      <c r="D920" s="407"/>
      <c r="E920" s="27"/>
      <c r="F920" s="27"/>
      <c r="G920" s="27"/>
      <c r="H920" s="408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12"/>
      <c r="AW920" s="12"/>
      <c r="AX920" s="12"/>
      <c r="AY920" s="12"/>
      <c r="AZ920" s="12"/>
      <c r="BA920" s="12"/>
      <c r="BB920" s="12"/>
    </row>
    <row r="921" spans="1:54" ht="13">
      <c r="A921" s="12"/>
      <c r="B921" s="236"/>
      <c r="C921" s="236"/>
      <c r="D921" s="405"/>
      <c r="E921" s="236"/>
      <c r="F921" s="236"/>
      <c r="G921" s="236"/>
      <c r="H921" s="406"/>
      <c r="I921" s="236"/>
      <c r="J921" s="236"/>
      <c r="K921" s="236"/>
      <c r="L921" s="236"/>
      <c r="M921" s="236"/>
      <c r="N921" s="236"/>
      <c r="O921" s="236"/>
      <c r="P921" s="236"/>
      <c r="Q921" s="236"/>
      <c r="R921" s="236"/>
      <c r="S921" s="236"/>
      <c r="T921" s="236"/>
      <c r="U921" s="236"/>
      <c r="V921" s="236"/>
      <c r="W921" s="236"/>
      <c r="X921" s="236"/>
      <c r="Y921" s="236"/>
      <c r="Z921" s="236"/>
      <c r="AA921" s="236"/>
      <c r="AB921" s="236"/>
      <c r="AC921" s="236"/>
      <c r="AD921" s="236"/>
      <c r="AE921" s="236"/>
      <c r="AF921" s="236"/>
      <c r="AG921" s="236"/>
      <c r="AH921" s="236"/>
      <c r="AI921" s="236"/>
      <c r="AJ921" s="236"/>
      <c r="AK921" s="236"/>
      <c r="AL921" s="236"/>
      <c r="AM921" s="236"/>
      <c r="AN921" s="236"/>
      <c r="AO921" s="236"/>
      <c r="AP921" s="236"/>
      <c r="AQ921" s="236"/>
      <c r="AR921" s="236"/>
      <c r="AS921" s="236"/>
      <c r="AT921" s="236"/>
      <c r="AU921" s="236"/>
      <c r="AV921" s="12"/>
      <c r="AW921" s="12"/>
      <c r="AX921" s="12"/>
      <c r="AY921" s="12"/>
      <c r="AZ921" s="12"/>
      <c r="BA921" s="12"/>
      <c r="BB921" s="12"/>
    </row>
    <row r="922" spans="1:54" ht="13">
      <c r="A922" s="12"/>
      <c r="B922" s="27"/>
      <c r="C922" s="27"/>
      <c r="D922" s="407"/>
      <c r="E922" s="27"/>
      <c r="F922" s="27"/>
      <c r="G922" s="27"/>
      <c r="H922" s="408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12"/>
      <c r="AW922" s="12"/>
      <c r="AX922" s="12"/>
      <c r="AY922" s="12"/>
      <c r="AZ922" s="12"/>
      <c r="BA922" s="12"/>
      <c r="BB922" s="12"/>
    </row>
    <row r="923" spans="1:54" ht="13">
      <c r="A923" s="12"/>
      <c r="B923" s="236"/>
      <c r="C923" s="236"/>
      <c r="D923" s="405"/>
      <c r="E923" s="236"/>
      <c r="F923" s="236"/>
      <c r="G923" s="236"/>
      <c r="H923" s="406"/>
      <c r="I923" s="236"/>
      <c r="J923" s="236"/>
      <c r="K923" s="236"/>
      <c r="L923" s="236"/>
      <c r="M923" s="236"/>
      <c r="N923" s="236"/>
      <c r="O923" s="236"/>
      <c r="P923" s="236"/>
      <c r="Q923" s="236"/>
      <c r="R923" s="236"/>
      <c r="S923" s="236"/>
      <c r="T923" s="236"/>
      <c r="U923" s="236"/>
      <c r="V923" s="236"/>
      <c r="W923" s="236"/>
      <c r="X923" s="236"/>
      <c r="Y923" s="236"/>
      <c r="Z923" s="236"/>
      <c r="AA923" s="236"/>
      <c r="AB923" s="236"/>
      <c r="AC923" s="236"/>
      <c r="AD923" s="236"/>
      <c r="AE923" s="236"/>
      <c r="AF923" s="236"/>
      <c r="AG923" s="236"/>
      <c r="AH923" s="236"/>
      <c r="AI923" s="236"/>
      <c r="AJ923" s="236"/>
      <c r="AK923" s="236"/>
      <c r="AL923" s="236"/>
      <c r="AM923" s="236"/>
      <c r="AN923" s="236"/>
      <c r="AO923" s="236"/>
      <c r="AP923" s="236"/>
      <c r="AQ923" s="236"/>
      <c r="AR923" s="236"/>
      <c r="AS923" s="236"/>
      <c r="AT923" s="236"/>
      <c r="AU923" s="236"/>
      <c r="AV923" s="12"/>
      <c r="AW923" s="12"/>
      <c r="AX923" s="12"/>
      <c r="AY923" s="12"/>
      <c r="AZ923" s="12"/>
      <c r="BA923" s="12"/>
      <c r="BB923" s="12"/>
    </row>
    <row r="924" spans="1:54" ht="13">
      <c r="A924" s="12"/>
      <c r="B924" s="27"/>
      <c r="C924" s="27"/>
      <c r="D924" s="407"/>
      <c r="E924" s="27"/>
      <c r="F924" s="27"/>
      <c r="G924" s="27"/>
      <c r="H924" s="408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12"/>
      <c r="AW924" s="12"/>
      <c r="AX924" s="12"/>
      <c r="AY924" s="12"/>
      <c r="AZ924" s="12"/>
      <c r="BA924" s="12"/>
      <c r="BB924" s="12"/>
    </row>
    <row r="925" spans="1:54" ht="13">
      <c r="A925" s="12"/>
      <c r="B925" s="236"/>
      <c r="C925" s="236"/>
      <c r="D925" s="405"/>
      <c r="E925" s="236"/>
      <c r="F925" s="236"/>
      <c r="G925" s="236"/>
      <c r="H925" s="406"/>
      <c r="I925" s="236"/>
      <c r="J925" s="236"/>
      <c r="K925" s="236"/>
      <c r="L925" s="236"/>
      <c r="M925" s="236"/>
      <c r="N925" s="236"/>
      <c r="O925" s="236"/>
      <c r="P925" s="236"/>
      <c r="Q925" s="236"/>
      <c r="R925" s="236"/>
      <c r="S925" s="236"/>
      <c r="T925" s="236"/>
      <c r="U925" s="236"/>
      <c r="V925" s="236"/>
      <c r="W925" s="236"/>
      <c r="X925" s="236"/>
      <c r="Y925" s="236"/>
      <c r="Z925" s="236"/>
      <c r="AA925" s="236"/>
      <c r="AB925" s="236"/>
      <c r="AC925" s="236"/>
      <c r="AD925" s="236"/>
      <c r="AE925" s="236"/>
      <c r="AF925" s="236"/>
      <c r="AG925" s="236"/>
      <c r="AH925" s="236"/>
      <c r="AI925" s="236"/>
      <c r="AJ925" s="236"/>
      <c r="AK925" s="236"/>
      <c r="AL925" s="236"/>
      <c r="AM925" s="236"/>
      <c r="AN925" s="236"/>
      <c r="AO925" s="236"/>
      <c r="AP925" s="236"/>
      <c r="AQ925" s="236"/>
      <c r="AR925" s="236"/>
      <c r="AS925" s="236"/>
      <c r="AT925" s="236"/>
      <c r="AU925" s="236"/>
      <c r="AV925" s="12"/>
      <c r="AW925" s="12"/>
      <c r="AX925" s="12"/>
      <c r="AY925" s="12"/>
      <c r="AZ925" s="12"/>
      <c r="BA925" s="12"/>
      <c r="BB925" s="12"/>
    </row>
    <row r="926" spans="1:54" ht="13">
      <c r="A926" s="12"/>
      <c r="B926" s="27"/>
      <c r="C926" s="27"/>
      <c r="D926" s="407"/>
      <c r="E926" s="27"/>
      <c r="F926" s="27"/>
      <c r="G926" s="27"/>
      <c r="H926" s="408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12"/>
      <c r="AW926" s="12"/>
      <c r="AX926" s="12"/>
      <c r="AY926" s="12"/>
      <c r="AZ926" s="12"/>
      <c r="BA926" s="12"/>
      <c r="BB926" s="12"/>
    </row>
    <row r="927" spans="1:54" ht="13">
      <c r="A927" s="12"/>
      <c r="B927" s="236"/>
      <c r="C927" s="236"/>
      <c r="D927" s="405"/>
      <c r="E927" s="236"/>
      <c r="F927" s="236"/>
      <c r="G927" s="236"/>
      <c r="H927" s="406"/>
      <c r="I927" s="236"/>
      <c r="J927" s="236"/>
      <c r="K927" s="236"/>
      <c r="L927" s="236"/>
      <c r="M927" s="236"/>
      <c r="N927" s="236"/>
      <c r="O927" s="236"/>
      <c r="P927" s="236"/>
      <c r="Q927" s="236"/>
      <c r="R927" s="236"/>
      <c r="S927" s="236"/>
      <c r="T927" s="236"/>
      <c r="U927" s="236"/>
      <c r="V927" s="236"/>
      <c r="W927" s="236"/>
      <c r="X927" s="236"/>
      <c r="Y927" s="236"/>
      <c r="Z927" s="236"/>
      <c r="AA927" s="236"/>
      <c r="AB927" s="236"/>
      <c r="AC927" s="236"/>
      <c r="AD927" s="236"/>
      <c r="AE927" s="236"/>
      <c r="AF927" s="236"/>
      <c r="AG927" s="236"/>
      <c r="AH927" s="236"/>
      <c r="AI927" s="236"/>
      <c r="AJ927" s="236"/>
      <c r="AK927" s="236"/>
      <c r="AL927" s="236"/>
      <c r="AM927" s="236"/>
      <c r="AN927" s="236"/>
      <c r="AO927" s="236"/>
      <c r="AP927" s="236"/>
      <c r="AQ927" s="236"/>
      <c r="AR927" s="236"/>
      <c r="AS927" s="236"/>
      <c r="AT927" s="236"/>
      <c r="AU927" s="236"/>
      <c r="AV927" s="12"/>
      <c r="AW927" s="12"/>
      <c r="AX927" s="12"/>
      <c r="AY927" s="12"/>
      <c r="AZ927" s="12"/>
      <c r="BA927" s="12"/>
      <c r="BB927" s="12"/>
    </row>
    <row r="928" spans="1:54" ht="13">
      <c r="A928" s="12"/>
      <c r="B928" s="27"/>
      <c r="C928" s="27"/>
      <c r="D928" s="407"/>
      <c r="E928" s="27"/>
      <c r="F928" s="27"/>
      <c r="G928" s="27"/>
      <c r="H928" s="408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12"/>
      <c r="AW928" s="12"/>
      <c r="AX928" s="12"/>
      <c r="AY928" s="12"/>
      <c r="AZ928" s="12"/>
      <c r="BA928" s="12"/>
      <c r="BB928" s="12"/>
    </row>
    <row r="929" spans="1:54" ht="13">
      <c r="A929" s="12"/>
      <c r="B929" s="236"/>
      <c r="C929" s="236"/>
      <c r="D929" s="405"/>
      <c r="E929" s="236"/>
      <c r="F929" s="236"/>
      <c r="G929" s="236"/>
      <c r="H929" s="406"/>
      <c r="I929" s="236"/>
      <c r="J929" s="236"/>
      <c r="K929" s="236"/>
      <c r="L929" s="236"/>
      <c r="M929" s="236"/>
      <c r="N929" s="236"/>
      <c r="O929" s="236"/>
      <c r="P929" s="236"/>
      <c r="Q929" s="236"/>
      <c r="R929" s="236"/>
      <c r="S929" s="236"/>
      <c r="T929" s="236"/>
      <c r="U929" s="236"/>
      <c r="V929" s="236"/>
      <c r="W929" s="236"/>
      <c r="X929" s="236"/>
      <c r="Y929" s="236"/>
      <c r="Z929" s="236"/>
      <c r="AA929" s="236"/>
      <c r="AB929" s="236"/>
      <c r="AC929" s="236"/>
      <c r="AD929" s="236"/>
      <c r="AE929" s="236"/>
      <c r="AF929" s="236"/>
      <c r="AG929" s="236"/>
      <c r="AH929" s="236"/>
      <c r="AI929" s="236"/>
      <c r="AJ929" s="236"/>
      <c r="AK929" s="236"/>
      <c r="AL929" s="236"/>
      <c r="AM929" s="236"/>
      <c r="AN929" s="236"/>
      <c r="AO929" s="236"/>
      <c r="AP929" s="236"/>
      <c r="AQ929" s="236"/>
      <c r="AR929" s="236"/>
      <c r="AS929" s="236"/>
      <c r="AT929" s="236"/>
      <c r="AU929" s="236"/>
      <c r="AV929" s="12"/>
      <c r="AW929" s="12"/>
      <c r="AX929" s="12"/>
      <c r="AY929" s="12"/>
      <c r="AZ929" s="12"/>
      <c r="BA929" s="12"/>
      <c r="BB929" s="12"/>
    </row>
    <row r="930" spans="1:54" ht="13">
      <c r="A930" s="12"/>
      <c r="B930" s="27"/>
      <c r="C930" s="27"/>
      <c r="D930" s="407"/>
      <c r="E930" s="27"/>
      <c r="F930" s="27"/>
      <c r="G930" s="27"/>
      <c r="H930" s="408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12"/>
      <c r="AW930" s="12"/>
      <c r="AX930" s="12"/>
      <c r="AY930" s="12"/>
      <c r="AZ930" s="12"/>
      <c r="BA930" s="12"/>
      <c r="BB930" s="12"/>
    </row>
    <row r="931" spans="1:54" ht="13">
      <c r="A931" s="12"/>
      <c r="B931" s="236"/>
      <c r="C931" s="236"/>
      <c r="D931" s="405"/>
      <c r="E931" s="236"/>
      <c r="F931" s="236"/>
      <c r="G931" s="236"/>
      <c r="H931" s="406"/>
      <c r="I931" s="236"/>
      <c r="J931" s="236"/>
      <c r="K931" s="236"/>
      <c r="L931" s="236"/>
      <c r="M931" s="236"/>
      <c r="N931" s="236"/>
      <c r="O931" s="236"/>
      <c r="P931" s="236"/>
      <c r="Q931" s="236"/>
      <c r="R931" s="236"/>
      <c r="S931" s="236"/>
      <c r="T931" s="236"/>
      <c r="U931" s="236"/>
      <c r="V931" s="236"/>
      <c r="W931" s="236"/>
      <c r="X931" s="236"/>
      <c r="Y931" s="236"/>
      <c r="Z931" s="236"/>
      <c r="AA931" s="236"/>
      <c r="AB931" s="236"/>
      <c r="AC931" s="236"/>
      <c r="AD931" s="236"/>
      <c r="AE931" s="236"/>
      <c r="AF931" s="236"/>
      <c r="AG931" s="236"/>
      <c r="AH931" s="236"/>
      <c r="AI931" s="236"/>
      <c r="AJ931" s="236"/>
      <c r="AK931" s="236"/>
      <c r="AL931" s="236"/>
      <c r="AM931" s="236"/>
      <c r="AN931" s="236"/>
      <c r="AO931" s="236"/>
      <c r="AP931" s="236"/>
      <c r="AQ931" s="236"/>
      <c r="AR931" s="236"/>
      <c r="AS931" s="236"/>
      <c r="AT931" s="236"/>
      <c r="AU931" s="236"/>
      <c r="AV931" s="12"/>
      <c r="AW931" s="12"/>
      <c r="AX931" s="12"/>
      <c r="AY931" s="12"/>
      <c r="AZ931" s="12"/>
      <c r="BA931" s="12"/>
      <c r="BB931" s="12"/>
    </row>
    <row r="932" spans="1:54" ht="13">
      <c r="A932" s="12"/>
      <c r="B932" s="27"/>
      <c r="C932" s="27"/>
      <c r="D932" s="407"/>
      <c r="E932" s="27"/>
      <c r="F932" s="27"/>
      <c r="G932" s="27"/>
      <c r="H932" s="408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12"/>
      <c r="AW932" s="12"/>
      <c r="AX932" s="12"/>
      <c r="AY932" s="12"/>
      <c r="AZ932" s="12"/>
      <c r="BA932" s="12"/>
      <c r="BB932" s="12"/>
    </row>
    <row r="933" spans="1:54" ht="13">
      <c r="A933" s="12"/>
      <c r="B933" s="236"/>
      <c r="C933" s="236"/>
      <c r="D933" s="405"/>
      <c r="E933" s="236"/>
      <c r="F933" s="236"/>
      <c r="G933" s="236"/>
      <c r="H933" s="406"/>
      <c r="I933" s="236"/>
      <c r="J933" s="236"/>
      <c r="K933" s="236"/>
      <c r="L933" s="236"/>
      <c r="M933" s="236"/>
      <c r="N933" s="236"/>
      <c r="O933" s="236"/>
      <c r="P933" s="236"/>
      <c r="Q933" s="236"/>
      <c r="R933" s="236"/>
      <c r="S933" s="236"/>
      <c r="T933" s="236"/>
      <c r="U933" s="236"/>
      <c r="V933" s="236"/>
      <c r="W933" s="236"/>
      <c r="X933" s="236"/>
      <c r="Y933" s="236"/>
      <c r="Z933" s="236"/>
      <c r="AA933" s="236"/>
      <c r="AB933" s="236"/>
      <c r="AC933" s="236"/>
      <c r="AD933" s="236"/>
      <c r="AE933" s="236"/>
      <c r="AF933" s="236"/>
      <c r="AG933" s="236"/>
      <c r="AH933" s="236"/>
      <c r="AI933" s="236"/>
      <c r="AJ933" s="236"/>
      <c r="AK933" s="236"/>
      <c r="AL933" s="236"/>
      <c r="AM933" s="236"/>
      <c r="AN933" s="236"/>
      <c r="AO933" s="236"/>
      <c r="AP933" s="236"/>
      <c r="AQ933" s="236"/>
      <c r="AR933" s="236"/>
      <c r="AS933" s="236"/>
      <c r="AT933" s="236"/>
      <c r="AU933" s="236"/>
      <c r="AV933" s="12"/>
      <c r="AW933" s="12"/>
      <c r="AX933" s="12"/>
      <c r="AY933" s="12"/>
      <c r="AZ933" s="12"/>
      <c r="BA933" s="12"/>
      <c r="BB933" s="12"/>
    </row>
    <row r="934" spans="1:54" ht="13">
      <c r="A934" s="12"/>
      <c r="B934" s="27"/>
      <c r="C934" s="27"/>
      <c r="D934" s="407"/>
      <c r="E934" s="27"/>
      <c r="F934" s="27"/>
      <c r="G934" s="27"/>
      <c r="H934" s="408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12"/>
      <c r="AW934" s="12"/>
      <c r="AX934" s="12"/>
      <c r="AY934" s="12"/>
      <c r="AZ934" s="12"/>
      <c r="BA934" s="12"/>
      <c r="BB934" s="12"/>
    </row>
    <row r="935" spans="1:54" ht="13">
      <c r="A935" s="12"/>
      <c r="B935" s="236"/>
      <c r="C935" s="236"/>
      <c r="D935" s="405"/>
      <c r="E935" s="236"/>
      <c r="F935" s="236"/>
      <c r="G935" s="236"/>
      <c r="H935" s="406"/>
      <c r="I935" s="236"/>
      <c r="J935" s="236"/>
      <c r="K935" s="236"/>
      <c r="L935" s="236"/>
      <c r="M935" s="236"/>
      <c r="N935" s="236"/>
      <c r="O935" s="236"/>
      <c r="P935" s="236"/>
      <c r="Q935" s="236"/>
      <c r="R935" s="236"/>
      <c r="S935" s="236"/>
      <c r="T935" s="236"/>
      <c r="U935" s="236"/>
      <c r="V935" s="236"/>
      <c r="W935" s="236"/>
      <c r="X935" s="236"/>
      <c r="Y935" s="236"/>
      <c r="Z935" s="236"/>
      <c r="AA935" s="236"/>
      <c r="AB935" s="236"/>
      <c r="AC935" s="236"/>
      <c r="AD935" s="236"/>
      <c r="AE935" s="236"/>
      <c r="AF935" s="236"/>
      <c r="AG935" s="236"/>
      <c r="AH935" s="236"/>
      <c r="AI935" s="236"/>
      <c r="AJ935" s="236"/>
      <c r="AK935" s="236"/>
      <c r="AL935" s="236"/>
      <c r="AM935" s="236"/>
      <c r="AN935" s="236"/>
      <c r="AO935" s="236"/>
      <c r="AP935" s="236"/>
      <c r="AQ935" s="236"/>
      <c r="AR935" s="236"/>
      <c r="AS935" s="236"/>
      <c r="AT935" s="236"/>
      <c r="AU935" s="236"/>
      <c r="AV935" s="12"/>
      <c r="AW935" s="12"/>
      <c r="AX935" s="12"/>
      <c r="AY935" s="12"/>
      <c r="AZ935" s="12"/>
      <c r="BA935" s="12"/>
      <c r="BB935" s="12"/>
    </row>
    <row r="936" spans="1:54" ht="13">
      <c r="A936" s="12"/>
      <c r="B936" s="27"/>
      <c r="C936" s="27"/>
      <c r="D936" s="407"/>
      <c r="E936" s="27"/>
      <c r="F936" s="27"/>
      <c r="G936" s="27"/>
      <c r="H936" s="408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12"/>
      <c r="AW936" s="12"/>
      <c r="AX936" s="12"/>
      <c r="AY936" s="12"/>
      <c r="AZ936" s="12"/>
      <c r="BA936" s="12"/>
      <c r="BB936" s="12"/>
    </row>
    <row r="937" spans="1:54" ht="13">
      <c r="A937" s="12"/>
      <c r="B937" s="236"/>
      <c r="C937" s="236"/>
      <c r="D937" s="405"/>
      <c r="E937" s="236"/>
      <c r="F937" s="236"/>
      <c r="G937" s="236"/>
      <c r="H937" s="406"/>
      <c r="I937" s="236"/>
      <c r="J937" s="236"/>
      <c r="K937" s="236"/>
      <c r="L937" s="236"/>
      <c r="M937" s="236"/>
      <c r="N937" s="236"/>
      <c r="O937" s="236"/>
      <c r="P937" s="236"/>
      <c r="Q937" s="236"/>
      <c r="R937" s="236"/>
      <c r="S937" s="236"/>
      <c r="T937" s="236"/>
      <c r="U937" s="236"/>
      <c r="V937" s="236"/>
      <c r="W937" s="236"/>
      <c r="X937" s="236"/>
      <c r="Y937" s="236"/>
      <c r="Z937" s="236"/>
      <c r="AA937" s="236"/>
      <c r="AB937" s="236"/>
      <c r="AC937" s="236"/>
      <c r="AD937" s="236"/>
      <c r="AE937" s="236"/>
      <c r="AF937" s="236"/>
      <c r="AG937" s="236"/>
      <c r="AH937" s="236"/>
      <c r="AI937" s="236"/>
      <c r="AJ937" s="236"/>
      <c r="AK937" s="236"/>
      <c r="AL937" s="236"/>
      <c r="AM937" s="236"/>
      <c r="AN937" s="236"/>
      <c r="AO937" s="236"/>
      <c r="AP937" s="236"/>
      <c r="AQ937" s="236"/>
      <c r="AR937" s="236"/>
      <c r="AS937" s="236"/>
      <c r="AT937" s="236"/>
      <c r="AU937" s="236"/>
      <c r="AV937" s="12"/>
      <c r="AW937" s="12"/>
      <c r="AX937" s="12"/>
      <c r="AY937" s="12"/>
      <c r="AZ937" s="12"/>
      <c r="BA937" s="12"/>
      <c r="BB937" s="12"/>
    </row>
    <row r="938" spans="1:54" ht="13">
      <c r="A938" s="12"/>
      <c r="B938" s="27"/>
      <c r="C938" s="27"/>
      <c r="D938" s="407"/>
      <c r="E938" s="27"/>
      <c r="F938" s="27"/>
      <c r="G938" s="27"/>
      <c r="H938" s="408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12"/>
      <c r="AW938" s="12"/>
      <c r="AX938" s="12"/>
      <c r="AY938" s="12"/>
      <c r="AZ938" s="12"/>
      <c r="BA938" s="12"/>
      <c r="BB938" s="12"/>
    </row>
    <row r="939" spans="1:54" ht="13">
      <c r="A939" s="12"/>
      <c r="B939" s="236"/>
      <c r="C939" s="236"/>
      <c r="D939" s="405"/>
      <c r="E939" s="236"/>
      <c r="F939" s="236"/>
      <c r="G939" s="236"/>
      <c r="H939" s="406"/>
      <c r="I939" s="236"/>
      <c r="J939" s="236"/>
      <c r="K939" s="236"/>
      <c r="L939" s="236"/>
      <c r="M939" s="236"/>
      <c r="N939" s="236"/>
      <c r="O939" s="236"/>
      <c r="P939" s="236"/>
      <c r="Q939" s="236"/>
      <c r="R939" s="236"/>
      <c r="S939" s="236"/>
      <c r="T939" s="236"/>
      <c r="U939" s="236"/>
      <c r="V939" s="236"/>
      <c r="W939" s="236"/>
      <c r="X939" s="236"/>
      <c r="Y939" s="236"/>
      <c r="Z939" s="236"/>
      <c r="AA939" s="236"/>
      <c r="AB939" s="236"/>
      <c r="AC939" s="236"/>
      <c r="AD939" s="236"/>
      <c r="AE939" s="236"/>
      <c r="AF939" s="236"/>
      <c r="AG939" s="236"/>
      <c r="AH939" s="236"/>
      <c r="AI939" s="236"/>
      <c r="AJ939" s="236"/>
      <c r="AK939" s="236"/>
      <c r="AL939" s="236"/>
      <c r="AM939" s="236"/>
      <c r="AN939" s="236"/>
      <c r="AO939" s="236"/>
      <c r="AP939" s="236"/>
      <c r="AQ939" s="236"/>
      <c r="AR939" s="236"/>
      <c r="AS939" s="236"/>
      <c r="AT939" s="236"/>
      <c r="AU939" s="236"/>
      <c r="AV939" s="12"/>
      <c r="AW939" s="12"/>
      <c r="AX939" s="12"/>
      <c r="AY939" s="12"/>
      <c r="AZ939" s="12"/>
      <c r="BA939" s="12"/>
      <c r="BB939" s="12"/>
    </row>
    <row r="940" spans="1:54" ht="13">
      <c r="A940" s="12"/>
      <c r="B940" s="27"/>
      <c r="C940" s="27"/>
      <c r="D940" s="407"/>
      <c r="E940" s="27"/>
      <c r="F940" s="27"/>
      <c r="G940" s="27"/>
      <c r="H940" s="408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12"/>
      <c r="AW940" s="12"/>
      <c r="AX940" s="12"/>
      <c r="AY940" s="12"/>
      <c r="AZ940" s="12"/>
      <c r="BA940" s="12"/>
      <c r="BB940" s="12"/>
    </row>
    <row r="941" spans="1:54" ht="13">
      <c r="A941" s="12"/>
      <c r="B941" s="236"/>
      <c r="C941" s="236"/>
      <c r="D941" s="405"/>
      <c r="E941" s="236"/>
      <c r="F941" s="236"/>
      <c r="G941" s="236"/>
      <c r="H941" s="406"/>
      <c r="I941" s="236"/>
      <c r="J941" s="236"/>
      <c r="K941" s="236"/>
      <c r="L941" s="236"/>
      <c r="M941" s="236"/>
      <c r="N941" s="236"/>
      <c r="O941" s="236"/>
      <c r="P941" s="236"/>
      <c r="Q941" s="236"/>
      <c r="R941" s="236"/>
      <c r="S941" s="236"/>
      <c r="T941" s="236"/>
      <c r="U941" s="236"/>
      <c r="V941" s="236"/>
      <c r="W941" s="236"/>
      <c r="X941" s="236"/>
      <c r="Y941" s="236"/>
      <c r="Z941" s="236"/>
      <c r="AA941" s="236"/>
      <c r="AB941" s="236"/>
      <c r="AC941" s="236"/>
      <c r="AD941" s="236"/>
      <c r="AE941" s="236"/>
      <c r="AF941" s="236"/>
      <c r="AG941" s="236"/>
      <c r="AH941" s="236"/>
      <c r="AI941" s="236"/>
      <c r="AJ941" s="236"/>
      <c r="AK941" s="236"/>
      <c r="AL941" s="236"/>
      <c r="AM941" s="236"/>
      <c r="AN941" s="236"/>
      <c r="AO941" s="236"/>
      <c r="AP941" s="236"/>
      <c r="AQ941" s="236"/>
      <c r="AR941" s="236"/>
      <c r="AS941" s="236"/>
      <c r="AT941" s="236"/>
      <c r="AU941" s="236"/>
      <c r="AV941" s="12"/>
      <c r="AW941" s="12"/>
      <c r="AX941" s="12"/>
      <c r="AY941" s="12"/>
      <c r="AZ941" s="12"/>
      <c r="BA941" s="12"/>
      <c r="BB941" s="12"/>
    </row>
    <row r="942" spans="1:54" ht="13">
      <c r="A942" s="12"/>
      <c r="B942" s="27"/>
      <c r="C942" s="27"/>
      <c r="D942" s="407"/>
      <c r="E942" s="27"/>
      <c r="F942" s="27"/>
      <c r="G942" s="27"/>
      <c r="H942" s="408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12"/>
      <c r="AW942" s="12"/>
      <c r="AX942" s="12"/>
      <c r="AY942" s="12"/>
      <c r="AZ942" s="12"/>
      <c r="BA942" s="12"/>
      <c r="BB942" s="12"/>
    </row>
    <row r="943" spans="1:54" ht="13">
      <c r="A943" s="12"/>
      <c r="B943" s="236"/>
      <c r="C943" s="236"/>
      <c r="D943" s="405"/>
      <c r="E943" s="236"/>
      <c r="F943" s="236"/>
      <c r="G943" s="236"/>
      <c r="H943" s="406"/>
      <c r="I943" s="236"/>
      <c r="J943" s="236"/>
      <c r="K943" s="236"/>
      <c r="L943" s="236"/>
      <c r="M943" s="236"/>
      <c r="N943" s="236"/>
      <c r="O943" s="236"/>
      <c r="P943" s="236"/>
      <c r="Q943" s="236"/>
      <c r="R943" s="236"/>
      <c r="S943" s="236"/>
      <c r="T943" s="236"/>
      <c r="U943" s="236"/>
      <c r="V943" s="236"/>
      <c r="W943" s="236"/>
      <c r="X943" s="236"/>
      <c r="Y943" s="236"/>
      <c r="Z943" s="236"/>
      <c r="AA943" s="236"/>
      <c r="AB943" s="236"/>
      <c r="AC943" s="236"/>
      <c r="AD943" s="236"/>
      <c r="AE943" s="236"/>
      <c r="AF943" s="236"/>
      <c r="AG943" s="236"/>
      <c r="AH943" s="236"/>
      <c r="AI943" s="236"/>
      <c r="AJ943" s="236"/>
      <c r="AK943" s="236"/>
      <c r="AL943" s="236"/>
      <c r="AM943" s="236"/>
      <c r="AN943" s="236"/>
      <c r="AO943" s="236"/>
      <c r="AP943" s="236"/>
      <c r="AQ943" s="236"/>
      <c r="AR943" s="236"/>
      <c r="AS943" s="236"/>
      <c r="AT943" s="236"/>
      <c r="AU943" s="236"/>
      <c r="AV943" s="12"/>
      <c r="AW943" s="12"/>
      <c r="AX943" s="12"/>
      <c r="AY943" s="12"/>
      <c r="AZ943" s="12"/>
      <c r="BA943" s="12"/>
      <c r="BB943" s="12"/>
    </row>
    <row r="944" spans="1:54" ht="13">
      <c r="A944" s="12"/>
      <c r="B944" s="27"/>
      <c r="C944" s="27"/>
      <c r="D944" s="407"/>
      <c r="E944" s="27"/>
      <c r="F944" s="27"/>
      <c r="G944" s="27"/>
      <c r="H944" s="408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12"/>
      <c r="AW944" s="12"/>
      <c r="AX944" s="12"/>
      <c r="AY944" s="12"/>
      <c r="AZ944" s="12"/>
      <c r="BA944" s="12"/>
      <c r="BB944" s="12"/>
    </row>
    <row r="945" spans="1:54" ht="13">
      <c r="A945" s="12"/>
      <c r="B945" s="236"/>
      <c r="C945" s="236"/>
      <c r="D945" s="405"/>
      <c r="E945" s="236"/>
      <c r="F945" s="236"/>
      <c r="G945" s="236"/>
      <c r="H945" s="406"/>
      <c r="I945" s="236"/>
      <c r="J945" s="236"/>
      <c r="K945" s="236"/>
      <c r="L945" s="236"/>
      <c r="M945" s="236"/>
      <c r="N945" s="236"/>
      <c r="O945" s="236"/>
      <c r="P945" s="236"/>
      <c r="Q945" s="236"/>
      <c r="R945" s="236"/>
      <c r="S945" s="236"/>
      <c r="T945" s="236"/>
      <c r="U945" s="236"/>
      <c r="V945" s="236"/>
      <c r="W945" s="236"/>
      <c r="X945" s="236"/>
      <c r="Y945" s="236"/>
      <c r="Z945" s="236"/>
      <c r="AA945" s="236"/>
      <c r="AB945" s="236"/>
      <c r="AC945" s="236"/>
      <c r="AD945" s="236"/>
      <c r="AE945" s="236"/>
      <c r="AF945" s="236"/>
      <c r="AG945" s="236"/>
      <c r="AH945" s="236"/>
      <c r="AI945" s="236"/>
      <c r="AJ945" s="236"/>
      <c r="AK945" s="236"/>
      <c r="AL945" s="236"/>
      <c r="AM945" s="236"/>
      <c r="AN945" s="236"/>
      <c r="AO945" s="236"/>
      <c r="AP945" s="236"/>
      <c r="AQ945" s="236"/>
      <c r="AR945" s="236"/>
      <c r="AS945" s="236"/>
      <c r="AT945" s="236"/>
      <c r="AU945" s="236"/>
      <c r="AV945" s="12"/>
      <c r="AW945" s="12"/>
      <c r="AX945" s="12"/>
      <c r="AY945" s="12"/>
      <c r="AZ945" s="12"/>
      <c r="BA945" s="12"/>
      <c r="BB945" s="12"/>
    </row>
    <row r="946" spans="1:54" ht="13">
      <c r="A946" s="12"/>
      <c r="B946" s="27"/>
      <c r="C946" s="27"/>
      <c r="D946" s="407"/>
      <c r="E946" s="27"/>
      <c r="F946" s="27"/>
      <c r="G946" s="27"/>
      <c r="H946" s="408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12"/>
      <c r="AW946" s="12"/>
      <c r="AX946" s="12"/>
      <c r="AY946" s="12"/>
      <c r="AZ946" s="12"/>
      <c r="BA946" s="12"/>
      <c r="BB946" s="12"/>
    </row>
    <row r="947" spans="1:54" ht="13">
      <c r="A947" s="12"/>
      <c r="B947" s="236"/>
      <c r="C947" s="236"/>
      <c r="D947" s="405"/>
      <c r="E947" s="236"/>
      <c r="F947" s="236"/>
      <c r="G947" s="236"/>
      <c r="H947" s="406"/>
      <c r="I947" s="236"/>
      <c r="J947" s="236"/>
      <c r="K947" s="236"/>
      <c r="L947" s="236"/>
      <c r="M947" s="236"/>
      <c r="N947" s="236"/>
      <c r="O947" s="236"/>
      <c r="P947" s="236"/>
      <c r="Q947" s="236"/>
      <c r="R947" s="236"/>
      <c r="S947" s="236"/>
      <c r="T947" s="236"/>
      <c r="U947" s="236"/>
      <c r="V947" s="236"/>
      <c r="W947" s="236"/>
      <c r="X947" s="236"/>
      <c r="Y947" s="236"/>
      <c r="Z947" s="236"/>
      <c r="AA947" s="236"/>
      <c r="AB947" s="236"/>
      <c r="AC947" s="236"/>
      <c r="AD947" s="236"/>
      <c r="AE947" s="236"/>
      <c r="AF947" s="236"/>
      <c r="AG947" s="236"/>
      <c r="AH947" s="236"/>
      <c r="AI947" s="236"/>
      <c r="AJ947" s="236"/>
      <c r="AK947" s="236"/>
      <c r="AL947" s="236"/>
      <c r="AM947" s="236"/>
      <c r="AN947" s="236"/>
      <c r="AO947" s="236"/>
      <c r="AP947" s="236"/>
      <c r="AQ947" s="236"/>
      <c r="AR947" s="236"/>
      <c r="AS947" s="236"/>
      <c r="AT947" s="236"/>
      <c r="AU947" s="236"/>
      <c r="AV947" s="12"/>
      <c r="AW947" s="12"/>
      <c r="AX947" s="12"/>
      <c r="AY947" s="12"/>
      <c r="AZ947" s="12"/>
      <c r="BA947" s="12"/>
      <c r="BB947" s="12"/>
    </row>
    <row r="948" spans="1:54" ht="13">
      <c r="A948" s="12"/>
      <c r="B948" s="27"/>
      <c r="C948" s="27"/>
      <c r="D948" s="407"/>
      <c r="E948" s="27"/>
      <c r="F948" s="27"/>
      <c r="G948" s="27"/>
      <c r="H948" s="408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12"/>
      <c r="AW948" s="12"/>
      <c r="AX948" s="12"/>
      <c r="AY948" s="12"/>
      <c r="AZ948" s="12"/>
      <c r="BA948" s="12"/>
      <c r="BB948" s="12"/>
    </row>
    <row r="949" spans="1:54" ht="13">
      <c r="A949" s="12"/>
      <c r="B949" s="236"/>
      <c r="C949" s="236"/>
      <c r="D949" s="405"/>
      <c r="E949" s="236"/>
      <c r="F949" s="236"/>
      <c r="G949" s="236"/>
      <c r="H949" s="406"/>
      <c r="I949" s="236"/>
      <c r="J949" s="236"/>
      <c r="K949" s="236"/>
      <c r="L949" s="236"/>
      <c r="M949" s="236"/>
      <c r="N949" s="236"/>
      <c r="O949" s="236"/>
      <c r="P949" s="236"/>
      <c r="Q949" s="236"/>
      <c r="R949" s="236"/>
      <c r="S949" s="236"/>
      <c r="T949" s="236"/>
      <c r="U949" s="236"/>
      <c r="V949" s="236"/>
      <c r="W949" s="236"/>
      <c r="X949" s="236"/>
      <c r="Y949" s="236"/>
      <c r="Z949" s="236"/>
      <c r="AA949" s="236"/>
      <c r="AB949" s="236"/>
      <c r="AC949" s="236"/>
      <c r="AD949" s="236"/>
      <c r="AE949" s="236"/>
      <c r="AF949" s="236"/>
      <c r="AG949" s="236"/>
      <c r="AH949" s="236"/>
      <c r="AI949" s="236"/>
      <c r="AJ949" s="236"/>
      <c r="AK949" s="236"/>
      <c r="AL949" s="236"/>
      <c r="AM949" s="236"/>
      <c r="AN949" s="236"/>
      <c r="AO949" s="236"/>
      <c r="AP949" s="236"/>
      <c r="AQ949" s="236"/>
      <c r="AR949" s="236"/>
      <c r="AS949" s="236"/>
      <c r="AT949" s="236"/>
      <c r="AU949" s="236"/>
      <c r="AV949" s="12"/>
      <c r="AW949" s="12"/>
      <c r="AX949" s="12"/>
      <c r="AY949" s="12"/>
      <c r="AZ949" s="12"/>
      <c r="BA949" s="12"/>
      <c r="BB949" s="12"/>
    </row>
    <row r="950" spans="1:54" ht="13">
      <c r="A950" s="12"/>
      <c r="B950" s="27"/>
      <c r="C950" s="27"/>
      <c r="D950" s="407"/>
      <c r="E950" s="27"/>
      <c r="F950" s="27"/>
      <c r="G950" s="27"/>
      <c r="H950" s="408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12"/>
      <c r="AW950" s="12"/>
      <c r="AX950" s="12"/>
      <c r="AY950" s="12"/>
      <c r="AZ950" s="12"/>
      <c r="BA950" s="12"/>
      <c r="BB950" s="12"/>
    </row>
    <row r="951" spans="1:54" ht="13">
      <c r="A951" s="12"/>
      <c r="B951" s="236"/>
      <c r="C951" s="236"/>
      <c r="D951" s="405"/>
      <c r="E951" s="236"/>
      <c r="F951" s="236"/>
      <c r="G951" s="236"/>
      <c r="H951" s="406"/>
      <c r="I951" s="236"/>
      <c r="J951" s="236"/>
      <c r="K951" s="236"/>
      <c r="L951" s="236"/>
      <c r="M951" s="236"/>
      <c r="N951" s="236"/>
      <c r="O951" s="236"/>
      <c r="P951" s="236"/>
      <c r="Q951" s="236"/>
      <c r="R951" s="236"/>
      <c r="S951" s="236"/>
      <c r="T951" s="236"/>
      <c r="U951" s="236"/>
      <c r="V951" s="236"/>
      <c r="W951" s="236"/>
      <c r="X951" s="236"/>
      <c r="Y951" s="236"/>
      <c r="Z951" s="236"/>
      <c r="AA951" s="236"/>
      <c r="AB951" s="236"/>
      <c r="AC951" s="236"/>
      <c r="AD951" s="236"/>
      <c r="AE951" s="236"/>
      <c r="AF951" s="236"/>
      <c r="AG951" s="236"/>
      <c r="AH951" s="236"/>
      <c r="AI951" s="236"/>
      <c r="AJ951" s="236"/>
      <c r="AK951" s="236"/>
      <c r="AL951" s="236"/>
      <c r="AM951" s="236"/>
      <c r="AN951" s="236"/>
      <c r="AO951" s="236"/>
      <c r="AP951" s="236"/>
      <c r="AQ951" s="236"/>
      <c r="AR951" s="236"/>
      <c r="AS951" s="236"/>
      <c r="AT951" s="236"/>
      <c r="AU951" s="236"/>
      <c r="AV951" s="12"/>
      <c r="AW951" s="12"/>
      <c r="AX951" s="12"/>
      <c r="AY951" s="12"/>
      <c r="AZ951" s="12"/>
      <c r="BA951" s="12"/>
      <c r="BB951" s="12"/>
    </row>
    <row r="952" spans="1:54" ht="13">
      <c r="A952" s="12"/>
      <c r="B952" s="27"/>
      <c r="C952" s="27"/>
      <c r="D952" s="407"/>
      <c r="E952" s="27"/>
      <c r="F952" s="27"/>
      <c r="G952" s="27"/>
      <c r="H952" s="408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12"/>
      <c r="AW952" s="12"/>
      <c r="AX952" s="12"/>
      <c r="AY952" s="12"/>
      <c r="AZ952" s="12"/>
      <c r="BA952" s="12"/>
      <c r="BB952" s="12"/>
    </row>
    <row r="953" spans="1:54" ht="13">
      <c r="A953" s="12"/>
      <c r="B953" s="236"/>
      <c r="C953" s="236"/>
      <c r="D953" s="405"/>
      <c r="E953" s="236"/>
      <c r="F953" s="236"/>
      <c r="G953" s="236"/>
      <c r="H953" s="406"/>
      <c r="I953" s="236"/>
      <c r="J953" s="236"/>
      <c r="K953" s="236"/>
      <c r="L953" s="236"/>
      <c r="M953" s="236"/>
      <c r="N953" s="236"/>
      <c r="O953" s="236"/>
      <c r="P953" s="236"/>
      <c r="Q953" s="236"/>
      <c r="R953" s="236"/>
      <c r="S953" s="236"/>
      <c r="T953" s="236"/>
      <c r="U953" s="236"/>
      <c r="V953" s="236"/>
      <c r="W953" s="236"/>
      <c r="X953" s="236"/>
      <c r="Y953" s="236"/>
      <c r="Z953" s="236"/>
      <c r="AA953" s="236"/>
      <c r="AB953" s="236"/>
      <c r="AC953" s="236"/>
      <c r="AD953" s="236"/>
      <c r="AE953" s="236"/>
      <c r="AF953" s="236"/>
      <c r="AG953" s="236"/>
      <c r="AH953" s="236"/>
      <c r="AI953" s="236"/>
      <c r="AJ953" s="236"/>
      <c r="AK953" s="236"/>
      <c r="AL953" s="236"/>
      <c r="AM953" s="236"/>
      <c r="AN953" s="236"/>
      <c r="AO953" s="236"/>
      <c r="AP953" s="236"/>
      <c r="AQ953" s="236"/>
      <c r="AR953" s="236"/>
      <c r="AS953" s="236"/>
      <c r="AT953" s="236"/>
      <c r="AU953" s="236"/>
      <c r="AV953" s="12"/>
      <c r="AW953" s="12"/>
      <c r="AX953" s="12"/>
      <c r="AY953" s="12"/>
      <c r="AZ953" s="12"/>
      <c r="BA953" s="12"/>
      <c r="BB953" s="12"/>
    </row>
    <row r="954" spans="1:54" ht="13">
      <c r="A954" s="12"/>
      <c r="B954" s="27"/>
      <c r="C954" s="27"/>
      <c r="D954" s="407"/>
      <c r="E954" s="27"/>
      <c r="F954" s="27"/>
      <c r="G954" s="27"/>
      <c r="H954" s="408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12"/>
      <c r="AW954" s="12"/>
      <c r="AX954" s="12"/>
      <c r="AY954" s="12"/>
      <c r="AZ954" s="12"/>
      <c r="BA954" s="12"/>
      <c r="BB954" s="12"/>
    </row>
    <row r="955" spans="1:54" ht="13">
      <c r="A955" s="12"/>
      <c r="B955" s="236"/>
      <c r="C955" s="236"/>
      <c r="D955" s="405"/>
      <c r="E955" s="236"/>
      <c r="F955" s="236"/>
      <c r="G955" s="236"/>
      <c r="H955" s="406"/>
      <c r="I955" s="236"/>
      <c r="J955" s="236"/>
      <c r="K955" s="236"/>
      <c r="L955" s="236"/>
      <c r="M955" s="236"/>
      <c r="N955" s="236"/>
      <c r="O955" s="236"/>
      <c r="P955" s="236"/>
      <c r="Q955" s="236"/>
      <c r="R955" s="236"/>
      <c r="S955" s="236"/>
      <c r="T955" s="236"/>
      <c r="U955" s="236"/>
      <c r="V955" s="236"/>
      <c r="W955" s="236"/>
      <c r="X955" s="236"/>
      <c r="Y955" s="236"/>
      <c r="Z955" s="236"/>
      <c r="AA955" s="236"/>
      <c r="AB955" s="236"/>
      <c r="AC955" s="236"/>
      <c r="AD955" s="236"/>
      <c r="AE955" s="236"/>
      <c r="AF955" s="236"/>
      <c r="AG955" s="236"/>
      <c r="AH955" s="236"/>
      <c r="AI955" s="236"/>
      <c r="AJ955" s="236"/>
      <c r="AK955" s="236"/>
      <c r="AL955" s="236"/>
      <c r="AM955" s="236"/>
      <c r="AN955" s="236"/>
      <c r="AO955" s="236"/>
      <c r="AP955" s="236"/>
      <c r="AQ955" s="236"/>
      <c r="AR955" s="236"/>
      <c r="AS955" s="236"/>
      <c r="AT955" s="236"/>
      <c r="AU955" s="236"/>
      <c r="AV955" s="12"/>
      <c r="AW955" s="12"/>
      <c r="AX955" s="12"/>
      <c r="AY955" s="12"/>
      <c r="AZ955" s="12"/>
      <c r="BA955" s="12"/>
      <c r="BB955" s="12"/>
    </row>
    <row r="956" spans="1:54" ht="13">
      <c r="A956" s="12"/>
      <c r="B956" s="27"/>
      <c r="C956" s="27"/>
      <c r="D956" s="407"/>
      <c r="E956" s="27"/>
      <c r="F956" s="27"/>
      <c r="G956" s="27"/>
      <c r="H956" s="408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12"/>
      <c r="AW956" s="12"/>
      <c r="AX956" s="12"/>
      <c r="AY956" s="12"/>
      <c r="AZ956" s="12"/>
      <c r="BA956" s="12"/>
      <c r="BB956" s="12"/>
    </row>
    <row r="957" spans="1:54" ht="13">
      <c r="A957" s="12"/>
      <c r="B957" s="236"/>
      <c r="C957" s="236"/>
      <c r="D957" s="405"/>
      <c r="E957" s="236"/>
      <c r="F957" s="236"/>
      <c r="G957" s="236"/>
      <c r="H957" s="406"/>
      <c r="I957" s="236"/>
      <c r="J957" s="236"/>
      <c r="K957" s="236"/>
      <c r="L957" s="236"/>
      <c r="M957" s="236"/>
      <c r="N957" s="236"/>
      <c r="O957" s="236"/>
      <c r="P957" s="236"/>
      <c r="Q957" s="236"/>
      <c r="R957" s="236"/>
      <c r="S957" s="236"/>
      <c r="T957" s="236"/>
      <c r="U957" s="236"/>
      <c r="V957" s="236"/>
      <c r="W957" s="236"/>
      <c r="X957" s="236"/>
      <c r="Y957" s="236"/>
      <c r="Z957" s="236"/>
      <c r="AA957" s="236"/>
      <c r="AB957" s="236"/>
      <c r="AC957" s="236"/>
      <c r="AD957" s="236"/>
      <c r="AE957" s="236"/>
      <c r="AF957" s="236"/>
      <c r="AG957" s="236"/>
      <c r="AH957" s="236"/>
      <c r="AI957" s="236"/>
      <c r="AJ957" s="236"/>
      <c r="AK957" s="236"/>
      <c r="AL957" s="236"/>
      <c r="AM957" s="236"/>
      <c r="AN957" s="236"/>
      <c r="AO957" s="236"/>
      <c r="AP957" s="236"/>
      <c r="AQ957" s="236"/>
      <c r="AR957" s="236"/>
      <c r="AS957" s="236"/>
      <c r="AT957" s="236"/>
      <c r="AU957" s="236"/>
      <c r="AV957" s="12"/>
      <c r="AW957" s="12"/>
      <c r="AX957" s="12"/>
      <c r="AY957" s="12"/>
      <c r="AZ957" s="12"/>
      <c r="BA957" s="12"/>
      <c r="BB957" s="12"/>
    </row>
    <row r="958" spans="1:54" ht="13">
      <c r="A958" s="12"/>
      <c r="B958" s="27"/>
      <c r="C958" s="27"/>
      <c r="D958" s="407"/>
      <c r="E958" s="27"/>
      <c r="F958" s="27"/>
      <c r="G958" s="27"/>
      <c r="H958" s="408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12"/>
      <c r="AW958" s="12"/>
      <c r="AX958" s="12"/>
      <c r="AY958" s="12"/>
      <c r="AZ958" s="12"/>
      <c r="BA958" s="12"/>
      <c r="BB958" s="12"/>
    </row>
    <row r="959" spans="1:54" ht="13">
      <c r="A959" s="12"/>
      <c r="B959" s="236"/>
      <c r="C959" s="236"/>
      <c r="D959" s="405"/>
      <c r="E959" s="236"/>
      <c r="F959" s="236"/>
      <c r="G959" s="236"/>
      <c r="H959" s="406"/>
      <c r="I959" s="236"/>
      <c r="J959" s="236"/>
      <c r="K959" s="236"/>
      <c r="L959" s="236"/>
      <c r="M959" s="236"/>
      <c r="N959" s="236"/>
      <c r="O959" s="236"/>
      <c r="P959" s="236"/>
      <c r="Q959" s="236"/>
      <c r="R959" s="236"/>
      <c r="S959" s="236"/>
      <c r="T959" s="236"/>
      <c r="U959" s="236"/>
      <c r="V959" s="236"/>
      <c r="W959" s="236"/>
      <c r="X959" s="236"/>
      <c r="Y959" s="236"/>
      <c r="Z959" s="236"/>
      <c r="AA959" s="236"/>
      <c r="AB959" s="236"/>
      <c r="AC959" s="236"/>
      <c r="AD959" s="236"/>
      <c r="AE959" s="236"/>
      <c r="AF959" s="236"/>
      <c r="AG959" s="236"/>
      <c r="AH959" s="236"/>
      <c r="AI959" s="236"/>
      <c r="AJ959" s="236"/>
      <c r="AK959" s="236"/>
      <c r="AL959" s="236"/>
      <c r="AM959" s="236"/>
      <c r="AN959" s="236"/>
      <c r="AO959" s="236"/>
      <c r="AP959" s="236"/>
      <c r="AQ959" s="236"/>
      <c r="AR959" s="236"/>
      <c r="AS959" s="236"/>
      <c r="AT959" s="236"/>
      <c r="AU959" s="236"/>
      <c r="AV959" s="12"/>
      <c r="AW959" s="12"/>
      <c r="AX959" s="12"/>
      <c r="AY959" s="12"/>
      <c r="AZ959" s="12"/>
      <c r="BA959" s="12"/>
      <c r="BB959" s="12"/>
    </row>
    <row r="960" spans="1:54" ht="13">
      <c r="A960" s="12"/>
      <c r="B960" s="27"/>
      <c r="C960" s="27"/>
      <c r="D960" s="407"/>
      <c r="E960" s="27"/>
      <c r="F960" s="27"/>
      <c r="G960" s="27"/>
      <c r="H960" s="408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12"/>
      <c r="AW960" s="12"/>
      <c r="AX960" s="12"/>
      <c r="AY960" s="12"/>
      <c r="AZ960" s="12"/>
      <c r="BA960" s="12"/>
      <c r="BB960" s="12"/>
    </row>
    <row r="961" spans="1:54" ht="13">
      <c r="A961" s="12"/>
      <c r="B961" s="236"/>
      <c r="C961" s="236"/>
      <c r="D961" s="405"/>
      <c r="E961" s="236"/>
      <c r="F961" s="236"/>
      <c r="G961" s="236"/>
      <c r="H961" s="406"/>
      <c r="I961" s="236"/>
      <c r="J961" s="236"/>
      <c r="K961" s="236"/>
      <c r="L961" s="236"/>
      <c r="M961" s="236"/>
      <c r="N961" s="236"/>
      <c r="O961" s="236"/>
      <c r="P961" s="236"/>
      <c r="Q961" s="236"/>
      <c r="R961" s="236"/>
      <c r="S961" s="236"/>
      <c r="T961" s="236"/>
      <c r="U961" s="236"/>
      <c r="V961" s="236"/>
      <c r="W961" s="236"/>
      <c r="X961" s="236"/>
      <c r="Y961" s="236"/>
      <c r="Z961" s="236"/>
      <c r="AA961" s="236"/>
      <c r="AB961" s="236"/>
      <c r="AC961" s="236"/>
      <c r="AD961" s="236"/>
      <c r="AE961" s="236"/>
      <c r="AF961" s="236"/>
      <c r="AG961" s="236"/>
      <c r="AH961" s="236"/>
      <c r="AI961" s="236"/>
      <c r="AJ961" s="236"/>
      <c r="AK961" s="236"/>
      <c r="AL961" s="236"/>
      <c r="AM961" s="236"/>
      <c r="AN961" s="236"/>
      <c r="AO961" s="236"/>
      <c r="AP961" s="236"/>
      <c r="AQ961" s="236"/>
      <c r="AR961" s="236"/>
      <c r="AS961" s="236"/>
      <c r="AT961" s="236"/>
      <c r="AU961" s="236"/>
      <c r="AV961" s="12"/>
      <c r="AW961" s="12"/>
      <c r="AX961" s="12"/>
      <c r="AY961" s="12"/>
      <c r="AZ961" s="12"/>
      <c r="BA961" s="12"/>
      <c r="BB961" s="12"/>
    </row>
    <row r="962" spans="1:54" ht="13">
      <c r="A962" s="12"/>
      <c r="B962" s="27"/>
      <c r="C962" s="27"/>
      <c r="D962" s="407"/>
      <c r="E962" s="27"/>
      <c r="F962" s="27"/>
      <c r="G962" s="27"/>
      <c r="H962" s="408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12"/>
      <c r="AW962" s="12"/>
      <c r="AX962" s="12"/>
      <c r="AY962" s="12"/>
      <c r="AZ962" s="12"/>
      <c r="BA962" s="12"/>
      <c r="BB962" s="12"/>
    </row>
    <row r="963" spans="1:54" ht="13">
      <c r="A963" s="12"/>
      <c r="B963" s="236"/>
      <c r="C963" s="236"/>
      <c r="D963" s="405"/>
      <c r="E963" s="236"/>
      <c r="F963" s="236"/>
      <c r="G963" s="236"/>
      <c r="H963" s="406"/>
      <c r="I963" s="236"/>
      <c r="J963" s="236"/>
      <c r="K963" s="236"/>
      <c r="L963" s="236"/>
      <c r="M963" s="236"/>
      <c r="N963" s="236"/>
      <c r="O963" s="236"/>
      <c r="P963" s="236"/>
      <c r="Q963" s="236"/>
      <c r="R963" s="236"/>
      <c r="S963" s="236"/>
      <c r="T963" s="236"/>
      <c r="U963" s="236"/>
      <c r="V963" s="236"/>
      <c r="W963" s="236"/>
      <c r="X963" s="236"/>
      <c r="Y963" s="236"/>
      <c r="Z963" s="236"/>
      <c r="AA963" s="236"/>
      <c r="AB963" s="236"/>
      <c r="AC963" s="236"/>
      <c r="AD963" s="236"/>
      <c r="AE963" s="236"/>
      <c r="AF963" s="236"/>
      <c r="AG963" s="236"/>
      <c r="AH963" s="236"/>
      <c r="AI963" s="236"/>
      <c r="AJ963" s="236"/>
      <c r="AK963" s="236"/>
      <c r="AL963" s="236"/>
      <c r="AM963" s="236"/>
      <c r="AN963" s="236"/>
      <c r="AO963" s="236"/>
      <c r="AP963" s="236"/>
      <c r="AQ963" s="236"/>
      <c r="AR963" s="236"/>
      <c r="AS963" s="236"/>
      <c r="AT963" s="236"/>
      <c r="AU963" s="236"/>
      <c r="AV963" s="12"/>
      <c r="AW963" s="12"/>
      <c r="AX963" s="12"/>
      <c r="AY963" s="12"/>
      <c r="AZ963" s="12"/>
      <c r="BA963" s="12"/>
      <c r="BB963" s="12"/>
    </row>
    <row r="964" spans="1:54" ht="13">
      <c r="A964" s="12"/>
      <c r="B964" s="27"/>
      <c r="C964" s="27"/>
      <c r="D964" s="407"/>
      <c r="E964" s="27"/>
      <c r="F964" s="27"/>
      <c r="G964" s="27"/>
      <c r="H964" s="408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12"/>
      <c r="AW964" s="12"/>
      <c r="AX964" s="12"/>
      <c r="AY964" s="12"/>
      <c r="AZ964" s="12"/>
      <c r="BA964" s="12"/>
      <c r="BB964" s="12"/>
    </row>
    <row r="965" spans="1:54" ht="13">
      <c r="A965" s="12"/>
      <c r="B965" s="236"/>
      <c r="C965" s="236"/>
      <c r="D965" s="405"/>
      <c r="E965" s="236"/>
      <c r="F965" s="236"/>
      <c r="G965" s="236"/>
      <c r="H965" s="406"/>
      <c r="I965" s="236"/>
      <c r="J965" s="236"/>
      <c r="K965" s="236"/>
      <c r="L965" s="236"/>
      <c r="M965" s="236"/>
      <c r="N965" s="236"/>
      <c r="O965" s="236"/>
      <c r="P965" s="236"/>
      <c r="Q965" s="236"/>
      <c r="R965" s="236"/>
      <c r="S965" s="236"/>
      <c r="T965" s="236"/>
      <c r="U965" s="236"/>
      <c r="V965" s="236"/>
      <c r="W965" s="236"/>
      <c r="X965" s="236"/>
      <c r="Y965" s="236"/>
      <c r="Z965" s="236"/>
      <c r="AA965" s="236"/>
      <c r="AB965" s="236"/>
      <c r="AC965" s="236"/>
      <c r="AD965" s="236"/>
      <c r="AE965" s="236"/>
      <c r="AF965" s="236"/>
      <c r="AG965" s="236"/>
      <c r="AH965" s="236"/>
      <c r="AI965" s="236"/>
      <c r="AJ965" s="236"/>
      <c r="AK965" s="236"/>
      <c r="AL965" s="236"/>
      <c r="AM965" s="236"/>
      <c r="AN965" s="236"/>
      <c r="AO965" s="236"/>
      <c r="AP965" s="236"/>
      <c r="AQ965" s="236"/>
      <c r="AR965" s="236"/>
      <c r="AS965" s="236"/>
      <c r="AT965" s="236"/>
      <c r="AU965" s="236"/>
      <c r="AV965" s="12"/>
      <c r="AW965" s="12"/>
      <c r="AX965" s="12"/>
      <c r="AY965" s="12"/>
      <c r="AZ965" s="12"/>
      <c r="BA965" s="12"/>
      <c r="BB965" s="12"/>
    </row>
    <row r="966" spans="1:54" ht="13">
      <c r="A966" s="12"/>
      <c r="B966" s="27"/>
      <c r="C966" s="27"/>
      <c r="D966" s="407"/>
      <c r="E966" s="27"/>
      <c r="F966" s="27"/>
      <c r="G966" s="27"/>
      <c r="H966" s="408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12"/>
      <c r="AW966" s="12"/>
      <c r="AX966" s="12"/>
      <c r="AY966" s="12"/>
      <c r="AZ966" s="12"/>
      <c r="BA966" s="12"/>
      <c r="BB966" s="12"/>
    </row>
    <row r="967" spans="1:54" ht="13">
      <c r="A967" s="12"/>
      <c r="B967" s="236"/>
      <c r="C967" s="236"/>
      <c r="D967" s="405"/>
      <c r="E967" s="236"/>
      <c r="F967" s="236"/>
      <c r="G967" s="236"/>
      <c r="H967" s="406"/>
      <c r="I967" s="236"/>
      <c r="J967" s="236"/>
      <c r="K967" s="236"/>
      <c r="L967" s="236"/>
      <c r="M967" s="236"/>
      <c r="N967" s="236"/>
      <c r="O967" s="236"/>
      <c r="P967" s="236"/>
      <c r="Q967" s="236"/>
      <c r="R967" s="236"/>
      <c r="S967" s="236"/>
      <c r="T967" s="236"/>
      <c r="U967" s="236"/>
      <c r="V967" s="236"/>
      <c r="W967" s="236"/>
      <c r="X967" s="236"/>
      <c r="Y967" s="236"/>
      <c r="Z967" s="236"/>
      <c r="AA967" s="236"/>
      <c r="AB967" s="236"/>
      <c r="AC967" s="236"/>
      <c r="AD967" s="236"/>
      <c r="AE967" s="236"/>
      <c r="AF967" s="236"/>
      <c r="AG967" s="236"/>
      <c r="AH967" s="236"/>
      <c r="AI967" s="236"/>
      <c r="AJ967" s="236"/>
      <c r="AK967" s="236"/>
      <c r="AL967" s="236"/>
      <c r="AM967" s="236"/>
      <c r="AN967" s="236"/>
      <c r="AO967" s="236"/>
      <c r="AP967" s="236"/>
      <c r="AQ967" s="236"/>
      <c r="AR967" s="236"/>
      <c r="AS967" s="236"/>
      <c r="AT967" s="236"/>
      <c r="AU967" s="236"/>
      <c r="AV967" s="12"/>
      <c r="AW967" s="12"/>
      <c r="AX967" s="12"/>
      <c r="AY967" s="12"/>
      <c r="AZ967" s="12"/>
      <c r="BA967" s="12"/>
      <c r="BB967" s="12"/>
    </row>
    <row r="968" spans="1:54" ht="13">
      <c r="A968" s="12"/>
      <c r="B968" s="27"/>
      <c r="C968" s="27"/>
      <c r="D968" s="407"/>
      <c r="E968" s="27"/>
      <c r="F968" s="27"/>
      <c r="G968" s="27"/>
      <c r="H968" s="408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12"/>
      <c r="AW968" s="12"/>
      <c r="AX968" s="12"/>
      <c r="AY968" s="12"/>
      <c r="AZ968" s="12"/>
      <c r="BA968" s="12"/>
      <c r="BB968" s="12"/>
    </row>
    <row r="969" spans="1:54" ht="13">
      <c r="A969" s="12"/>
      <c r="B969" s="236"/>
      <c r="C969" s="236"/>
      <c r="D969" s="405"/>
      <c r="E969" s="236"/>
      <c r="F969" s="236"/>
      <c r="G969" s="236"/>
      <c r="H969" s="406"/>
      <c r="I969" s="236"/>
      <c r="J969" s="236"/>
      <c r="K969" s="236"/>
      <c r="L969" s="236"/>
      <c r="M969" s="236"/>
      <c r="N969" s="236"/>
      <c r="O969" s="236"/>
      <c r="P969" s="236"/>
      <c r="Q969" s="236"/>
      <c r="R969" s="236"/>
      <c r="S969" s="236"/>
      <c r="T969" s="236"/>
      <c r="U969" s="236"/>
      <c r="V969" s="236"/>
      <c r="W969" s="236"/>
      <c r="X969" s="236"/>
      <c r="Y969" s="236"/>
      <c r="Z969" s="236"/>
      <c r="AA969" s="236"/>
      <c r="AB969" s="236"/>
      <c r="AC969" s="236"/>
      <c r="AD969" s="236"/>
      <c r="AE969" s="236"/>
      <c r="AF969" s="236"/>
      <c r="AG969" s="236"/>
      <c r="AH969" s="236"/>
      <c r="AI969" s="236"/>
      <c r="AJ969" s="236"/>
      <c r="AK969" s="236"/>
      <c r="AL969" s="236"/>
      <c r="AM969" s="236"/>
      <c r="AN969" s="236"/>
      <c r="AO969" s="236"/>
      <c r="AP969" s="236"/>
      <c r="AQ969" s="236"/>
      <c r="AR969" s="236"/>
      <c r="AS969" s="236"/>
      <c r="AT969" s="236"/>
      <c r="AU969" s="236"/>
      <c r="AV969" s="12"/>
      <c r="AW969" s="12"/>
      <c r="AX969" s="12"/>
      <c r="AY969" s="12"/>
      <c r="AZ969" s="12"/>
      <c r="BA969" s="12"/>
      <c r="BB969" s="12"/>
    </row>
    <row r="970" spans="1:54" ht="13">
      <c r="A970" s="12"/>
      <c r="B970" s="27"/>
      <c r="C970" s="27"/>
      <c r="D970" s="407"/>
      <c r="E970" s="27"/>
      <c r="F970" s="27"/>
      <c r="G970" s="27"/>
      <c r="H970" s="408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12"/>
      <c r="AW970" s="12"/>
      <c r="AX970" s="12"/>
      <c r="AY970" s="12"/>
      <c r="AZ970" s="12"/>
      <c r="BA970" s="12"/>
      <c r="BB970" s="12"/>
    </row>
    <row r="971" spans="1:54" ht="13">
      <c r="A971" s="12"/>
      <c r="B971" s="236"/>
      <c r="C971" s="236"/>
      <c r="D971" s="405"/>
      <c r="E971" s="236"/>
      <c r="F971" s="236"/>
      <c r="G971" s="236"/>
      <c r="H971" s="406"/>
      <c r="I971" s="236"/>
      <c r="J971" s="236"/>
      <c r="K971" s="236"/>
      <c r="L971" s="236"/>
      <c r="M971" s="236"/>
      <c r="N971" s="236"/>
      <c r="O971" s="236"/>
      <c r="P971" s="236"/>
      <c r="Q971" s="236"/>
      <c r="R971" s="236"/>
      <c r="S971" s="236"/>
      <c r="T971" s="236"/>
      <c r="U971" s="236"/>
      <c r="V971" s="236"/>
      <c r="W971" s="236"/>
      <c r="X971" s="236"/>
      <c r="Y971" s="236"/>
      <c r="Z971" s="236"/>
      <c r="AA971" s="236"/>
      <c r="AB971" s="236"/>
      <c r="AC971" s="236"/>
      <c r="AD971" s="236"/>
      <c r="AE971" s="236"/>
      <c r="AF971" s="236"/>
      <c r="AG971" s="236"/>
      <c r="AH971" s="236"/>
      <c r="AI971" s="236"/>
      <c r="AJ971" s="236"/>
      <c r="AK971" s="236"/>
      <c r="AL971" s="236"/>
      <c r="AM971" s="236"/>
      <c r="AN971" s="236"/>
      <c r="AO971" s="236"/>
      <c r="AP971" s="236"/>
      <c r="AQ971" s="236"/>
      <c r="AR971" s="236"/>
      <c r="AS971" s="236"/>
      <c r="AT971" s="236"/>
      <c r="AU971" s="236"/>
      <c r="AV971" s="12"/>
      <c r="AW971" s="12"/>
      <c r="AX971" s="12"/>
      <c r="AY971" s="12"/>
      <c r="AZ971" s="12"/>
      <c r="BA971" s="12"/>
      <c r="BB971" s="12"/>
    </row>
    <row r="972" spans="1:54" ht="13">
      <c r="A972" s="12"/>
      <c r="B972" s="27"/>
      <c r="C972" s="27"/>
      <c r="D972" s="407"/>
      <c r="E972" s="27"/>
      <c r="F972" s="27"/>
      <c r="G972" s="27"/>
      <c r="H972" s="408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12"/>
      <c r="AW972" s="12"/>
      <c r="AX972" s="12"/>
      <c r="AY972" s="12"/>
      <c r="AZ972" s="12"/>
      <c r="BA972" s="12"/>
      <c r="BB972" s="12"/>
    </row>
    <row r="973" spans="1:54" ht="13">
      <c r="A973" s="12"/>
      <c r="B973" s="236"/>
      <c r="C973" s="236"/>
      <c r="D973" s="405"/>
      <c r="E973" s="236"/>
      <c r="F973" s="236"/>
      <c r="G973" s="236"/>
      <c r="H973" s="406"/>
      <c r="I973" s="236"/>
      <c r="J973" s="236"/>
      <c r="K973" s="236"/>
      <c r="L973" s="236"/>
      <c r="M973" s="236"/>
      <c r="N973" s="236"/>
      <c r="O973" s="236"/>
      <c r="P973" s="236"/>
      <c r="Q973" s="236"/>
      <c r="R973" s="236"/>
      <c r="S973" s="236"/>
      <c r="T973" s="236"/>
      <c r="U973" s="236"/>
      <c r="V973" s="236"/>
      <c r="W973" s="236"/>
      <c r="X973" s="236"/>
      <c r="Y973" s="236"/>
      <c r="Z973" s="236"/>
      <c r="AA973" s="236"/>
      <c r="AB973" s="236"/>
      <c r="AC973" s="236"/>
      <c r="AD973" s="236"/>
      <c r="AE973" s="236"/>
      <c r="AF973" s="236"/>
      <c r="AG973" s="236"/>
      <c r="AH973" s="236"/>
      <c r="AI973" s="236"/>
      <c r="AJ973" s="236"/>
      <c r="AK973" s="236"/>
      <c r="AL973" s="236"/>
      <c r="AM973" s="236"/>
      <c r="AN973" s="236"/>
      <c r="AO973" s="236"/>
      <c r="AP973" s="236"/>
      <c r="AQ973" s="236"/>
      <c r="AR973" s="236"/>
      <c r="AS973" s="236"/>
      <c r="AT973" s="236"/>
      <c r="AU973" s="236"/>
      <c r="AV973" s="12"/>
      <c r="AW973" s="12"/>
      <c r="AX973" s="12"/>
      <c r="AY973" s="12"/>
      <c r="AZ973" s="12"/>
      <c r="BA973" s="12"/>
      <c r="BB973" s="12"/>
    </row>
    <row r="974" spans="1:54" ht="13">
      <c r="A974" s="12"/>
      <c r="B974" s="27"/>
      <c r="C974" s="27"/>
      <c r="D974" s="407"/>
      <c r="E974" s="27"/>
      <c r="F974" s="27"/>
      <c r="G974" s="27"/>
      <c r="H974" s="408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12"/>
      <c r="AW974" s="12"/>
      <c r="AX974" s="12"/>
      <c r="AY974" s="12"/>
      <c r="AZ974" s="12"/>
      <c r="BA974" s="12"/>
      <c r="BB974" s="12"/>
    </row>
    <row r="975" spans="1:54" ht="13">
      <c r="A975" s="12"/>
      <c r="B975" s="236"/>
      <c r="C975" s="236"/>
      <c r="D975" s="405"/>
      <c r="E975" s="236"/>
      <c r="F975" s="236"/>
      <c r="G975" s="236"/>
      <c r="H975" s="406"/>
      <c r="I975" s="236"/>
      <c r="J975" s="236"/>
      <c r="K975" s="236"/>
      <c r="L975" s="236"/>
      <c r="M975" s="236"/>
      <c r="N975" s="236"/>
      <c r="O975" s="236"/>
      <c r="P975" s="236"/>
      <c r="Q975" s="236"/>
      <c r="R975" s="236"/>
      <c r="S975" s="236"/>
      <c r="T975" s="236"/>
      <c r="U975" s="236"/>
      <c r="V975" s="236"/>
      <c r="W975" s="236"/>
      <c r="X975" s="236"/>
      <c r="Y975" s="236"/>
      <c r="Z975" s="236"/>
      <c r="AA975" s="236"/>
      <c r="AB975" s="236"/>
      <c r="AC975" s="236"/>
      <c r="AD975" s="236"/>
      <c r="AE975" s="236"/>
      <c r="AF975" s="236"/>
      <c r="AG975" s="236"/>
      <c r="AH975" s="236"/>
      <c r="AI975" s="236"/>
      <c r="AJ975" s="236"/>
      <c r="AK975" s="236"/>
      <c r="AL975" s="236"/>
      <c r="AM975" s="236"/>
      <c r="AN975" s="236"/>
      <c r="AO975" s="236"/>
      <c r="AP975" s="236"/>
      <c r="AQ975" s="236"/>
      <c r="AR975" s="236"/>
      <c r="AS975" s="236"/>
      <c r="AT975" s="236"/>
      <c r="AU975" s="236"/>
      <c r="AV975" s="12"/>
      <c r="AW975" s="12"/>
      <c r="AX975" s="12"/>
      <c r="AY975" s="12"/>
      <c r="AZ975" s="12"/>
      <c r="BA975" s="12"/>
      <c r="BB975" s="12"/>
    </row>
    <row r="976" spans="1:54" ht="13">
      <c r="A976" s="12"/>
      <c r="B976" s="27"/>
      <c r="C976" s="27"/>
      <c r="D976" s="407"/>
      <c r="E976" s="27"/>
      <c r="F976" s="27"/>
      <c r="G976" s="27"/>
      <c r="H976" s="408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12"/>
      <c r="AW976" s="12"/>
      <c r="AX976" s="12"/>
      <c r="AY976" s="12"/>
      <c r="AZ976" s="12"/>
      <c r="BA976" s="12"/>
      <c r="BB976" s="12"/>
    </row>
    <row r="977" spans="1:54" ht="13">
      <c r="A977" s="12"/>
      <c r="B977" s="236"/>
      <c r="C977" s="236"/>
      <c r="D977" s="405"/>
      <c r="E977" s="236"/>
      <c r="F977" s="236"/>
      <c r="G977" s="236"/>
      <c r="H977" s="406"/>
      <c r="I977" s="236"/>
      <c r="J977" s="236"/>
      <c r="K977" s="236"/>
      <c r="L977" s="236"/>
      <c r="M977" s="236"/>
      <c r="N977" s="236"/>
      <c r="O977" s="236"/>
      <c r="P977" s="236"/>
      <c r="Q977" s="236"/>
      <c r="R977" s="236"/>
      <c r="S977" s="236"/>
      <c r="T977" s="236"/>
      <c r="U977" s="236"/>
      <c r="V977" s="236"/>
      <c r="W977" s="236"/>
      <c r="X977" s="236"/>
      <c r="Y977" s="236"/>
      <c r="Z977" s="236"/>
      <c r="AA977" s="236"/>
      <c r="AB977" s="236"/>
      <c r="AC977" s="236"/>
      <c r="AD977" s="236"/>
      <c r="AE977" s="236"/>
      <c r="AF977" s="236"/>
      <c r="AG977" s="236"/>
      <c r="AH977" s="236"/>
      <c r="AI977" s="236"/>
      <c r="AJ977" s="236"/>
      <c r="AK977" s="236"/>
      <c r="AL977" s="236"/>
      <c r="AM977" s="236"/>
      <c r="AN977" s="236"/>
      <c r="AO977" s="236"/>
      <c r="AP977" s="236"/>
      <c r="AQ977" s="236"/>
      <c r="AR977" s="236"/>
      <c r="AS977" s="236"/>
      <c r="AT977" s="236"/>
      <c r="AU977" s="236"/>
      <c r="AV977" s="12"/>
      <c r="AW977" s="12"/>
      <c r="AX977" s="12"/>
      <c r="AY977" s="12"/>
      <c r="AZ977" s="12"/>
      <c r="BA977" s="12"/>
      <c r="BB977" s="12"/>
    </row>
    <row r="978" spans="1:54" ht="13">
      <c r="A978" s="12"/>
      <c r="B978" s="27"/>
      <c r="C978" s="27"/>
      <c r="D978" s="407"/>
      <c r="E978" s="27"/>
      <c r="F978" s="27"/>
      <c r="G978" s="27"/>
      <c r="H978" s="408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12"/>
      <c r="AW978" s="12"/>
      <c r="AX978" s="12"/>
      <c r="AY978" s="12"/>
      <c r="AZ978" s="12"/>
      <c r="BA978" s="12"/>
      <c r="BB978" s="12"/>
    </row>
    <row r="979" spans="1:54" ht="13">
      <c r="A979" s="12"/>
      <c r="B979" s="236"/>
      <c r="C979" s="236"/>
      <c r="D979" s="405"/>
      <c r="E979" s="236"/>
      <c r="F979" s="236"/>
      <c r="G979" s="236"/>
      <c r="H979" s="406"/>
      <c r="I979" s="236"/>
      <c r="J979" s="236"/>
      <c r="K979" s="236"/>
      <c r="L979" s="236"/>
      <c r="M979" s="236"/>
      <c r="N979" s="236"/>
      <c r="O979" s="236"/>
      <c r="P979" s="236"/>
      <c r="Q979" s="236"/>
      <c r="R979" s="236"/>
      <c r="S979" s="236"/>
      <c r="T979" s="236"/>
      <c r="U979" s="236"/>
      <c r="V979" s="236"/>
      <c r="W979" s="236"/>
      <c r="X979" s="236"/>
      <c r="Y979" s="236"/>
      <c r="Z979" s="236"/>
      <c r="AA979" s="236"/>
      <c r="AB979" s="236"/>
      <c r="AC979" s="236"/>
      <c r="AD979" s="236"/>
      <c r="AE979" s="236"/>
      <c r="AF979" s="236"/>
      <c r="AG979" s="236"/>
      <c r="AH979" s="236"/>
      <c r="AI979" s="236"/>
      <c r="AJ979" s="236"/>
      <c r="AK979" s="236"/>
      <c r="AL979" s="236"/>
      <c r="AM979" s="236"/>
      <c r="AN979" s="236"/>
      <c r="AO979" s="236"/>
      <c r="AP979" s="236"/>
      <c r="AQ979" s="236"/>
      <c r="AR979" s="236"/>
      <c r="AS979" s="236"/>
      <c r="AT979" s="236"/>
      <c r="AU979" s="236"/>
      <c r="AV979" s="12"/>
      <c r="AW979" s="12"/>
      <c r="AX979" s="12"/>
      <c r="AY979" s="12"/>
      <c r="AZ979" s="12"/>
      <c r="BA979" s="12"/>
      <c r="BB979" s="12"/>
    </row>
    <row r="980" spans="1:54" ht="13">
      <c r="A980" s="12"/>
      <c r="B980" s="27"/>
      <c r="C980" s="27"/>
      <c r="D980" s="407"/>
      <c r="E980" s="27"/>
      <c r="F980" s="27"/>
      <c r="G980" s="27"/>
      <c r="H980" s="408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12"/>
      <c r="AW980" s="12"/>
      <c r="AX980" s="12"/>
      <c r="AY980" s="12"/>
      <c r="AZ980" s="12"/>
      <c r="BA980" s="12"/>
      <c r="BB980" s="12"/>
    </row>
    <row r="981" spans="1:54" ht="13">
      <c r="A981" s="12"/>
      <c r="B981" s="236"/>
      <c r="C981" s="236"/>
      <c r="D981" s="405"/>
      <c r="E981" s="236"/>
      <c r="F981" s="236"/>
      <c r="G981" s="236"/>
      <c r="H981" s="406"/>
      <c r="I981" s="236"/>
      <c r="J981" s="236"/>
      <c r="K981" s="236"/>
      <c r="L981" s="236"/>
      <c r="M981" s="236"/>
      <c r="N981" s="236"/>
      <c r="O981" s="236"/>
      <c r="P981" s="236"/>
      <c r="Q981" s="236"/>
      <c r="R981" s="236"/>
      <c r="S981" s="236"/>
      <c r="T981" s="236"/>
      <c r="U981" s="236"/>
      <c r="V981" s="236"/>
      <c r="W981" s="236"/>
      <c r="X981" s="236"/>
      <c r="Y981" s="236"/>
      <c r="Z981" s="236"/>
      <c r="AA981" s="236"/>
      <c r="AB981" s="236"/>
      <c r="AC981" s="236"/>
      <c r="AD981" s="236"/>
      <c r="AE981" s="236"/>
      <c r="AF981" s="236"/>
      <c r="AG981" s="236"/>
      <c r="AH981" s="236"/>
      <c r="AI981" s="236"/>
      <c r="AJ981" s="236"/>
      <c r="AK981" s="236"/>
      <c r="AL981" s="236"/>
      <c r="AM981" s="236"/>
      <c r="AN981" s="236"/>
      <c r="AO981" s="236"/>
      <c r="AP981" s="236"/>
      <c r="AQ981" s="236"/>
      <c r="AR981" s="236"/>
      <c r="AS981" s="236"/>
      <c r="AT981" s="236"/>
      <c r="AU981" s="236"/>
      <c r="AV981" s="12"/>
      <c r="AW981" s="12"/>
      <c r="AX981" s="12"/>
      <c r="AY981" s="12"/>
      <c r="AZ981" s="12"/>
      <c r="BA981" s="12"/>
      <c r="BB981" s="12"/>
    </row>
    <row r="982" spans="1:54" ht="13">
      <c r="A982" s="12"/>
      <c r="B982" s="27"/>
      <c r="C982" s="27"/>
      <c r="D982" s="407"/>
      <c r="E982" s="27"/>
      <c r="F982" s="27"/>
      <c r="G982" s="27"/>
      <c r="H982" s="408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12"/>
      <c r="AW982" s="12"/>
      <c r="AX982" s="12"/>
      <c r="AY982" s="12"/>
      <c r="AZ982" s="12"/>
      <c r="BA982" s="12"/>
      <c r="BB982" s="12"/>
    </row>
    <row r="983" spans="1:54" ht="13">
      <c r="A983" s="12"/>
      <c r="B983" s="236"/>
      <c r="C983" s="236"/>
      <c r="D983" s="405"/>
      <c r="E983" s="236"/>
      <c r="F983" s="236"/>
      <c r="G983" s="236"/>
      <c r="H983" s="406"/>
      <c r="I983" s="236"/>
      <c r="J983" s="236"/>
      <c r="K983" s="236"/>
      <c r="L983" s="236"/>
      <c r="M983" s="236"/>
      <c r="N983" s="236"/>
      <c r="O983" s="236"/>
      <c r="P983" s="236"/>
      <c r="Q983" s="236"/>
      <c r="R983" s="236"/>
      <c r="S983" s="236"/>
      <c r="T983" s="236"/>
      <c r="U983" s="236"/>
      <c r="V983" s="236"/>
      <c r="W983" s="236"/>
      <c r="X983" s="236"/>
      <c r="Y983" s="236"/>
      <c r="Z983" s="236"/>
      <c r="AA983" s="236"/>
      <c r="AB983" s="236"/>
      <c r="AC983" s="236"/>
      <c r="AD983" s="236"/>
      <c r="AE983" s="236"/>
      <c r="AF983" s="236"/>
      <c r="AG983" s="236"/>
      <c r="AH983" s="236"/>
      <c r="AI983" s="236"/>
      <c r="AJ983" s="236"/>
      <c r="AK983" s="236"/>
      <c r="AL983" s="236"/>
      <c r="AM983" s="236"/>
      <c r="AN983" s="236"/>
      <c r="AO983" s="236"/>
      <c r="AP983" s="236"/>
      <c r="AQ983" s="236"/>
      <c r="AR983" s="236"/>
      <c r="AS983" s="236"/>
      <c r="AT983" s="236"/>
      <c r="AU983" s="236"/>
      <c r="AV983" s="12"/>
      <c r="AW983" s="12"/>
      <c r="AX983" s="12"/>
      <c r="AY983" s="12"/>
      <c r="AZ983" s="12"/>
      <c r="BA983" s="12"/>
      <c r="BB983" s="12"/>
    </row>
    <row r="984" spans="1:54" ht="13">
      <c r="A984" s="12"/>
      <c r="B984" s="27"/>
      <c r="C984" s="27"/>
      <c r="D984" s="407"/>
      <c r="E984" s="27"/>
      <c r="F984" s="27"/>
      <c r="G984" s="27"/>
      <c r="H984" s="408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12"/>
      <c r="AW984" s="12"/>
      <c r="AX984" s="12"/>
      <c r="AY984" s="12"/>
      <c r="AZ984" s="12"/>
      <c r="BA984" s="12"/>
      <c r="BB984" s="12"/>
    </row>
    <row r="985" spans="1:54" ht="13">
      <c r="A985" s="12"/>
      <c r="B985" s="236"/>
      <c r="C985" s="236"/>
      <c r="D985" s="405"/>
      <c r="E985" s="236"/>
      <c r="F985" s="236"/>
      <c r="G985" s="236"/>
      <c r="H985" s="406"/>
      <c r="I985" s="236"/>
      <c r="J985" s="236"/>
      <c r="K985" s="236"/>
      <c r="L985" s="236"/>
      <c r="M985" s="236"/>
      <c r="N985" s="236"/>
      <c r="O985" s="236"/>
      <c r="P985" s="236"/>
      <c r="Q985" s="236"/>
      <c r="R985" s="236"/>
      <c r="S985" s="236"/>
      <c r="T985" s="236"/>
      <c r="U985" s="236"/>
      <c r="V985" s="236"/>
      <c r="W985" s="236"/>
      <c r="X985" s="236"/>
      <c r="Y985" s="236"/>
      <c r="Z985" s="236"/>
      <c r="AA985" s="236"/>
      <c r="AB985" s="236"/>
      <c r="AC985" s="236"/>
      <c r="AD985" s="236"/>
      <c r="AE985" s="236"/>
      <c r="AF985" s="236"/>
      <c r="AG985" s="236"/>
      <c r="AH985" s="236"/>
      <c r="AI985" s="236"/>
      <c r="AJ985" s="236"/>
      <c r="AK985" s="236"/>
      <c r="AL985" s="236"/>
      <c r="AM985" s="236"/>
      <c r="AN985" s="236"/>
      <c r="AO985" s="236"/>
      <c r="AP985" s="236"/>
      <c r="AQ985" s="236"/>
      <c r="AR985" s="236"/>
      <c r="AS985" s="236"/>
      <c r="AT985" s="236"/>
      <c r="AU985" s="236"/>
      <c r="AV985" s="12"/>
      <c r="AW985" s="12"/>
      <c r="AX985" s="12"/>
      <c r="AY985" s="12"/>
      <c r="AZ985" s="12"/>
      <c r="BA985" s="12"/>
      <c r="BB985" s="12"/>
    </row>
    <row r="986" spans="1:54" ht="13">
      <c r="A986" s="12"/>
      <c r="B986" s="27"/>
      <c r="C986" s="27"/>
      <c r="D986" s="407"/>
      <c r="E986" s="27"/>
      <c r="F986" s="27"/>
      <c r="G986" s="27"/>
      <c r="H986" s="408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12"/>
      <c r="AW986" s="12"/>
      <c r="AX986" s="12"/>
      <c r="AY986" s="12"/>
      <c r="AZ986" s="12"/>
      <c r="BA986" s="12"/>
      <c r="BB986" s="12"/>
    </row>
    <row r="987" spans="1:54" ht="13">
      <c r="A987" s="12"/>
      <c r="B987" s="236"/>
      <c r="C987" s="236"/>
      <c r="D987" s="405"/>
      <c r="E987" s="236"/>
      <c r="F987" s="236"/>
      <c r="G987" s="236"/>
      <c r="H987" s="406"/>
      <c r="I987" s="236"/>
      <c r="J987" s="236"/>
      <c r="K987" s="236"/>
      <c r="L987" s="236"/>
      <c r="M987" s="236"/>
      <c r="N987" s="236"/>
      <c r="O987" s="236"/>
      <c r="P987" s="236"/>
      <c r="Q987" s="236"/>
      <c r="R987" s="236"/>
      <c r="S987" s="236"/>
      <c r="T987" s="236"/>
      <c r="U987" s="236"/>
      <c r="V987" s="236"/>
      <c r="W987" s="236"/>
      <c r="X987" s="236"/>
      <c r="Y987" s="236"/>
      <c r="Z987" s="236"/>
      <c r="AA987" s="236"/>
      <c r="AB987" s="236"/>
      <c r="AC987" s="236"/>
      <c r="AD987" s="236"/>
      <c r="AE987" s="236"/>
      <c r="AF987" s="236"/>
      <c r="AG987" s="236"/>
      <c r="AH987" s="236"/>
      <c r="AI987" s="236"/>
      <c r="AJ987" s="236"/>
      <c r="AK987" s="236"/>
      <c r="AL987" s="236"/>
      <c r="AM987" s="236"/>
      <c r="AN987" s="236"/>
      <c r="AO987" s="236"/>
      <c r="AP987" s="236"/>
      <c r="AQ987" s="236"/>
      <c r="AR987" s="236"/>
      <c r="AS987" s="236"/>
      <c r="AT987" s="236"/>
      <c r="AU987" s="236"/>
      <c r="AV987" s="12"/>
      <c r="AW987" s="12"/>
      <c r="AX987" s="12"/>
      <c r="AY987" s="12"/>
      <c r="AZ987" s="12"/>
      <c r="BA987" s="12"/>
      <c r="BB987" s="12"/>
    </row>
    <row r="988" spans="1:54" ht="13">
      <c r="A988" s="12"/>
      <c r="B988" s="27"/>
      <c r="C988" s="27"/>
      <c r="D988" s="407"/>
      <c r="E988" s="27"/>
      <c r="F988" s="27"/>
      <c r="G988" s="27"/>
      <c r="H988" s="408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12"/>
      <c r="AW988" s="12"/>
      <c r="AX988" s="12"/>
      <c r="AY988" s="12"/>
      <c r="AZ988" s="12"/>
      <c r="BA988" s="12"/>
      <c r="BB988" s="12"/>
    </row>
    <row r="989" spans="1:54" ht="13">
      <c r="A989" s="12"/>
      <c r="B989" s="236"/>
      <c r="C989" s="236"/>
      <c r="D989" s="405"/>
      <c r="E989" s="236"/>
      <c r="F989" s="236"/>
      <c r="G989" s="236"/>
      <c r="H989" s="406"/>
      <c r="I989" s="236"/>
      <c r="J989" s="236"/>
      <c r="K989" s="236"/>
      <c r="L989" s="236"/>
      <c r="M989" s="236"/>
      <c r="N989" s="236"/>
      <c r="O989" s="236"/>
      <c r="P989" s="236"/>
      <c r="Q989" s="236"/>
      <c r="R989" s="236"/>
      <c r="S989" s="236"/>
      <c r="T989" s="236"/>
      <c r="U989" s="236"/>
      <c r="V989" s="236"/>
      <c r="W989" s="236"/>
      <c r="X989" s="236"/>
      <c r="Y989" s="236"/>
      <c r="Z989" s="236"/>
      <c r="AA989" s="236"/>
      <c r="AB989" s="236"/>
      <c r="AC989" s="236"/>
      <c r="AD989" s="236"/>
      <c r="AE989" s="236"/>
      <c r="AF989" s="236"/>
      <c r="AG989" s="236"/>
      <c r="AH989" s="236"/>
      <c r="AI989" s="236"/>
      <c r="AJ989" s="236"/>
      <c r="AK989" s="236"/>
      <c r="AL989" s="236"/>
      <c r="AM989" s="236"/>
      <c r="AN989" s="236"/>
      <c r="AO989" s="236"/>
      <c r="AP989" s="236"/>
      <c r="AQ989" s="236"/>
      <c r="AR989" s="236"/>
      <c r="AS989" s="236"/>
      <c r="AT989" s="236"/>
      <c r="AU989" s="236"/>
      <c r="AV989" s="12"/>
      <c r="AW989" s="12"/>
      <c r="AX989" s="12"/>
      <c r="AY989" s="12"/>
      <c r="AZ989" s="12"/>
      <c r="BA989" s="12"/>
      <c r="BB989" s="12"/>
    </row>
    <row r="990" spans="1:54" ht="13">
      <c r="A990" s="12"/>
      <c r="B990" s="27"/>
      <c r="C990" s="27"/>
      <c r="D990" s="407"/>
      <c r="E990" s="27"/>
      <c r="F990" s="27"/>
      <c r="G990" s="27"/>
      <c r="H990" s="408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12"/>
      <c r="AW990" s="12"/>
      <c r="AX990" s="12"/>
      <c r="AY990" s="12"/>
      <c r="AZ990" s="12"/>
      <c r="BA990" s="12"/>
      <c r="BB990" s="12"/>
    </row>
    <row r="991" spans="1:54" ht="13">
      <c r="A991" s="12"/>
      <c r="B991" s="236"/>
      <c r="C991" s="236"/>
      <c r="D991" s="405"/>
      <c r="E991" s="236"/>
      <c r="F991" s="236"/>
      <c r="G991" s="236"/>
      <c r="H991" s="406"/>
      <c r="I991" s="236"/>
      <c r="J991" s="236"/>
      <c r="K991" s="236"/>
      <c r="L991" s="236"/>
      <c r="M991" s="236"/>
      <c r="N991" s="236"/>
      <c r="O991" s="236"/>
      <c r="P991" s="236"/>
      <c r="Q991" s="236"/>
      <c r="R991" s="236"/>
      <c r="S991" s="236"/>
      <c r="T991" s="236"/>
      <c r="U991" s="236"/>
      <c r="V991" s="236"/>
      <c r="W991" s="236"/>
      <c r="X991" s="236"/>
      <c r="Y991" s="236"/>
      <c r="Z991" s="236"/>
      <c r="AA991" s="236"/>
      <c r="AB991" s="236"/>
      <c r="AC991" s="236"/>
      <c r="AD991" s="236"/>
      <c r="AE991" s="236"/>
      <c r="AF991" s="236"/>
      <c r="AG991" s="236"/>
      <c r="AH991" s="236"/>
      <c r="AI991" s="236"/>
      <c r="AJ991" s="236"/>
      <c r="AK991" s="236"/>
      <c r="AL991" s="236"/>
      <c r="AM991" s="236"/>
      <c r="AN991" s="236"/>
      <c r="AO991" s="236"/>
      <c r="AP991" s="236"/>
      <c r="AQ991" s="236"/>
      <c r="AR991" s="236"/>
      <c r="AS991" s="236"/>
      <c r="AT991" s="236"/>
      <c r="AU991" s="236"/>
      <c r="AV991" s="12"/>
      <c r="AW991" s="12"/>
      <c r="AX991" s="12"/>
      <c r="AY991" s="12"/>
      <c r="AZ991" s="12"/>
      <c r="BA991" s="12"/>
      <c r="BB991" s="12"/>
    </row>
    <row r="992" spans="1:54" ht="13">
      <c r="A992" s="12"/>
      <c r="B992" s="27"/>
      <c r="C992" s="27"/>
      <c r="D992" s="407"/>
      <c r="E992" s="27"/>
      <c r="F992" s="27"/>
      <c r="G992" s="27"/>
      <c r="H992" s="408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12"/>
      <c r="AW992" s="12"/>
      <c r="AX992" s="12"/>
      <c r="AY992" s="12"/>
      <c r="AZ992" s="12"/>
      <c r="BA992" s="12"/>
      <c r="BB992" s="12"/>
    </row>
    <row r="993" spans="1:54" ht="13">
      <c r="A993" s="12"/>
      <c r="B993" s="236"/>
      <c r="C993" s="236"/>
      <c r="D993" s="405"/>
      <c r="E993" s="236"/>
      <c r="F993" s="236"/>
      <c r="G993" s="236"/>
      <c r="H993" s="406"/>
      <c r="I993" s="236"/>
      <c r="J993" s="236"/>
      <c r="K993" s="236"/>
      <c r="L993" s="236"/>
      <c r="M993" s="236"/>
      <c r="N993" s="236"/>
      <c r="O993" s="236"/>
      <c r="P993" s="236"/>
      <c r="Q993" s="236"/>
      <c r="R993" s="236"/>
      <c r="S993" s="236"/>
      <c r="T993" s="236"/>
      <c r="U993" s="236"/>
      <c r="V993" s="236"/>
      <c r="W993" s="236"/>
      <c r="X993" s="236"/>
      <c r="Y993" s="236"/>
      <c r="Z993" s="236"/>
      <c r="AA993" s="236"/>
      <c r="AB993" s="236"/>
      <c r="AC993" s="236"/>
      <c r="AD993" s="236"/>
      <c r="AE993" s="236"/>
      <c r="AF993" s="236"/>
      <c r="AG993" s="236"/>
      <c r="AH993" s="236"/>
      <c r="AI993" s="236"/>
      <c r="AJ993" s="236"/>
      <c r="AK993" s="236"/>
      <c r="AL993" s="236"/>
      <c r="AM993" s="236"/>
      <c r="AN993" s="236"/>
      <c r="AO993" s="236"/>
      <c r="AP993" s="236"/>
      <c r="AQ993" s="236"/>
      <c r="AR993" s="236"/>
      <c r="AS993" s="236"/>
      <c r="AT993" s="236"/>
      <c r="AU993" s="236"/>
      <c r="AV993" s="12"/>
      <c r="AW993" s="12"/>
      <c r="AX993" s="12"/>
      <c r="AY993" s="12"/>
      <c r="AZ993" s="12"/>
      <c r="BA993" s="12"/>
      <c r="BB993" s="12"/>
    </row>
    <row r="994" spans="1:54" ht="13">
      <c r="A994" s="12"/>
      <c r="B994" s="27"/>
      <c r="C994" s="27"/>
      <c r="D994" s="407"/>
      <c r="E994" s="27"/>
      <c r="F994" s="27"/>
      <c r="G994" s="27"/>
      <c r="H994" s="408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12"/>
      <c r="AW994" s="12"/>
      <c r="AX994" s="12"/>
      <c r="AY994" s="12"/>
      <c r="AZ994" s="12"/>
      <c r="BA994" s="12"/>
      <c r="BB994" s="12"/>
    </row>
    <row r="995" spans="1:54" ht="13">
      <c r="A995" s="12"/>
      <c r="B995" s="236"/>
      <c r="C995" s="236"/>
      <c r="D995" s="405"/>
      <c r="E995" s="236"/>
      <c r="F995" s="236"/>
      <c r="G995" s="236"/>
      <c r="H995" s="406"/>
      <c r="I995" s="236"/>
      <c r="J995" s="236"/>
      <c r="K995" s="236"/>
      <c r="L995" s="236"/>
      <c r="M995" s="236"/>
      <c r="N995" s="236"/>
      <c r="O995" s="236"/>
      <c r="P995" s="236"/>
      <c r="Q995" s="236"/>
      <c r="R995" s="236"/>
      <c r="S995" s="236"/>
      <c r="T995" s="236"/>
      <c r="U995" s="236"/>
      <c r="V995" s="236"/>
      <c r="W995" s="236"/>
      <c r="X995" s="236"/>
      <c r="Y995" s="236"/>
      <c r="Z995" s="236"/>
      <c r="AA995" s="236"/>
      <c r="AB995" s="236"/>
      <c r="AC995" s="236"/>
      <c r="AD995" s="236"/>
      <c r="AE995" s="236"/>
      <c r="AF995" s="236"/>
      <c r="AG995" s="236"/>
      <c r="AH995" s="236"/>
      <c r="AI995" s="236"/>
      <c r="AJ995" s="236"/>
      <c r="AK995" s="236"/>
      <c r="AL995" s="236"/>
      <c r="AM995" s="236"/>
      <c r="AN995" s="236"/>
      <c r="AO995" s="236"/>
      <c r="AP995" s="236"/>
      <c r="AQ995" s="236"/>
      <c r="AR995" s="236"/>
      <c r="AS995" s="236"/>
      <c r="AT995" s="236"/>
      <c r="AU995" s="236"/>
      <c r="AV995" s="12"/>
      <c r="AW995" s="12"/>
      <c r="AX995" s="12"/>
      <c r="AY995" s="12"/>
      <c r="AZ995" s="12"/>
      <c r="BA995" s="12"/>
      <c r="BB995" s="12"/>
    </row>
    <row r="996" spans="1:54" ht="13">
      <c r="A996" s="12"/>
      <c r="B996" s="27"/>
      <c r="C996" s="27"/>
      <c r="D996" s="407"/>
      <c r="E996" s="27"/>
      <c r="F996" s="27"/>
      <c r="G996" s="27"/>
      <c r="H996" s="408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12"/>
      <c r="AW996" s="12"/>
      <c r="AX996" s="12"/>
      <c r="AY996" s="12"/>
      <c r="AZ996" s="12"/>
      <c r="BA996" s="12"/>
      <c r="BB996" s="12"/>
    </row>
    <row r="997" spans="1:54" ht="13">
      <c r="A997" s="12"/>
      <c r="B997" s="236"/>
      <c r="C997" s="236"/>
      <c r="D997" s="405"/>
      <c r="E997" s="236"/>
      <c r="F997" s="236"/>
      <c r="G997" s="236"/>
      <c r="H997" s="406"/>
      <c r="I997" s="236"/>
      <c r="J997" s="236"/>
      <c r="K997" s="236"/>
      <c r="L997" s="236"/>
      <c r="M997" s="236"/>
      <c r="N997" s="236"/>
      <c r="O997" s="236"/>
      <c r="P997" s="236"/>
      <c r="Q997" s="236"/>
      <c r="R997" s="236"/>
      <c r="S997" s="236"/>
      <c r="T997" s="236"/>
      <c r="U997" s="236"/>
      <c r="V997" s="236"/>
      <c r="W997" s="236"/>
      <c r="X997" s="236"/>
      <c r="Y997" s="236"/>
      <c r="Z997" s="236"/>
      <c r="AA997" s="236"/>
      <c r="AB997" s="236"/>
      <c r="AC997" s="236"/>
      <c r="AD997" s="236"/>
      <c r="AE997" s="236"/>
      <c r="AF997" s="236"/>
      <c r="AG997" s="236"/>
      <c r="AH997" s="236"/>
      <c r="AI997" s="236"/>
      <c r="AJ997" s="236"/>
      <c r="AK997" s="236"/>
      <c r="AL997" s="236"/>
      <c r="AM997" s="236"/>
      <c r="AN997" s="236"/>
      <c r="AO997" s="236"/>
      <c r="AP997" s="236"/>
      <c r="AQ997" s="236"/>
      <c r="AR997" s="236"/>
      <c r="AS997" s="236"/>
      <c r="AT997" s="236"/>
      <c r="AU997" s="236"/>
      <c r="AV997" s="12"/>
      <c r="AW997" s="12"/>
      <c r="AX997" s="12"/>
      <c r="AY997" s="12"/>
      <c r="AZ997" s="12"/>
      <c r="BA997" s="12"/>
      <c r="BB997" s="12"/>
    </row>
    <row r="998" spans="1:54" ht="13">
      <c r="A998" s="12"/>
      <c r="B998" s="27"/>
      <c r="C998" s="27"/>
      <c r="D998" s="407"/>
      <c r="E998" s="27"/>
      <c r="F998" s="27"/>
      <c r="G998" s="27"/>
      <c r="H998" s="408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12"/>
      <c r="AW998" s="12"/>
      <c r="AX998" s="12"/>
      <c r="AY998" s="12"/>
      <c r="AZ998" s="12"/>
      <c r="BA998" s="12"/>
      <c r="BB998" s="12"/>
    </row>
    <row r="999" spans="1:54" ht="13">
      <c r="A999" s="12"/>
      <c r="B999" s="236"/>
      <c r="C999" s="236"/>
      <c r="D999" s="405"/>
      <c r="E999" s="236"/>
      <c r="F999" s="236"/>
      <c r="G999" s="236"/>
      <c r="H999" s="406"/>
      <c r="I999" s="236"/>
      <c r="J999" s="236"/>
      <c r="K999" s="236"/>
      <c r="L999" s="236"/>
      <c r="M999" s="236"/>
      <c r="N999" s="236"/>
      <c r="O999" s="236"/>
      <c r="P999" s="236"/>
      <c r="Q999" s="236"/>
      <c r="R999" s="236"/>
      <c r="S999" s="236"/>
      <c r="T999" s="236"/>
      <c r="U999" s="236"/>
      <c r="V999" s="236"/>
      <c r="W999" s="236"/>
      <c r="X999" s="236"/>
      <c r="Y999" s="236"/>
      <c r="Z999" s="236"/>
      <c r="AA999" s="236"/>
      <c r="AB999" s="236"/>
      <c r="AC999" s="236"/>
      <c r="AD999" s="236"/>
      <c r="AE999" s="236"/>
      <c r="AF999" s="236"/>
      <c r="AG999" s="236"/>
      <c r="AH999" s="236"/>
      <c r="AI999" s="236"/>
      <c r="AJ999" s="236"/>
      <c r="AK999" s="236"/>
      <c r="AL999" s="236"/>
      <c r="AM999" s="236"/>
      <c r="AN999" s="236"/>
      <c r="AO999" s="236"/>
      <c r="AP999" s="236"/>
      <c r="AQ999" s="236"/>
      <c r="AR999" s="236"/>
      <c r="AS999" s="236"/>
      <c r="AT999" s="236"/>
      <c r="AU999" s="236"/>
      <c r="AV999" s="12"/>
      <c r="AW999" s="12"/>
      <c r="AX999" s="12"/>
      <c r="AY999" s="12"/>
      <c r="AZ999" s="12"/>
      <c r="BA999" s="12"/>
      <c r="BB999" s="12"/>
    </row>
    <row r="1000" spans="1:54" ht="13">
      <c r="A1000" s="12"/>
      <c r="B1000" s="27"/>
      <c r="C1000" s="27"/>
      <c r="D1000" s="407"/>
      <c r="E1000" s="27"/>
      <c r="F1000" s="27"/>
      <c r="G1000" s="27"/>
      <c r="H1000" s="408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12"/>
      <c r="AW1000" s="12"/>
      <c r="AX1000" s="12"/>
      <c r="AY1000" s="12"/>
      <c r="AZ1000" s="12"/>
      <c r="BA1000" s="12"/>
      <c r="BB1000" s="12"/>
    </row>
    <row r="1001" spans="1:54" ht="13">
      <c r="A1001" s="12"/>
      <c r="B1001" s="236"/>
      <c r="C1001" s="236"/>
      <c r="D1001" s="405"/>
      <c r="E1001" s="236"/>
      <c r="F1001" s="236"/>
      <c r="G1001" s="236"/>
      <c r="H1001" s="406"/>
      <c r="I1001" s="236"/>
      <c r="J1001" s="236"/>
      <c r="K1001" s="236"/>
      <c r="L1001" s="236"/>
      <c r="M1001" s="236"/>
      <c r="N1001" s="236"/>
      <c r="O1001" s="236"/>
      <c r="P1001" s="236"/>
      <c r="Q1001" s="236"/>
      <c r="R1001" s="236"/>
      <c r="S1001" s="236"/>
      <c r="T1001" s="236"/>
      <c r="U1001" s="236"/>
      <c r="V1001" s="236"/>
      <c r="W1001" s="236"/>
      <c r="X1001" s="236"/>
      <c r="Y1001" s="236"/>
      <c r="Z1001" s="236"/>
      <c r="AA1001" s="236"/>
      <c r="AB1001" s="236"/>
      <c r="AC1001" s="236"/>
      <c r="AD1001" s="236"/>
      <c r="AE1001" s="236"/>
      <c r="AF1001" s="236"/>
      <c r="AG1001" s="236"/>
      <c r="AH1001" s="236"/>
      <c r="AI1001" s="236"/>
      <c r="AJ1001" s="236"/>
      <c r="AK1001" s="236"/>
      <c r="AL1001" s="236"/>
      <c r="AM1001" s="236"/>
      <c r="AN1001" s="236"/>
      <c r="AO1001" s="236"/>
      <c r="AP1001" s="236"/>
      <c r="AQ1001" s="236"/>
      <c r="AR1001" s="236"/>
      <c r="AS1001" s="236"/>
      <c r="AT1001" s="236"/>
      <c r="AU1001" s="236"/>
      <c r="AV1001" s="12"/>
      <c r="AW1001" s="12"/>
      <c r="AX1001" s="12"/>
      <c r="AY1001" s="12"/>
      <c r="AZ1001" s="12"/>
      <c r="BA1001" s="12"/>
      <c r="BB1001" s="12"/>
    </row>
    <row r="1002" spans="1:54" ht="13">
      <c r="A1002" s="12"/>
      <c r="B1002" s="27"/>
      <c r="C1002" s="27"/>
      <c r="D1002" s="407"/>
      <c r="E1002" s="27"/>
      <c r="F1002" s="27"/>
      <c r="G1002" s="27"/>
      <c r="H1002" s="408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12"/>
      <c r="AW1002" s="12"/>
      <c r="AX1002" s="12"/>
      <c r="AY1002" s="12"/>
      <c r="AZ1002" s="12"/>
      <c r="BA1002" s="12"/>
      <c r="BB1002" s="12"/>
    </row>
    <row r="1003" spans="1:54" ht="13">
      <c r="A1003" s="12"/>
      <c r="B1003" s="236"/>
      <c r="C1003" s="236"/>
      <c r="D1003" s="405"/>
      <c r="E1003" s="236"/>
      <c r="F1003" s="236"/>
      <c r="G1003" s="236"/>
      <c r="H1003" s="406"/>
      <c r="I1003" s="236"/>
      <c r="J1003" s="236"/>
      <c r="K1003" s="236"/>
      <c r="L1003" s="236"/>
      <c r="M1003" s="236"/>
      <c r="N1003" s="236"/>
      <c r="O1003" s="236"/>
      <c r="P1003" s="236"/>
      <c r="Q1003" s="236"/>
      <c r="R1003" s="236"/>
      <c r="S1003" s="236"/>
      <c r="T1003" s="236"/>
      <c r="U1003" s="236"/>
      <c r="V1003" s="236"/>
      <c r="W1003" s="236"/>
      <c r="X1003" s="236"/>
      <c r="Y1003" s="236"/>
      <c r="Z1003" s="236"/>
      <c r="AA1003" s="236"/>
      <c r="AB1003" s="236"/>
      <c r="AC1003" s="236"/>
      <c r="AD1003" s="236"/>
      <c r="AE1003" s="236"/>
      <c r="AF1003" s="236"/>
      <c r="AG1003" s="236"/>
      <c r="AH1003" s="236"/>
      <c r="AI1003" s="236"/>
      <c r="AJ1003" s="236"/>
      <c r="AK1003" s="236"/>
      <c r="AL1003" s="236"/>
      <c r="AM1003" s="236"/>
      <c r="AN1003" s="236"/>
      <c r="AO1003" s="236"/>
      <c r="AP1003" s="236"/>
      <c r="AQ1003" s="236"/>
      <c r="AR1003" s="236"/>
      <c r="AS1003" s="236"/>
      <c r="AT1003" s="236"/>
      <c r="AU1003" s="236"/>
      <c r="AV1003" s="12"/>
      <c r="AW1003" s="12"/>
      <c r="AX1003" s="12"/>
      <c r="AY1003" s="12"/>
      <c r="AZ1003" s="12"/>
      <c r="BA1003" s="12"/>
      <c r="BB1003" s="12"/>
    </row>
    <row r="1004" spans="1:54" ht="13">
      <c r="A1004" s="12"/>
      <c r="B1004" s="27"/>
      <c r="C1004" s="27"/>
      <c r="D1004" s="407"/>
      <c r="E1004" s="27"/>
      <c r="F1004" s="27"/>
      <c r="G1004" s="27"/>
      <c r="H1004" s="408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12"/>
      <c r="AW1004" s="12"/>
      <c r="AX1004" s="12"/>
      <c r="AY1004" s="12"/>
      <c r="AZ1004" s="12"/>
      <c r="BA1004" s="12"/>
      <c r="BB1004" s="12"/>
    </row>
    <row r="1005" spans="1:54" ht="13">
      <c r="A1005" s="12"/>
      <c r="B1005" s="236"/>
      <c r="C1005" s="236"/>
      <c r="D1005" s="405"/>
      <c r="E1005" s="236"/>
      <c r="F1005" s="236"/>
      <c r="G1005" s="236"/>
      <c r="H1005" s="406"/>
      <c r="I1005" s="236"/>
      <c r="J1005" s="236"/>
      <c r="K1005" s="236"/>
      <c r="L1005" s="236"/>
      <c r="M1005" s="236"/>
      <c r="N1005" s="236"/>
      <c r="O1005" s="236"/>
      <c r="P1005" s="236"/>
      <c r="Q1005" s="236"/>
      <c r="R1005" s="236"/>
      <c r="S1005" s="236"/>
      <c r="T1005" s="236"/>
      <c r="U1005" s="236"/>
      <c r="V1005" s="236"/>
      <c r="W1005" s="236"/>
      <c r="X1005" s="236"/>
      <c r="Y1005" s="236"/>
      <c r="Z1005" s="236"/>
      <c r="AA1005" s="236"/>
      <c r="AB1005" s="236"/>
      <c r="AC1005" s="236"/>
      <c r="AD1005" s="236"/>
      <c r="AE1005" s="236"/>
      <c r="AF1005" s="236"/>
      <c r="AG1005" s="236"/>
      <c r="AH1005" s="236"/>
      <c r="AI1005" s="236"/>
      <c r="AJ1005" s="236"/>
      <c r="AK1005" s="236"/>
      <c r="AL1005" s="236"/>
      <c r="AM1005" s="236"/>
      <c r="AN1005" s="236"/>
      <c r="AO1005" s="236"/>
      <c r="AP1005" s="236"/>
      <c r="AQ1005" s="236"/>
      <c r="AR1005" s="236"/>
      <c r="AS1005" s="236"/>
      <c r="AT1005" s="236"/>
      <c r="AU1005" s="236"/>
      <c r="AV1005" s="12"/>
      <c r="AW1005" s="12"/>
      <c r="AX1005" s="12"/>
      <c r="AY1005" s="12"/>
      <c r="AZ1005" s="12"/>
      <c r="BA1005" s="12"/>
      <c r="BB1005" s="12"/>
    </row>
    <row r="1006" spans="1:54" ht="13">
      <c r="A1006" s="12"/>
      <c r="B1006" s="27"/>
      <c r="C1006" s="27"/>
      <c r="D1006" s="407"/>
      <c r="E1006" s="27"/>
      <c r="F1006" s="27"/>
      <c r="G1006" s="27"/>
      <c r="H1006" s="408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12"/>
      <c r="AW1006" s="12"/>
      <c r="AX1006" s="12"/>
      <c r="AY1006" s="12"/>
      <c r="AZ1006" s="12"/>
      <c r="BA1006" s="12"/>
      <c r="BB1006" s="12"/>
    </row>
    <row r="1007" spans="1:54" ht="13">
      <c r="A1007" s="12"/>
      <c r="B1007" s="236"/>
      <c r="C1007" s="236"/>
      <c r="D1007" s="405"/>
      <c r="E1007" s="236"/>
      <c r="F1007" s="236"/>
      <c r="G1007" s="236"/>
      <c r="H1007" s="406"/>
      <c r="I1007" s="236"/>
      <c r="J1007" s="236"/>
      <c r="K1007" s="236"/>
      <c r="L1007" s="236"/>
      <c r="M1007" s="236"/>
      <c r="N1007" s="236"/>
      <c r="O1007" s="236"/>
      <c r="P1007" s="236"/>
      <c r="Q1007" s="236"/>
      <c r="R1007" s="236"/>
      <c r="S1007" s="236"/>
      <c r="T1007" s="236"/>
      <c r="U1007" s="236"/>
      <c r="V1007" s="236"/>
      <c r="W1007" s="236"/>
      <c r="X1007" s="236"/>
      <c r="Y1007" s="236"/>
      <c r="Z1007" s="236"/>
      <c r="AA1007" s="236"/>
      <c r="AB1007" s="236"/>
      <c r="AC1007" s="236"/>
      <c r="AD1007" s="236"/>
      <c r="AE1007" s="236"/>
      <c r="AF1007" s="236"/>
      <c r="AG1007" s="236"/>
      <c r="AH1007" s="236"/>
      <c r="AI1007" s="236"/>
      <c r="AJ1007" s="236"/>
      <c r="AK1007" s="236"/>
      <c r="AL1007" s="236"/>
      <c r="AM1007" s="236"/>
      <c r="AN1007" s="236"/>
      <c r="AO1007" s="236"/>
      <c r="AP1007" s="236"/>
      <c r="AQ1007" s="236"/>
      <c r="AR1007" s="236"/>
      <c r="AS1007" s="236"/>
      <c r="AT1007" s="236"/>
      <c r="AU1007" s="236"/>
      <c r="AV1007" s="12"/>
      <c r="AW1007" s="12"/>
      <c r="AX1007" s="12"/>
      <c r="AY1007" s="12"/>
      <c r="AZ1007" s="12"/>
      <c r="BA1007" s="12"/>
      <c r="BB1007" s="12"/>
    </row>
  </sheetData>
  <autoFilter ref="B1:V254" xr:uid="{00000000-0009-0000-0000-000017000000}"/>
  <customSheetViews>
    <customSheetView guid="{D2735B29-27DD-44D8-AE34-5B2E622A73A6}" filter="1" showAutoFilter="1">
      <pageMargins left="0.7" right="0.7" top="0.75" bottom="0.75" header="0.3" footer="0.3"/>
      <autoFilter ref="F1:F1007" xr:uid="{00000000-0000-0000-0000-000000000000}">
        <filterColumn colId="0">
          <filters>
            <filter val="RF"/>
          </filters>
        </filterColumn>
      </autoFilter>
    </customSheetView>
  </customSheetViews>
  <hyperlinks>
    <hyperlink ref="A2" r:id="rId1" xr:uid="{00000000-0004-0000-1700-000000000000}"/>
    <hyperlink ref="C2" r:id="rId2" xr:uid="{00000000-0004-0000-1700-000001000000}"/>
    <hyperlink ref="D2" r:id="rId3" xr:uid="{00000000-0004-0000-1700-000002000000}"/>
    <hyperlink ref="A3" r:id="rId4" xr:uid="{00000000-0004-0000-1700-000003000000}"/>
    <hyperlink ref="C3" r:id="rId5" xr:uid="{00000000-0004-0000-1700-000004000000}"/>
    <hyperlink ref="D3" r:id="rId6" xr:uid="{00000000-0004-0000-1700-000005000000}"/>
    <hyperlink ref="A4" r:id="rId7" xr:uid="{00000000-0004-0000-1700-000006000000}"/>
    <hyperlink ref="C4" r:id="rId8" xr:uid="{00000000-0004-0000-1700-000007000000}"/>
    <hyperlink ref="D4" r:id="rId9" xr:uid="{00000000-0004-0000-1700-000008000000}"/>
    <hyperlink ref="A5" r:id="rId10" xr:uid="{00000000-0004-0000-1700-000009000000}"/>
    <hyperlink ref="C5" r:id="rId11" xr:uid="{00000000-0004-0000-1700-00000A000000}"/>
    <hyperlink ref="D5" r:id="rId12" xr:uid="{00000000-0004-0000-1700-00000B000000}"/>
    <hyperlink ref="A6" r:id="rId13" xr:uid="{00000000-0004-0000-1700-00000C000000}"/>
    <hyperlink ref="C6" r:id="rId14" xr:uid="{00000000-0004-0000-1700-00000D000000}"/>
    <hyperlink ref="D6" r:id="rId15" xr:uid="{00000000-0004-0000-1700-00000E000000}"/>
    <hyperlink ref="A7" r:id="rId16" xr:uid="{00000000-0004-0000-1700-00000F000000}"/>
    <hyperlink ref="C7" r:id="rId17" xr:uid="{00000000-0004-0000-1700-000010000000}"/>
    <hyperlink ref="D7" r:id="rId18" xr:uid="{00000000-0004-0000-1700-000011000000}"/>
    <hyperlink ref="A8" r:id="rId19" xr:uid="{00000000-0004-0000-1700-000012000000}"/>
    <hyperlink ref="C8" r:id="rId20" xr:uid="{00000000-0004-0000-1700-000013000000}"/>
    <hyperlink ref="D8" r:id="rId21" xr:uid="{00000000-0004-0000-1700-000014000000}"/>
    <hyperlink ref="A9" r:id="rId22" xr:uid="{00000000-0004-0000-1700-000015000000}"/>
    <hyperlink ref="C9" r:id="rId23" xr:uid="{00000000-0004-0000-1700-000016000000}"/>
    <hyperlink ref="D9" r:id="rId24" xr:uid="{00000000-0004-0000-1700-000017000000}"/>
    <hyperlink ref="A10" r:id="rId25" xr:uid="{00000000-0004-0000-1700-000018000000}"/>
    <hyperlink ref="C10" r:id="rId26" xr:uid="{00000000-0004-0000-1700-000019000000}"/>
    <hyperlink ref="D10" r:id="rId27" xr:uid="{00000000-0004-0000-1700-00001A000000}"/>
    <hyperlink ref="A11" r:id="rId28" xr:uid="{00000000-0004-0000-1700-00001B000000}"/>
    <hyperlink ref="C11" r:id="rId29" xr:uid="{00000000-0004-0000-1700-00001C000000}"/>
    <hyperlink ref="D11" r:id="rId30" xr:uid="{00000000-0004-0000-1700-00001D000000}"/>
    <hyperlink ref="A12" r:id="rId31" xr:uid="{00000000-0004-0000-1700-00001E000000}"/>
    <hyperlink ref="C12" r:id="rId32" xr:uid="{00000000-0004-0000-1700-00001F000000}"/>
    <hyperlink ref="D12" r:id="rId33" xr:uid="{00000000-0004-0000-1700-000020000000}"/>
    <hyperlink ref="A13" r:id="rId34" xr:uid="{00000000-0004-0000-1700-000021000000}"/>
    <hyperlink ref="C13" r:id="rId35" xr:uid="{00000000-0004-0000-1700-000022000000}"/>
    <hyperlink ref="D13" r:id="rId36" xr:uid="{00000000-0004-0000-1700-000023000000}"/>
    <hyperlink ref="A14" r:id="rId37" xr:uid="{00000000-0004-0000-1700-000024000000}"/>
    <hyperlink ref="C14" r:id="rId38" xr:uid="{00000000-0004-0000-1700-000025000000}"/>
    <hyperlink ref="D14" r:id="rId39" xr:uid="{00000000-0004-0000-1700-000026000000}"/>
    <hyperlink ref="A15" r:id="rId40" xr:uid="{00000000-0004-0000-1700-000027000000}"/>
    <hyperlink ref="C15" r:id="rId41" xr:uid="{00000000-0004-0000-1700-000028000000}"/>
    <hyperlink ref="D15" r:id="rId42" xr:uid="{00000000-0004-0000-1700-000029000000}"/>
    <hyperlink ref="A16" r:id="rId43" xr:uid="{00000000-0004-0000-1700-00002A000000}"/>
    <hyperlink ref="C16" r:id="rId44" xr:uid="{00000000-0004-0000-1700-00002B000000}"/>
    <hyperlink ref="D16" r:id="rId45" xr:uid="{00000000-0004-0000-1700-00002C000000}"/>
    <hyperlink ref="A17" r:id="rId46" xr:uid="{00000000-0004-0000-1700-00002D000000}"/>
    <hyperlink ref="C17" r:id="rId47" xr:uid="{00000000-0004-0000-1700-00002E000000}"/>
    <hyperlink ref="D17" r:id="rId48" xr:uid="{00000000-0004-0000-1700-00002F000000}"/>
    <hyperlink ref="A18" r:id="rId49" xr:uid="{00000000-0004-0000-1700-000030000000}"/>
    <hyperlink ref="C18" r:id="rId50" xr:uid="{00000000-0004-0000-1700-000031000000}"/>
    <hyperlink ref="D18" r:id="rId51" xr:uid="{00000000-0004-0000-1700-000032000000}"/>
    <hyperlink ref="A19" r:id="rId52" xr:uid="{00000000-0004-0000-1700-000033000000}"/>
    <hyperlink ref="C19" r:id="rId53" xr:uid="{00000000-0004-0000-1700-000034000000}"/>
    <hyperlink ref="D19" r:id="rId54" xr:uid="{00000000-0004-0000-1700-000035000000}"/>
    <hyperlink ref="A20" r:id="rId55" xr:uid="{00000000-0004-0000-1700-000036000000}"/>
    <hyperlink ref="C20" r:id="rId56" xr:uid="{00000000-0004-0000-1700-000037000000}"/>
    <hyperlink ref="D20" r:id="rId57" xr:uid="{00000000-0004-0000-1700-000038000000}"/>
    <hyperlink ref="A21" r:id="rId58" xr:uid="{00000000-0004-0000-1700-000039000000}"/>
    <hyperlink ref="C21" r:id="rId59" xr:uid="{00000000-0004-0000-1700-00003A000000}"/>
    <hyperlink ref="D21" r:id="rId60" xr:uid="{00000000-0004-0000-1700-00003B000000}"/>
    <hyperlink ref="A22" r:id="rId61" xr:uid="{00000000-0004-0000-1700-00003C000000}"/>
    <hyperlink ref="C22" r:id="rId62" xr:uid="{00000000-0004-0000-1700-00003D000000}"/>
    <hyperlink ref="D22" r:id="rId63" xr:uid="{00000000-0004-0000-1700-00003E000000}"/>
    <hyperlink ref="A23" r:id="rId64" xr:uid="{00000000-0004-0000-1700-00003F000000}"/>
    <hyperlink ref="C23" r:id="rId65" xr:uid="{00000000-0004-0000-1700-000040000000}"/>
    <hyperlink ref="D23" r:id="rId66" xr:uid="{00000000-0004-0000-1700-000041000000}"/>
    <hyperlink ref="A24" r:id="rId67" xr:uid="{00000000-0004-0000-1700-000042000000}"/>
    <hyperlink ref="C24" r:id="rId68" xr:uid="{00000000-0004-0000-1700-000043000000}"/>
    <hyperlink ref="D24" r:id="rId69" xr:uid="{00000000-0004-0000-1700-000044000000}"/>
    <hyperlink ref="A25" r:id="rId70" xr:uid="{00000000-0004-0000-1700-000045000000}"/>
    <hyperlink ref="C25" r:id="rId71" xr:uid="{00000000-0004-0000-1700-000046000000}"/>
    <hyperlink ref="D25" r:id="rId72" xr:uid="{00000000-0004-0000-1700-000047000000}"/>
    <hyperlink ref="A26" r:id="rId73" xr:uid="{00000000-0004-0000-1700-000048000000}"/>
    <hyperlink ref="C26" r:id="rId74" xr:uid="{00000000-0004-0000-1700-000049000000}"/>
    <hyperlink ref="D26" r:id="rId75" xr:uid="{00000000-0004-0000-1700-00004A000000}"/>
    <hyperlink ref="A27" r:id="rId76" xr:uid="{00000000-0004-0000-1700-00004B000000}"/>
    <hyperlink ref="C27" r:id="rId77" xr:uid="{00000000-0004-0000-1700-00004C000000}"/>
    <hyperlink ref="D27" r:id="rId78" xr:uid="{00000000-0004-0000-1700-00004D000000}"/>
    <hyperlink ref="A28" r:id="rId79" xr:uid="{00000000-0004-0000-1700-00004E000000}"/>
    <hyperlink ref="C28" r:id="rId80" xr:uid="{00000000-0004-0000-1700-00004F000000}"/>
    <hyperlink ref="D28" r:id="rId81" xr:uid="{00000000-0004-0000-1700-000050000000}"/>
    <hyperlink ref="A29" r:id="rId82" xr:uid="{00000000-0004-0000-1700-000051000000}"/>
    <hyperlink ref="C29" r:id="rId83" xr:uid="{00000000-0004-0000-1700-000052000000}"/>
    <hyperlink ref="D29" r:id="rId84" xr:uid="{00000000-0004-0000-1700-000053000000}"/>
    <hyperlink ref="O29" r:id="rId85" xr:uid="{00000000-0004-0000-1700-000054000000}"/>
    <hyperlink ref="A30" r:id="rId86" xr:uid="{00000000-0004-0000-1700-000055000000}"/>
    <hyperlink ref="C30" r:id="rId87" xr:uid="{00000000-0004-0000-1700-000056000000}"/>
    <hyperlink ref="D30" r:id="rId88" xr:uid="{00000000-0004-0000-1700-000057000000}"/>
    <hyperlink ref="A31" r:id="rId89" xr:uid="{00000000-0004-0000-1700-000058000000}"/>
    <hyperlink ref="C31" r:id="rId90" xr:uid="{00000000-0004-0000-1700-000059000000}"/>
    <hyperlink ref="D31" r:id="rId91" xr:uid="{00000000-0004-0000-1700-00005A000000}"/>
    <hyperlink ref="A32" r:id="rId92" xr:uid="{00000000-0004-0000-1700-00005B000000}"/>
    <hyperlink ref="C32" r:id="rId93" xr:uid="{00000000-0004-0000-1700-00005C000000}"/>
    <hyperlink ref="D32" r:id="rId94" xr:uid="{00000000-0004-0000-1700-00005D000000}"/>
    <hyperlink ref="A33" r:id="rId95" xr:uid="{00000000-0004-0000-1700-00005E000000}"/>
    <hyperlink ref="C33" r:id="rId96" xr:uid="{00000000-0004-0000-1700-00005F000000}"/>
    <hyperlink ref="D33" r:id="rId97" xr:uid="{00000000-0004-0000-1700-000060000000}"/>
    <hyperlink ref="A34" r:id="rId98" xr:uid="{00000000-0004-0000-1700-000061000000}"/>
    <hyperlink ref="C34" r:id="rId99" xr:uid="{00000000-0004-0000-1700-000062000000}"/>
    <hyperlink ref="D34" r:id="rId100" xr:uid="{00000000-0004-0000-1700-000063000000}"/>
    <hyperlink ref="A35" r:id="rId101" xr:uid="{00000000-0004-0000-1700-000064000000}"/>
    <hyperlink ref="C35" r:id="rId102" xr:uid="{00000000-0004-0000-1700-000065000000}"/>
    <hyperlink ref="D35" r:id="rId103" xr:uid="{00000000-0004-0000-1700-000066000000}"/>
    <hyperlink ref="A36" r:id="rId104" xr:uid="{00000000-0004-0000-1700-000067000000}"/>
    <hyperlink ref="C36" r:id="rId105" xr:uid="{00000000-0004-0000-1700-000068000000}"/>
    <hyperlink ref="D36" r:id="rId106" xr:uid="{00000000-0004-0000-1700-000069000000}"/>
    <hyperlink ref="A37" r:id="rId107" xr:uid="{00000000-0004-0000-1700-00006A000000}"/>
    <hyperlink ref="C37" r:id="rId108" xr:uid="{00000000-0004-0000-1700-00006B000000}"/>
    <hyperlink ref="D37" r:id="rId109" xr:uid="{00000000-0004-0000-1700-00006C000000}"/>
    <hyperlink ref="A38" r:id="rId110" xr:uid="{00000000-0004-0000-1700-00006D000000}"/>
    <hyperlink ref="C38" r:id="rId111" xr:uid="{00000000-0004-0000-1700-00006E000000}"/>
    <hyperlink ref="D38" r:id="rId112" xr:uid="{00000000-0004-0000-1700-00006F000000}"/>
    <hyperlink ref="A39" r:id="rId113" xr:uid="{00000000-0004-0000-1700-000070000000}"/>
    <hyperlink ref="C39" r:id="rId114" xr:uid="{00000000-0004-0000-1700-000071000000}"/>
    <hyperlink ref="D39" r:id="rId115" xr:uid="{00000000-0004-0000-1700-000072000000}"/>
    <hyperlink ref="A40" r:id="rId116" xr:uid="{00000000-0004-0000-1700-000073000000}"/>
    <hyperlink ref="C40" r:id="rId117" xr:uid="{00000000-0004-0000-1700-000074000000}"/>
    <hyperlink ref="D40" r:id="rId118" xr:uid="{00000000-0004-0000-1700-000075000000}"/>
    <hyperlink ref="A41" r:id="rId119" xr:uid="{00000000-0004-0000-1700-000076000000}"/>
    <hyperlink ref="C41" r:id="rId120" xr:uid="{00000000-0004-0000-1700-000077000000}"/>
    <hyperlink ref="D41" r:id="rId121" xr:uid="{00000000-0004-0000-1700-000078000000}"/>
    <hyperlink ref="A42" r:id="rId122" xr:uid="{00000000-0004-0000-1700-000079000000}"/>
    <hyperlink ref="C42" r:id="rId123" xr:uid="{00000000-0004-0000-1700-00007A000000}"/>
    <hyperlink ref="D42" r:id="rId124" xr:uid="{00000000-0004-0000-1700-00007B000000}"/>
    <hyperlink ref="A43" r:id="rId125" xr:uid="{00000000-0004-0000-1700-00007C000000}"/>
    <hyperlink ref="C43" r:id="rId126" xr:uid="{00000000-0004-0000-1700-00007D000000}"/>
    <hyperlink ref="D43" r:id="rId127" xr:uid="{00000000-0004-0000-1700-00007E000000}"/>
    <hyperlink ref="A44" r:id="rId128" xr:uid="{00000000-0004-0000-1700-00007F000000}"/>
    <hyperlink ref="C44" r:id="rId129" xr:uid="{00000000-0004-0000-1700-000080000000}"/>
    <hyperlink ref="D44" r:id="rId130" xr:uid="{00000000-0004-0000-1700-000081000000}"/>
    <hyperlink ref="A45" r:id="rId131" xr:uid="{00000000-0004-0000-1700-000082000000}"/>
    <hyperlink ref="C45" r:id="rId132" xr:uid="{00000000-0004-0000-1700-000083000000}"/>
    <hyperlink ref="D45" r:id="rId133" xr:uid="{00000000-0004-0000-1700-000084000000}"/>
    <hyperlink ref="A46" r:id="rId134" xr:uid="{00000000-0004-0000-1700-000085000000}"/>
    <hyperlink ref="C46" r:id="rId135" xr:uid="{00000000-0004-0000-1700-000086000000}"/>
    <hyperlink ref="D46" r:id="rId136" xr:uid="{00000000-0004-0000-1700-000087000000}"/>
    <hyperlink ref="A47" r:id="rId137" xr:uid="{00000000-0004-0000-1700-000088000000}"/>
    <hyperlink ref="C47" r:id="rId138" xr:uid="{00000000-0004-0000-1700-000089000000}"/>
    <hyperlink ref="D47" r:id="rId139" xr:uid="{00000000-0004-0000-1700-00008A000000}"/>
    <hyperlink ref="A48" r:id="rId140" xr:uid="{00000000-0004-0000-1700-00008B000000}"/>
    <hyperlink ref="C48" r:id="rId141" xr:uid="{00000000-0004-0000-1700-00008C000000}"/>
    <hyperlink ref="D48" r:id="rId142" xr:uid="{00000000-0004-0000-1700-00008D000000}"/>
    <hyperlink ref="A49" r:id="rId143" xr:uid="{00000000-0004-0000-1700-00008E000000}"/>
    <hyperlink ref="C49" r:id="rId144" xr:uid="{00000000-0004-0000-1700-00008F000000}"/>
    <hyperlink ref="D49" r:id="rId145" xr:uid="{00000000-0004-0000-1700-000090000000}"/>
    <hyperlink ref="A50" r:id="rId146" xr:uid="{00000000-0004-0000-1700-000091000000}"/>
    <hyperlink ref="C50" r:id="rId147" xr:uid="{00000000-0004-0000-1700-000092000000}"/>
    <hyperlink ref="D50" r:id="rId148" xr:uid="{00000000-0004-0000-1700-000093000000}"/>
    <hyperlink ref="A51" r:id="rId149" xr:uid="{00000000-0004-0000-1700-000094000000}"/>
    <hyperlink ref="C51" r:id="rId150" xr:uid="{00000000-0004-0000-1700-000095000000}"/>
    <hyperlink ref="D51" r:id="rId151" xr:uid="{00000000-0004-0000-1700-000096000000}"/>
    <hyperlink ref="A52" r:id="rId152" xr:uid="{00000000-0004-0000-1700-000097000000}"/>
    <hyperlink ref="C52" r:id="rId153" xr:uid="{00000000-0004-0000-1700-000098000000}"/>
    <hyperlink ref="D52" r:id="rId154" xr:uid="{00000000-0004-0000-1700-000099000000}"/>
    <hyperlink ref="A53" r:id="rId155" xr:uid="{00000000-0004-0000-1700-00009A000000}"/>
    <hyperlink ref="C53" r:id="rId156" xr:uid="{00000000-0004-0000-1700-00009B000000}"/>
    <hyperlink ref="D53" r:id="rId157" xr:uid="{00000000-0004-0000-1700-00009C000000}"/>
    <hyperlink ref="A54" r:id="rId158" xr:uid="{00000000-0004-0000-1700-00009D000000}"/>
    <hyperlink ref="C54" r:id="rId159" xr:uid="{00000000-0004-0000-1700-00009E000000}"/>
    <hyperlink ref="D54" r:id="rId160" xr:uid="{00000000-0004-0000-1700-00009F000000}"/>
    <hyperlink ref="A55" r:id="rId161" xr:uid="{00000000-0004-0000-1700-0000A0000000}"/>
    <hyperlink ref="C55" r:id="rId162" xr:uid="{00000000-0004-0000-1700-0000A1000000}"/>
    <hyperlink ref="D55" r:id="rId163" xr:uid="{00000000-0004-0000-1700-0000A2000000}"/>
    <hyperlink ref="A56" r:id="rId164" xr:uid="{00000000-0004-0000-1700-0000A3000000}"/>
    <hyperlink ref="C56" r:id="rId165" xr:uid="{00000000-0004-0000-1700-0000A4000000}"/>
    <hyperlink ref="D56" r:id="rId166" xr:uid="{00000000-0004-0000-1700-0000A5000000}"/>
    <hyperlink ref="A57" r:id="rId167" xr:uid="{00000000-0004-0000-1700-0000A6000000}"/>
    <hyperlink ref="C57" r:id="rId168" xr:uid="{00000000-0004-0000-1700-0000A7000000}"/>
    <hyperlink ref="D57" r:id="rId169" xr:uid="{00000000-0004-0000-1700-0000A8000000}"/>
    <hyperlink ref="A58" r:id="rId170" xr:uid="{00000000-0004-0000-1700-0000A9000000}"/>
    <hyperlink ref="C58" r:id="rId171" xr:uid="{00000000-0004-0000-1700-0000AA000000}"/>
    <hyperlink ref="D58" r:id="rId172" xr:uid="{00000000-0004-0000-1700-0000AB000000}"/>
    <hyperlink ref="A59" r:id="rId173" xr:uid="{00000000-0004-0000-1700-0000AC000000}"/>
    <hyperlink ref="C59" r:id="rId174" xr:uid="{00000000-0004-0000-1700-0000AD000000}"/>
    <hyperlink ref="D59" r:id="rId175" xr:uid="{00000000-0004-0000-1700-0000AE000000}"/>
    <hyperlink ref="A60" r:id="rId176" xr:uid="{00000000-0004-0000-1700-0000AF000000}"/>
    <hyperlink ref="C60" r:id="rId177" xr:uid="{00000000-0004-0000-1700-0000B0000000}"/>
    <hyperlink ref="D60" r:id="rId178" xr:uid="{00000000-0004-0000-1700-0000B1000000}"/>
    <hyperlink ref="A61" r:id="rId179" xr:uid="{00000000-0004-0000-1700-0000B2000000}"/>
    <hyperlink ref="C61" r:id="rId180" xr:uid="{00000000-0004-0000-1700-0000B3000000}"/>
    <hyperlink ref="D61" r:id="rId181" xr:uid="{00000000-0004-0000-1700-0000B4000000}"/>
    <hyperlink ref="A62" r:id="rId182" xr:uid="{00000000-0004-0000-1700-0000B5000000}"/>
    <hyperlink ref="C62" r:id="rId183" xr:uid="{00000000-0004-0000-1700-0000B6000000}"/>
    <hyperlink ref="D62" r:id="rId184" xr:uid="{00000000-0004-0000-1700-0000B7000000}"/>
    <hyperlink ref="A63" r:id="rId185" xr:uid="{00000000-0004-0000-1700-0000B8000000}"/>
    <hyperlink ref="C63" r:id="rId186" xr:uid="{00000000-0004-0000-1700-0000B9000000}"/>
    <hyperlink ref="D63" r:id="rId187" xr:uid="{00000000-0004-0000-1700-0000BA000000}"/>
    <hyperlink ref="A64" r:id="rId188" xr:uid="{00000000-0004-0000-1700-0000BB000000}"/>
    <hyperlink ref="C64" r:id="rId189" xr:uid="{00000000-0004-0000-1700-0000BC000000}"/>
    <hyperlink ref="D64" r:id="rId190" xr:uid="{00000000-0004-0000-1700-0000BD000000}"/>
    <hyperlink ref="A65" r:id="rId191" xr:uid="{00000000-0004-0000-1700-0000BE000000}"/>
    <hyperlink ref="C65" r:id="rId192" xr:uid="{00000000-0004-0000-1700-0000BF000000}"/>
    <hyperlink ref="D65" r:id="rId193" xr:uid="{00000000-0004-0000-1700-0000C0000000}"/>
    <hyperlink ref="A66" r:id="rId194" xr:uid="{00000000-0004-0000-1700-0000C1000000}"/>
    <hyperlink ref="C66" r:id="rId195" xr:uid="{00000000-0004-0000-1700-0000C2000000}"/>
    <hyperlink ref="D66" r:id="rId196" xr:uid="{00000000-0004-0000-1700-0000C3000000}"/>
    <hyperlink ref="A67" r:id="rId197" xr:uid="{00000000-0004-0000-1700-0000C4000000}"/>
    <hyperlink ref="C67" r:id="rId198" xr:uid="{00000000-0004-0000-1700-0000C5000000}"/>
    <hyperlink ref="D67" r:id="rId199" xr:uid="{00000000-0004-0000-1700-0000C6000000}"/>
    <hyperlink ref="A68" r:id="rId200" xr:uid="{00000000-0004-0000-1700-0000C7000000}"/>
    <hyperlink ref="C68" r:id="rId201" xr:uid="{00000000-0004-0000-1700-0000C8000000}"/>
    <hyperlink ref="D68" r:id="rId202" xr:uid="{00000000-0004-0000-1700-0000C9000000}"/>
    <hyperlink ref="A69" r:id="rId203" xr:uid="{00000000-0004-0000-1700-0000CA000000}"/>
    <hyperlink ref="C69" r:id="rId204" xr:uid="{00000000-0004-0000-1700-0000CB000000}"/>
    <hyperlink ref="D69" r:id="rId205" xr:uid="{00000000-0004-0000-1700-0000CC000000}"/>
    <hyperlink ref="A70" r:id="rId206" xr:uid="{00000000-0004-0000-1700-0000CD000000}"/>
    <hyperlink ref="C70" r:id="rId207" xr:uid="{00000000-0004-0000-1700-0000CE000000}"/>
    <hyperlink ref="D70" r:id="rId208" xr:uid="{00000000-0004-0000-1700-0000CF000000}"/>
    <hyperlink ref="A71" r:id="rId209" xr:uid="{00000000-0004-0000-1700-0000D0000000}"/>
    <hyperlink ref="C71" r:id="rId210" xr:uid="{00000000-0004-0000-1700-0000D1000000}"/>
    <hyperlink ref="D71" r:id="rId211" xr:uid="{00000000-0004-0000-1700-0000D2000000}"/>
    <hyperlink ref="A72" r:id="rId212" location="entry32489" xr:uid="{00000000-0004-0000-1700-0000D3000000}"/>
    <hyperlink ref="C72" r:id="rId213" xr:uid="{00000000-0004-0000-1700-0000D4000000}"/>
    <hyperlink ref="D72" r:id="rId214" xr:uid="{00000000-0004-0000-1700-0000D5000000}"/>
    <hyperlink ref="A73" r:id="rId215" xr:uid="{00000000-0004-0000-1700-0000D6000000}"/>
    <hyperlink ref="C73" r:id="rId216" xr:uid="{00000000-0004-0000-1700-0000D7000000}"/>
    <hyperlink ref="D73" r:id="rId217" xr:uid="{00000000-0004-0000-1700-0000D8000000}"/>
    <hyperlink ref="A74" r:id="rId218" xr:uid="{00000000-0004-0000-1700-0000D9000000}"/>
    <hyperlink ref="C74" r:id="rId219" xr:uid="{00000000-0004-0000-1700-0000DA000000}"/>
    <hyperlink ref="D74" r:id="rId220" xr:uid="{00000000-0004-0000-1700-0000DB000000}"/>
    <hyperlink ref="A75" r:id="rId221" xr:uid="{00000000-0004-0000-1700-0000DC000000}"/>
    <hyperlink ref="C75" r:id="rId222" xr:uid="{00000000-0004-0000-1700-0000DD000000}"/>
    <hyperlink ref="D75" r:id="rId223" xr:uid="{00000000-0004-0000-1700-0000DE000000}"/>
    <hyperlink ref="A76" r:id="rId224" xr:uid="{00000000-0004-0000-1700-0000DF000000}"/>
    <hyperlink ref="C76" r:id="rId225" xr:uid="{00000000-0004-0000-1700-0000E0000000}"/>
    <hyperlink ref="D76" r:id="rId226" xr:uid="{00000000-0004-0000-1700-0000E1000000}"/>
    <hyperlink ref="A77" r:id="rId227" xr:uid="{00000000-0004-0000-1700-0000E2000000}"/>
    <hyperlink ref="C77" r:id="rId228" xr:uid="{00000000-0004-0000-1700-0000E3000000}"/>
    <hyperlink ref="D77" r:id="rId229" xr:uid="{00000000-0004-0000-1700-0000E4000000}"/>
    <hyperlink ref="A78" r:id="rId230" xr:uid="{00000000-0004-0000-1700-0000E5000000}"/>
    <hyperlink ref="C78" r:id="rId231" xr:uid="{00000000-0004-0000-1700-0000E6000000}"/>
    <hyperlink ref="D78" r:id="rId232" xr:uid="{00000000-0004-0000-1700-0000E7000000}"/>
    <hyperlink ref="A79" r:id="rId233" xr:uid="{00000000-0004-0000-1700-0000E8000000}"/>
    <hyperlink ref="C79" r:id="rId234" xr:uid="{00000000-0004-0000-1700-0000E9000000}"/>
    <hyperlink ref="D79" r:id="rId235" xr:uid="{00000000-0004-0000-1700-0000EA000000}"/>
    <hyperlink ref="A80" r:id="rId236" xr:uid="{00000000-0004-0000-1700-0000EB000000}"/>
    <hyperlink ref="C80" r:id="rId237" xr:uid="{00000000-0004-0000-1700-0000EC000000}"/>
    <hyperlink ref="D80" r:id="rId238" xr:uid="{00000000-0004-0000-1700-0000ED000000}"/>
    <hyperlink ref="A81" r:id="rId239" xr:uid="{00000000-0004-0000-1700-0000EE000000}"/>
    <hyperlink ref="C81" r:id="rId240" xr:uid="{00000000-0004-0000-1700-0000EF000000}"/>
    <hyperlink ref="D81" r:id="rId241" xr:uid="{00000000-0004-0000-1700-0000F0000000}"/>
    <hyperlink ref="A82" r:id="rId242" xr:uid="{00000000-0004-0000-1700-0000F1000000}"/>
    <hyperlink ref="C82" r:id="rId243" xr:uid="{00000000-0004-0000-1700-0000F2000000}"/>
    <hyperlink ref="D82" r:id="rId244" xr:uid="{00000000-0004-0000-1700-0000F3000000}"/>
    <hyperlink ref="A83" r:id="rId245" xr:uid="{00000000-0004-0000-1700-0000F4000000}"/>
    <hyperlink ref="C83" r:id="rId246" xr:uid="{00000000-0004-0000-1700-0000F5000000}"/>
    <hyperlink ref="D83" r:id="rId247" xr:uid="{00000000-0004-0000-1700-0000F6000000}"/>
    <hyperlink ref="A84" r:id="rId248" xr:uid="{00000000-0004-0000-1700-0000F7000000}"/>
    <hyperlink ref="C84" r:id="rId249" xr:uid="{00000000-0004-0000-1700-0000F8000000}"/>
    <hyperlink ref="D84" r:id="rId250" xr:uid="{00000000-0004-0000-1700-0000F9000000}"/>
    <hyperlink ref="A85" r:id="rId251" xr:uid="{00000000-0004-0000-1700-0000FA000000}"/>
    <hyperlink ref="C85" r:id="rId252" xr:uid="{00000000-0004-0000-1700-0000FB000000}"/>
    <hyperlink ref="D85" r:id="rId253" xr:uid="{00000000-0004-0000-1700-0000FC000000}"/>
    <hyperlink ref="A86" r:id="rId254" xr:uid="{00000000-0004-0000-1700-0000FD000000}"/>
    <hyperlink ref="C86" r:id="rId255" xr:uid="{00000000-0004-0000-1700-0000FE000000}"/>
    <hyperlink ref="D86" r:id="rId256" xr:uid="{00000000-0004-0000-1700-0000FF000000}"/>
    <hyperlink ref="A87" r:id="rId257" xr:uid="{00000000-0004-0000-1700-000000010000}"/>
    <hyperlink ref="C87" r:id="rId258" xr:uid="{00000000-0004-0000-1700-000001010000}"/>
    <hyperlink ref="D87" r:id="rId259" xr:uid="{00000000-0004-0000-1700-000002010000}"/>
    <hyperlink ref="A88" r:id="rId260" xr:uid="{00000000-0004-0000-1700-000003010000}"/>
    <hyperlink ref="C88" r:id="rId261" xr:uid="{00000000-0004-0000-1700-000004010000}"/>
    <hyperlink ref="D88" r:id="rId262" xr:uid="{00000000-0004-0000-1700-000005010000}"/>
    <hyperlink ref="A89" r:id="rId263" xr:uid="{00000000-0004-0000-1700-000006010000}"/>
    <hyperlink ref="C89" r:id="rId264" xr:uid="{00000000-0004-0000-1700-000007010000}"/>
    <hyperlink ref="D89" r:id="rId265" xr:uid="{00000000-0004-0000-1700-000008010000}"/>
    <hyperlink ref="A90" r:id="rId266" xr:uid="{00000000-0004-0000-1700-000009010000}"/>
    <hyperlink ref="C90" r:id="rId267" xr:uid="{00000000-0004-0000-1700-00000A010000}"/>
    <hyperlink ref="D90" r:id="rId268" xr:uid="{00000000-0004-0000-1700-00000B010000}"/>
    <hyperlink ref="A91" r:id="rId269" xr:uid="{00000000-0004-0000-1700-00000C010000}"/>
    <hyperlink ref="C91" r:id="rId270" xr:uid="{00000000-0004-0000-1700-00000D010000}"/>
    <hyperlink ref="D91" r:id="rId271" xr:uid="{00000000-0004-0000-1700-00000E010000}"/>
    <hyperlink ref="A92" r:id="rId272" xr:uid="{00000000-0004-0000-1700-00000F010000}"/>
    <hyperlink ref="C92" r:id="rId273" xr:uid="{00000000-0004-0000-1700-000010010000}"/>
    <hyperlink ref="D92" r:id="rId274" xr:uid="{00000000-0004-0000-1700-000011010000}"/>
    <hyperlink ref="A93" r:id="rId275" xr:uid="{00000000-0004-0000-1700-000012010000}"/>
    <hyperlink ref="C93" r:id="rId276" xr:uid="{00000000-0004-0000-1700-000013010000}"/>
    <hyperlink ref="D93" r:id="rId277" xr:uid="{00000000-0004-0000-1700-000014010000}"/>
    <hyperlink ref="A94" r:id="rId278" xr:uid="{00000000-0004-0000-1700-000015010000}"/>
    <hyperlink ref="C94" r:id="rId279" xr:uid="{00000000-0004-0000-1700-000016010000}"/>
    <hyperlink ref="D94" r:id="rId280" xr:uid="{00000000-0004-0000-1700-000017010000}"/>
    <hyperlink ref="A95" r:id="rId281" xr:uid="{00000000-0004-0000-1700-000018010000}"/>
    <hyperlink ref="C95" r:id="rId282" xr:uid="{00000000-0004-0000-1700-000019010000}"/>
    <hyperlink ref="D95" r:id="rId283" xr:uid="{00000000-0004-0000-1700-00001A010000}"/>
    <hyperlink ref="A96" r:id="rId284" xr:uid="{00000000-0004-0000-1700-00001B010000}"/>
    <hyperlink ref="C96" r:id="rId285" xr:uid="{00000000-0004-0000-1700-00001C010000}"/>
    <hyperlink ref="D96" r:id="rId286" xr:uid="{00000000-0004-0000-1700-00001D010000}"/>
    <hyperlink ref="A97" r:id="rId287" xr:uid="{00000000-0004-0000-1700-00001E010000}"/>
    <hyperlink ref="C97" r:id="rId288" xr:uid="{00000000-0004-0000-1700-00001F010000}"/>
    <hyperlink ref="D97" r:id="rId289" xr:uid="{00000000-0004-0000-1700-000020010000}"/>
    <hyperlink ref="A98" r:id="rId290" xr:uid="{00000000-0004-0000-1700-000021010000}"/>
    <hyperlink ref="C98" r:id="rId291" xr:uid="{00000000-0004-0000-1700-000022010000}"/>
    <hyperlink ref="D98" r:id="rId292" xr:uid="{00000000-0004-0000-1700-000023010000}"/>
    <hyperlink ref="A99" r:id="rId293" xr:uid="{00000000-0004-0000-1700-000024010000}"/>
    <hyperlink ref="C99" r:id="rId294" xr:uid="{00000000-0004-0000-1700-000025010000}"/>
    <hyperlink ref="D99" r:id="rId295" xr:uid="{00000000-0004-0000-1700-000026010000}"/>
    <hyperlink ref="A100" r:id="rId296" xr:uid="{00000000-0004-0000-1700-000027010000}"/>
    <hyperlink ref="C100" r:id="rId297" xr:uid="{00000000-0004-0000-1700-000028010000}"/>
    <hyperlink ref="D100" r:id="rId298" xr:uid="{00000000-0004-0000-1700-000029010000}"/>
    <hyperlink ref="A101" r:id="rId299" xr:uid="{00000000-0004-0000-1700-00002A010000}"/>
    <hyperlink ref="C101" r:id="rId300" xr:uid="{00000000-0004-0000-1700-00002B010000}"/>
    <hyperlink ref="D101" r:id="rId301" xr:uid="{00000000-0004-0000-1700-00002C010000}"/>
    <hyperlink ref="A102" r:id="rId302" xr:uid="{00000000-0004-0000-1700-00002D010000}"/>
    <hyperlink ref="C102" r:id="rId303" xr:uid="{00000000-0004-0000-1700-00002E010000}"/>
    <hyperlink ref="D102" r:id="rId304" xr:uid="{00000000-0004-0000-1700-00002F010000}"/>
    <hyperlink ref="A103" r:id="rId305" xr:uid="{00000000-0004-0000-1700-000030010000}"/>
    <hyperlink ref="C103" r:id="rId306" xr:uid="{00000000-0004-0000-1700-000031010000}"/>
    <hyperlink ref="D103" r:id="rId307" xr:uid="{00000000-0004-0000-1700-000032010000}"/>
    <hyperlink ref="A104" r:id="rId308" xr:uid="{00000000-0004-0000-1700-000033010000}"/>
    <hyperlink ref="C104" r:id="rId309" xr:uid="{00000000-0004-0000-1700-000034010000}"/>
    <hyperlink ref="D104" r:id="rId310" xr:uid="{00000000-0004-0000-1700-000035010000}"/>
    <hyperlink ref="A105" r:id="rId311" xr:uid="{00000000-0004-0000-1700-000036010000}"/>
    <hyperlink ref="C105" r:id="rId312" xr:uid="{00000000-0004-0000-1700-000037010000}"/>
    <hyperlink ref="D105" r:id="rId313" xr:uid="{00000000-0004-0000-1700-000038010000}"/>
    <hyperlink ref="A106" r:id="rId314" xr:uid="{00000000-0004-0000-1700-000039010000}"/>
    <hyperlink ref="C106" r:id="rId315" xr:uid="{00000000-0004-0000-1700-00003A010000}"/>
    <hyperlink ref="D106" r:id="rId316" xr:uid="{00000000-0004-0000-1700-00003B010000}"/>
    <hyperlink ref="A107" r:id="rId317" xr:uid="{00000000-0004-0000-1700-00003C010000}"/>
    <hyperlink ref="C107" r:id="rId318" xr:uid="{00000000-0004-0000-1700-00003D010000}"/>
    <hyperlink ref="D107" r:id="rId319" xr:uid="{00000000-0004-0000-1700-00003E010000}"/>
    <hyperlink ref="A108" r:id="rId320" xr:uid="{00000000-0004-0000-1700-00003F010000}"/>
    <hyperlink ref="C108" r:id="rId321" xr:uid="{00000000-0004-0000-1700-000040010000}"/>
    <hyperlink ref="D108" r:id="rId322" xr:uid="{00000000-0004-0000-1700-000041010000}"/>
    <hyperlink ref="A109" r:id="rId323" xr:uid="{00000000-0004-0000-1700-000042010000}"/>
    <hyperlink ref="C109" r:id="rId324" xr:uid="{00000000-0004-0000-1700-000043010000}"/>
    <hyperlink ref="D109" r:id="rId325" xr:uid="{00000000-0004-0000-1700-000044010000}"/>
    <hyperlink ref="A110" r:id="rId326" xr:uid="{00000000-0004-0000-1700-000045010000}"/>
    <hyperlink ref="C110" r:id="rId327" xr:uid="{00000000-0004-0000-1700-000046010000}"/>
    <hyperlink ref="D110" r:id="rId328" xr:uid="{00000000-0004-0000-1700-000047010000}"/>
    <hyperlink ref="A111" r:id="rId329" xr:uid="{00000000-0004-0000-1700-000048010000}"/>
    <hyperlink ref="C111" r:id="rId330" xr:uid="{00000000-0004-0000-1700-000049010000}"/>
    <hyperlink ref="D111" r:id="rId331" xr:uid="{00000000-0004-0000-1700-00004A010000}"/>
    <hyperlink ref="A112" r:id="rId332" xr:uid="{00000000-0004-0000-1700-00004B010000}"/>
    <hyperlink ref="C112" r:id="rId333" xr:uid="{00000000-0004-0000-1700-00004C010000}"/>
    <hyperlink ref="D112" r:id="rId334" xr:uid="{00000000-0004-0000-1700-00004D010000}"/>
    <hyperlink ref="A113" r:id="rId335" xr:uid="{00000000-0004-0000-1700-00004E010000}"/>
    <hyperlink ref="C113" r:id="rId336" xr:uid="{00000000-0004-0000-1700-00004F010000}"/>
    <hyperlink ref="D113" r:id="rId337" xr:uid="{00000000-0004-0000-1700-000050010000}"/>
    <hyperlink ref="A114" r:id="rId338" xr:uid="{00000000-0004-0000-1700-000051010000}"/>
    <hyperlink ref="C114" r:id="rId339" xr:uid="{00000000-0004-0000-1700-000052010000}"/>
    <hyperlink ref="D114" r:id="rId340" xr:uid="{00000000-0004-0000-1700-000053010000}"/>
    <hyperlink ref="A115" r:id="rId341" xr:uid="{00000000-0004-0000-1700-000054010000}"/>
    <hyperlink ref="C115" r:id="rId342" xr:uid="{00000000-0004-0000-1700-000055010000}"/>
    <hyperlink ref="D115" r:id="rId343" xr:uid="{00000000-0004-0000-1700-000056010000}"/>
    <hyperlink ref="A116" r:id="rId344" xr:uid="{00000000-0004-0000-1700-000057010000}"/>
    <hyperlink ref="C116" r:id="rId345" xr:uid="{00000000-0004-0000-1700-000058010000}"/>
    <hyperlink ref="D116" r:id="rId346" xr:uid="{00000000-0004-0000-1700-000059010000}"/>
    <hyperlink ref="A117" r:id="rId347" xr:uid="{00000000-0004-0000-1700-00005A010000}"/>
    <hyperlink ref="C117" r:id="rId348" xr:uid="{00000000-0004-0000-1700-00005B010000}"/>
    <hyperlink ref="D117" r:id="rId349" xr:uid="{00000000-0004-0000-1700-00005C010000}"/>
    <hyperlink ref="A118" r:id="rId350" xr:uid="{00000000-0004-0000-1700-00005D010000}"/>
    <hyperlink ref="A119" r:id="rId351" xr:uid="{00000000-0004-0000-1700-00005E010000}"/>
    <hyperlink ref="C119" r:id="rId352" xr:uid="{00000000-0004-0000-1700-00005F010000}"/>
    <hyperlink ref="D119" r:id="rId353" xr:uid="{00000000-0004-0000-1700-000060010000}"/>
    <hyperlink ref="A120" r:id="rId354" xr:uid="{00000000-0004-0000-1700-000061010000}"/>
    <hyperlink ref="C120" r:id="rId355" xr:uid="{00000000-0004-0000-1700-000062010000}"/>
    <hyperlink ref="D120" r:id="rId356" xr:uid="{00000000-0004-0000-1700-000063010000}"/>
    <hyperlink ref="A121" r:id="rId357" xr:uid="{00000000-0004-0000-1700-000064010000}"/>
    <hyperlink ref="C121" r:id="rId358" xr:uid="{00000000-0004-0000-1700-000065010000}"/>
    <hyperlink ref="A122" r:id="rId359" xr:uid="{00000000-0004-0000-1700-000066010000}"/>
    <hyperlink ref="C122" r:id="rId360" xr:uid="{00000000-0004-0000-1700-000067010000}"/>
    <hyperlink ref="D122" r:id="rId361" xr:uid="{00000000-0004-0000-1700-000068010000}"/>
    <hyperlink ref="A123" r:id="rId362" xr:uid="{00000000-0004-0000-1700-000069010000}"/>
    <hyperlink ref="C123" r:id="rId363" xr:uid="{00000000-0004-0000-1700-00006A010000}"/>
    <hyperlink ref="D123" r:id="rId364" xr:uid="{00000000-0004-0000-1700-00006B010000}"/>
    <hyperlink ref="A124" r:id="rId365" xr:uid="{00000000-0004-0000-1700-00006C010000}"/>
    <hyperlink ref="C124" r:id="rId366" xr:uid="{00000000-0004-0000-1700-00006D010000}"/>
    <hyperlink ref="D124" r:id="rId367" xr:uid="{00000000-0004-0000-1700-00006E010000}"/>
    <hyperlink ref="A125" r:id="rId368" xr:uid="{00000000-0004-0000-1700-00006F010000}"/>
    <hyperlink ref="C125" r:id="rId369" xr:uid="{00000000-0004-0000-1700-000070010000}"/>
    <hyperlink ref="D125" r:id="rId370" xr:uid="{00000000-0004-0000-1700-000071010000}"/>
    <hyperlink ref="A126" r:id="rId371" xr:uid="{00000000-0004-0000-1700-000072010000}"/>
    <hyperlink ref="C126" r:id="rId372" xr:uid="{00000000-0004-0000-1700-000073010000}"/>
    <hyperlink ref="D126" r:id="rId373" xr:uid="{00000000-0004-0000-1700-000074010000}"/>
    <hyperlink ref="A127" r:id="rId374" xr:uid="{00000000-0004-0000-1700-000075010000}"/>
    <hyperlink ref="C127" r:id="rId375" xr:uid="{00000000-0004-0000-1700-000076010000}"/>
    <hyperlink ref="D127" r:id="rId376" xr:uid="{00000000-0004-0000-1700-000077010000}"/>
    <hyperlink ref="A128" r:id="rId377" xr:uid="{00000000-0004-0000-1700-000078010000}"/>
    <hyperlink ref="C128" r:id="rId378" xr:uid="{00000000-0004-0000-1700-000079010000}"/>
    <hyperlink ref="D128" r:id="rId379" xr:uid="{00000000-0004-0000-1700-00007A010000}"/>
    <hyperlink ref="A129" r:id="rId380" location="entry32473" xr:uid="{00000000-0004-0000-1700-00007B010000}"/>
    <hyperlink ref="C129" r:id="rId381" xr:uid="{00000000-0004-0000-1700-00007C010000}"/>
    <hyperlink ref="D129" r:id="rId382" xr:uid="{00000000-0004-0000-1700-00007D010000}"/>
    <hyperlink ref="A130" r:id="rId383" xr:uid="{00000000-0004-0000-1700-00007E010000}"/>
    <hyperlink ref="C130" r:id="rId384" xr:uid="{00000000-0004-0000-1700-00007F010000}"/>
    <hyperlink ref="A131" r:id="rId385" xr:uid="{00000000-0004-0000-1700-000080010000}"/>
    <hyperlink ref="C131" r:id="rId386" xr:uid="{00000000-0004-0000-1700-000081010000}"/>
    <hyperlink ref="D131" r:id="rId387" xr:uid="{00000000-0004-0000-1700-000082010000}"/>
    <hyperlink ref="A132" r:id="rId388" xr:uid="{00000000-0004-0000-1700-000083010000}"/>
    <hyperlink ref="C132" r:id="rId389" xr:uid="{00000000-0004-0000-1700-000084010000}"/>
    <hyperlink ref="D132" r:id="rId390" xr:uid="{00000000-0004-0000-1700-000085010000}"/>
    <hyperlink ref="A133" r:id="rId391" xr:uid="{00000000-0004-0000-1700-000086010000}"/>
    <hyperlink ref="C133" r:id="rId392" display="http://probaseballexperience.jcink.net/index.php?showuser=5" xr:uid="{00000000-0004-0000-1700-000087010000}"/>
    <hyperlink ref="D133" r:id="rId393" xr:uid="{00000000-0004-0000-1700-000088010000}"/>
    <hyperlink ref="A134" r:id="rId394" xr:uid="{00000000-0004-0000-1700-000089010000}"/>
    <hyperlink ref="C134" r:id="rId395" xr:uid="{00000000-0004-0000-1700-00008A010000}"/>
    <hyperlink ref="D134" r:id="rId396" xr:uid="{00000000-0004-0000-1700-00008B010000}"/>
    <hyperlink ref="A135" r:id="rId397" xr:uid="{00000000-0004-0000-1700-00008C010000}"/>
    <hyperlink ref="C135" r:id="rId398" xr:uid="{00000000-0004-0000-1700-00008D010000}"/>
    <hyperlink ref="D135" r:id="rId399" xr:uid="{00000000-0004-0000-1700-00008E010000}"/>
    <hyperlink ref="A136" r:id="rId400" xr:uid="{00000000-0004-0000-1700-00008F010000}"/>
    <hyperlink ref="C136" r:id="rId401" xr:uid="{00000000-0004-0000-1700-000090010000}"/>
    <hyperlink ref="D136" r:id="rId402" xr:uid="{00000000-0004-0000-1700-000091010000}"/>
    <hyperlink ref="A137" r:id="rId403" xr:uid="{00000000-0004-0000-1700-000092010000}"/>
    <hyperlink ref="C137" r:id="rId404" xr:uid="{00000000-0004-0000-1700-000093010000}"/>
    <hyperlink ref="D137" r:id="rId405" xr:uid="{00000000-0004-0000-1700-000094010000}"/>
    <hyperlink ref="A138" r:id="rId406" xr:uid="{00000000-0004-0000-1700-000095010000}"/>
    <hyperlink ref="C138" r:id="rId407" xr:uid="{00000000-0004-0000-1700-000096010000}"/>
    <hyperlink ref="D138" r:id="rId408" xr:uid="{00000000-0004-0000-1700-000097010000}"/>
    <hyperlink ref="A139" r:id="rId409" xr:uid="{00000000-0004-0000-1700-000098010000}"/>
    <hyperlink ref="C139" r:id="rId410" xr:uid="{00000000-0004-0000-1700-000099010000}"/>
    <hyperlink ref="D139" r:id="rId411" xr:uid="{00000000-0004-0000-1700-00009A010000}"/>
    <hyperlink ref="A140" r:id="rId412" xr:uid="{00000000-0004-0000-1700-00009B010000}"/>
    <hyperlink ref="C140" r:id="rId413" xr:uid="{00000000-0004-0000-1700-00009C010000}"/>
    <hyperlink ref="D140" r:id="rId414" xr:uid="{00000000-0004-0000-1700-00009D010000}"/>
    <hyperlink ref="A141" r:id="rId415" xr:uid="{00000000-0004-0000-1700-00009E010000}"/>
    <hyperlink ref="C141" r:id="rId416" xr:uid="{00000000-0004-0000-1700-00009F010000}"/>
    <hyperlink ref="D141" r:id="rId417" xr:uid="{00000000-0004-0000-1700-0000A0010000}"/>
    <hyperlink ref="A142" r:id="rId418" xr:uid="{00000000-0004-0000-1700-0000A1010000}"/>
    <hyperlink ref="C142" r:id="rId419" xr:uid="{00000000-0004-0000-1700-0000A2010000}"/>
    <hyperlink ref="D142" r:id="rId420" xr:uid="{00000000-0004-0000-1700-0000A3010000}"/>
    <hyperlink ref="A143" r:id="rId421" xr:uid="{00000000-0004-0000-1700-0000A4010000}"/>
    <hyperlink ref="C143" r:id="rId422" xr:uid="{00000000-0004-0000-1700-0000A5010000}"/>
    <hyperlink ref="D143" r:id="rId423" xr:uid="{00000000-0004-0000-1700-0000A6010000}"/>
    <hyperlink ref="A144" r:id="rId424" xr:uid="{00000000-0004-0000-1700-0000A7010000}"/>
    <hyperlink ref="C144" r:id="rId425" xr:uid="{00000000-0004-0000-1700-0000A8010000}"/>
    <hyperlink ref="D144" r:id="rId426" xr:uid="{00000000-0004-0000-1700-0000A9010000}"/>
    <hyperlink ref="A145" r:id="rId427" xr:uid="{00000000-0004-0000-1700-0000AA010000}"/>
    <hyperlink ref="C145" r:id="rId428" xr:uid="{00000000-0004-0000-1700-0000AB010000}"/>
    <hyperlink ref="A146" r:id="rId429" xr:uid="{00000000-0004-0000-1700-0000AC010000}"/>
    <hyperlink ref="C146" r:id="rId430" xr:uid="{00000000-0004-0000-1700-0000AD010000}"/>
    <hyperlink ref="D146" r:id="rId431" xr:uid="{00000000-0004-0000-1700-0000AE010000}"/>
    <hyperlink ref="A147" r:id="rId432" xr:uid="{00000000-0004-0000-1700-0000AF010000}"/>
    <hyperlink ref="C147" r:id="rId433" xr:uid="{00000000-0004-0000-1700-0000B0010000}"/>
    <hyperlink ref="D147" r:id="rId434" xr:uid="{00000000-0004-0000-1700-0000B1010000}"/>
    <hyperlink ref="A148" r:id="rId435" xr:uid="{00000000-0004-0000-1700-0000B2010000}"/>
    <hyperlink ref="C148" r:id="rId436" xr:uid="{00000000-0004-0000-1700-0000B3010000}"/>
    <hyperlink ref="D148" r:id="rId437" xr:uid="{00000000-0004-0000-1700-0000B4010000}"/>
    <hyperlink ref="A149" r:id="rId438" xr:uid="{00000000-0004-0000-1700-0000B5010000}"/>
    <hyperlink ref="C149" r:id="rId439" xr:uid="{00000000-0004-0000-1700-0000B6010000}"/>
    <hyperlink ref="D149" r:id="rId440" xr:uid="{00000000-0004-0000-1700-0000B7010000}"/>
    <hyperlink ref="A150" r:id="rId441" xr:uid="{00000000-0004-0000-1700-0000B8010000}"/>
    <hyperlink ref="C150" r:id="rId442" xr:uid="{00000000-0004-0000-1700-0000B9010000}"/>
    <hyperlink ref="D150" r:id="rId443" xr:uid="{00000000-0004-0000-1700-0000BA010000}"/>
    <hyperlink ref="A151" r:id="rId444" xr:uid="{00000000-0004-0000-1700-0000BB010000}"/>
    <hyperlink ref="C151" r:id="rId445" xr:uid="{00000000-0004-0000-1700-0000BC010000}"/>
    <hyperlink ref="D151" r:id="rId446" xr:uid="{00000000-0004-0000-1700-0000BD010000}"/>
    <hyperlink ref="A152" r:id="rId447" xr:uid="{00000000-0004-0000-1700-0000BE010000}"/>
    <hyperlink ref="C152" r:id="rId448" xr:uid="{00000000-0004-0000-1700-0000BF010000}"/>
    <hyperlink ref="D152" r:id="rId449" xr:uid="{00000000-0004-0000-1700-0000C0010000}"/>
    <hyperlink ref="A153" r:id="rId450" xr:uid="{00000000-0004-0000-1700-0000C1010000}"/>
    <hyperlink ref="C153" r:id="rId451" xr:uid="{00000000-0004-0000-1700-0000C2010000}"/>
    <hyperlink ref="D153" r:id="rId452" xr:uid="{00000000-0004-0000-1700-0000C3010000}"/>
    <hyperlink ref="A154" r:id="rId453" xr:uid="{00000000-0004-0000-1700-0000C4010000}"/>
    <hyperlink ref="C154" r:id="rId454" xr:uid="{00000000-0004-0000-1700-0000C5010000}"/>
    <hyperlink ref="D154" r:id="rId455" xr:uid="{00000000-0004-0000-1700-0000C6010000}"/>
    <hyperlink ref="A155" r:id="rId456" xr:uid="{00000000-0004-0000-1700-0000C7010000}"/>
    <hyperlink ref="C155" r:id="rId457" xr:uid="{00000000-0004-0000-1700-0000C8010000}"/>
    <hyperlink ref="D155" r:id="rId458" xr:uid="{00000000-0004-0000-1700-0000C9010000}"/>
    <hyperlink ref="A156" r:id="rId459" xr:uid="{00000000-0004-0000-1700-0000CA010000}"/>
    <hyperlink ref="C156" r:id="rId460" xr:uid="{00000000-0004-0000-1700-0000CB010000}"/>
    <hyperlink ref="D156" r:id="rId461" xr:uid="{00000000-0004-0000-1700-0000CC010000}"/>
    <hyperlink ref="A157" r:id="rId462" xr:uid="{00000000-0004-0000-1700-0000CD010000}"/>
    <hyperlink ref="C157" r:id="rId463" xr:uid="{00000000-0004-0000-1700-0000CE010000}"/>
    <hyperlink ref="D157" r:id="rId464" xr:uid="{00000000-0004-0000-1700-0000CF010000}"/>
    <hyperlink ref="A158" r:id="rId465" xr:uid="{00000000-0004-0000-1700-0000D0010000}"/>
    <hyperlink ref="C158" r:id="rId466" xr:uid="{00000000-0004-0000-1700-0000D1010000}"/>
    <hyperlink ref="D158" r:id="rId467" xr:uid="{00000000-0004-0000-1700-0000D2010000}"/>
    <hyperlink ref="A159" r:id="rId468" xr:uid="{00000000-0004-0000-1700-0000D3010000}"/>
    <hyperlink ref="C159" r:id="rId469" xr:uid="{00000000-0004-0000-1700-0000D4010000}"/>
    <hyperlink ref="D159" r:id="rId470" xr:uid="{00000000-0004-0000-1700-0000D5010000}"/>
    <hyperlink ref="A160" r:id="rId471" xr:uid="{00000000-0004-0000-1700-0000D6010000}"/>
    <hyperlink ref="C160" r:id="rId472" xr:uid="{00000000-0004-0000-1700-0000D7010000}"/>
    <hyperlink ref="D160" r:id="rId473" xr:uid="{00000000-0004-0000-1700-0000D8010000}"/>
    <hyperlink ref="A161" r:id="rId474" xr:uid="{00000000-0004-0000-1700-0000D9010000}"/>
    <hyperlink ref="C161" r:id="rId475" xr:uid="{00000000-0004-0000-1700-0000DA010000}"/>
    <hyperlink ref="D161" r:id="rId476" xr:uid="{00000000-0004-0000-1700-0000DB010000}"/>
    <hyperlink ref="A162" r:id="rId477" xr:uid="{00000000-0004-0000-1700-0000DC010000}"/>
    <hyperlink ref="C162" r:id="rId478" xr:uid="{00000000-0004-0000-1700-0000DD010000}"/>
    <hyperlink ref="D162" r:id="rId479" xr:uid="{00000000-0004-0000-1700-0000DE010000}"/>
    <hyperlink ref="A163" r:id="rId480" xr:uid="{00000000-0004-0000-1700-0000DF010000}"/>
    <hyperlink ref="C163" r:id="rId481" xr:uid="{00000000-0004-0000-1700-0000E0010000}"/>
    <hyperlink ref="D163" r:id="rId482" xr:uid="{00000000-0004-0000-1700-0000E1010000}"/>
    <hyperlink ref="A164" r:id="rId483" xr:uid="{00000000-0004-0000-1700-0000E2010000}"/>
    <hyperlink ref="C164" r:id="rId484" xr:uid="{00000000-0004-0000-1700-0000E3010000}"/>
    <hyperlink ref="D164" r:id="rId485" xr:uid="{00000000-0004-0000-1700-0000E4010000}"/>
    <hyperlink ref="A165" r:id="rId486" xr:uid="{00000000-0004-0000-1700-0000E5010000}"/>
    <hyperlink ref="C165" r:id="rId487" xr:uid="{00000000-0004-0000-1700-0000E6010000}"/>
    <hyperlink ref="D165" r:id="rId488" xr:uid="{00000000-0004-0000-1700-0000E7010000}"/>
    <hyperlink ref="A166" r:id="rId489" xr:uid="{00000000-0004-0000-1700-0000E8010000}"/>
    <hyperlink ref="C166" r:id="rId490" xr:uid="{00000000-0004-0000-1700-0000E9010000}"/>
    <hyperlink ref="D166" r:id="rId491" xr:uid="{00000000-0004-0000-1700-0000EA010000}"/>
    <hyperlink ref="A167" r:id="rId492" xr:uid="{00000000-0004-0000-1700-0000EB010000}"/>
    <hyperlink ref="C167" r:id="rId493" xr:uid="{00000000-0004-0000-1700-0000EC010000}"/>
    <hyperlink ref="D167" r:id="rId494" xr:uid="{00000000-0004-0000-1700-0000ED010000}"/>
    <hyperlink ref="A168" r:id="rId495" xr:uid="{00000000-0004-0000-1700-0000EE010000}"/>
    <hyperlink ref="C168" r:id="rId496" xr:uid="{00000000-0004-0000-1700-0000EF010000}"/>
    <hyperlink ref="D168" r:id="rId497" xr:uid="{00000000-0004-0000-1700-0000F0010000}"/>
    <hyperlink ref="A169" r:id="rId498" xr:uid="{00000000-0004-0000-1700-0000F1010000}"/>
    <hyperlink ref="C169" r:id="rId499" xr:uid="{00000000-0004-0000-1700-0000F2010000}"/>
    <hyperlink ref="D169" r:id="rId500" xr:uid="{00000000-0004-0000-1700-0000F3010000}"/>
    <hyperlink ref="A170" r:id="rId501" xr:uid="{00000000-0004-0000-1700-0000F4010000}"/>
    <hyperlink ref="C170" r:id="rId502" xr:uid="{00000000-0004-0000-1700-0000F5010000}"/>
    <hyperlink ref="D170" r:id="rId503" xr:uid="{00000000-0004-0000-1700-0000F6010000}"/>
    <hyperlink ref="A171" r:id="rId504" xr:uid="{00000000-0004-0000-1700-0000F7010000}"/>
    <hyperlink ref="C171" r:id="rId505" xr:uid="{00000000-0004-0000-1700-0000F8010000}"/>
    <hyperlink ref="D171" r:id="rId506" xr:uid="{00000000-0004-0000-1700-0000F9010000}"/>
    <hyperlink ref="A172" r:id="rId507" xr:uid="{00000000-0004-0000-1700-0000FA010000}"/>
    <hyperlink ref="C172" r:id="rId508" xr:uid="{00000000-0004-0000-1700-0000FB010000}"/>
    <hyperlink ref="D172" r:id="rId509" xr:uid="{00000000-0004-0000-1700-0000FC010000}"/>
    <hyperlink ref="A173" r:id="rId510" xr:uid="{00000000-0004-0000-1700-0000FD010000}"/>
    <hyperlink ref="C173" r:id="rId511" xr:uid="{00000000-0004-0000-1700-0000FE010000}"/>
    <hyperlink ref="D173" r:id="rId512" xr:uid="{00000000-0004-0000-1700-0000FF010000}"/>
    <hyperlink ref="A174" r:id="rId513" xr:uid="{00000000-0004-0000-1700-000000020000}"/>
    <hyperlink ref="C174" r:id="rId514" xr:uid="{00000000-0004-0000-1700-000001020000}"/>
    <hyperlink ref="D174" r:id="rId515" xr:uid="{00000000-0004-0000-1700-000002020000}"/>
    <hyperlink ref="A175" r:id="rId516" xr:uid="{00000000-0004-0000-1700-000003020000}"/>
    <hyperlink ref="C175" r:id="rId517" xr:uid="{00000000-0004-0000-1700-000004020000}"/>
    <hyperlink ref="D175" r:id="rId518" xr:uid="{00000000-0004-0000-1700-000005020000}"/>
    <hyperlink ref="A176" r:id="rId519" xr:uid="{00000000-0004-0000-1700-000006020000}"/>
    <hyperlink ref="C176" r:id="rId520" xr:uid="{00000000-0004-0000-1700-000007020000}"/>
    <hyperlink ref="D176" r:id="rId521" xr:uid="{00000000-0004-0000-1700-000008020000}"/>
    <hyperlink ref="A177" r:id="rId522" xr:uid="{00000000-0004-0000-1700-000009020000}"/>
    <hyperlink ref="C177" r:id="rId523" xr:uid="{00000000-0004-0000-1700-00000A020000}"/>
    <hyperlink ref="D177" r:id="rId524" xr:uid="{00000000-0004-0000-1700-00000B020000}"/>
    <hyperlink ref="A178" r:id="rId525" xr:uid="{00000000-0004-0000-1700-00000C020000}"/>
    <hyperlink ref="C178" r:id="rId526" xr:uid="{00000000-0004-0000-1700-00000D020000}"/>
    <hyperlink ref="D178" r:id="rId527" xr:uid="{00000000-0004-0000-1700-00000E020000}"/>
    <hyperlink ref="A179" r:id="rId528" xr:uid="{00000000-0004-0000-1700-00000F020000}"/>
    <hyperlink ref="C179" r:id="rId529" xr:uid="{00000000-0004-0000-1700-000010020000}"/>
    <hyperlink ref="D179" r:id="rId530" xr:uid="{00000000-0004-0000-1700-000011020000}"/>
    <hyperlink ref="A180" r:id="rId531" xr:uid="{00000000-0004-0000-1700-000012020000}"/>
    <hyperlink ref="C180" r:id="rId532" xr:uid="{00000000-0004-0000-1700-000013020000}"/>
    <hyperlink ref="D180" r:id="rId533" xr:uid="{00000000-0004-0000-1700-000014020000}"/>
    <hyperlink ref="A181" r:id="rId534" xr:uid="{00000000-0004-0000-1700-000015020000}"/>
    <hyperlink ref="C181" r:id="rId535" xr:uid="{00000000-0004-0000-1700-000016020000}"/>
    <hyperlink ref="D181" r:id="rId536" xr:uid="{00000000-0004-0000-1700-000017020000}"/>
    <hyperlink ref="A182" r:id="rId537" xr:uid="{00000000-0004-0000-1700-000018020000}"/>
    <hyperlink ref="C182" r:id="rId538" xr:uid="{00000000-0004-0000-1700-000019020000}"/>
    <hyperlink ref="D182" r:id="rId539" xr:uid="{00000000-0004-0000-1700-00001A020000}"/>
    <hyperlink ref="A183" r:id="rId540" xr:uid="{00000000-0004-0000-1700-00001B020000}"/>
    <hyperlink ref="C183" r:id="rId541" xr:uid="{00000000-0004-0000-1700-00001C020000}"/>
    <hyperlink ref="D183" r:id="rId542" xr:uid="{00000000-0004-0000-1700-00001D020000}"/>
    <hyperlink ref="A184" r:id="rId543" xr:uid="{00000000-0004-0000-1700-00001E020000}"/>
    <hyperlink ref="C184" r:id="rId544" xr:uid="{00000000-0004-0000-1700-00001F020000}"/>
    <hyperlink ref="D184" r:id="rId545" xr:uid="{00000000-0004-0000-1700-000020020000}"/>
    <hyperlink ref="A185" r:id="rId546" xr:uid="{00000000-0004-0000-1700-000021020000}"/>
    <hyperlink ref="C185" r:id="rId547" xr:uid="{00000000-0004-0000-1700-000022020000}"/>
    <hyperlink ref="D185" r:id="rId548" xr:uid="{00000000-0004-0000-1700-000023020000}"/>
    <hyperlink ref="A186" r:id="rId549" xr:uid="{00000000-0004-0000-1700-000024020000}"/>
    <hyperlink ref="C186" r:id="rId550" xr:uid="{00000000-0004-0000-1700-000025020000}"/>
    <hyperlink ref="D186" r:id="rId551" xr:uid="{00000000-0004-0000-1700-000026020000}"/>
    <hyperlink ref="A187" r:id="rId552" xr:uid="{00000000-0004-0000-1700-000027020000}"/>
    <hyperlink ref="C187" r:id="rId553" xr:uid="{00000000-0004-0000-1700-000028020000}"/>
    <hyperlink ref="D187" r:id="rId554" xr:uid="{00000000-0004-0000-1700-000029020000}"/>
    <hyperlink ref="A188" r:id="rId555" xr:uid="{00000000-0004-0000-1700-00002A020000}"/>
    <hyperlink ref="C188" r:id="rId556" xr:uid="{00000000-0004-0000-1700-00002B020000}"/>
    <hyperlink ref="D188" r:id="rId557" xr:uid="{00000000-0004-0000-1700-00002C020000}"/>
    <hyperlink ref="A189" r:id="rId558" xr:uid="{00000000-0004-0000-1700-00002D020000}"/>
    <hyperlink ref="C189" r:id="rId559" xr:uid="{00000000-0004-0000-1700-00002E020000}"/>
    <hyperlink ref="D189" r:id="rId560" xr:uid="{00000000-0004-0000-1700-00002F020000}"/>
    <hyperlink ref="A190" r:id="rId561" xr:uid="{00000000-0004-0000-1700-000030020000}"/>
    <hyperlink ref="C190" r:id="rId562" xr:uid="{00000000-0004-0000-1700-000031020000}"/>
    <hyperlink ref="D190" r:id="rId563" xr:uid="{00000000-0004-0000-1700-000032020000}"/>
    <hyperlink ref="A191" r:id="rId564" xr:uid="{00000000-0004-0000-1700-000033020000}"/>
    <hyperlink ref="C191" r:id="rId565" xr:uid="{00000000-0004-0000-1700-000034020000}"/>
    <hyperlink ref="D191" r:id="rId566" xr:uid="{00000000-0004-0000-1700-000035020000}"/>
    <hyperlink ref="A192" r:id="rId567" xr:uid="{00000000-0004-0000-1700-000036020000}"/>
    <hyperlink ref="C192" r:id="rId568" xr:uid="{00000000-0004-0000-1700-000037020000}"/>
    <hyperlink ref="D192" r:id="rId569" xr:uid="{00000000-0004-0000-1700-000038020000}"/>
    <hyperlink ref="A193" r:id="rId570" xr:uid="{00000000-0004-0000-1700-000039020000}"/>
    <hyperlink ref="C193" r:id="rId571" xr:uid="{00000000-0004-0000-1700-00003A020000}"/>
    <hyperlink ref="D193" r:id="rId572" xr:uid="{00000000-0004-0000-1700-00003B020000}"/>
    <hyperlink ref="A194" r:id="rId573" xr:uid="{00000000-0004-0000-1700-00003C020000}"/>
    <hyperlink ref="C194" r:id="rId574" xr:uid="{00000000-0004-0000-1700-00003D020000}"/>
    <hyperlink ref="D194" r:id="rId575" xr:uid="{00000000-0004-0000-1700-00003E020000}"/>
    <hyperlink ref="A195" r:id="rId576" xr:uid="{00000000-0004-0000-1700-00003F020000}"/>
    <hyperlink ref="C195" r:id="rId577" xr:uid="{00000000-0004-0000-1700-000040020000}"/>
    <hyperlink ref="D195" r:id="rId578" xr:uid="{00000000-0004-0000-1700-000041020000}"/>
    <hyperlink ref="A196" r:id="rId579" xr:uid="{00000000-0004-0000-1700-000042020000}"/>
    <hyperlink ref="C196" r:id="rId580" xr:uid="{00000000-0004-0000-1700-000043020000}"/>
    <hyperlink ref="D196" r:id="rId581" xr:uid="{00000000-0004-0000-1700-000044020000}"/>
    <hyperlink ref="A197" r:id="rId582" xr:uid="{00000000-0004-0000-1700-000045020000}"/>
    <hyperlink ref="C197" r:id="rId583" xr:uid="{00000000-0004-0000-1700-000046020000}"/>
    <hyperlink ref="D197" r:id="rId584" xr:uid="{00000000-0004-0000-1700-000047020000}"/>
    <hyperlink ref="A198" r:id="rId585" xr:uid="{00000000-0004-0000-1700-000048020000}"/>
    <hyperlink ref="C198" r:id="rId586" xr:uid="{00000000-0004-0000-1700-000049020000}"/>
    <hyperlink ref="D198" r:id="rId587" xr:uid="{00000000-0004-0000-1700-00004A020000}"/>
    <hyperlink ref="A199" r:id="rId588" xr:uid="{00000000-0004-0000-1700-00004B020000}"/>
    <hyperlink ref="C199" r:id="rId589" xr:uid="{00000000-0004-0000-1700-00004C020000}"/>
    <hyperlink ref="D199" r:id="rId590" xr:uid="{00000000-0004-0000-1700-00004D020000}"/>
    <hyperlink ref="A200" r:id="rId591" xr:uid="{00000000-0004-0000-1700-00004E020000}"/>
    <hyperlink ref="C200" r:id="rId592" xr:uid="{00000000-0004-0000-1700-00004F020000}"/>
    <hyperlink ref="D200" r:id="rId593" xr:uid="{00000000-0004-0000-1700-000050020000}"/>
    <hyperlink ref="A201" r:id="rId594" xr:uid="{00000000-0004-0000-1700-000051020000}"/>
    <hyperlink ref="C201" r:id="rId595" xr:uid="{00000000-0004-0000-1700-000052020000}"/>
    <hyperlink ref="D201" r:id="rId596" xr:uid="{00000000-0004-0000-1700-000053020000}"/>
    <hyperlink ref="A202" r:id="rId597" xr:uid="{00000000-0004-0000-1700-000054020000}"/>
    <hyperlink ref="C202" r:id="rId598" xr:uid="{00000000-0004-0000-1700-000055020000}"/>
    <hyperlink ref="D202" r:id="rId599" xr:uid="{00000000-0004-0000-1700-000056020000}"/>
    <hyperlink ref="A203" r:id="rId600" xr:uid="{00000000-0004-0000-1700-000057020000}"/>
    <hyperlink ref="C203" r:id="rId601" xr:uid="{00000000-0004-0000-1700-000058020000}"/>
    <hyperlink ref="A204" r:id="rId602" xr:uid="{00000000-0004-0000-1700-000059020000}"/>
    <hyperlink ref="C204" r:id="rId603" xr:uid="{00000000-0004-0000-1700-00005A020000}"/>
    <hyperlink ref="D204" r:id="rId604" xr:uid="{00000000-0004-0000-1700-00005B020000}"/>
    <hyperlink ref="A205" r:id="rId605" xr:uid="{00000000-0004-0000-1700-00005C020000}"/>
    <hyperlink ref="C205" r:id="rId606" xr:uid="{00000000-0004-0000-1700-00005D020000}"/>
    <hyperlink ref="D205" r:id="rId607" xr:uid="{00000000-0004-0000-1700-00005E020000}"/>
    <hyperlink ref="A206" r:id="rId608" xr:uid="{00000000-0004-0000-1700-00005F020000}"/>
    <hyperlink ref="C206" r:id="rId609" xr:uid="{00000000-0004-0000-1700-000060020000}"/>
    <hyperlink ref="D206" r:id="rId610" xr:uid="{00000000-0004-0000-1700-000061020000}"/>
    <hyperlink ref="A207" r:id="rId611" xr:uid="{00000000-0004-0000-1700-000062020000}"/>
    <hyperlink ref="C207" r:id="rId612" xr:uid="{00000000-0004-0000-1700-000063020000}"/>
    <hyperlink ref="D207" r:id="rId613" xr:uid="{00000000-0004-0000-1700-000064020000}"/>
    <hyperlink ref="A208" r:id="rId614" xr:uid="{00000000-0004-0000-1700-000065020000}"/>
    <hyperlink ref="C208" r:id="rId615" xr:uid="{00000000-0004-0000-1700-000066020000}"/>
    <hyperlink ref="D208" r:id="rId616" xr:uid="{00000000-0004-0000-1700-000067020000}"/>
    <hyperlink ref="A209" r:id="rId617" xr:uid="{00000000-0004-0000-1700-000068020000}"/>
    <hyperlink ref="C209" r:id="rId618" xr:uid="{00000000-0004-0000-1700-000069020000}"/>
    <hyperlink ref="D209" r:id="rId619" xr:uid="{00000000-0004-0000-1700-00006A020000}"/>
    <hyperlink ref="A210" r:id="rId620" xr:uid="{00000000-0004-0000-1700-00006B020000}"/>
    <hyperlink ref="C210" r:id="rId621" xr:uid="{00000000-0004-0000-1700-00006C020000}"/>
    <hyperlink ref="D210" r:id="rId622" xr:uid="{00000000-0004-0000-1700-00006D020000}"/>
    <hyperlink ref="A211" r:id="rId623" xr:uid="{00000000-0004-0000-1700-00006E020000}"/>
    <hyperlink ref="C211" r:id="rId624" xr:uid="{00000000-0004-0000-1700-00006F020000}"/>
    <hyperlink ref="D211" r:id="rId625" xr:uid="{00000000-0004-0000-1700-000070020000}"/>
    <hyperlink ref="A212" r:id="rId626" xr:uid="{00000000-0004-0000-1700-000071020000}"/>
    <hyperlink ref="C212" r:id="rId627" xr:uid="{00000000-0004-0000-1700-000072020000}"/>
    <hyperlink ref="D212" r:id="rId628" xr:uid="{00000000-0004-0000-1700-000073020000}"/>
    <hyperlink ref="A213" r:id="rId629" xr:uid="{00000000-0004-0000-1700-000074020000}"/>
    <hyperlink ref="C213" r:id="rId630" xr:uid="{00000000-0004-0000-1700-000075020000}"/>
    <hyperlink ref="D213" r:id="rId631" xr:uid="{00000000-0004-0000-1700-000076020000}"/>
    <hyperlink ref="A214" r:id="rId632" xr:uid="{00000000-0004-0000-1700-000077020000}"/>
    <hyperlink ref="C214" r:id="rId633" xr:uid="{00000000-0004-0000-1700-000078020000}"/>
    <hyperlink ref="D214" r:id="rId634" xr:uid="{00000000-0004-0000-1700-000079020000}"/>
    <hyperlink ref="A215" r:id="rId635" xr:uid="{00000000-0004-0000-1700-00007A020000}"/>
    <hyperlink ref="C215" r:id="rId636" xr:uid="{00000000-0004-0000-1700-00007B020000}"/>
    <hyperlink ref="A216" r:id="rId637" xr:uid="{00000000-0004-0000-1700-00007C020000}"/>
    <hyperlink ref="C216" r:id="rId638" xr:uid="{00000000-0004-0000-1700-00007D020000}"/>
    <hyperlink ref="D216" r:id="rId639" xr:uid="{00000000-0004-0000-1700-00007E020000}"/>
    <hyperlink ref="A217" r:id="rId640" xr:uid="{00000000-0004-0000-1700-00007F020000}"/>
    <hyperlink ref="C217" r:id="rId641" xr:uid="{00000000-0004-0000-1700-000080020000}"/>
    <hyperlink ref="D217" r:id="rId642" xr:uid="{00000000-0004-0000-1700-000081020000}"/>
    <hyperlink ref="A218" r:id="rId643" xr:uid="{00000000-0004-0000-1700-000082020000}"/>
    <hyperlink ref="C218" r:id="rId644" xr:uid="{00000000-0004-0000-1700-000083020000}"/>
    <hyperlink ref="D218" r:id="rId645" xr:uid="{00000000-0004-0000-1700-000084020000}"/>
    <hyperlink ref="A219" r:id="rId646" xr:uid="{00000000-0004-0000-1700-000085020000}"/>
    <hyperlink ref="C219" r:id="rId647" xr:uid="{00000000-0004-0000-1700-000086020000}"/>
    <hyperlink ref="D219" r:id="rId648" xr:uid="{00000000-0004-0000-1700-000087020000}"/>
    <hyperlink ref="A220" r:id="rId649" xr:uid="{00000000-0004-0000-1700-000088020000}"/>
    <hyperlink ref="C220" r:id="rId650" xr:uid="{00000000-0004-0000-1700-000089020000}"/>
    <hyperlink ref="D220" r:id="rId651" xr:uid="{00000000-0004-0000-1700-00008A020000}"/>
    <hyperlink ref="A221" r:id="rId652" xr:uid="{00000000-0004-0000-1700-00008B020000}"/>
    <hyperlink ref="C221" r:id="rId653" xr:uid="{00000000-0004-0000-1700-00008C020000}"/>
    <hyperlink ref="D221" r:id="rId654" xr:uid="{00000000-0004-0000-1700-00008D020000}"/>
    <hyperlink ref="A222" r:id="rId655" xr:uid="{00000000-0004-0000-1700-00008E020000}"/>
    <hyperlink ref="C222" r:id="rId656" xr:uid="{00000000-0004-0000-1700-00008F020000}"/>
    <hyperlink ref="D222" r:id="rId657" xr:uid="{00000000-0004-0000-1700-000090020000}"/>
    <hyperlink ref="A223" r:id="rId658" xr:uid="{00000000-0004-0000-1700-000091020000}"/>
    <hyperlink ref="C223" r:id="rId659" xr:uid="{00000000-0004-0000-1700-000092020000}"/>
    <hyperlink ref="D223" r:id="rId660" xr:uid="{00000000-0004-0000-1700-000093020000}"/>
    <hyperlink ref="A224" r:id="rId661" xr:uid="{00000000-0004-0000-1700-000094020000}"/>
    <hyperlink ref="C224" r:id="rId662" xr:uid="{00000000-0004-0000-1700-000095020000}"/>
    <hyperlink ref="D224" r:id="rId663" xr:uid="{00000000-0004-0000-1700-000096020000}"/>
    <hyperlink ref="A225" r:id="rId664" xr:uid="{00000000-0004-0000-1700-000097020000}"/>
    <hyperlink ref="C225" r:id="rId665" xr:uid="{00000000-0004-0000-1700-000098020000}"/>
    <hyperlink ref="D225" r:id="rId666" xr:uid="{00000000-0004-0000-1700-000099020000}"/>
    <hyperlink ref="A226" r:id="rId667" xr:uid="{00000000-0004-0000-1700-00009A020000}"/>
    <hyperlink ref="C226" r:id="rId668" xr:uid="{00000000-0004-0000-1700-00009B020000}"/>
    <hyperlink ref="D226" r:id="rId669" xr:uid="{00000000-0004-0000-1700-00009C020000}"/>
    <hyperlink ref="A227" r:id="rId670" xr:uid="{00000000-0004-0000-1700-00009D020000}"/>
    <hyperlink ref="C227" r:id="rId671" xr:uid="{00000000-0004-0000-1700-00009E020000}"/>
    <hyperlink ref="D227" r:id="rId672" xr:uid="{00000000-0004-0000-1700-00009F020000}"/>
    <hyperlink ref="A228" r:id="rId673" xr:uid="{00000000-0004-0000-1700-0000A0020000}"/>
    <hyperlink ref="C228" r:id="rId674" xr:uid="{00000000-0004-0000-1700-0000A1020000}"/>
    <hyperlink ref="D228" r:id="rId675" xr:uid="{00000000-0004-0000-1700-0000A2020000}"/>
    <hyperlink ref="A229" r:id="rId676" xr:uid="{00000000-0004-0000-1700-0000A3020000}"/>
    <hyperlink ref="C229" r:id="rId677" xr:uid="{00000000-0004-0000-1700-0000A4020000}"/>
    <hyperlink ref="D229" r:id="rId678" xr:uid="{00000000-0004-0000-1700-0000A5020000}"/>
    <hyperlink ref="A230" r:id="rId679" xr:uid="{00000000-0004-0000-1700-0000A6020000}"/>
    <hyperlink ref="C230" r:id="rId680" xr:uid="{00000000-0004-0000-1700-0000A7020000}"/>
    <hyperlink ref="D230" r:id="rId681" xr:uid="{00000000-0004-0000-1700-0000A8020000}"/>
    <hyperlink ref="A231" r:id="rId682" xr:uid="{00000000-0004-0000-1700-0000A9020000}"/>
    <hyperlink ref="C231" r:id="rId683" xr:uid="{00000000-0004-0000-1700-0000AA020000}"/>
    <hyperlink ref="D231" r:id="rId684" xr:uid="{00000000-0004-0000-1700-0000AB020000}"/>
    <hyperlink ref="A232" r:id="rId685" xr:uid="{00000000-0004-0000-1700-0000AC020000}"/>
    <hyperlink ref="C232" r:id="rId686" xr:uid="{00000000-0004-0000-1700-0000AD020000}"/>
    <hyperlink ref="D232" r:id="rId687" xr:uid="{00000000-0004-0000-1700-0000AE020000}"/>
    <hyperlink ref="A233" r:id="rId688" xr:uid="{00000000-0004-0000-1700-0000AF020000}"/>
    <hyperlink ref="C233" r:id="rId689" xr:uid="{00000000-0004-0000-1700-0000B0020000}"/>
    <hyperlink ref="D233" r:id="rId690" xr:uid="{00000000-0004-0000-1700-0000B1020000}"/>
    <hyperlink ref="A234" r:id="rId691" xr:uid="{00000000-0004-0000-1700-0000B2020000}"/>
    <hyperlink ref="C234" r:id="rId692" xr:uid="{00000000-0004-0000-1700-0000B3020000}"/>
    <hyperlink ref="D234" r:id="rId693" xr:uid="{00000000-0004-0000-1700-0000B4020000}"/>
    <hyperlink ref="A235" r:id="rId694" xr:uid="{00000000-0004-0000-1700-0000B5020000}"/>
    <hyperlink ref="C235" r:id="rId695" xr:uid="{00000000-0004-0000-1700-0000B6020000}"/>
    <hyperlink ref="D235" r:id="rId696" xr:uid="{00000000-0004-0000-1700-0000B7020000}"/>
    <hyperlink ref="A236" r:id="rId697" xr:uid="{00000000-0004-0000-1700-0000B8020000}"/>
    <hyperlink ref="C236" r:id="rId698" xr:uid="{00000000-0004-0000-1700-0000B9020000}"/>
    <hyperlink ref="D236" r:id="rId699" xr:uid="{00000000-0004-0000-1700-0000BA020000}"/>
    <hyperlink ref="A237" r:id="rId700" xr:uid="{00000000-0004-0000-1700-0000BB020000}"/>
    <hyperlink ref="C237" r:id="rId701" xr:uid="{00000000-0004-0000-1700-0000BC020000}"/>
    <hyperlink ref="D237" r:id="rId702" xr:uid="{00000000-0004-0000-1700-0000BD020000}"/>
    <hyperlink ref="A238" r:id="rId703" xr:uid="{00000000-0004-0000-1700-0000BE020000}"/>
    <hyperlink ref="C238" r:id="rId704" xr:uid="{00000000-0004-0000-1700-0000BF020000}"/>
    <hyperlink ref="D238" r:id="rId705" xr:uid="{00000000-0004-0000-1700-0000C0020000}"/>
    <hyperlink ref="A239" r:id="rId706" xr:uid="{00000000-0004-0000-1700-0000C1020000}"/>
    <hyperlink ref="C239" r:id="rId707" xr:uid="{00000000-0004-0000-1700-0000C2020000}"/>
    <hyperlink ref="D239" r:id="rId708" xr:uid="{00000000-0004-0000-1700-0000C3020000}"/>
    <hyperlink ref="A240" r:id="rId709" xr:uid="{00000000-0004-0000-1700-0000C4020000}"/>
    <hyperlink ref="C240" r:id="rId710" xr:uid="{00000000-0004-0000-1700-0000C5020000}"/>
    <hyperlink ref="D240" r:id="rId711" xr:uid="{00000000-0004-0000-1700-0000C6020000}"/>
    <hyperlink ref="A241" r:id="rId712" xr:uid="{00000000-0004-0000-1700-0000C7020000}"/>
    <hyperlink ref="C241" r:id="rId713" xr:uid="{00000000-0004-0000-1700-0000C8020000}"/>
    <hyperlink ref="D241" r:id="rId714" xr:uid="{00000000-0004-0000-1700-0000C9020000}"/>
    <hyperlink ref="A242" r:id="rId715" xr:uid="{00000000-0004-0000-1700-0000CA020000}"/>
    <hyperlink ref="C242" r:id="rId716" xr:uid="{00000000-0004-0000-1700-0000CB020000}"/>
    <hyperlink ref="D242" r:id="rId717" xr:uid="{00000000-0004-0000-1700-0000CC020000}"/>
    <hyperlink ref="A243" r:id="rId718" xr:uid="{00000000-0004-0000-1700-0000CD020000}"/>
    <hyperlink ref="C243" r:id="rId719" xr:uid="{00000000-0004-0000-1700-0000CE020000}"/>
    <hyperlink ref="D243" r:id="rId720" xr:uid="{00000000-0004-0000-1700-0000CF020000}"/>
    <hyperlink ref="A244" r:id="rId721" xr:uid="{00000000-0004-0000-1700-0000D0020000}"/>
    <hyperlink ref="C244" r:id="rId722" xr:uid="{00000000-0004-0000-1700-0000D1020000}"/>
    <hyperlink ref="D244" r:id="rId723" xr:uid="{00000000-0004-0000-1700-0000D2020000}"/>
    <hyperlink ref="A245" r:id="rId724" xr:uid="{00000000-0004-0000-1700-0000D3020000}"/>
    <hyperlink ref="C245" r:id="rId725" xr:uid="{00000000-0004-0000-1700-0000D4020000}"/>
    <hyperlink ref="D245" r:id="rId726" xr:uid="{00000000-0004-0000-1700-0000D5020000}"/>
    <hyperlink ref="A246" r:id="rId727" xr:uid="{00000000-0004-0000-1700-0000D6020000}"/>
    <hyperlink ref="C246" r:id="rId728" xr:uid="{00000000-0004-0000-1700-0000D7020000}"/>
    <hyperlink ref="D246" r:id="rId729" xr:uid="{00000000-0004-0000-1700-0000D8020000}"/>
    <hyperlink ref="A247" r:id="rId730" xr:uid="{00000000-0004-0000-1700-0000D9020000}"/>
    <hyperlink ref="C247" r:id="rId731" xr:uid="{00000000-0004-0000-1700-0000DA020000}"/>
    <hyperlink ref="D247" r:id="rId732" xr:uid="{00000000-0004-0000-1700-0000DB020000}"/>
    <hyperlink ref="A248" r:id="rId733" xr:uid="{00000000-0004-0000-1700-0000DC020000}"/>
    <hyperlink ref="C248" r:id="rId734" xr:uid="{00000000-0004-0000-1700-0000DD020000}"/>
    <hyperlink ref="D248" r:id="rId735" xr:uid="{00000000-0004-0000-1700-0000DE020000}"/>
    <hyperlink ref="A249" r:id="rId736" xr:uid="{00000000-0004-0000-1700-0000DF020000}"/>
    <hyperlink ref="C249" r:id="rId737" xr:uid="{00000000-0004-0000-1700-0000E0020000}"/>
    <hyperlink ref="D249" r:id="rId738" xr:uid="{00000000-0004-0000-1700-0000E1020000}"/>
    <hyperlink ref="A250" r:id="rId739" xr:uid="{00000000-0004-0000-1700-0000E2020000}"/>
    <hyperlink ref="C250" r:id="rId740" xr:uid="{00000000-0004-0000-1700-0000E3020000}"/>
    <hyperlink ref="D250" r:id="rId741" xr:uid="{00000000-0004-0000-1700-0000E4020000}"/>
    <hyperlink ref="A251" r:id="rId742" xr:uid="{00000000-0004-0000-1700-0000E5020000}"/>
    <hyperlink ref="C251" r:id="rId743" xr:uid="{00000000-0004-0000-1700-0000E6020000}"/>
    <hyperlink ref="D251" r:id="rId744" xr:uid="{00000000-0004-0000-1700-0000E702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3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6.5" customWidth="1"/>
    <col min="2" max="2" width="5.6640625" customWidth="1"/>
    <col min="3" max="3" width="12.83203125" customWidth="1"/>
    <col min="4" max="4" width="23" customWidth="1"/>
    <col min="5" max="5" width="21.33203125" customWidth="1"/>
    <col min="6" max="6" width="7.6640625" customWidth="1"/>
    <col min="7" max="7" width="9.5" customWidth="1"/>
    <col min="8" max="8" width="9.33203125" customWidth="1"/>
    <col min="9" max="12" width="3.5" customWidth="1"/>
    <col min="13" max="13" width="4.5" customWidth="1"/>
    <col min="14" max="14" width="4.33203125" customWidth="1"/>
    <col min="15" max="15" width="4.83203125" customWidth="1"/>
    <col min="16" max="16" width="6.5" customWidth="1"/>
    <col min="17" max="17" width="13.5" customWidth="1"/>
    <col min="18" max="18" width="15.33203125" customWidth="1"/>
    <col min="19" max="19" width="7.5" customWidth="1"/>
    <col min="20" max="21" width="14.5" customWidth="1"/>
    <col min="26" max="26" width="3.5" customWidth="1"/>
  </cols>
  <sheetData>
    <row r="1" spans="1:26" ht="15.75" customHeight="1">
      <c r="A1" s="11"/>
      <c r="B1" s="11" t="s">
        <v>6</v>
      </c>
      <c r="C1" s="11" t="s">
        <v>7</v>
      </c>
      <c r="D1" s="11" t="s">
        <v>14</v>
      </c>
      <c r="E1" s="11" t="s">
        <v>15</v>
      </c>
      <c r="F1" s="11" t="s">
        <v>16</v>
      </c>
      <c r="G1" s="11" t="s">
        <v>17</v>
      </c>
      <c r="H1" s="394" t="s">
        <v>18</v>
      </c>
      <c r="I1" s="11" t="s">
        <v>34</v>
      </c>
      <c r="J1" s="11" t="s">
        <v>35</v>
      </c>
      <c r="K1" s="82" t="s">
        <v>36</v>
      </c>
      <c r="L1" s="82" t="s">
        <v>37</v>
      </c>
      <c r="M1" s="82" t="s">
        <v>38</v>
      </c>
      <c r="N1" s="82" t="s">
        <v>19</v>
      </c>
      <c r="O1" s="11" t="s">
        <v>23</v>
      </c>
      <c r="P1" s="11" t="s">
        <v>24</v>
      </c>
      <c r="Q1" s="11" t="s">
        <v>25</v>
      </c>
      <c r="R1" s="11" t="s">
        <v>26</v>
      </c>
      <c r="S1" s="11" t="s">
        <v>30</v>
      </c>
      <c r="T1" s="11" t="s">
        <v>40</v>
      </c>
      <c r="U1" s="11" t="s">
        <v>41</v>
      </c>
      <c r="V1" s="11" t="s">
        <v>42</v>
      </c>
      <c r="W1" s="8" t="s">
        <v>43</v>
      </c>
      <c r="X1" s="4" t="s">
        <v>31</v>
      </c>
      <c r="Y1" s="8" t="s">
        <v>32</v>
      </c>
      <c r="Z1" s="11" t="s">
        <v>33</v>
      </c>
    </row>
    <row r="2" spans="1:26" ht="15.75" customHeight="1">
      <c r="A2" s="105" t="s">
        <v>241</v>
      </c>
      <c r="B2" s="395" t="s">
        <v>44</v>
      </c>
      <c r="C2" s="396" t="s">
        <v>242</v>
      </c>
      <c r="D2" s="397" t="s">
        <v>244</v>
      </c>
      <c r="E2" s="50" t="str">
        <f t="shared" ref="E2:E32" si="0">TRIM(LEFT(D2,LEN(D2)-4))</f>
        <v>Speedy Boi</v>
      </c>
      <c r="F2" s="398" t="str">
        <f t="shared" ref="F2:F32" si="1">TRIM(RIGHT(D2,2))</f>
        <v>CF</v>
      </c>
      <c r="G2" s="82" t="s">
        <v>68</v>
      </c>
      <c r="H2" s="174"/>
      <c r="I2" s="12"/>
      <c r="J2" s="12"/>
      <c r="K2" s="12"/>
      <c r="L2" s="12"/>
      <c r="M2" s="12"/>
      <c r="N2" s="12"/>
      <c r="O2" s="12"/>
      <c r="P2" s="82">
        <v>6</v>
      </c>
      <c r="Q2" s="82">
        <v>1</v>
      </c>
      <c r="R2" s="82">
        <v>5</v>
      </c>
      <c r="S2" s="12"/>
      <c r="T2" s="12"/>
      <c r="U2" s="12"/>
      <c r="V2" s="12"/>
      <c r="Z2" s="12"/>
    </row>
    <row r="3" spans="1:26" ht="15.75" customHeight="1">
      <c r="A3" s="105" t="s">
        <v>426</v>
      </c>
      <c r="B3" s="395" t="s">
        <v>44</v>
      </c>
      <c r="C3" s="118" t="s">
        <v>427</v>
      </c>
      <c r="D3" s="25" t="s">
        <v>428</v>
      </c>
      <c r="E3" s="50" t="str">
        <f t="shared" si="0"/>
        <v>Huki Hawaii</v>
      </c>
      <c r="F3" s="398" t="str">
        <f t="shared" si="1"/>
        <v>C</v>
      </c>
      <c r="G3" s="82" t="s">
        <v>159</v>
      </c>
      <c r="H3" s="174"/>
      <c r="I3" s="12"/>
      <c r="J3" s="12"/>
      <c r="K3" s="12"/>
      <c r="L3" s="12"/>
      <c r="M3" s="12"/>
      <c r="N3" s="12"/>
      <c r="O3" s="12"/>
      <c r="P3" s="82">
        <v>6</v>
      </c>
      <c r="Q3" s="82">
        <v>2</v>
      </c>
      <c r="R3" s="82">
        <v>6</v>
      </c>
      <c r="S3" s="12"/>
      <c r="T3" s="12"/>
      <c r="U3" s="12"/>
      <c r="V3" s="12"/>
      <c r="Z3" s="12"/>
    </row>
    <row r="4" spans="1:26" ht="15.75" customHeight="1">
      <c r="A4" s="105" t="s">
        <v>693</v>
      </c>
      <c r="B4" s="395" t="s">
        <v>44</v>
      </c>
      <c r="C4" s="399" t="s">
        <v>695</v>
      </c>
      <c r="D4" s="25" t="s">
        <v>697</v>
      </c>
      <c r="E4" s="40" t="str">
        <f t="shared" si="0"/>
        <v>Adam Squiggly</v>
      </c>
      <c r="F4" s="398" t="str">
        <f t="shared" si="1"/>
        <v>CL</v>
      </c>
      <c r="G4" s="82" t="s">
        <v>699</v>
      </c>
      <c r="H4" s="42"/>
      <c r="I4" s="12"/>
      <c r="J4" s="12"/>
      <c r="K4" s="103"/>
      <c r="L4" s="103"/>
      <c r="M4" s="103"/>
      <c r="N4" s="103"/>
      <c r="O4" s="12"/>
      <c r="P4" s="82">
        <v>6</v>
      </c>
      <c r="Q4" s="82">
        <v>3</v>
      </c>
      <c r="R4" s="82">
        <v>6</v>
      </c>
      <c r="S4" s="12"/>
      <c r="T4" s="12"/>
      <c r="U4" s="12"/>
      <c r="V4" s="12"/>
      <c r="X4" s="400"/>
      <c r="Z4" s="12"/>
    </row>
    <row r="5" spans="1:26" ht="15.75" customHeight="1">
      <c r="A5" s="105" t="s">
        <v>581</v>
      </c>
      <c r="B5" s="395" t="s">
        <v>44</v>
      </c>
      <c r="C5" s="401" t="s">
        <v>582</v>
      </c>
      <c r="D5" s="402" t="s">
        <v>583</v>
      </c>
      <c r="E5" s="50" t="str">
        <f t="shared" si="0"/>
        <v>Lucas North</v>
      </c>
      <c r="F5" s="398" t="str">
        <f t="shared" si="1"/>
        <v>SP</v>
      </c>
      <c r="G5" s="15" t="s">
        <v>114</v>
      </c>
      <c r="H5" s="174"/>
      <c r="I5" s="12"/>
      <c r="J5" s="12"/>
      <c r="K5" s="12"/>
      <c r="L5" s="12"/>
      <c r="M5" s="12"/>
      <c r="N5" s="12"/>
      <c r="O5" s="12"/>
      <c r="P5" s="82">
        <v>6</v>
      </c>
      <c r="Q5" s="82">
        <v>4</v>
      </c>
      <c r="R5" s="82">
        <v>6</v>
      </c>
      <c r="S5" s="12"/>
      <c r="T5" s="12"/>
      <c r="U5" s="12"/>
      <c r="V5" s="12"/>
      <c r="Z5" s="12"/>
    </row>
    <row r="6" spans="1:26" ht="15.75" customHeight="1">
      <c r="A6" s="105" t="s">
        <v>306</v>
      </c>
      <c r="B6" s="395" t="s">
        <v>44</v>
      </c>
      <c r="C6" s="25" t="s">
        <v>307</v>
      </c>
      <c r="D6" s="403" t="s">
        <v>309</v>
      </c>
      <c r="E6" s="50" t="str">
        <f t="shared" si="0"/>
        <v>Damien Walec</v>
      </c>
      <c r="F6" s="398" t="str">
        <f t="shared" si="1"/>
        <v>SP</v>
      </c>
      <c r="G6" s="15" t="s">
        <v>109</v>
      </c>
      <c r="H6" s="174"/>
      <c r="I6" s="12"/>
      <c r="J6" s="12"/>
      <c r="K6" s="12"/>
      <c r="L6" s="12"/>
      <c r="M6" s="12"/>
      <c r="N6" s="12"/>
      <c r="O6" s="12"/>
      <c r="P6" s="82">
        <v>6</v>
      </c>
      <c r="Q6" s="82">
        <v>5</v>
      </c>
      <c r="R6" s="82">
        <v>6</v>
      </c>
      <c r="S6" s="12"/>
      <c r="T6" s="12"/>
      <c r="U6" s="12"/>
      <c r="V6" s="12"/>
      <c r="Z6" s="12"/>
    </row>
    <row r="7" spans="1:26" ht="15.75" customHeight="1">
      <c r="A7" s="105" t="s">
        <v>613</v>
      </c>
      <c r="B7" s="395" t="s">
        <v>44</v>
      </c>
      <c r="C7" s="118" t="s">
        <v>615</v>
      </c>
      <c r="D7" s="25" t="s">
        <v>617</v>
      </c>
      <c r="E7" s="50" t="str">
        <f t="shared" si="0"/>
        <v>Ace Faulkner</v>
      </c>
      <c r="F7" s="398" t="str">
        <f t="shared" si="1"/>
        <v>SP</v>
      </c>
      <c r="G7" s="15" t="s">
        <v>109</v>
      </c>
      <c r="H7" s="174"/>
      <c r="I7" s="12"/>
      <c r="J7" s="12"/>
      <c r="K7" s="12"/>
      <c r="L7" s="12"/>
      <c r="M7" s="12"/>
      <c r="N7" s="12"/>
      <c r="O7" s="12"/>
      <c r="P7" s="82">
        <v>6</v>
      </c>
      <c r="Q7" s="82">
        <v>6</v>
      </c>
      <c r="R7" s="82">
        <v>6</v>
      </c>
      <c r="S7" s="12"/>
      <c r="T7" s="12"/>
      <c r="U7" s="12"/>
      <c r="V7" s="12"/>
      <c r="Z7" s="12"/>
    </row>
    <row r="8" spans="1:26" ht="15.75" customHeight="1">
      <c r="A8" s="105" t="s">
        <v>934</v>
      </c>
      <c r="B8" s="395" t="s">
        <v>44</v>
      </c>
      <c r="C8" s="118" t="s">
        <v>649</v>
      </c>
      <c r="D8" s="25" t="s">
        <v>935</v>
      </c>
      <c r="E8" s="50" t="str">
        <f t="shared" si="0"/>
        <v>Mason Brown</v>
      </c>
      <c r="F8" s="398" t="str">
        <f t="shared" si="1"/>
        <v>CL</v>
      </c>
      <c r="G8" s="15" t="s">
        <v>109</v>
      </c>
      <c r="H8" s="174"/>
      <c r="I8" s="12"/>
      <c r="J8" s="12"/>
      <c r="K8" s="12"/>
      <c r="L8" s="12"/>
      <c r="M8" s="12"/>
      <c r="N8" s="12"/>
      <c r="O8" s="12"/>
      <c r="P8" s="82">
        <v>6</v>
      </c>
      <c r="Q8" s="82">
        <v>7</v>
      </c>
      <c r="R8" s="82">
        <v>6</v>
      </c>
      <c r="S8" s="12"/>
      <c r="T8" s="12"/>
      <c r="U8" s="12"/>
      <c r="V8" s="12"/>
      <c r="Z8" s="12"/>
    </row>
    <row r="9" spans="1:26" ht="15.75" customHeight="1">
      <c r="A9" s="105" t="s">
        <v>472</v>
      </c>
      <c r="B9" s="395" t="s">
        <v>44</v>
      </c>
      <c r="C9" s="401" t="s">
        <v>473</v>
      </c>
      <c r="D9" s="402" t="s">
        <v>474</v>
      </c>
      <c r="E9" s="50" t="str">
        <f t="shared" si="0"/>
        <v>George McBash</v>
      </c>
      <c r="F9" s="398" t="str">
        <f t="shared" si="1"/>
        <v>3B</v>
      </c>
      <c r="G9" s="82" t="s">
        <v>132</v>
      </c>
      <c r="H9" s="174"/>
      <c r="I9" s="12"/>
      <c r="J9" s="12"/>
      <c r="K9" s="12"/>
      <c r="L9" s="12"/>
      <c r="M9" s="12"/>
      <c r="N9" s="12"/>
      <c r="O9" s="12"/>
      <c r="P9" s="82">
        <v>6</v>
      </c>
      <c r="Q9" s="82">
        <v>8</v>
      </c>
      <c r="R9" s="82">
        <v>6</v>
      </c>
      <c r="S9" s="12"/>
      <c r="T9" s="12"/>
      <c r="U9" s="12"/>
      <c r="V9" s="12"/>
      <c r="Z9" s="12"/>
    </row>
    <row r="10" spans="1:26" ht="15.75" customHeight="1">
      <c r="A10" s="105" t="s">
        <v>385</v>
      </c>
      <c r="B10" s="395" t="s">
        <v>44</v>
      </c>
      <c r="C10" s="401" t="s">
        <v>386</v>
      </c>
      <c r="D10" s="403" t="s">
        <v>387</v>
      </c>
      <c r="E10" s="50" t="str">
        <f t="shared" si="0"/>
        <v>Bobby Hill</v>
      </c>
      <c r="F10" s="398" t="str">
        <f t="shared" si="1"/>
        <v>SP</v>
      </c>
      <c r="G10" s="15" t="s">
        <v>55</v>
      </c>
      <c r="H10" s="174"/>
      <c r="I10" s="12"/>
      <c r="J10" s="12"/>
      <c r="K10" s="12"/>
      <c r="L10" s="12"/>
      <c r="M10" s="12"/>
      <c r="N10" s="12"/>
      <c r="O10" s="12"/>
      <c r="P10" s="82">
        <v>6</v>
      </c>
      <c r="Q10" s="82">
        <v>9</v>
      </c>
      <c r="R10" s="82">
        <v>6</v>
      </c>
      <c r="S10" s="12"/>
      <c r="T10" s="12"/>
      <c r="U10" s="12"/>
      <c r="V10" s="12"/>
      <c r="Z10" s="12"/>
    </row>
    <row r="11" spans="1:26" ht="15.75" customHeight="1">
      <c r="A11" s="105" t="s">
        <v>2214</v>
      </c>
      <c r="B11" s="395" t="s">
        <v>44</v>
      </c>
      <c r="C11" s="401" t="s">
        <v>592</v>
      </c>
      <c r="D11" s="25" t="s">
        <v>2215</v>
      </c>
      <c r="E11" s="50" t="str">
        <f t="shared" si="0"/>
        <v>Brett Smoky</v>
      </c>
      <c r="F11" s="398" t="str">
        <f t="shared" si="1"/>
        <v>SP</v>
      </c>
      <c r="G11" s="15" t="s">
        <v>114</v>
      </c>
      <c r="H11" s="174"/>
      <c r="I11" s="12"/>
      <c r="J11" s="12"/>
      <c r="K11" s="12"/>
      <c r="L11" s="12"/>
      <c r="M11" s="12"/>
      <c r="N11" s="12"/>
      <c r="O11" s="12"/>
      <c r="P11" s="82">
        <v>6</v>
      </c>
      <c r="Q11" s="82">
        <v>10</v>
      </c>
      <c r="R11" s="82">
        <v>6</v>
      </c>
      <c r="S11" s="12"/>
      <c r="T11" s="12"/>
      <c r="U11" s="12"/>
      <c r="V11" s="12"/>
      <c r="Z11" s="12"/>
    </row>
    <row r="12" spans="1:26" ht="15.75" customHeight="1">
      <c r="A12" s="105" t="s">
        <v>261</v>
      </c>
      <c r="B12" s="395" t="s">
        <v>44</v>
      </c>
      <c r="C12" s="118" t="s">
        <v>263</v>
      </c>
      <c r="D12" s="25" t="s">
        <v>264</v>
      </c>
      <c r="E12" s="50" t="str">
        <f t="shared" si="0"/>
        <v>Catolo Kittone</v>
      </c>
      <c r="F12" s="398" t="str">
        <f t="shared" si="1"/>
        <v>C</v>
      </c>
      <c r="G12" s="82" t="s">
        <v>265</v>
      </c>
      <c r="H12" s="174"/>
      <c r="I12" s="12"/>
      <c r="J12" s="12"/>
      <c r="K12" s="12"/>
      <c r="L12" s="12"/>
      <c r="M12" s="12"/>
      <c r="N12" s="12"/>
      <c r="O12" s="12"/>
      <c r="P12" s="82">
        <v>6</v>
      </c>
      <c r="Q12" s="82">
        <v>11</v>
      </c>
      <c r="R12" s="82">
        <v>6</v>
      </c>
      <c r="S12" s="12"/>
      <c r="T12" s="12"/>
      <c r="U12" s="12"/>
      <c r="V12" s="12"/>
      <c r="Z12" s="12"/>
    </row>
    <row r="13" spans="1:26" ht="15.75" customHeight="1">
      <c r="A13" s="105" t="s">
        <v>1467</v>
      </c>
      <c r="B13" s="395" t="s">
        <v>44</v>
      </c>
      <c r="C13" s="24" t="s">
        <v>1469</v>
      </c>
      <c r="D13" s="25" t="s">
        <v>1471</v>
      </c>
      <c r="E13" s="50" t="str">
        <f t="shared" si="0"/>
        <v>Leonard Church</v>
      </c>
      <c r="F13" s="398" t="str">
        <f t="shared" si="1"/>
        <v>2B</v>
      </c>
      <c r="G13" s="15" t="s">
        <v>151</v>
      </c>
      <c r="H13" s="174"/>
      <c r="I13" s="12"/>
      <c r="J13" s="12"/>
      <c r="K13" s="12"/>
      <c r="L13" s="12"/>
      <c r="M13" s="12"/>
      <c r="N13" s="12"/>
      <c r="O13" s="12"/>
      <c r="P13" s="82">
        <v>6</v>
      </c>
      <c r="Q13" s="82">
        <v>12</v>
      </c>
      <c r="R13" s="82">
        <v>6</v>
      </c>
      <c r="S13" s="12"/>
      <c r="T13" s="12"/>
      <c r="U13" s="12"/>
      <c r="V13" s="12"/>
      <c r="Z13" s="12"/>
    </row>
    <row r="14" spans="1:26" ht="15.75" customHeight="1">
      <c r="A14" s="105" t="s">
        <v>430</v>
      </c>
      <c r="B14" s="395" t="s">
        <v>44</v>
      </c>
      <c r="C14" s="401" t="s">
        <v>431</v>
      </c>
      <c r="D14" s="402" t="s">
        <v>432</v>
      </c>
      <c r="E14" s="50" t="str">
        <f t="shared" si="0"/>
        <v>Kellan Buchanan</v>
      </c>
      <c r="F14" s="398" t="str">
        <f t="shared" si="1"/>
        <v>CF</v>
      </c>
      <c r="G14" s="82" t="s">
        <v>97</v>
      </c>
      <c r="H14" s="174"/>
      <c r="I14" s="12"/>
      <c r="J14" s="12"/>
      <c r="K14" s="12"/>
      <c r="L14" s="12"/>
      <c r="M14" s="12"/>
      <c r="N14" s="12"/>
      <c r="O14" s="12"/>
      <c r="P14" s="82">
        <v>6</v>
      </c>
      <c r="Q14" s="82">
        <v>13</v>
      </c>
      <c r="R14" s="82">
        <v>6</v>
      </c>
      <c r="S14" s="12"/>
      <c r="T14" s="12"/>
      <c r="U14" s="12"/>
      <c r="V14" s="12"/>
      <c r="Z14" s="12"/>
    </row>
    <row r="15" spans="1:26" ht="15.75" customHeight="1">
      <c r="A15" s="105" t="s">
        <v>1473</v>
      </c>
      <c r="B15" s="395" t="s">
        <v>44</v>
      </c>
      <c r="C15" s="28" t="s">
        <v>1475</v>
      </c>
      <c r="D15" s="25" t="s">
        <v>1478</v>
      </c>
      <c r="E15" s="50" t="str">
        <f t="shared" si="0"/>
        <v>Michael Oxard</v>
      </c>
      <c r="F15" s="398" t="str">
        <f t="shared" si="1"/>
        <v>SP</v>
      </c>
      <c r="G15" s="15" t="s">
        <v>699</v>
      </c>
      <c r="H15" s="174"/>
      <c r="I15" s="12"/>
      <c r="J15" s="12"/>
      <c r="K15" s="12"/>
      <c r="L15" s="12"/>
      <c r="M15" s="12"/>
      <c r="N15" s="12"/>
      <c r="O15" s="12"/>
      <c r="P15" s="82">
        <v>6</v>
      </c>
      <c r="Q15" s="82">
        <v>14</v>
      </c>
      <c r="R15" s="82">
        <v>6</v>
      </c>
      <c r="S15" s="12"/>
      <c r="T15" s="12"/>
      <c r="U15" s="12"/>
      <c r="V15" s="12"/>
      <c r="Z15" s="12"/>
    </row>
    <row r="16" spans="1:26" ht="15.75" customHeight="1">
      <c r="A16" s="105" t="s">
        <v>1163</v>
      </c>
      <c r="B16" s="395" t="s">
        <v>44</v>
      </c>
      <c r="C16" s="401" t="s">
        <v>1164</v>
      </c>
      <c r="D16" s="403" t="s">
        <v>1165</v>
      </c>
      <c r="E16" s="50" t="str">
        <f t="shared" si="0"/>
        <v>Refugio Castro</v>
      </c>
      <c r="F16" s="398" t="str">
        <f t="shared" si="1"/>
        <v>C</v>
      </c>
      <c r="G16" s="82" t="s">
        <v>46</v>
      </c>
      <c r="H16" s="174"/>
      <c r="I16" s="12"/>
      <c r="J16" s="12"/>
      <c r="K16" s="12"/>
      <c r="L16" s="12"/>
      <c r="M16" s="12"/>
      <c r="N16" s="12"/>
      <c r="O16" s="12"/>
      <c r="P16" s="82">
        <v>6</v>
      </c>
      <c r="Q16" s="82">
        <v>15</v>
      </c>
      <c r="R16" s="82">
        <v>6</v>
      </c>
      <c r="S16" s="12"/>
      <c r="T16" s="12"/>
      <c r="U16" s="12"/>
      <c r="V16" s="12"/>
      <c r="Z16" s="12"/>
    </row>
    <row r="17" spans="1:26" ht="15.75" customHeight="1">
      <c r="A17" s="105" t="s">
        <v>369</v>
      </c>
      <c r="B17" s="395" t="s">
        <v>44</v>
      </c>
      <c r="C17" s="118" t="s">
        <v>370</v>
      </c>
      <c r="D17" s="25" t="s">
        <v>371</v>
      </c>
      <c r="E17" s="50" t="str">
        <f t="shared" si="0"/>
        <v>Louis Storm</v>
      </c>
      <c r="F17" s="398" t="str">
        <f t="shared" si="1"/>
        <v>2B</v>
      </c>
      <c r="G17" s="82" t="s">
        <v>151</v>
      </c>
      <c r="H17" s="174"/>
      <c r="I17" s="12"/>
      <c r="J17" s="12"/>
      <c r="K17" s="12"/>
      <c r="L17" s="12"/>
      <c r="M17" s="12"/>
      <c r="N17" s="12"/>
      <c r="O17" s="12"/>
      <c r="P17" s="82">
        <v>6</v>
      </c>
      <c r="Q17" s="82">
        <v>16</v>
      </c>
      <c r="R17" s="82">
        <v>6</v>
      </c>
      <c r="S17" s="12"/>
      <c r="T17" s="12"/>
      <c r="U17" s="12"/>
      <c r="V17" s="12"/>
      <c r="Z17" s="12"/>
    </row>
    <row r="18" spans="1:26" ht="15.75" customHeight="1">
      <c r="A18" s="105" t="s">
        <v>1263</v>
      </c>
      <c r="B18" s="395" t="s">
        <v>44</v>
      </c>
      <c r="C18" s="118" t="s">
        <v>1481</v>
      </c>
      <c r="D18" s="25" t="s">
        <v>1484</v>
      </c>
      <c r="E18" s="50" t="str">
        <f t="shared" si="0"/>
        <v>Justin Moreland</v>
      </c>
      <c r="F18" s="398" t="str">
        <f t="shared" si="1"/>
        <v>3B</v>
      </c>
      <c r="G18" s="15" t="s">
        <v>159</v>
      </c>
      <c r="H18" s="174"/>
      <c r="I18" s="12"/>
      <c r="J18" s="12"/>
      <c r="K18" s="12"/>
      <c r="L18" s="12"/>
      <c r="M18" s="12"/>
      <c r="N18" s="12"/>
      <c r="O18" s="12"/>
      <c r="P18" s="82">
        <v>6</v>
      </c>
      <c r="Q18" s="82">
        <v>17</v>
      </c>
      <c r="R18" s="82">
        <v>6</v>
      </c>
      <c r="S18" s="12"/>
      <c r="T18" s="12"/>
      <c r="U18" s="12"/>
      <c r="V18" s="12"/>
      <c r="Z18" s="12"/>
    </row>
    <row r="19" spans="1:26" ht="15.75" customHeight="1">
      <c r="A19" s="105" t="s">
        <v>836</v>
      </c>
      <c r="B19" s="395" t="s">
        <v>44</v>
      </c>
      <c r="C19" s="118" t="s">
        <v>838</v>
      </c>
      <c r="D19" s="25" t="s">
        <v>840</v>
      </c>
      <c r="E19" s="50" t="str">
        <f t="shared" si="0"/>
        <v>Jimmy Caliburn</v>
      </c>
      <c r="F19" s="398" t="str">
        <f t="shared" si="1"/>
        <v>CF</v>
      </c>
      <c r="G19" s="82" t="s">
        <v>166</v>
      </c>
      <c r="H19" s="174"/>
      <c r="I19" s="12"/>
      <c r="J19" s="12"/>
      <c r="K19" s="12"/>
      <c r="L19" s="12"/>
      <c r="M19" s="12"/>
      <c r="N19" s="12"/>
      <c r="O19" s="12"/>
      <c r="P19" s="82">
        <v>6</v>
      </c>
      <c r="Q19" s="82">
        <v>18</v>
      </c>
      <c r="R19" s="82">
        <v>6</v>
      </c>
      <c r="S19" s="12"/>
      <c r="T19" s="12"/>
      <c r="U19" s="12"/>
      <c r="V19" s="12"/>
      <c r="Z19" s="12"/>
    </row>
    <row r="20" spans="1:26" ht="15.75" customHeight="1">
      <c r="A20" s="105" t="s">
        <v>418</v>
      </c>
      <c r="B20" s="395" t="s">
        <v>44</v>
      </c>
      <c r="C20" s="24" t="s">
        <v>419</v>
      </c>
      <c r="D20" s="25" t="s">
        <v>420</v>
      </c>
      <c r="E20" s="50" t="str">
        <f t="shared" si="0"/>
        <v>Jordan von Matt</v>
      </c>
      <c r="F20" s="398" t="str">
        <f t="shared" si="1"/>
        <v>LF</v>
      </c>
      <c r="G20" s="82" t="s">
        <v>192</v>
      </c>
      <c r="H20" s="174"/>
      <c r="I20" s="12"/>
      <c r="J20" s="12"/>
      <c r="K20" s="12"/>
      <c r="L20" s="12"/>
      <c r="M20" s="12"/>
      <c r="N20" s="12"/>
      <c r="O20" s="12"/>
      <c r="P20" s="82">
        <v>6</v>
      </c>
      <c r="Q20" s="82">
        <v>19</v>
      </c>
      <c r="R20" s="82">
        <v>6</v>
      </c>
      <c r="S20" s="12"/>
      <c r="T20" s="12"/>
      <c r="U20" s="12"/>
      <c r="V20" s="12"/>
      <c r="Z20" s="12"/>
    </row>
    <row r="21" spans="1:26" ht="15.75" customHeight="1">
      <c r="A21" s="105" t="s">
        <v>1122</v>
      </c>
      <c r="B21" s="395" t="s">
        <v>44</v>
      </c>
      <c r="C21" s="401" t="s">
        <v>1123</v>
      </c>
      <c r="D21" s="403" t="s">
        <v>1124</v>
      </c>
      <c r="E21" s="50" t="str">
        <f t="shared" si="0"/>
        <v>Jayran Mackson</v>
      </c>
      <c r="F21" s="398" t="str">
        <f t="shared" si="1"/>
        <v>SP</v>
      </c>
      <c r="G21" s="15" t="s">
        <v>55</v>
      </c>
      <c r="H21" s="174"/>
      <c r="I21" s="12"/>
      <c r="J21" s="12"/>
      <c r="K21" s="12"/>
      <c r="L21" s="12"/>
      <c r="M21" s="12"/>
      <c r="N21" s="12"/>
      <c r="O21" s="12"/>
      <c r="P21" s="82">
        <v>6</v>
      </c>
      <c r="Q21" s="82">
        <v>20</v>
      </c>
      <c r="R21" s="82">
        <v>6</v>
      </c>
      <c r="S21" s="12"/>
      <c r="T21" s="12"/>
      <c r="U21" s="12"/>
      <c r="V21" s="12"/>
      <c r="Z21" s="12"/>
    </row>
    <row r="22" spans="1:26" ht="15.75" customHeight="1">
      <c r="A22" s="105" t="s">
        <v>1303</v>
      </c>
      <c r="B22" s="395" t="s">
        <v>44</v>
      </c>
      <c r="C22" s="401" t="s">
        <v>1304</v>
      </c>
      <c r="D22" s="25" t="s">
        <v>1306</v>
      </c>
      <c r="E22" s="50" t="str">
        <f t="shared" si="0"/>
        <v>Phil Blunt</v>
      </c>
      <c r="F22" s="398" t="str">
        <f t="shared" si="1"/>
        <v>CF</v>
      </c>
      <c r="G22" s="82" t="s">
        <v>68</v>
      </c>
      <c r="H22" s="174"/>
      <c r="I22" s="12"/>
      <c r="J22" s="12"/>
      <c r="K22" s="12"/>
      <c r="L22" s="12"/>
      <c r="M22" s="12"/>
      <c r="N22" s="12"/>
      <c r="O22" s="12"/>
      <c r="P22" s="82">
        <v>6</v>
      </c>
      <c r="Q22" s="82">
        <v>21</v>
      </c>
      <c r="R22" s="82">
        <v>6</v>
      </c>
      <c r="S22" s="12"/>
      <c r="T22" s="12"/>
      <c r="U22" s="12"/>
      <c r="V22" s="12"/>
      <c r="Z22" s="12"/>
    </row>
    <row r="23" spans="1:26" ht="15.75" customHeight="1">
      <c r="A23" s="105" t="s">
        <v>1040</v>
      </c>
      <c r="B23" s="395" t="s">
        <v>44</v>
      </c>
      <c r="C23" s="401" t="s">
        <v>1042</v>
      </c>
      <c r="D23" s="402" t="s">
        <v>1044</v>
      </c>
      <c r="E23" s="50" t="str">
        <f t="shared" si="0"/>
        <v>Jim Kekton</v>
      </c>
      <c r="F23" s="398" t="str">
        <f t="shared" si="1"/>
        <v>SS</v>
      </c>
      <c r="G23" s="82" t="s">
        <v>1047</v>
      </c>
      <c r="H23" s="174"/>
      <c r="I23" s="12"/>
      <c r="J23" s="12"/>
      <c r="K23" s="12"/>
      <c r="L23" s="12"/>
      <c r="M23" s="12"/>
      <c r="N23" s="12"/>
      <c r="O23" s="12"/>
      <c r="P23" s="82">
        <v>6</v>
      </c>
      <c r="Q23" s="82">
        <v>22</v>
      </c>
      <c r="R23" s="82">
        <v>6</v>
      </c>
      <c r="S23" s="12"/>
      <c r="T23" s="12"/>
      <c r="U23" s="12"/>
      <c r="V23" s="12"/>
      <c r="Z23" s="12"/>
    </row>
    <row r="24" spans="1:26" ht="15.75" customHeight="1">
      <c r="A24" s="105" t="s">
        <v>1263</v>
      </c>
      <c r="B24" s="395" t="s">
        <v>44</v>
      </c>
      <c r="C24" s="118" t="s">
        <v>1265</v>
      </c>
      <c r="D24" s="25" t="s">
        <v>1267</v>
      </c>
      <c r="E24" s="50" t="str">
        <f t="shared" si="0"/>
        <v>Eddie Spaghetti</v>
      </c>
      <c r="F24" s="398" t="str">
        <f t="shared" si="1"/>
        <v>3B</v>
      </c>
      <c r="G24" s="15" t="s">
        <v>97</v>
      </c>
      <c r="H24" s="174"/>
      <c r="I24" s="12"/>
      <c r="J24" s="12"/>
      <c r="K24" s="12"/>
      <c r="L24" s="12"/>
      <c r="M24" s="12"/>
      <c r="N24" s="12"/>
      <c r="O24" s="12"/>
      <c r="P24" s="82">
        <v>6</v>
      </c>
      <c r="Q24" s="82">
        <v>25</v>
      </c>
      <c r="R24" s="82">
        <v>6</v>
      </c>
      <c r="S24" s="12"/>
      <c r="T24" s="12"/>
      <c r="U24" s="12"/>
      <c r="V24" s="12"/>
      <c r="Z24" s="12"/>
    </row>
    <row r="25" spans="1:26" ht="15.75" customHeight="1">
      <c r="A25" s="105" t="s">
        <v>1513</v>
      </c>
      <c r="B25" s="395" t="s">
        <v>44</v>
      </c>
      <c r="C25" s="401" t="s">
        <v>1515</v>
      </c>
      <c r="D25" s="403" t="s">
        <v>1517</v>
      </c>
      <c r="E25" s="50" t="str">
        <f t="shared" si="0"/>
        <v>Chase Preza</v>
      </c>
      <c r="F25" s="398" t="str">
        <f t="shared" si="1"/>
        <v>1B</v>
      </c>
      <c r="G25" s="82" t="s">
        <v>225</v>
      </c>
      <c r="H25" s="174"/>
      <c r="I25" s="12"/>
      <c r="J25" s="12"/>
      <c r="K25" s="12"/>
      <c r="L25" s="12"/>
      <c r="M25" s="12"/>
      <c r="N25" s="12"/>
      <c r="O25" s="12"/>
      <c r="P25" s="82">
        <v>6</v>
      </c>
      <c r="Q25" s="82">
        <v>26</v>
      </c>
      <c r="R25" s="82">
        <v>6</v>
      </c>
      <c r="S25" s="12"/>
      <c r="T25" s="12"/>
      <c r="U25" s="12"/>
      <c r="V25" s="12"/>
      <c r="Z25" s="12"/>
    </row>
    <row r="26" spans="1:26" ht="15.75" customHeight="1">
      <c r="A26" s="105" t="s">
        <v>1487</v>
      </c>
      <c r="B26" s="395" t="s">
        <v>44</v>
      </c>
      <c r="C26" s="118" t="s">
        <v>1489</v>
      </c>
      <c r="D26" s="402" t="s">
        <v>1492</v>
      </c>
      <c r="E26" s="50" t="str">
        <f t="shared" si="0"/>
        <v>Martinez Pedro</v>
      </c>
      <c r="F26" s="398" t="str">
        <f t="shared" si="1"/>
        <v>SP</v>
      </c>
      <c r="G26" s="15" t="s">
        <v>109</v>
      </c>
      <c r="H26" s="174"/>
      <c r="I26" s="12"/>
      <c r="J26" s="12"/>
      <c r="K26" s="12"/>
      <c r="L26" s="12"/>
      <c r="M26" s="12"/>
      <c r="N26" s="12"/>
      <c r="O26" s="12"/>
      <c r="P26" s="82">
        <v>6</v>
      </c>
      <c r="Q26" s="82">
        <v>27</v>
      </c>
      <c r="R26" s="82">
        <v>6</v>
      </c>
      <c r="S26" s="12"/>
      <c r="T26" s="12"/>
      <c r="U26" s="12"/>
      <c r="V26" s="12"/>
      <c r="Z26" s="12"/>
    </row>
    <row r="27" spans="1:26" ht="15.75" customHeight="1">
      <c r="A27" s="105" t="s">
        <v>1503</v>
      </c>
      <c r="B27" s="395" t="s">
        <v>44</v>
      </c>
      <c r="C27" s="118" t="s">
        <v>1449</v>
      </c>
      <c r="D27" s="25" t="s">
        <v>1505</v>
      </c>
      <c r="E27" s="40" t="str">
        <f t="shared" si="0"/>
        <v>Tiddlywink McTicklestick</v>
      </c>
      <c r="F27" s="398" t="str">
        <f t="shared" si="1"/>
        <v>SP</v>
      </c>
      <c r="G27" s="15" t="s">
        <v>55</v>
      </c>
      <c r="H27" s="42"/>
      <c r="I27" s="12"/>
      <c r="J27" s="12"/>
      <c r="K27" s="103"/>
      <c r="L27" s="103"/>
      <c r="M27" s="103"/>
      <c r="N27" s="103"/>
      <c r="O27" s="12"/>
      <c r="P27" s="82">
        <v>6</v>
      </c>
      <c r="Q27" s="82">
        <v>28</v>
      </c>
      <c r="R27" s="82">
        <v>5</v>
      </c>
      <c r="S27" s="12"/>
      <c r="T27" s="12"/>
      <c r="U27" s="12"/>
      <c r="V27" s="12"/>
      <c r="X27" s="400"/>
      <c r="Z27" s="12"/>
    </row>
    <row r="28" spans="1:26" ht="15.75" customHeight="1">
      <c r="A28" s="105" t="s">
        <v>852</v>
      </c>
      <c r="B28" s="395" t="s">
        <v>44</v>
      </c>
      <c r="C28" s="396" t="s">
        <v>853</v>
      </c>
      <c r="D28" s="397" t="s">
        <v>854</v>
      </c>
      <c r="E28" s="50" t="str">
        <f t="shared" si="0"/>
        <v>Ben Waters</v>
      </c>
      <c r="F28" s="398" t="str">
        <f t="shared" si="1"/>
        <v>2B</v>
      </c>
      <c r="G28" s="82" t="s">
        <v>104</v>
      </c>
      <c r="H28" s="174"/>
      <c r="I28" s="12"/>
      <c r="J28" s="12"/>
      <c r="K28" s="12"/>
      <c r="L28" s="12"/>
      <c r="M28" s="12"/>
      <c r="N28" s="12"/>
      <c r="O28" s="12"/>
      <c r="P28" s="82">
        <v>6</v>
      </c>
      <c r="Q28" s="82">
        <v>29</v>
      </c>
      <c r="R28" s="82">
        <v>5</v>
      </c>
      <c r="S28" s="12"/>
      <c r="T28" s="12"/>
      <c r="U28" s="12"/>
      <c r="V28" s="12"/>
      <c r="Z28" s="12"/>
    </row>
    <row r="29" spans="1:26" ht="15.75" customHeight="1">
      <c r="A29" s="105" t="s">
        <v>446</v>
      </c>
      <c r="B29" s="395" t="s">
        <v>44</v>
      </c>
      <c r="C29" s="118" t="s">
        <v>447</v>
      </c>
      <c r="D29" s="25" t="s">
        <v>448</v>
      </c>
      <c r="E29" s="50" t="str">
        <f t="shared" si="0"/>
        <v>Jax Hunter</v>
      </c>
      <c r="F29" s="398" t="str">
        <f t="shared" si="1"/>
        <v>SP</v>
      </c>
      <c r="G29" s="15" t="s">
        <v>55</v>
      </c>
      <c r="H29" s="174"/>
      <c r="I29" s="12"/>
      <c r="J29" s="12"/>
      <c r="K29" s="12"/>
      <c r="L29" s="12"/>
      <c r="M29" s="12"/>
      <c r="N29" s="12"/>
      <c r="O29" s="12"/>
      <c r="P29" s="82">
        <v>6</v>
      </c>
      <c r="Q29" s="82">
        <v>31</v>
      </c>
      <c r="R29" s="82">
        <v>6</v>
      </c>
      <c r="S29" s="12"/>
      <c r="T29" s="12"/>
      <c r="U29" s="12"/>
      <c r="V29" s="12"/>
      <c r="Z29" s="12"/>
    </row>
    <row r="30" spans="1:26" ht="15.75" customHeight="1">
      <c r="A30" s="105" t="s">
        <v>938</v>
      </c>
      <c r="B30" s="395" t="s">
        <v>44</v>
      </c>
      <c r="C30" s="396" t="s">
        <v>939</v>
      </c>
      <c r="D30" s="404" t="s">
        <v>940</v>
      </c>
      <c r="E30" s="50" t="str">
        <f t="shared" si="0"/>
        <v>Sidney Swing</v>
      </c>
      <c r="F30" s="398" t="str">
        <f t="shared" si="1"/>
        <v>LF</v>
      </c>
      <c r="G30" s="82" t="s">
        <v>84</v>
      </c>
      <c r="H30" s="174"/>
      <c r="I30" s="12"/>
      <c r="J30" s="12"/>
      <c r="K30" s="12"/>
      <c r="L30" s="12"/>
      <c r="M30" s="12"/>
      <c r="N30" s="12"/>
      <c r="O30" s="12"/>
      <c r="P30" s="82">
        <v>6</v>
      </c>
      <c r="Q30" s="82">
        <v>33</v>
      </c>
      <c r="R30" s="82">
        <v>6</v>
      </c>
      <c r="S30" s="12"/>
      <c r="T30" s="12"/>
      <c r="U30" s="12"/>
      <c r="V30" s="12"/>
      <c r="Z30" s="12"/>
    </row>
    <row r="31" spans="1:26" ht="15.75" customHeight="1">
      <c r="A31" s="105" t="s">
        <v>1495</v>
      </c>
      <c r="B31" s="395" t="s">
        <v>44</v>
      </c>
      <c r="C31" s="401" t="s">
        <v>1497</v>
      </c>
      <c r="D31" s="403" t="s">
        <v>1498</v>
      </c>
      <c r="E31" s="50" t="str">
        <f t="shared" si="0"/>
        <v>Cole Davenport</v>
      </c>
      <c r="F31" s="398" t="str">
        <f t="shared" si="1"/>
        <v>SP</v>
      </c>
      <c r="G31" s="15" t="s">
        <v>109</v>
      </c>
      <c r="H31" s="174"/>
      <c r="I31" s="12"/>
      <c r="J31" s="12"/>
      <c r="K31" s="12"/>
      <c r="L31" s="12"/>
      <c r="M31" s="12"/>
      <c r="N31" s="12"/>
      <c r="O31" s="12"/>
      <c r="P31" s="82">
        <v>6</v>
      </c>
      <c r="Q31" s="82">
        <v>39</v>
      </c>
      <c r="R31" s="82">
        <v>6</v>
      </c>
      <c r="S31" s="12"/>
      <c r="T31" s="12"/>
      <c r="U31" s="12"/>
      <c r="V31" s="12"/>
      <c r="Z31" s="12"/>
    </row>
    <row r="32" spans="1:26" ht="15.75" customHeight="1">
      <c r="A32" s="105" t="s">
        <v>1521</v>
      </c>
      <c r="B32" s="395" t="s">
        <v>44</v>
      </c>
      <c r="C32" s="401" t="s">
        <v>1528</v>
      </c>
      <c r="D32" s="402" t="s">
        <v>1529</v>
      </c>
      <c r="E32" s="50" t="str">
        <f t="shared" si="0"/>
        <v>Aidan Broderick</v>
      </c>
      <c r="F32" s="398" t="str">
        <f t="shared" si="1"/>
        <v>RF</v>
      </c>
      <c r="G32" s="82" t="s">
        <v>159</v>
      </c>
      <c r="H32" s="174"/>
      <c r="I32" s="12"/>
      <c r="J32" s="12"/>
      <c r="K32" s="12"/>
      <c r="L32" s="12"/>
      <c r="M32" s="12"/>
      <c r="N32" s="12"/>
      <c r="O32" s="12"/>
      <c r="P32" s="82">
        <v>6</v>
      </c>
      <c r="Q32" s="82">
        <v>45</v>
      </c>
      <c r="R32" s="82">
        <v>6</v>
      </c>
      <c r="S32" s="12"/>
      <c r="T32" s="12"/>
      <c r="U32" s="12"/>
      <c r="V32" s="12"/>
      <c r="Z32" s="12"/>
    </row>
  </sheetData>
  <hyperlinks>
    <hyperlink ref="A2" r:id="rId1" xr:uid="{00000000-0004-0000-1800-000000000000}"/>
    <hyperlink ref="C2" r:id="rId2" xr:uid="{00000000-0004-0000-1800-000001000000}"/>
    <hyperlink ref="D2" r:id="rId3" xr:uid="{00000000-0004-0000-1800-000002000000}"/>
    <hyperlink ref="A3" r:id="rId4" xr:uid="{00000000-0004-0000-1800-000003000000}"/>
    <hyperlink ref="C3" r:id="rId5" xr:uid="{00000000-0004-0000-1800-000004000000}"/>
    <hyperlink ref="D3" r:id="rId6" xr:uid="{00000000-0004-0000-1800-000005000000}"/>
    <hyperlink ref="A4" r:id="rId7" xr:uid="{00000000-0004-0000-1800-000006000000}"/>
    <hyperlink ref="D4" r:id="rId8" xr:uid="{00000000-0004-0000-1800-000007000000}"/>
    <hyperlink ref="A5" r:id="rId9" xr:uid="{00000000-0004-0000-1800-000008000000}"/>
    <hyperlink ref="C5" r:id="rId10" xr:uid="{00000000-0004-0000-1800-000009000000}"/>
    <hyperlink ref="D5" r:id="rId11" xr:uid="{00000000-0004-0000-1800-00000A000000}"/>
    <hyperlink ref="A6" r:id="rId12" xr:uid="{00000000-0004-0000-1800-00000B000000}"/>
    <hyperlink ref="C6" r:id="rId13" xr:uid="{00000000-0004-0000-1800-00000C000000}"/>
    <hyperlink ref="D6" r:id="rId14" xr:uid="{00000000-0004-0000-1800-00000D000000}"/>
    <hyperlink ref="A7" r:id="rId15" xr:uid="{00000000-0004-0000-1800-00000E000000}"/>
    <hyperlink ref="C7" r:id="rId16" xr:uid="{00000000-0004-0000-1800-00000F000000}"/>
    <hyperlink ref="D7" r:id="rId17" xr:uid="{00000000-0004-0000-1800-000010000000}"/>
    <hyperlink ref="A8" r:id="rId18" xr:uid="{00000000-0004-0000-1800-000011000000}"/>
    <hyperlink ref="C8" r:id="rId19" xr:uid="{00000000-0004-0000-1800-000012000000}"/>
    <hyperlink ref="D8" r:id="rId20" xr:uid="{00000000-0004-0000-1800-000013000000}"/>
    <hyperlink ref="A9" r:id="rId21" xr:uid="{00000000-0004-0000-1800-000014000000}"/>
    <hyperlink ref="C9" r:id="rId22" xr:uid="{00000000-0004-0000-1800-000015000000}"/>
    <hyperlink ref="D9" r:id="rId23" xr:uid="{00000000-0004-0000-1800-000016000000}"/>
    <hyperlink ref="A10" r:id="rId24" location="entry32489" xr:uid="{00000000-0004-0000-1800-000017000000}"/>
    <hyperlink ref="C10" r:id="rId25" xr:uid="{00000000-0004-0000-1800-000018000000}"/>
    <hyperlink ref="D10" r:id="rId26" xr:uid="{00000000-0004-0000-1800-000019000000}"/>
    <hyperlink ref="A11" r:id="rId27" xr:uid="{00000000-0004-0000-1800-00001A000000}"/>
    <hyperlink ref="C11" r:id="rId28" xr:uid="{00000000-0004-0000-1800-00001B000000}"/>
    <hyperlink ref="D11" r:id="rId29" xr:uid="{00000000-0004-0000-1800-00001C000000}"/>
    <hyperlink ref="A12" r:id="rId30" xr:uid="{00000000-0004-0000-1800-00001D000000}"/>
    <hyperlink ref="C12" r:id="rId31" xr:uid="{00000000-0004-0000-1800-00001E000000}"/>
    <hyperlink ref="D12" r:id="rId32" xr:uid="{00000000-0004-0000-1800-00001F000000}"/>
    <hyperlink ref="A13" r:id="rId33" xr:uid="{00000000-0004-0000-1800-000020000000}"/>
    <hyperlink ref="C13" r:id="rId34" xr:uid="{00000000-0004-0000-1800-000021000000}"/>
    <hyperlink ref="D13" r:id="rId35" xr:uid="{00000000-0004-0000-1800-000022000000}"/>
    <hyperlink ref="A14" r:id="rId36" xr:uid="{00000000-0004-0000-1800-000023000000}"/>
    <hyperlink ref="C14" r:id="rId37" xr:uid="{00000000-0004-0000-1800-000024000000}"/>
    <hyperlink ref="D14" r:id="rId38" xr:uid="{00000000-0004-0000-1800-000025000000}"/>
    <hyperlink ref="A15" r:id="rId39" xr:uid="{00000000-0004-0000-1800-000026000000}"/>
    <hyperlink ref="D15" r:id="rId40" xr:uid="{00000000-0004-0000-1800-000027000000}"/>
    <hyperlink ref="A16" r:id="rId41" xr:uid="{00000000-0004-0000-1800-000028000000}"/>
    <hyperlink ref="C16" r:id="rId42" xr:uid="{00000000-0004-0000-1800-000029000000}"/>
    <hyperlink ref="D16" r:id="rId43" xr:uid="{00000000-0004-0000-1800-00002A000000}"/>
    <hyperlink ref="A17" r:id="rId44" xr:uid="{00000000-0004-0000-1800-00002B000000}"/>
    <hyperlink ref="C17" r:id="rId45" xr:uid="{00000000-0004-0000-1800-00002C000000}"/>
    <hyperlink ref="D17" r:id="rId46" xr:uid="{00000000-0004-0000-1800-00002D000000}"/>
    <hyperlink ref="A18" r:id="rId47" xr:uid="{00000000-0004-0000-1800-00002E000000}"/>
    <hyperlink ref="C18" r:id="rId48" xr:uid="{00000000-0004-0000-1800-00002F000000}"/>
    <hyperlink ref="D18" r:id="rId49" xr:uid="{00000000-0004-0000-1800-000030000000}"/>
    <hyperlink ref="A19" r:id="rId50" xr:uid="{00000000-0004-0000-1800-000031000000}"/>
    <hyperlink ref="C19" r:id="rId51" xr:uid="{00000000-0004-0000-1800-000032000000}"/>
    <hyperlink ref="D19" r:id="rId52" xr:uid="{00000000-0004-0000-1800-000033000000}"/>
    <hyperlink ref="A20" r:id="rId53" xr:uid="{00000000-0004-0000-1800-000034000000}"/>
    <hyperlink ref="C20" r:id="rId54" xr:uid="{00000000-0004-0000-1800-000035000000}"/>
    <hyperlink ref="D20" r:id="rId55" xr:uid="{00000000-0004-0000-1800-000036000000}"/>
    <hyperlink ref="A21" r:id="rId56" xr:uid="{00000000-0004-0000-1800-000037000000}"/>
    <hyperlink ref="C21" r:id="rId57" xr:uid="{00000000-0004-0000-1800-000038000000}"/>
    <hyperlink ref="D21" r:id="rId58" xr:uid="{00000000-0004-0000-1800-000039000000}"/>
    <hyperlink ref="A22" r:id="rId59" xr:uid="{00000000-0004-0000-1800-00003A000000}"/>
    <hyperlink ref="C22" r:id="rId60" xr:uid="{00000000-0004-0000-1800-00003B000000}"/>
    <hyperlink ref="D22" r:id="rId61" xr:uid="{00000000-0004-0000-1800-00003C000000}"/>
    <hyperlink ref="A23" r:id="rId62" location="entry32473" xr:uid="{00000000-0004-0000-1800-00003D000000}"/>
    <hyperlink ref="C23" r:id="rId63" xr:uid="{00000000-0004-0000-1800-00003E000000}"/>
    <hyperlink ref="D23" r:id="rId64" xr:uid="{00000000-0004-0000-1800-00003F000000}"/>
    <hyperlink ref="A24" r:id="rId65" xr:uid="{00000000-0004-0000-1800-000040000000}"/>
    <hyperlink ref="C24" r:id="rId66" xr:uid="{00000000-0004-0000-1800-000041000000}"/>
    <hyperlink ref="D24" r:id="rId67" xr:uid="{00000000-0004-0000-1800-000042000000}"/>
    <hyperlink ref="A25" r:id="rId68" xr:uid="{00000000-0004-0000-1800-000043000000}"/>
    <hyperlink ref="C25" r:id="rId69" xr:uid="{00000000-0004-0000-1800-000044000000}"/>
    <hyperlink ref="D25" r:id="rId70" xr:uid="{00000000-0004-0000-1800-000045000000}"/>
    <hyperlink ref="A26" r:id="rId71" xr:uid="{00000000-0004-0000-1800-000046000000}"/>
    <hyperlink ref="C26" r:id="rId72" xr:uid="{00000000-0004-0000-1800-000047000000}"/>
    <hyperlink ref="A27" r:id="rId73" xr:uid="{00000000-0004-0000-1800-000048000000}"/>
    <hyperlink ref="C27" r:id="rId74" xr:uid="{00000000-0004-0000-1800-000049000000}"/>
    <hyperlink ref="D27" r:id="rId75" xr:uid="{00000000-0004-0000-1800-00004A000000}"/>
    <hyperlink ref="A28" r:id="rId76" xr:uid="{00000000-0004-0000-1800-00004B000000}"/>
    <hyperlink ref="C28" r:id="rId77" xr:uid="{00000000-0004-0000-1800-00004C000000}"/>
    <hyperlink ref="D28" r:id="rId78" xr:uid="{00000000-0004-0000-1800-00004D000000}"/>
    <hyperlink ref="A29" r:id="rId79" xr:uid="{00000000-0004-0000-1800-00004E000000}"/>
    <hyperlink ref="C29" r:id="rId80" xr:uid="{00000000-0004-0000-1800-00004F000000}"/>
    <hyperlink ref="D29" r:id="rId81" xr:uid="{00000000-0004-0000-1800-000050000000}"/>
    <hyperlink ref="A30" r:id="rId82" xr:uid="{00000000-0004-0000-1800-000051000000}"/>
    <hyperlink ref="C30" r:id="rId83" xr:uid="{00000000-0004-0000-1800-000052000000}"/>
    <hyperlink ref="D30" r:id="rId84" xr:uid="{00000000-0004-0000-1800-000053000000}"/>
    <hyperlink ref="A31" r:id="rId85" xr:uid="{00000000-0004-0000-1800-000054000000}"/>
    <hyperlink ref="C31" r:id="rId86" xr:uid="{00000000-0004-0000-1800-000055000000}"/>
    <hyperlink ref="D31" r:id="rId87" xr:uid="{00000000-0004-0000-1800-000056000000}"/>
    <hyperlink ref="A32" r:id="rId88" xr:uid="{00000000-0004-0000-1800-000057000000}"/>
    <hyperlink ref="C32" r:id="rId89" xr:uid="{00000000-0004-0000-1800-000058000000}"/>
    <hyperlink ref="D32" r:id="rId90" xr:uid="{00000000-0004-0000-1800-000059000000}"/>
  </hyperlinks>
  <pageMargins left="0.7" right="0.7" top="0.75" bottom="0.75" header="0.3" footer="0.3"/>
  <tableParts count="1">
    <tablePart r:id="rId9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League Summary</vt:lpstr>
      <vt:lpstr>FAQ</vt:lpstr>
      <vt:lpstr>S12 Draft</vt:lpstr>
      <vt:lpstr>All</vt:lpstr>
      <vt:lpstr>DVS</vt:lpstr>
      <vt:lpstr>SAS</vt:lpstr>
      <vt:lpstr>VAN</vt:lpstr>
      <vt:lpstr>UTA</vt:lpstr>
      <vt:lpstr>OBX</vt:lpstr>
      <vt:lpstr>NYV</vt:lpstr>
      <vt:lpstr>PRO</vt:lpstr>
      <vt:lpstr>FL</vt:lpstr>
      <vt:lpstr>FA</vt:lpstr>
      <vt:lpstr>Retired</vt:lpstr>
      <vt:lpstr>Draft Picks</vt:lpstr>
      <vt:lpstr>Calc</vt:lpstr>
      <vt:lpstr>Analysis</vt:lpstr>
      <vt:lpstr>Dump</vt:lpstr>
      <vt:lpstr>S11 Draft</vt:lpstr>
      <vt:lpstr>Arkusz12</vt:lpstr>
      <vt:lpstr>Updates</vt:lpstr>
      <vt:lpstr>S8 Draftees</vt:lpstr>
      <vt:lpstr>S7Draftees</vt:lpstr>
      <vt:lpstr>All Players Outdated</vt:lpstr>
      <vt:lpstr>S6 Draftees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Valian</dc:creator>
  <cp:lastModifiedBy>Microsoft Office User</cp:lastModifiedBy>
  <dcterms:created xsi:type="dcterms:W3CDTF">2019-05-17T16:37:34Z</dcterms:created>
  <dcterms:modified xsi:type="dcterms:W3CDTF">2019-05-17T18:12:19Z</dcterms:modified>
</cp:coreProperties>
</file>