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e40a0823f1eac32/Documentos/Well_Project/Archivos_ej/"/>
    </mc:Choice>
  </mc:AlternateContent>
  <xr:revisionPtr revIDLastSave="11" documentId="13_ncr:1_{C3B7847E-598E-42E2-924C-AACA2E11339C}" xr6:coauthVersionLast="47" xr6:coauthVersionMax="47" xr10:uidLastSave="{D376C290-034D-4355-B1A5-1C59491B04F1}"/>
  <bookViews>
    <workbookView xWindow="-108" yWindow="-108" windowWidth="23256" windowHeight="12456" activeTab="3" xr2:uid="{00000000-000D-0000-FFFF-FFFF00000000}"/>
  </bookViews>
  <sheets>
    <sheet name="Ingreso de Datos" sheetId="22" r:id="rId1"/>
    <sheet name="Formaciones" sheetId="21" r:id="rId2"/>
    <sheet name="DATOS DE GRAFICOS" sheetId="1" r:id="rId3"/>
    <sheet name="Estado Mecanico" sheetId="40" r:id="rId4"/>
  </sheets>
  <definedNames>
    <definedName name="_xlcn.WorksheetConnection_Hoja1P6S281" hidden="1">'DATOS DE GRAFICOS'!$T$8:$W$23</definedName>
    <definedName name="Admin" localSheetId="1">#REF!</definedName>
    <definedName name="Admin">#REF!</definedName>
    <definedName name="_xlnm.Extract" localSheetId="1">#REF!</definedName>
    <definedName name="_xlnm.Extract">#REF!</definedName>
    <definedName name="_xlnm.Print_Area" localSheetId="3">'Estado Mecanico'!$A$1:$N$123</definedName>
    <definedName name="asdf" localSheetId="3">#REF!</definedName>
    <definedName name="asdf" localSheetId="1">#REF!</definedName>
    <definedName name="asdf">#REF!</definedName>
    <definedName name="_xlnm.Database" localSheetId="3">#REF!</definedName>
    <definedName name="_xlnm.Database" localSheetId="1">#REF!</definedName>
    <definedName name="_xlnm.Database">#REF!</definedName>
    <definedName name="Bits" localSheetId="1">#REF!</definedName>
    <definedName name="Bits">#REF!</definedName>
    <definedName name="Casing_Accessories" localSheetId="1">#REF!</definedName>
    <definedName name="Casing_Accessories">#REF!</definedName>
    <definedName name="Cement" localSheetId="1">#REF!</definedName>
    <definedName name="Cement">#REF!</definedName>
    <definedName name="Communications" localSheetId="1">#REF!</definedName>
    <definedName name="Communications">#REF!</definedName>
    <definedName name="Comp._Days" localSheetId="3">#REF!</definedName>
    <definedName name="Comp._Days" localSheetId="1">#REF!</definedName>
    <definedName name="Comp._Days">#REF!</definedName>
    <definedName name="comp._days_2" localSheetId="3">#REF!</definedName>
    <definedName name="comp._days_2" localSheetId="1">#REF!</definedName>
    <definedName name="comp._days_2">#REF!</definedName>
    <definedName name="Completion_Svcs" localSheetId="1">#REF!</definedName>
    <definedName name="Completion_Svcs">#REF!</definedName>
    <definedName name="Contingency" localSheetId="1">#REF!</definedName>
    <definedName name="Contingency">#REF!</definedName>
    <definedName name="Contract_Services" localSheetId="1">#REF!</definedName>
    <definedName name="Contract_Services">#REF!</definedName>
    <definedName name="Curva" localSheetId="1">#REF!</definedName>
    <definedName name="Curva">#REF!</definedName>
    <definedName name="Date" localSheetId="3">#REF!</definedName>
    <definedName name="Date" localSheetId="1">#REF!</definedName>
    <definedName name="Date">#REF!</definedName>
    <definedName name="Datos" localSheetId="3">#REF!</definedName>
    <definedName name="Datos" localSheetId="1">#REF!</definedName>
    <definedName name="Datos">#REF!</definedName>
    <definedName name="dd" localSheetId="3">#REF!</definedName>
    <definedName name="dd" localSheetId="1">#REF!</definedName>
    <definedName name="dd">#REF!</definedName>
    <definedName name="Directional" localSheetId="1">#REF!</definedName>
    <definedName name="Directional">#REF!</definedName>
    <definedName name="Downhole_prod_equip" localSheetId="1">#REF!</definedName>
    <definedName name="Downhole_prod_equip">#REF!</definedName>
    <definedName name="Drilling_Days" localSheetId="3">#REF!</definedName>
    <definedName name="Drilling_Days" localSheetId="1">#REF!</definedName>
    <definedName name="Drilling_Days">#REF!</definedName>
    <definedName name="Drlg_Comp_Fluids" localSheetId="1">#REF!</definedName>
    <definedName name="Drlg_Comp_Fluids">#REF!</definedName>
    <definedName name="Environmental" localSheetId="1">#REF!</definedName>
    <definedName name="Environmental">#REF!</definedName>
    <definedName name="Equipment_Rental" localSheetId="1">#REF!</definedName>
    <definedName name="Equipment_Rental">#REF!</definedName>
    <definedName name="Fishing" localSheetId="1">#REF!</definedName>
    <definedName name="Fishing">#REF!</definedName>
    <definedName name="Fuel_Water_Power" localSheetId="1">#REF!</definedName>
    <definedName name="Fuel_Water_Power">#REF!</definedName>
    <definedName name="Location" localSheetId="1">#REF!</definedName>
    <definedName name="Location">#REF!</definedName>
    <definedName name="Logging" localSheetId="1">#REF!</definedName>
    <definedName name="Logging">#REF!</definedName>
    <definedName name="Lost_Damaged_equip" localSheetId="1">#REF!</definedName>
    <definedName name="Lost_Damaged_equip">#REF!</definedName>
    <definedName name="Misc" localSheetId="1">#REF!</definedName>
    <definedName name="Misc">#REF!</definedName>
    <definedName name="Mob" localSheetId="1">#REF!</definedName>
    <definedName name="Mob">#REF!</definedName>
    <definedName name="PA_Days" localSheetId="3">#REF!</definedName>
    <definedName name="PA_Days" localSheetId="1">#REF!</definedName>
    <definedName name="PA_Days">#REF!</definedName>
    <definedName name="Perforating" localSheetId="1">#REF!</definedName>
    <definedName name="Perforating">#REF!</definedName>
    <definedName name="Print_Area_MI" localSheetId="1">#REF!</definedName>
    <definedName name="Print_Area_MI">#REF!</definedName>
    <definedName name="PRINT_TITLES_MI" localSheetId="1">#REF!</definedName>
    <definedName name="PRINT_TITLES_MI">#REF!</definedName>
    <definedName name="Rig" localSheetId="1">#REF!</definedName>
    <definedName name="Rig">#REF!</definedName>
    <definedName name="Shorebase" localSheetId="1">#REF!</definedName>
    <definedName name="Shorebase">#REF!</definedName>
    <definedName name="Stim_Sand_Control" localSheetId="1">#REF!</definedName>
    <definedName name="Stim_Sand_Control">#REF!</definedName>
    <definedName name="Supervision" localSheetId="1">#REF!</definedName>
    <definedName name="Supervision">#REF!</definedName>
    <definedName name="Total_Intangibles" localSheetId="1">#REF!</definedName>
    <definedName name="Total_Intangibles">#REF!</definedName>
    <definedName name="Total_Tangibles" localSheetId="1">#REF!</definedName>
    <definedName name="Total_Tangibles">#REF!</definedName>
    <definedName name="Transportation" localSheetId="1">#REF!</definedName>
    <definedName name="Transportation">#REF!</definedName>
    <definedName name="Tubular_Wellhead_Svcs" localSheetId="1">#REF!</definedName>
    <definedName name="Tubular_Wellhead_Svcs">#REF!</definedName>
    <definedName name="Tubulars" localSheetId="1">#REF!</definedName>
    <definedName name="Tubulars">#REF!</definedName>
    <definedName name="vbg" localSheetId="3">#REF!</definedName>
    <definedName name="vbg" localSheetId="1">#REF!</definedName>
    <definedName name="vbg">#REF!</definedName>
    <definedName name="wdf" localSheetId="3">#REF!</definedName>
    <definedName name="wdf" localSheetId="1">#REF!</definedName>
    <definedName name="wdf">#REF!</definedName>
    <definedName name="Wellhead" localSheetId="1">#REF!</definedName>
    <definedName name="Wellhead">#REF!</definedName>
    <definedName name="Wellsite_accom" localSheetId="1">#REF!</definedName>
    <definedName name="Wellsite_accom">#REF!</definedName>
    <definedName name="xxxxx" localSheetId="3">#REF!</definedName>
    <definedName name="xxxxx" localSheetId="1">#REF!</definedName>
    <definedName name="xx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P$6:$S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0" l="1"/>
  <c r="H78" i="40"/>
  <c r="H32" i="40"/>
  <c r="Q53" i="22"/>
  <c r="M53" i="22"/>
  <c r="D54" i="22" l="1"/>
  <c r="C28" i="40" l="1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9" i="40"/>
  <c r="C50" i="40"/>
  <c r="C51" i="40"/>
  <c r="C52" i="40"/>
  <c r="C53" i="40"/>
  <c r="C55" i="40"/>
  <c r="C58" i="40"/>
  <c r="C65" i="40"/>
  <c r="C75" i="40"/>
  <c r="C79" i="40"/>
  <c r="C81" i="40"/>
  <c r="C82" i="40"/>
  <c r="C83" i="40"/>
  <c r="C85" i="40"/>
  <c r="M52" i="22"/>
  <c r="D102" i="1"/>
  <c r="D87" i="1"/>
  <c r="J51" i="22" l="1"/>
  <c r="J55" i="22"/>
  <c r="J56" i="22"/>
  <c r="J57" i="22"/>
  <c r="J58" i="22"/>
  <c r="A19" i="21"/>
  <c r="B19" i="21"/>
  <c r="B21" i="22"/>
  <c r="C16" i="22"/>
  <c r="C17" i="22"/>
  <c r="C18" i="22"/>
  <c r="C19" i="22"/>
  <c r="C20" i="22"/>
  <c r="D85" i="1" l="1"/>
  <c r="Q52" i="22"/>
  <c r="Q51" i="22"/>
  <c r="M51" i="2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C113" i="40"/>
  <c r="C111" i="40"/>
  <c r="C110" i="40"/>
  <c r="C109" i="40"/>
  <c r="C106" i="40"/>
  <c r="C105" i="40"/>
  <c r="C104" i="40"/>
  <c r="C103" i="40"/>
  <c r="C102" i="40"/>
  <c r="C101" i="40"/>
  <c r="C100" i="40"/>
  <c r="C99" i="40"/>
  <c r="C98" i="40"/>
  <c r="C97" i="40"/>
  <c r="C95" i="40"/>
  <c r="C93" i="40"/>
  <c r="C92" i="40"/>
  <c r="C91" i="40"/>
  <c r="C90" i="40"/>
  <c r="C89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E86" i="1"/>
  <c r="E12" i="1" l="1"/>
  <c r="E13" i="1"/>
  <c r="E14" i="1"/>
  <c r="E15" i="1"/>
  <c r="E16" i="1"/>
  <c r="E17" i="1"/>
  <c r="E18" i="1"/>
  <c r="E19" i="1"/>
  <c r="E20" i="1"/>
  <c r="E21" i="1"/>
  <c r="E22" i="1"/>
  <c r="E11" i="1"/>
  <c r="E10" i="1"/>
  <c r="C116" i="40"/>
  <c r="C117" i="40"/>
  <c r="C118" i="40"/>
  <c r="C119" i="40"/>
  <c r="C120" i="40"/>
  <c r="C121" i="40"/>
  <c r="C1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33" i="40"/>
  <c r="F9" i="1" l="1"/>
  <c r="F90" i="1"/>
  <c r="E135" i="40" l="1"/>
  <c r="C56" i="40" l="1"/>
  <c r="H147" i="40"/>
  <c r="D60" i="22"/>
  <c r="I21" i="1" s="1"/>
  <c r="N37" i="1"/>
  <c r="M74" i="1"/>
  <c r="M69" i="1"/>
  <c r="M64" i="1"/>
  <c r="M59" i="1"/>
  <c r="M54" i="1"/>
  <c r="M49" i="1"/>
  <c r="M44" i="1"/>
  <c r="M39" i="1"/>
  <c r="W74" i="1"/>
  <c r="W69" i="1"/>
  <c r="W64" i="1"/>
  <c r="W59" i="1"/>
  <c r="W54" i="1"/>
  <c r="W49" i="1"/>
  <c r="W44" i="1"/>
  <c r="W39" i="1"/>
  <c r="R74" i="1"/>
  <c r="R69" i="1"/>
  <c r="R64" i="1"/>
  <c r="R59" i="1"/>
  <c r="R54" i="1"/>
  <c r="R49" i="1"/>
  <c r="R44" i="1"/>
  <c r="R39" i="1"/>
  <c r="H74" i="1"/>
  <c r="H69" i="1"/>
  <c r="H64" i="1"/>
  <c r="H59" i="1"/>
  <c r="H54" i="1"/>
  <c r="H49" i="1"/>
  <c r="H44" i="1"/>
  <c r="H39" i="1"/>
  <c r="C74" i="1"/>
  <c r="C69" i="1"/>
  <c r="C64" i="1"/>
  <c r="C59" i="1"/>
  <c r="C54" i="1"/>
  <c r="C49" i="1"/>
  <c r="C44" i="1"/>
  <c r="C39" i="1"/>
  <c r="C7" i="1"/>
  <c r="O51" i="22"/>
  <c r="K41" i="1" s="1"/>
  <c r="H52" i="22"/>
  <c r="I53" i="22" s="1"/>
  <c r="H54" i="22"/>
  <c r="I55" i="22"/>
  <c r="G50" i="22"/>
  <c r="E51" i="22"/>
  <c r="K53" i="22"/>
  <c r="K54" i="22"/>
  <c r="Z57" i="1" s="1"/>
  <c r="K55" i="22"/>
  <c r="K56" i="22"/>
  <c r="F67" i="1" s="1"/>
  <c r="K57" i="22"/>
  <c r="K58" i="22"/>
  <c r="K51" i="22"/>
  <c r="K42" i="1" s="1"/>
  <c r="I51" i="22"/>
  <c r="M56" i="22"/>
  <c r="O56" i="22" s="1"/>
  <c r="F66" i="1" s="1"/>
  <c r="N56" i="22"/>
  <c r="H51" i="22"/>
  <c r="I52" i="22" s="1"/>
  <c r="H57" i="22"/>
  <c r="H56" i="22"/>
  <c r="H55" i="22"/>
  <c r="I56" i="22"/>
  <c r="H58" i="22"/>
  <c r="E55" i="22"/>
  <c r="E56" i="22"/>
  <c r="E57" i="22"/>
  <c r="E58" i="22"/>
  <c r="E52" i="22"/>
  <c r="I57" i="22"/>
  <c r="I58" i="22"/>
  <c r="K52" i="22"/>
  <c r="P47" i="1" s="1"/>
  <c r="X37" i="1"/>
  <c r="S37" i="1"/>
  <c r="I37" i="1"/>
  <c r="H7" i="1"/>
  <c r="H11" i="1"/>
  <c r="H15" i="1"/>
  <c r="H19" i="1"/>
  <c r="F54" i="22"/>
  <c r="F55" i="22"/>
  <c r="F56" i="22"/>
  <c r="F57" i="22"/>
  <c r="F58" i="22"/>
  <c r="F52" i="22"/>
  <c r="F51" i="22"/>
  <c r="C47" i="22"/>
  <c r="D47" i="22" s="1"/>
  <c r="E47" i="22" s="1"/>
  <c r="F47" i="22" s="1"/>
  <c r="G47" i="22" s="1"/>
  <c r="A6" i="21"/>
  <c r="A7" i="21"/>
  <c r="A8" i="21"/>
  <c r="A9" i="21"/>
  <c r="A10" i="21"/>
  <c r="A11" i="21"/>
  <c r="A12" i="21"/>
  <c r="A13" i="21"/>
  <c r="C17" i="1" s="1"/>
  <c r="A14" i="21"/>
  <c r="A15" i="21"/>
  <c r="A16" i="21"/>
  <c r="A17" i="21"/>
  <c r="A18" i="21"/>
  <c r="F6" i="22"/>
  <c r="E136" i="40"/>
  <c r="E137" i="40"/>
  <c r="E138" i="40"/>
  <c r="E139" i="40"/>
  <c r="E140" i="40"/>
  <c r="E141" i="40"/>
  <c r="E142" i="40"/>
  <c r="E143" i="40"/>
  <c r="E144" i="40"/>
  <c r="C80" i="40" s="1"/>
  <c r="E145" i="40"/>
  <c r="C88" i="40" s="1"/>
  <c r="E146" i="40"/>
  <c r="E134" i="40"/>
  <c r="C48" i="40" s="1"/>
  <c r="A5" i="21"/>
  <c r="C10" i="22"/>
  <c r="B10" i="1"/>
  <c r="F10" i="1" s="1"/>
  <c r="E9" i="1"/>
  <c r="F89" i="1" s="1"/>
  <c r="M55" i="22"/>
  <c r="O55" i="22" s="1"/>
  <c r="N55" i="22"/>
  <c r="M57" i="22"/>
  <c r="O57" i="22" s="1"/>
  <c r="N57" i="22"/>
  <c r="M58" i="22"/>
  <c r="O58" i="22" s="1"/>
  <c r="N58" i="22"/>
  <c r="G88" i="1"/>
  <c r="Q55" i="22"/>
  <c r="R55" i="22"/>
  <c r="Q58" i="22"/>
  <c r="R58" i="22"/>
  <c r="Q57" i="22"/>
  <c r="R57" i="22"/>
  <c r="Q56" i="22"/>
  <c r="R56" i="22"/>
  <c r="E53" i="22"/>
  <c r="E54" i="22"/>
  <c r="F53" i="22"/>
  <c r="H53" i="22"/>
  <c r="I54" i="22" s="1"/>
  <c r="C59" i="40" l="1"/>
  <c r="C87" i="40"/>
  <c r="C86" i="40"/>
  <c r="C76" i="40"/>
  <c r="C78" i="40"/>
  <c r="C72" i="40"/>
  <c r="C64" i="40"/>
  <c r="C61" i="40"/>
  <c r="C63" i="40"/>
  <c r="C57" i="40"/>
  <c r="C60" i="40"/>
  <c r="C114" i="40"/>
  <c r="C112" i="40"/>
  <c r="C96" i="40"/>
  <c r="C108" i="40"/>
  <c r="C94" i="40"/>
  <c r="D25" i="1"/>
  <c r="J52" i="22"/>
  <c r="F47" i="1"/>
  <c r="J23" i="1"/>
  <c r="J54" i="22"/>
  <c r="J53" i="22"/>
  <c r="K47" i="1"/>
  <c r="N52" i="22"/>
  <c r="D100" i="1"/>
  <c r="D99" i="1"/>
  <c r="D101" i="1"/>
  <c r="D98" i="1"/>
  <c r="D97" i="1"/>
  <c r="D96" i="1"/>
  <c r="D90" i="1"/>
  <c r="D95" i="1"/>
  <c r="D91" i="1"/>
  <c r="D105" i="1"/>
  <c r="D94" i="1"/>
  <c r="M54" i="22"/>
  <c r="D93" i="1"/>
  <c r="D86" i="1"/>
  <c r="D92" i="1"/>
  <c r="C20" i="1"/>
  <c r="C22" i="1"/>
  <c r="C21" i="1"/>
  <c r="C16" i="1"/>
  <c r="C15" i="1"/>
  <c r="C14" i="1"/>
  <c r="C10" i="1"/>
  <c r="C19" i="1"/>
  <c r="C13" i="1"/>
  <c r="C12" i="1"/>
  <c r="C11" i="1"/>
  <c r="B11" i="1"/>
  <c r="D10" i="1" s="1"/>
  <c r="F57" i="1"/>
  <c r="C8" i="1"/>
  <c r="C9" i="1" s="1"/>
  <c r="F72" i="1"/>
  <c r="F77" i="1"/>
  <c r="U52" i="1"/>
  <c r="C18" i="1"/>
  <c r="E133" i="40"/>
  <c r="H47" i="22"/>
  <c r="F62" i="1"/>
  <c r="C115" i="40"/>
  <c r="F42" i="1"/>
  <c r="N51" i="22"/>
  <c r="P48" i="1"/>
  <c r="R51" i="22"/>
  <c r="F52" i="1"/>
  <c r="C3" i="40"/>
  <c r="F61" i="1"/>
  <c r="F76" i="1"/>
  <c r="F71" i="1"/>
  <c r="F41" i="1"/>
  <c r="O52" i="22" l="1"/>
  <c r="K46" i="1" s="1"/>
  <c r="I47" i="22"/>
  <c r="E8" i="1"/>
  <c r="C6" i="40"/>
  <c r="F11" i="1"/>
  <c r="B12" i="1"/>
  <c r="Z58" i="1"/>
  <c r="F73" i="1"/>
  <c r="F78" i="1"/>
  <c r="F48" i="1"/>
  <c r="F68" i="1"/>
  <c r="U53" i="1"/>
  <c r="F43" i="1"/>
  <c r="K43" i="1"/>
  <c r="F63" i="1"/>
  <c r="K48" i="1"/>
  <c r="F53" i="1"/>
  <c r="F58" i="1"/>
  <c r="R52" i="22" l="1"/>
  <c r="F46" i="1"/>
  <c r="P46" i="1"/>
  <c r="J47" i="22"/>
  <c r="I15" i="1" s="1"/>
  <c r="F88" i="1"/>
  <c r="H88" i="1" s="1"/>
  <c r="O53" i="22"/>
  <c r="O54" i="22"/>
  <c r="D11" i="1"/>
  <c r="F12" i="1"/>
  <c r="B13" i="1"/>
  <c r="F100" i="1"/>
  <c r="G86" i="1" l="1"/>
  <c r="H86" i="1" s="1"/>
  <c r="K47" i="22"/>
  <c r="L47" i="22" s="1"/>
  <c r="M47" i="22" s="1"/>
  <c r="N47" i="22" s="1"/>
  <c r="I7" i="1"/>
  <c r="I11" i="1"/>
  <c r="G102" i="1" s="1"/>
  <c r="I19" i="1"/>
  <c r="R53" i="22"/>
  <c r="Q54" i="22"/>
  <c r="R54" i="22" s="1"/>
  <c r="N54" i="22"/>
  <c r="N53" i="22"/>
  <c r="F13" i="1"/>
  <c r="B14" i="1"/>
  <c r="D12" i="1"/>
  <c r="Z56" i="1"/>
  <c r="F56" i="1"/>
  <c r="F95" i="1"/>
  <c r="U51" i="1"/>
  <c r="F51" i="1"/>
  <c r="F105" i="1"/>
  <c r="F96" i="1"/>
  <c r="F93" i="1"/>
  <c r="F98" i="1"/>
  <c r="F91" i="1"/>
  <c r="F101" i="1"/>
  <c r="G87" i="1" l="1"/>
  <c r="F87" i="1"/>
  <c r="J47" i="1"/>
  <c r="J44" i="1" s="1"/>
  <c r="E72" i="1"/>
  <c r="E69" i="1" s="1"/>
  <c r="E47" i="1"/>
  <c r="E44" i="1" s="1"/>
  <c r="O47" i="1"/>
  <c r="O44" i="1" s="1"/>
  <c r="E42" i="1"/>
  <c r="E39" i="1" s="1"/>
  <c r="E62" i="1"/>
  <c r="E59" i="1" s="1"/>
  <c r="E52" i="1"/>
  <c r="E49" i="1" s="1"/>
  <c r="E57" i="1"/>
  <c r="E54" i="1" s="1"/>
  <c r="E77" i="1"/>
  <c r="E74" i="1" s="1"/>
  <c r="J42" i="1"/>
  <c r="J39" i="1" s="1"/>
  <c r="E67" i="1"/>
  <c r="E64" i="1" s="1"/>
  <c r="O47" i="22"/>
  <c r="P47" i="22" s="1"/>
  <c r="Q47" i="22" s="1"/>
  <c r="R47" i="22" s="1"/>
  <c r="O46" i="1" s="1"/>
  <c r="F102" i="1"/>
  <c r="F103" i="1" s="1"/>
  <c r="F104" i="1"/>
  <c r="G103" i="1"/>
  <c r="D103" i="1" s="1"/>
  <c r="G104" i="1"/>
  <c r="D88" i="1"/>
  <c r="T52" i="1"/>
  <c r="T49" i="1" s="1"/>
  <c r="Y57" i="1"/>
  <c r="Y54" i="1" s="1"/>
  <c r="F14" i="1"/>
  <c r="B15" i="1"/>
  <c r="D13" i="1"/>
  <c r="G92" i="1"/>
  <c r="F92" i="1"/>
  <c r="F99" i="1"/>
  <c r="F94" i="1"/>
  <c r="F97" i="1"/>
  <c r="G90" i="1"/>
  <c r="G91" i="1"/>
  <c r="H91" i="1" s="1"/>
  <c r="H87" i="1" l="1"/>
  <c r="T51" i="1"/>
  <c r="T50" i="1" s="1"/>
  <c r="T53" i="1" s="1"/>
  <c r="O45" i="1"/>
  <c r="O48" i="1" s="1"/>
  <c r="Y56" i="1"/>
  <c r="Y55" i="1" s="1"/>
  <c r="Y58" i="1" s="1"/>
  <c r="E66" i="1"/>
  <c r="E65" i="1" s="1"/>
  <c r="E68" i="1" s="1"/>
  <c r="E51" i="1"/>
  <c r="E50" i="1" s="1"/>
  <c r="E53" i="1" s="1"/>
  <c r="E41" i="1"/>
  <c r="E40" i="1" s="1"/>
  <c r="E43" i="1" s="1"/>
  <c r="J41" i="1"/>
  <c r="J40" i="1" s="1"/>
  <c r="J43" i="1" s="1"/>
  <c r="E56" i="1"/>
  <c r="E55" i="1" s="1"/>
  <c r="E58" i="1" s="1"/>
  <c r="E61" i="1"/>
  <c r="E60" i="1" s="1"/>
  <c r="J46" i="1"/>
  <c r="J45" i="1" s="1"/>
  <c r="J48" i="1" s="1"/>
  <c r="E46" i="1"/>
  <c r="E45" i="1" s="1"/>
  <c r="E48" i="1" s="1"/>
  <c r="E76" i="1"/>
  <c r="E75" i="1" s="1"/>
  <c r="E78" i="1" s="1"/>
  <c r="E71" i="1"/>
  <c r="E70" i="1" s="1"/>
  <c r="E73" i="1" s="1"/>
  <c r="D104" i="1"/>
  <c r="H104" i="1"/>
  <c r="H102" i="1"/>
  <c r="H103" i="1"/>
  <c r="F15" i="1"/>
  <c r="G95" i="1" s="1"/>
  <c r="H95" i="1" s="1"/>
  <c r="B16" i="1"/>
  <c r="D14" i="1"/>
  <c r="G94" i="1"/>
  <c r="H94" i="1" s="1"/>
  <c r="H92" i="1"/>
  <c r="G93" i="1"/>
  <c r="H93" i="1" s="1"/>
  <c r="H90" i="1"/>
  <c r="E63" i="1" l="1"/>
  <c r="D15" i="1"/>
  <c r="F16" i="1"/>
  <c r="G96" i="1" s="1"/>
  <c r="B17" i="1"/>
  <c r="D9" i="1"/>
  <c r="G89" i="1"/>
  <c r="D89" i="1" s="1"/>
  <c r="H96" i="1" l="1"/>
  <c r="D16" i="1"/>
  <c r="F17" i="1"/>
  <c r="G97" i="1" s="1"/>
  <c r="H97" i="1" s="1"/>
  <c r="B18" i="1"/>
  <c r="H89" i="1"/>
  <c r="D17" i="1" l="1"/>
  <c r="F18" i="1"/>
  <c r="G98" i="1" s="1"/>
  <c r="H98" i="1" s="1"/>
  <c r="B19" i="1"/>
  <c r="F19" i="1" l="1"/>
  <c r="G99" i="1" s="1"/>
  <c r="H99" i="1" s="1"/>
  <c r="D18" i="1"/>
  <c r="B20" i="1"/>
  <c r="D19" i="1" l="1"/>
  <c r="F20" i="1"/>
  <c r="B21" i="1"/>
  <c r="D20" i="1" l="1"/>
  <c r="G100" i="1"/>
  <c r="H100" i="1" s="1"/>
  <c r="F21" i="1"/>
  <c r="B22" i="1"/>
  <c r="B23" i="1" l="1"/>
  <c r="G105" i="1" s="1"/>
  <c r="F22" i="1"/>
  <c r="D21" i="1"/>
  <c r="G101" i="1"/>
  <c r="H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C7209-2912-4AE7-92FC-FA977381616F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Hoja1!$P$6:$S$28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P6S281"/>
        </x15:connection>
      </ext>
    </extLst>
  </connection>
</connections>
</file>

<file path=xl/sharedStrings.xml><?xml version="1.0" encoding="utf-8"?>
<sst xmlns="http://schemas.openxmlformats.org/spreadsheetml/2006/main" count="271" uniqueCount="137">
  <si>
    <t>Formación</t>
  </si>
  <si>
    <t>MD (ft)</t>
  </si>
  <si>
    <t>Tope</t>
  </si>
  <si>
    <t>Base</t>
  </si>
  <si>
    <t>TD</t>
  </si>
  <si>
    <t>Longitud</t>
  </si>
  <si>
    <t>Lechada Relleno</t>
  </si>
  <si>
    <t>Lechada Principal</t>
  </si>
  <si>
    <t>Intervalo Sin Cemento</t>
  </si>
  <si>
    <t>BASE</t>
  </si>
  <si>
    <t>GRAFICO DE CEMENTO</t>
  </si>
  <si>
    <t>GRAFICO DE FORMACIONES</t>
  </si>
  <si>
    <t>GRAFICO DE LODO</t>
  </si>
  <si>
    <t>Profundidades - Pozo Productor</t>
  </si>
  <si>
    <t>Fase 1</t>
  </si>
  <si>
    <t>Fase 2</t>
  </si>
  <si>
    <t>MW (ppg)</t>
  </si>
  <si>
    <t>CASING</t>
  </si>
  <si>
    <t>GRAFICO DE CASING</t>
  </si>
  <si>
    <t xml:space="preserve">Longitud </t>
  </si>
  <si>
    <t>Objetivo Primario</t>
  </si>
  <si>
    <t>OBJETIVOS</t>
  </si>
  <si>
    <t>FORMACIÓN</t>
  </si>
  <si>
    <t>Formación Tope</t>
  </si>
  <si>
    <t xml:space="preserve"> </t>
  </si>
  <si>
    <t>Fm. Guayabo</t>
  </si>
  <si>
    <t>Fm. León</t>
  </si>
  <si>
    <t>Fm. Guadalupe</t>
  </si>
  <si>
    <t>Fm. Gacheta</t>
  </si>
  <si>
    <t>Fm. Ubaque</t>
  </si>
  <si>
    <t>NA</t>
  </si>
  <si>
    <t>Pozo</t>
  </si>
  <si>
    <t>Fecha</t>
  </si>
  <si>
    <t>ft.</t>
  </si>
  <si>
    <t>Fm. Carbonera C1</t>
  </si>
  <si>
    <t>Fm. Carbonera C2</t>
  </si>
  <si>
    <t>Fm. Carbonera C3</t>
  </si>
  <si>
    <t>Fm. Carbonera C4</t>
  </si>
  <si>
    <t>Fm. Carbonera C6</t>
  </si>
  <si>
    <t>Fm. Carbonera C7</t>
  </si>
  <si>
    <t>Fm. Carbonera C8</t>
  </si>
  <si>
    <t>Fm. Carbonera C5</t>
  </si>
  <si>
    <t>Datos Archivo 
MD</t>
  </si>
  <si>
    <t>Perfil Direccional</t>
  </si>
  <si>
    <t xml:space="preserve">Elevación Terreno </t>
  </si>
  <si>
    <t>Altura Mesa Rotaria</t>
  </si>
  <si>
    <t>Elevación RT</t>
  </si>
  <si>
    <t>Fase I</t>
  </si>
  <si>
    <t>Fase II</t>
  </si>
  <si>
    <t>Fase III</t>
  </si>
  <si>
    <t>Fase IV</t>
  </si>
  <si>
    <t>Fase V</t>
  </si>
  <si>
    <t>Fase VI</t>
  </si>
  <si>
    <t>Fase VII</t>
  </si>
  <si>
    <t>TOPE
(ft)</t>
  </si>
  <si>
    <t>SECCIONES</t>
  </si>
  <si>
    <t>FORMACIONES Y OBJETIVOS</t>
  </si>
  <si>
    <t>Objetivo Secundario 1</t>
  </si>
  <si>
    <t>Objetivo Secundario 2</t>
  </si>
  <si>
    <t>Objetivo Secundario 3</t>
  </si>
  <si>
    <t>Objetivo Secundario 4</t>
  </si>
  <si>
    <t>Objetivos</t>
  </si>
  <si>
    <t>O.P.</t>
  </si>
  <si>
    <t>O.S.-1</t>
  </si>
  <si>
    <t>O.S.-2</t>
  </si>
  <si>
    <t>O.S.-3</t>
  </si>
  <si>
    <t>O.S.-4</t>
  </si>
  <si>
    <t>ESTADO MECÁNICO</t>
  </si>
  <si>
    <t>INFORMACIÓN DE POZO</t>
  </si>
  <si>
    <t>TD Grafico</t>
  </si>
  <si>
    <t>DIÁMETRO
(in)</t>
  </si>
  <si>
    <t>HUECO</t>
  </si>
  <si>
    <t>I</t>
  </si>
  <si>
    <t>HORIZONTAL</t>
  </si>
  <si>
    <t>CAPACIDA
(bls/ft)</t>
  </si>
  <si>
    <t>LONG. SECCIÓN
(ft)</t>
  </si>
  <si>
    <t>PROFUNDIDAD
(ft)</t>
  </si>
  <si>
    <t>BASE
(ft)</t>
  </si>
  <si>
    <t>CONDUCTOR</t>
  </si>
  <si>
    <t>CEMENTACIÓN</t>
  </si>
  <si>
    <t>Lechad. Principal 
Tope (ft)</t>
  </si>
  <si>
    <t>Lechad. Relleno
Tope (ft</t>
  </si>
  <si>
    <t>REGISTROS</t>
  </si>
  <si>
    <t>Long. L. Principal
 (ft)</t>
  </si>
  <si>
    <t>LONGITUD
(ft)</t>
  </si>
  <si>
    <t>Valor Grafico</t>
  </si>
  <si>
    <r>
      <t xml:space="preserve">FORMACIÓN
TOPE A CUBRIR 
</t>
    </r>
    <r>
      <rPr>
        <b/>
        <sz val="9"/>
        <color theme="7" tint="0.79998168889431442"/>
        <rFont val="Calibri"/>
        <family val="2"/>
        <scheme val="minor"/>
      </rPr>
      <t>Lechada Principal</t>
    </r>
  </si>
  <si>
    <r>
      <t xml:space="preserve">FORMACIÓN
TOPE A CUBRIR
</t>
    </r>
    <r>
      <rPr>
        <b/>
        <sz val="9"/>
        <color theme="7" tint="0.79998168889431442"/>
        <rFont val="Calibri"/>
        <family val="2"/>
        <scheme val="minor"/>
      </rPr>
      <t>Lechada Relleno</t>
    </r>
  </si>
  <si>
    <t>Lechada Principal 
Base (ft)</t>
  </si>
  <si>
    <t>Lechada Relleno 
Base (ft)</t>
  </si>
  <si>
    <t>SUPERFICIE</t>
  </si>
  <si>
    <t>Prof. Lech. Princ. Sup.</t>
  </si>
  <si>
    <t>Long. L. Relleno
 (ft)</t>
  </si>
  <si>
    <t>TIPO DE REVESTIMIENTO</t>
  </si>
  <si>
    <t>REVESTIMIENTO</t>
  </si>
  <si>
    <t>LINER</t>
  </si>
  <si>
    <t>OVERLAP (ft)</t>
  </si>
  <si>
    <t>Liner CONDUCTOR</t>
  </si>
  <si>
    <t>Liner Fase I</t>
  </si>
  <si>
    <t>Liner Fase II</t>
  </si>
  <si>
    <t>Liner Fase III</t>
  </si>
  <si>
    <t>Liner Fase IV</t>
  </si>
  <si>
    <t>Liner Fase V</t>
  </si>
  <si>
    <t>Liner Fase VI</t>
  </si>
  <si>
    <t>Liner Fase VII</t>
  </si>
  <si>
    <t>Casing sin Cemento</t>
  </si>
  <si>
    <t>Intervalo Grafico</t>
  </si>
  <si>
    <t>COMPLILADO</t>
  </si>
  <si>
    <t>MD</t>
  </si>
  <si>
    <t>FORMACIONES</t>
  </si>
  <si>
    <t>BROCAS</t>
  </si>
  <si>
    <t>HUECO
(in)</t>
  </si>
  <si>
    <t>INTERVALO
(ft)</t>
  </si>
  <si>
    <t>LODO
(ppg)</t>
  </si>
  <si>
    <t>CASING / LINER</t>
  </si>
  <si>
    <t>CEMENTO</t>
  </si>
  <si>
    <t>SARTA
PERFIL DIRECCIONAL</t>
  </si>
  <si>
    <t>8.6 - 9.0 ppg</t>
  </si>
  <si>
    <t xml:space="preserve">NA
</t>
  </si>
  <si>
    <t>CP</t>
  </si>
  <si>
    <t>Fase 3</t>
  </si>
  <si>
    <t>8,4 - 8,8 ppg</t>
  </si>
  <si>
    <t>Alberta HZ-4</t>
  </si>
  <si>
    <t>Alberta HZ-5</t>
  </si>
  <si>
    <t>,,,</t>
  </si>
  <si>
    <t>8 3/4"
MD 10.412 ft
Tiempo
(10,50 dias)</t>
  </si>
  <si>
    <t>6 1/8"
MD 12.138 ft
Tiempo
(8,25 dias)</t>
  </si>
  <si>
    <t>12 1/4"
MD - 900 ft
Tiempo
(2,75 dias)</t>
  </si>
  <si>
    <r>
      <t xml:space="preserve">9 5/8-in 
Zapato @ 900 ft
</t>
    </r>
    <r>
      <rPr>
        <sz val="16"/>
        <rFont val="Arial"/>
        <family val="2"/>
      </rPr>
      <t>K-55 / Geoconn / 36 #/ft</t>
    </r>
  </si>
  <si>
    <r>
      <t xml:space="preserve">Cemento Clase G
Lechada Principal
Densidad: 15.6 ppg
</t>
    </r>
    <r>
      <rPr>
        <u/>
        <sz val="16"/>
        <color theme="1"/>
        <rFont val="Arial"/>
        <family val="2"/>
      </rPr>
      <t>Tipo de Lechada</t>
    </r>
    <r>
      <rPr>
        <sz val="16"/>
        <color theme="1"/>
        <rFont val="Arial"/>
        <family val="2"/>
      </rPr>
      <t xml:space="preserve">
Convencional</t>
    </r>
    <r>
      <rPr>
        <b/>
        <sz val="16"/>
        <color theme="1"/>
        <rFont val="Arial"/>
        <family val="2"/>
      </rPr>
      <t xml:space="preserve">
</t>
    </r>
    <r>
      <rPr>
        <sz val="16"/>
        <color theme="1"/>
        <rFont val="Arial"/>
        <family val="2"/>
      </rPr>
      <t>Exceso: 200%</t>
    </r>
    <r>
      <rPr>
        <b/>
        <sz val="16"/>
        <color theme="1"/>
        <rFont val="Arial"/>
        <family val="2"/>
      </rPr>
      <t xml:space="preserve">
</t>
    </r>
    <r>
      <rPr>
        <u/>
        <sz val="16"/>
        <color theme="1"/>
        <rFont val="Arial"/>
        <family val="2"/>
      </rPr>
      <t>Long. Lechada Principal:</t>
    </r>
    <r>
      <rPr>
        <b/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400 ft</t>
    </r>
    <r>
      <rPr>
        <b/>
        <sz val="16"/>
        <color theme="1"/>
        <rFont val="Arial"/>
        <family val="2"/>
      </rPr>
      <t xml:space="preserve">
</t>
    </r>
    <r>
      <rPr>
        <sz val="16"/>
        <color theme="1"/>
        <rFont val="Arial"/>
        <family val="2"/>
      </rPr>
      <t xml:space="preserve">Base @ 900 ft
Tope @ 500 ft
</t>
    </r>
    <r>
      <rPr>
        <b/>
        <sz val="16"/>
        <color theme="1"/>
        <rFont val="Arial"/>
        <family val="2"/>
      </rPr>
      <t>Lechada de Relleno
Densidad: 13,6 ppg</t>
    </r>
    <r>
      <rPr>
        <sz val="16"/>
        <color theme="1"/>
        <rFont val="Arial"/>
        <family val="2"/>
      </rPr>
      <t xml:space="preserve">
</t>
    </r>
    <r>
      <rPr>
        <u/>
        <sz val="16"/>
        <color theme="1"/>
        <rFont val="Arial"/>
        <family val="2"/>
      </rPr>
      <t>Tipo de Lechada</t>
    </r>
    <r>
      <rPr>
        <sz val="16"/>
        <color theme="1"/>
        <rFont val="Arial"/>
        <family val="2"/>
      </rPr>
      <t xml:space="preserve">
Convencional 
Exceso: 300%
Long. Lechada Relleno: 500 ft
Tope @ Sup.
Base @ 500 ft</t>
    </r>
  </si>
  <si>
    <r>
      <rPr>
        <b/>
        <u/>
        <sz val="16"/>
        <rFont val="Arial"/>
        <family val="2"/>
      </rPr>
      <t>Sarta Direccional</t>
    </r>
    <r>
      <rPr>
        <b/>
        <sz val="16"/>
        <rFont val="Arial"/>
        <family val="2"/>
      </rPr>
      <t xml:space="preserve">
</t>
    </r>
    <r>
      <rPr>
        <sz val="16"/>
        <rFont val="Arial"/>
        <family val="2"/>
      </rPr>
      <t>Motor + MWD</t>
    </r>
  </si>
  <si>
    <r>
      <t>8,6 - 9,5 ppg
Viaje</t>
    </r>
    <r>
      <rPr>
        <sz val="16"/>
        <rFont val="Arial"/>
        <family val="2"/>
      </rPr>
      <t xml:space="preserve">
(9,8 PPG)</t>
    </r>
  </si>
  <si>
    <r>
      <t xml:space="preserve">7-in 
Zapato @ 10.402 ft
</t>
    </r>
    <r>
      <rPr>
        <sz val="16"/>
        <rFont val="Arial"/>
        <family val="2"/>
      </rPr>
      <t>P-110 / Geoconn / 26 #/ft</t>
    </r>
  </si>
  <si>
    <r>
      <rPr>
        <b/>
        <sz val="16"/>
        <color theme="1"/>
        <rFont val="Arial"/>
        <family val="2"/>
      </rPr>
      <t>Cemento Clase G</t>
    </r>
    <r>
      <rPr>
        <sz val="16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Lechada Principal
Densidad: 16,0 PPG</t>
    </r>
    <r>
      <rPr>
        <sz val="16"/>
        <color theme="1"/>
        <rFont val="Arial"/>
        <family val="2"/>
      </rPr>
      <t xml:space="preserve">
</t>
    </r>
    <r>
      <rPr>
        <u/>
        <sz val="16"/>
        <color theme="1"/>
        <rFont val="Arial"/>
        <family val="2"/>
      </rPr>
      <t>Tipo de Lechada:</t>
    </r>
    <r>
      <rPr>
        <sz val="16"/>
        <color theme="1"/>
        <rFont val="Arial"/>
        <family val="2"/>
      </rPr>
      <t xml:space="preserve"> 
Elástica - Expandible
Exceso: 20%
</t>
    </r>
    <r>
      <rPr>
        <u/>
        <sz val="16"/>
        <color theme="1"/>
        <rFont val="Arial"/>
        <family val="2"/>
      </rPr>
      <t>Long. Lechada Principal:</t>
    </r>
    <r>
      <rPr>
        <sz val="16"/>
        <color theme="1"/>
        <rFont val="Arial"/>
        <family val="2"/>
      </rPr>
      <t xml:space="preserve"> 1.212 ft
Tope @ 9.200 ft
Base @ 10.412 ft
</t>
    </r>
    <r>
      <rPr>
        <b/>
        <sz val="16"/>
        <color theme="1"/>
        <rFont val="Arial"/>
        <family val="2"/>
      </rPr>
      <t>Lechada de Relleno</t>
    </r>
    <r>
      <rPr>
        <sz val="16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Densidad: 13,6 ppg</t>
    </r>
    <r>
      <rPr>
        <sz val="16"/>
        <color theme="1"/>
        <rFont val="Arial"/>
        <family val="2"/>
      </rPr>
      <t xml:space="preserve">
Convenccional
Exceso: 30%
</t>
    </r>
    <r>
      <rPr>
        <u/>
        <sz val="16"/>
        <color theme="1"/>
        <rFont val="Arial"/>
        <family val="2"/>
      </rPr>
      <t>Long. Lechada Relleno:</t>
    </r>
    <r>
      <rPr>
        <sz val="16"/>
        <color theme="1"/>
        <rFont val="Arial"/>
        <family val="2"/>
      </rPr>
      <t xml:space="preserve"> 2.500
Tope @ 6.700 ft
Base @ 9.200 ft</t>
    </r>
  </si>
  <si>
    <r>
      <t xml:space="preserve">4 1/2-in AICV + Packers
Zapato @ 12.128 ft
</t>
    </r>
    <r>
      <rPr>
        <sz val="16"/>
        <rFont val="Arial"/>
        <family val="2"/>
      </rPr>
      <t>N-80 / BTC / 11,6 #/ft</t>
    </r>
  </si>
  <si>
    <r>
      <rPr>
        <b/>
        <u/>
        <sz val="16"/>
        <rFont val="Arial"/>
        <family val="2"/>
      </rPr>
      <t>Sarta Direccional</t>
    </r>
    <r>
      <rPr>
        <b/>
        <sz val="16"/>
        <rFont val="Arial"/>
        <family val="2"/>
      </rPr>
      <t xml:space="preserve">
RSS + LWD + MWD
</t>
    </r>
    <r>
      <rPr>
        <sz val="16"/>
        <rFont val="Arial"/>
        <family val="2"/>
      </rPr>
      <t>LWD 
(GR+RES)</t>
    </r>
  </si>
  <si>
    <r>
      <rPr>
        <b/>
        <u/>
        <sz val="16"/>
        <rFont val="Arial"/>
        <family val="2"/>
      </rPr>
      <t>Sarta Direccional 1</t>
    </r>
    <r>
      <rPr>
        <b/>
        <sz val="16"/>
        <rFont val="Arial"/>
        <family val="2"/>
      </rPr>
      <t xml:space="preserve">
Motor + MWD +</t>
    </r>
    <r>
      <rPr>
        <sz val="16"/>
        <rFont val="Arial"/>
        <family val="2"/>
      </rPr>
      <t xml:space="preserve">
LWD </t>
    </r>
    <r>
      <rPr>
        <b/>
        <sz val="16"/>
        <rFont val="Arial"/>
        <family val="2"/>
      </rPr>
      <t xml:space="preserve">
</t>
    </r>
    <r>
      <rPr>
        <sz val="16"/>
        <rFont val="Arial"/>
        <family val="2"/>
      </rPr>
      <t xml:space="preserve">(GR+Res) + Agitator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</si>
</sst>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_ ;\-#,##0\ "/>
    <numFmt numFmtId="167" formatCode="#,##0.0"/>
    <numFmt numFmtId="168" formatCode="0.00000"/>
    <numFmt numFmtId="169" formatCode="[$-240A]d&quot; de &quot;mmmm&quot; de &quot;yyyy;@"/>
    <numFmt numFmtId="170" formatCode="_([$€]* #,##0.00_);_([$€]* \(#,##0.00\);_([$€]* &quot;-&quot;??_);_(@_)"/>
  </numFmts>
  <fonts count="7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11"/>
      <name val="Calibri"/>
      <family val="2"/>
      <scheme val="minor"/>
    </font>
    <font>
      <b/>
      <sz val="10"/>
      <color rgb="FF00B0F0"/>
      <name val="Arial"/>
      <family val="2"/>
    </font>
    <font>
      <sz val="9"/>
      <color theme="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2"/>
      <color rgb="FFFFFF00"/>
      <name val="Arial"/>
      <family val="2"/>
    </font>
    <font>
      <b/>
      <sz val="14"/>
      <color theme="8" tint="-0.249977111117893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6"/>
      <color theme="1"/>
      <name val="Arial"/>
      <family val="2"/>
    </font>
    <font>
      <b/>
      <sz val="10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0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indexed="64"/>
      </top>
      <bottom style="medium">
        <color indexed="64"/>
      </bottom>
      <diagonal/>
    </border>
    <border>
      <left style="thin">
        <color theme="3" tint="0.7999816888943144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66">
    <xf numFmtId="0" fontId="0" fillId="0" borderId="0"/>
    <xf numFmtId="0" fontId="2" fillId="0" borderId="0"/>
    <xf numFmtId="43" fontId="2" fillId="0" borderId="0"/>
    <xf numFmtId="43" fontId="2" fillId="0" borderId="0"/>
    <xf numFmtId="43" fontId="2" fillId="0" borderId="0"/>
    <xf numFmtId="0" fontId="50" fillId="0" borderId="0"/>
    <xf numFmtId="164" fontId="5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0" fillId="0" borderId="0"/>
    <xf numFmtId="0" fontId="37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6" fillId="0" borderId="0" applyNumberFormat="0" applyFill="0" applyBorder="0" applyAlignment="0" applyProtection="0"/>
    <xf numFmtId="0" fontId="57" fillId="0" borderId="45" applyNumberFormat="0" applyFill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59" fillId="0" borderId="0" applyNumberFormat="0" applyFill="0" applyBorder="0" applyAlignment="0" applyProtection="0"/>
    <xf numFmtId="0" fontId="60" fillId="24" borderId="0" applyNumberFormat="0" applyBorder="0" applyAlignment="0" applyProtection="0"/>
    <xf numFmtId="0" fontId="61" fillId="25" borderId="0" applyNumberFormat="0" applyBorder="0" applyAlignment="0" applyProtection="0"/>
    <xf numFmtId="0" fontId="62" fillId="26" borderId="0" applyNumberFormat="0" applyBorder="0" applyAlignment="0" applyProtection="0"/>
    <xf numFmtId="0" fontId="63" fillId="27" borderId="48" applyNumberFormat="0" applyAlignment="0" applyProtection="0"/>
    <xf numFmtId="0" fontId="64" fillId="28" borderId="49" applyNumberFormat="0" applyAlignment="0" applyProtection="0"/>
    <xf numFmtId="0" fontId="65" fillId="28" borderId="48" applyNumberFormat="0" applyAlignment="0" applyProtection="0"/>
    <xf numFmtId="0" fontId="66" fillId="0" borderId="50" applyNumberFormat="0" applyFill="0" applyAlignment="0" applyProtection="0"/>
    <xf numFmtId="0" fontId="7" fillId="29" borderId="51" applyNumberFormat="0" applyAlignment="0" applyProtection="0"/>
    <xf numFmtId="0" fontId="1" fillId="0" borderId="0" applyNumberFormat="0" applyFill="0" applyBorder="0" applyAlignment="0" applyProtection="0"/>
    <xf numFmtId="0" fontId="37" fillId="30" borderId="52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53" applyNumberFormat="0" applyFill="0" applyAlignment="0" applyProtection="0"/>
    <xf numFmtId="0" fontId="8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8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</cellStyleXfs>
  <cellXfs count="283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9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3" fillId="2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15" borderId="0" xfId="0" applyFill="1"/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2" fontId="0" fillId="15" borderId="0" xfId="0" applyNumberFormat="1" applyFill="1"/>
    <xf numFmtId="0" fontId="3" fillId="15" borderId="0" xfId="0" applyFont="1" applyFill="1" applyAlignment="1">
      <alignment horizontal="center"/>
    </xf>
    <xf numFmtId="0" fontId="1" fillId="15" borderId="0" xfId="0" applyFont="1" applyFill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43" fontId="2" fillId="3" borderId="0" xfId="2" applyFill="1"/>
    <xf numFmtId="43" fontId="10" fillId="3" borderId="0" xfId="2" applyFont="1" applyFill="1" applyAlignment="1">
      <alignment vertical="center"/>
    </xf>
    <xf numFmtId="43" fontId="2" fillId="3" borderId="0" xfId="2" applyFill="1" applyAlignment="1">
      <alignment vertical="center"/>
    </xf>
    <xf numFmtId="43" fontId="3" fillId="12" borderId="1" xfId="0" applyNumberFormat="1" applyFont="1" applyFill="1" applyBorder="1"/>
    <xf numFmtId="0" fontId="0" fillId="3" borderId="0" xfId="0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43" fontId="21" fillId="17" borderId="22" xfId="2" applyFont="1" applyFill="1" applyBorder="1" applyAlignment="1">
      <alignment horizontal="center" vertical="center"/>
    </xf>
    <xf numFmtId="43" fontId="11" fillId="17" borderId="22" xfId="2" applyFont="1" applyFill="1" applyBorder="1"/>
    <xf numFmtId="0" fontId="18" fillId="3" borderId="0" xfId="0" applyFont="1" applyFill="1" applyAlignment="1">
      <alignment vertical="center"/>
    </xf>
    <xf numFmtId="43" fontId="21" fillId="17" borderId="22" xfId="2" applyFont="1" applyFill="1" applyBorder="1" applyAlignment="1">
      <alignment horizontal="center" vertical="center" wrapText="1"/>
    </xf>
    <xf numFmtId="43" fontId="21" fillId="17" borderId="23" xfId="2" applyFont="1" applyFill="1" applyBorder="1" applyAlignment="1">
      <alignment horizontal="center" vertical="center"/>
    </xf>
    <xf numFmtId="43" fontId="26" fillId="17" borderId="22" xfId="2" applyFont="1" applyFill="1" applyBorder="1" applyAlignment="1">
      <alignment horizontal="center" vertical="center" wrapText="1"/>
    </xf>
    <xf numFmtId="43" fontId="2" fillId="7" borderId="22" xfId="2" applyFill="1" applyBorder="1"/>
    <xf numFmtId="43" fontId="15" fillId="7" borderId="22" xfId="2" applyFont="1" applyFill="1" applyBorder="1"/>
    <xf numFmtId="43" fontId="11" fillId="7" borderId="22" xfId="2" applyFont="1" applyFill="1" applyBorder="1"/>
    <xf numFmtId="43" fontId="30" fillId="3" borderId="0" xfId="2" applyFont="1" applyFill="1" applyAlignment="1">
      <alignment vertical="center"/>
    </xf>
    <xf numFmtId="166" fontId="0" fillId="7" borderId="1" xfId="0" applyNumberForma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right"/>
    </xf>
    <xf numFmtId="0" fontId="7" fillId="17" borderId="22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7" fillId="17" borderId="21" xfId="0" applyFont="1" applyFill="1" applyBorder="1" applyAlignment="1">
      <alignment horizontal="center" vertical="center" wrapText="1"/>
    </xf>
    <xf numFmtId="0" fontId="27" fillId="3" borderId="0" xfId="0" applyFont="1" applyFill="1"/>
    <xf numFmtId="43" fontId="21" fillId="17" borderId="30" xfId="2" applyFont="1" applyFill="1" applyBorder="1" applyAlignment="1">
      <alignment horizontal="center" vertical="center"/>
    </xf>
    <xf numFmtId="43" fontId="7" fillId="17" borderId="30" xfId="0" applyNumberFormat="1" applyFont="1" applyFill="1" applyBorder="1" applyAlignment="1">
      <alignment horizontal="center" vertical="center"/>
    </xf>
    <xf numFmtId="166" fontId="23" fillId="19" borderId="30" xfId="2" applyNumberFormat="1" applyFont="1" applyFill="1" applyBorder="1" applyAlignment="1">
      <alignment horizontal="left"/>
    </xf>
    <xf numFmtId="43" fontId="21" fillId="17" borderId="28" xfId="2" applyFont="1" applyFill="1" applyBorder="1" applyAlignment="1">
      <alignment vertical="center"/>
    </xf>
    <xf numFmtId="0" fontId="29" fillId="17" borderId="24" xfId="0" applyFont="1" applyFill="1" applyBorder="1" applyAlignment="1">
      <alignment vertical="center"/>
    </xf>
    <xf numFmtId="43" fontId="24" fillId="17" borderId="32" xfId="2" applyFont="1" applyFill="1" applyBorder="1" applyAlignment="1">
      <alignment vertical="center"/>
    </xf>
    <xf numFmtId="43" fontId="2" fillId="3" borderId="31" xfId="2" applyFill="1" applyBorder="1" applyAlignment="1">
      <alignment vertical="center"/>
    </xf>
    <xf numFmtId="43" fontId="21" fillId="17" borderId="33" xfId="2" applyFont="1" applyFill="1" applyBorder="1" applyAlignment="1">
      <alignment horizontal="center" vertical="center"/>
    </xf>
    <xf numFmtId="43" fontId="11" fillId="19" borderId="33" xfId="2" applyFont="1" applyFill="1" applyBorder="1"/>
    <xf numFmtId="3" fontId="0" fillId="3" borderId="0" xfId="0" applyNumberFormat="1" applyFill="1"/>
    <xf numFmtId="0" fontId="0" fillId="17" borderId="1" xfId="0" applyFill="1" applyBorder="1"/>
    <xf numFmtId="0" fontId="36" fillId="1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0" fontId="33" fillId="17" borderId="21" xfId="0" applyFont="1" applyFill="1" applyBorder="1" applyAlignment="1">
      <alignment vertical="center"/>
    </xf>
    <xf numFmtId="0" fontId="28" fillId="17" borderId="21" xfId="0" applyFont="1" applyFill="1" applyBorder="1" applyAlignment="1">
      <alignment vertical="center"/>
    </xf>
    <xf numFmtId="12" fontId="3" fillId="3" borderId="22" xfId="0" applyNumberFormat="1" applyFont="1" applyFill="1" applyBorder="1" applyAlignment="1">
      <alignment vertical="center"/>
    </xf>
    <xf numFmtId="168" fontId="0" fillId="5" borderId="22" xfId="0" applyNumberFormat="1" applyFill="1" applyBorder="1"/>
    <xf numFmtId="0" fontId="3" fillId="3" borderId="22" xfId="0" applyFont="1" applyFill="1" applyBorder="1" applyAlignment="1">
      <alignment vertical="center"/>
    </xf>
    <xf numFmtId="0" fontId="36" fillId="17" borderId="22" xfId="0" applyFon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/>
    </xf>
    <xf numFmtId="3" fontId="3" fillId="5" borderId="22" xfId="0" applyNumberFormat="1" applyFont="1" applyFill="1" applyBorder="1"/>
    <xf numFmtId="3" fontId="0" fillId="3" borderId="1" xfId="0" applyNumberFormat="1" applyFill="1" applyBorder="1"/>
    <xf numFmtId="0" fontId="40" fillId="3" borderId="1" xfId="0" applyFont="1" applyFill="1" applyBorder="1"/>
    <xf numFmtId="3" fontId="0" fillId="5" borderId="22" xfId="0" applyNumberFormat="1" applyFill="1" applyBorder="1"/>
    <xf numFmtId="167" fontId="0" fillId="3" borderId="22" xfId="0" applyNumberFormat="1" applyFill="1" applyBorder="1" applyAlignment="1">
      <alignment vertical="center"/>
    </xf>
    <xf numFmtId="167" fontId="0" fillId="5" borderId="22" xfId="0" applyNumberFormat="1" applyFill="1" applyBorder="1"/>
    <xf numFmtId="167" fontId="0" fillId="5" borderId="22" xfId="0" applyNumberFormat="1" applyFill="1" applyBorder="1" applyAlignment="1">
      <alignment vertical="center"/>
    </xf>
    <xf numFmtId="167" fontId="0" fillId="3" borderId="0" xfId="0" applyNumberFormat="1" applyFill="1"/>
    <xf numFmtId="0" fontId="8" fillId="17" borderId="22" xfId="0" applyFont="1" applyFill="1" applyBorder="1"/>
    <xf numFmtId="3" fontId="0" fillId="3" borderId="22" xfId="0" applyNumberFormat="1" applyFill="1" applyBorder="1"/>
    <xf numFmtId="0" fontId="41" fillId="17" borderId="22" xfId="0" applyFont="1" applyFill="1" applyBorder="1" applyAlignment="1">
      <alignment horizontal="center" vertical="center" wrapText="1"/>
    </xf>
    <xf numFmtId="0" fontId="39" fillId="17" borderId="22" xfId="0" applyFont="1" applyFill="1" applyBorder="1" applyAlignment="1">
      <alignment horizontal="center" vertical="center" wrapText="1"/>
    </xf>
    <xf numFmtId="43" fontId="38" fillId="2" borderId="22" xfId="0" applyNumberFormat="1" applyFont="1" applyFill="1" applyBorder="1" applyAlignment="1">
      <alignment vertical="center"/>
    </xf>
    <xf numFmtId="0" fontId="42" fillId="17" borderId="22" xfId="0" applyFont="1" applyFill="1" applyBorder="1"/>
    <xf numFmtId="0" fontId="41" fillId="22" borderId="22" xfId="0" applyFont="1" applyFill="1" applyBorder="1" applyAlignment="1">
      <alignment horizontal="center" vertical="center" wrapText="1"/>
    </xf>
    <xf numFmtId="0" fontId="35" fillId="17" borderId="21" xfId="0" applyFont="1" applyFill="1" applyBorder="1" applyAlignment="1">
      <alignment horizontal="left" vertical="center" wrapText="1"/>
    </xf>
    <xf numFmtId="43" fontId="26" fillId="17" borderId="23" xfId="2" applyFont="1" applyFill="1" applyBorder="1" applyAlignment="1">
      <alignment horizontal="center" vertical="center" wrapText="1"/>
    </xf>
    <xf numFmtId="43" fontId="15" fillId="17" borderId="22" xfId="2" applyFont="1" applyFill="1" applyBorder="1" applyAlignment="1">
      <alignment horizontal="center" vertical="center"/>
    </xf>
    <xf numFmtId="43" fontId="15" fillId="17" borderId="22" xfId="2" applyFont="1" applyFill="1" applyBorder="1" applyAlignment="1">
      <alignment horizontal="left" vertical="center"/>
    </xf>
    <xf numFmtId="43" fontId="2" fillId="3" borderId="22" xfId="2" applyFill="1" applyBorder="1"/>
    <xf numFmtId="43" fontId="18" fillId="3" borderId="22" xfId="2" applyFont="1" applyFill="1" applyBorder="1"/>
    <xf numFmtId="43" fontId="15" fillId="3" borderId="22" xfId="2" applyFont="1" applyFill="1" applyBorder="1"/>
    <xf numFmtId="43" fontId="11" fillId="3" borderId="22" xfId="2" applyFont="1" applyFill="1" applyBorder="1"/>
    <xf numFmtId="167" fontId="0" fillId="5" borderId="22" xfId="0" applyNumberFormat="1" applyFill="1" applyBorder="1" applyAlignment="1">
      <alignment horizontal="right"/>
    </xf>
    <xf numFmtId="0" fontId="36" fillId="17" borderId="22" xfId="0" applyFont="1" applyFill="1" applyBorder="1" applyAlignment="1">
      <alignment horizontal="left" vertical="center" wrapText="1"/>
    </xf>
    <xf numFmtId="4" fontId="0" fillId="5" borderId="22" xfId="0" applyNumberFormat="1" applyFill="1" applyBorder="1" applyAlignment="1">
      <alignment vertical="center"/>
    </xf>
    <xf numFmtId="0" fontId="35" fillId="3" borderId="22" xfId="0" applyFont="1" applyFill="1" applyBorder="1"/>
    <xf numFmtId="0" fontId="44" fillId="2" borderId="22" xfId="0" applyFont="1" applyFill="1" applyBorder="1"/>
    <xf numFmtId="0" fontId="45" fillId="20" borderId="22" xfId="0" applyFont="1" applyFill="1" applyBorder="1" applyAlignment="1">
      <alignment horizontal="center" vertical="center" wrapText="1"/>
    </xf>
    <xf numFmtId="0" fontId="46" fillId="20" borderId="22" xfId="0" applyFont="1" applyFill="1" applyBorder="1" applyAlignment="1">
      <alignment horizontal="center" vertical="center" wrapText="1"/>
    </xf>
    <xf numFmtId="4" fontId="0" fillId="5" borderId="22" xfId="0" applyNumberFormat="1" applyFill="1" applyBorder="1" applyAlignment="1">
      <alignment horizontal="right" vertical="center"/>
    </xf>
    <xf numFmtId="43" fontId="26" fillId="20" borderId="22" xfId="2" applyFont="1" applyFill="1" applyBorder="1" applyAlignment="1">
      <alignment horizontal="center" vertical="center" wrapText="1"/>
    </xf>
    <xf numFmtId="43" fontId="18" fillId="20" borderId="22" xfId="2" applyFont="1" applyFill="1" applyBorder="1" applyAlignment="1">
      <alignment horizontal="center" vertical="center" wrapText="1"/>
    </xf>
    <xf numFmtId="167" fontId="1" fillId="5" borderId="22" xfId="0" applyNumberFormat="1" applyFont="1" applyFill="1" applyBorder="1" applyAlignment="1">
      <alignment horizontal="right"/>
    </xf>
    <xf numFmtId="3" fontId="0" fillId="3" borderId="22" xfId="0" applyNumberFormat="1" applyFill="1" applyBorder="1" applyAlignment="1">
      <alignment vertical="center"/>
    </xf>
    <xf numFmtId="167" fontId="0" fillId="19" borderId="22" xfId="0" applyNumberFormat="1" applyFill="1" applyBorder="1" applyAlignment="1">
      <alignment horizontal="right"/>
    </xf>
    <xf numFmtId="167" fontId="1" fillId="5" borderId="22" xfId="0" applyNumberFormat="1" applyFont="1" applyFill="1" applyBorder="1"/>
    <xf numFmtId="3" fontId="0" fillId="5" borderId="1" xfId="0" applyNumberFormat="1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0" fontId="35" fillId="6" borderId="1" xfId="0" applyFont="1" applyFill="1" applyBorder="1" applyAlignment="1">
      <alignment horizontal="center"/>
    </xf>
    <xf numFmtId="0" fontId="4" fillId="21" borderId="0" xfId="0" applyFont="1" applyFill="1" applyAlignment="1">
      <alignment vertical="center"/>
    </xf>
    <xf numFmtId="0" fontId="4" fillId="9" borderId="5" xfId="0" applyFont="1" applyFill="1" applyBorder="1"/>
    <xf numFmtId="0" fontId="4" fillId="7" borderId="5" xfId="0" applyFont="1" applyFill="1" applyBorder="1"/>
    <xf numFmtId="0" fontId="47" fillId="3" borderId="5" xfId="0" applyFont="1" applyFill="1" applyBorder="1" applyAlignment="1">
      <alignment horizontal="left" vertical="center"/>
    </xf>
    <xf numFmtId="0" fontId="48" fillId="17" borderId="1" xfId="0" applyFont="1" applyFill="1" applyBorder="1" applyAlignment="1">
      <alignment horizontal="center"/>
    </xf>
    <xf numFmtId="0" fontId="25" fillId="17" borderId="1" xfId="0" applyFont="1" applyFill="1" applyBorder="1"/>
    <xf numFmtId="0" fontId="49" fillId="3" borderId="0" xfId="0" applyFont="1" applyFill="1" applyAlignment="1">
      <alignment horizontal="center" vertical="center"/>
    </xf>
    <xf numFmtId="3" fontId="0" fillId="7" borderId="1" xfId="0" applyNumberFormat="1" applyFill="1" applyBorder="1"/>
    <xf numFmtId="0" fontId="2" fillId="0" borderId="0" xfId="1" applyAlignment="1">
      <alignment vertical="top"/>
    </xf>
    <xf numFmtId="0" fontId="9" fillId="0" borderId="0" xfId="1" applyFont="1" applyAlignment="1">
      <alignment horizontal="right" vertical="top"/>
    </xf>
    <xf numFmtId="0" fontId="2" fillId="0" borderId="0" xfId="1"/>
    <xf numFmtId="0" fontId="20" fillId="0" borderId="0" xfId="1" applyFont="1"/>
    <xf numFmtId="0" fontId="19" fillId="0" borderId="0" xfId="1" applyFont="1" applyAlignment="1">
      <alignment horizontal="center"/>
    </xf>
    <xf numFmtId="49" fontId="10" fillId="0" borderId="0" xfId="1" applyNumberFormat="1" applyFont="1" applyAlignment="1">
      <alignment vertical="center"/>
    </xf>
    <xf numFmtId="49" fontId="51" fillId="0" borderId="0" xfId="1" applyNumberFormat="1" applyFont="1" applyAlignment="1">
      <alignment vertical="center" wrapText="1"/>
    </xf>
    <xf numFmtId="3" fontId="12" fillId="0" borderId="0" xfId="1" applyNumberFormat="1" applyFont="1" applyAlignment="1">
      <alignment horizontal="right" vertical="top"/>
    </xf>
    <xf numFmtId="49" fontId="11" fillId="0" borderId="0" xfId="1" applyNumberFormat="1" applyFont="1" applyAlignment="1">
      <alignment vertical="center" wrapText="1"/>
    </xf>
    <xf numFmtId="3" fontId="9" fillId="0" borderId="0" xfId="1" applyNumberFormat="1" applyFont="1" applyAlignment="1">
      <alignment horizontal="right" vertical="top"/>
    </xf>
    <xf numFmtId="0" fontId="14" fillId="0" borderId="0" xfId="1" applyFont="1" applyAlignment="1">
      <alignment horizontal="right" vertical="center"/>
    </xf>
    <xf numFmtId="165" fontId="14" fillId="0" borderId="0" xfId="1" applyNumberFormat="1" applyFont="1" applyAlignment="1">
      <alignment horizontal="right" vertical="center"/>
    </xf>
    <xf numFmtId="0" fontId="14" fillId="0" borderId="0" xfId="1" applyFont="1"/>
    <xf numFmtId="0" fontId="13" fillId="0" borderId="0" xfId="1" applyFont="1" applyAlignment="1">
      <alignment horizontal="right" vertical="center"/>
    </xf>
    <xf numFmtId="0" fontId="13" fillId="0" borderId="0" xfId="1" applyFont="1" applyAlignment="1">
      <alignment horizontal="center" vertical="center"/>
    </xf>
    <xf numFmtId="43" fontId="14" fillId="0" borderId="0" xfId="1" applyNumberFormat="1" applyFont="1" applyAlignment="1">
      <alignment horizontal="right" vertical="center"/>
    </xf>
    <xf numFmtId="3" fontId="14" fillId="0" borderId="0" xfId="1" applyNumberFormat="1" applyFont="1" applyAlignment="1">
      <alignment horizontal="center" vertical="center"/>
    </xf>
    <xf numFmtId="3" fontId="14" fillId="0" borderId="0" xfId="1" applyNumberFormat="1" applyFont="1" applyAlignment="1">
      <alignment horizontal="right" vertical="center"/>
    </xf>
    <xf numFmtId="3" fontId="14" fillId="0" borderId="0" xfId="1" applyNumberFormat="1" applyFont="1" applyAlignment="1">
      <alignment horizontal="right"/>
    </xf>
    <xf numFmtId="2" fontId="2" fillId="0" borderId="0" xfId="1" applyNumberFormat="1"/>
    <xf numFmtId="166" fontId="14" fillId="0" borderId="0" xfId="1" applyNumberFormat="1" applyFont="1" applyAlignment="1">
      <alignment horizontal="center" vertical="center"/>
    </xf>
    <xf numFmtId="0" fontId="53" fillId="0" borderId="0" xfId="1" applyFont="1" applyAlignment="1">
      <alignment vertical="top"/>
    </xf>
    <xf numFmtId="3" fontId="55" fillId="0" borderId="1" xfId="0" applyNumberFormat="1" applyFont="1" applyBorder="1" applyAlignment="1">
      <alignment horizontal="center" vertical="center"/>
    </xf>
    <xf numFmtId="1" fontId="68" fillId="0" borderId="20" xfId="0" applyNumberFormat="1" applyFont="1" applyBorder="1" applyAlignment="1">
      <alignment horizontal="center" vertical="center"/>
    </xf>
    <xf numFmtId="1" fontId="68" fillId="0" borderId="1" xfId="0" applyNumberFormat="1" applyFont="1" applyBorder="1" applyAlignment="1">
      <alignment horizontal="center"/>
    </xf>
    <xf numFmtId="43" fontId="2" fillId="3" borderId="24" xfId="2" applyFill="1" applyBorder="1"/>
    <xf numFmtId="0" fontId="20" fillId="23" borderId="41" xfId="1" applyFont="1" applyFill="1" applyBorder="1"/>
    <xf numFmtId="0" fontId="53" fillId="17" borderId="19" xfId="1" applyFont="1" applyFill="1" applyBorder="1" applyAlignment="1">
      <alignment horizontal="center" vertical="center" wrapText="1"/>
    </xf>
    <xf numFmtId="0" fontId="53" fillId="17" borderId="54" xfId="1" applyFont="1" applyFill="1" applyBorder="1" applyAlignment="1">
      <alignment horizontal="center" vertical="center" wrapText="1"/>
    </xf>
    <xf numFmtId="43" fontId="2" fillId="10" borderId="22" xfId="2" applyFill="1" applyBorder="1"/>
    <xf numFmtId="1" fontId="55" fillId="0" borderId="1" xfId="0" applyNumberFormat="1" applyFont="1" applyBorder="1" applyAlignment="1">
      <alignment horizontal="center" vertical="center"/>
    </xf>
    <xf numFmtId="3" fontId="69" fillId="18" borderId="3" xfId="1" applyNumberFormat="1" applyFont="1" applyFill="1" applyBorder="1" applyAlignment="1">
      <alignment horizontal="left" vertical="center" indent="1"/>
    </xf>
    <xf numFmtId="3" fontId="69" fillId="18" borderId="3" xfId="1" applyNumberFormat="1" applyFont="1" applyFill="1" applyBorder="1" applyAlignment="1">
      <alignment horizontal="left" vertical="top" indent="1"/>
    </xf>
    <xf numFmtId="3" fontId="69" fillId="18" borderId="3" xfId="1" applyNumberFormat="1" applyFont="1" applyFill="1" applyBorder="1" applyAlignment="1">
      <alignment horizontal="left" indent="1"/>
    </xf>
    <xf numFmtId="166" fontId="0" fillId="7" borderId="1" xfId="0" applyNumberFormat="1" applyFill="1" applyBorder="1" applyAlignment="1">
      <alignment horizontal="right" vertical="center"/>
    </xf>
    <xf numFmtId="166" fontId="0" fillId="2" borderId="1" xfId="0" applyNumberFormat="1" applyFill="1" applyBorder="1" applyAlignment="1">
      <alignment horizontal="right"/>
    </xf>
    <xf numFmtId="166" fontId="0" fillId="10" borderId="1" xfId="0" applyNumberForma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1" fontId="0" fillId="3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0" fillId="3" borderId="8" xfId="0" applyNumberFormat="1" applyFill="1" applyBorder="1"/>
    <xf numFmtId="1" fontId="0" fillId="14" borderId="1" xfId="0" applyNumberFormat="1" applyFill="1" applyBorder="1" applyAlignment="1">
      <alignment horizontal="center"/>
    </xf>
    <xf numFmtId="1" fontId="0" fillId="3" borderId="6" xfId="0" applyNumberFormat="1" applyFill="1" applyBorder="1"/>
    <xf numFmtId="3" fontId="69" fillId="0" borderId="0" xfId="1" applyNumberFormat="1" applyFont="1" applyAlignment="1">
      <alignment horizontal="left" vertical="center" indent="1"/>
    </xf>
    <xf numFmtId="3" fontId="22" fillId="0" borderId="0" xfId="1" applyNumberFormat="1" applyFont="1" applyAlignment="1">
      <alignment horizontal="left" vertical="center" indent="1"/>
    </xf>
    <xf numFmtId="0" fontId="20" fillId="6" borderId="0" xfId="1" applyFont="1" applyFill="1"/>
    <xf numFmtId="0" fontId="20" fillId="23" borderId="0" xfId="1" applyFont="1" applyFill="1"/>
    <xf numFmtId="3" fontId="22" fillId="18" borderId="38" xfId="1" applyNumberFormat="1" applyFont="1" applyFill="1" applyBorder="1" applyAlignment="1">
      <alignment horizontal="left" vertical="top" indent="1"/>
    </xf>
    <xf numFmtId="3" fontId="22" fillId="18" borderId="38" xfId="1" applyNumberFormat="1" applyFont="1" applyFill="1" applyBorder="1" applyAlignment="1">
      <alignment horizontal="left" indent="1"/>
    </xf>
    <xf numFmtId="49" fontId="51" fillId="0" borderId="39" xfId="1" applyNumberFormat="1" applyFont="1" applyBorder="1" applyAlignment="1">
      <alignment vertical="center" wrapText="1"/>
    </xf>
    <xf numFmtId="3" fontId="22" fillId="18" borderId="14" xfId="1" applyNumberFormat="1" applyFont="1" applyFill="1" applyBorder="1" applyAlignment="1">
      <alignment horizontal="left" indent="1"/>
    </xf>
    <xf numFmtId="3" fontId="69" fillId="18" borderId="56" xfId="1" applyNumberFormat="1" applyFont="1" applyFill="1" applyBorder="1" applyAlignment="1">
      <alignment horizontal="left" indent="1"/>
    </xf>
    <xf numFmtId="0" fontId="2" fillId="0" borderId="41" xfId="1" applyBorder="1"/>
    <xf numFmtId="49" fontId="10" fillId="0" borderId="41" xfId="1" applyNumberFormat="1" applyFont="1" applyBorder="1" applyAlignment="1">
      <alignment vertical="center"/>
    </xf>
    <xf numFmtId="49" fontId="51" fillId="0" borderId="15" xfId="1" applyNumberFormat="1" applyFont="1" applyBorder="1" applyAlignment="1">
      <alignment vertical="center" wrapText="1"/>
    </xf>
    <xf numFmtId="0" fontId="31" fillId="9" borderId="58" xfId="0" applyFont="1" applyFill="1" applyBorder="1" applyAlignment="1">
      <alignment horizontal="center" vertical="center"/>
    </xf>
    <xf numFmtId="43" fontId="11" fillId="8" borderId="59" xfId="2" applyFont="1" applyFill="1" applyBorder="1" applyAlignment="1">
      <alignment horizontal="center" vertical="center"/>
    </xf>
    <xf numFmtId="0" fontId="44" fillId="15" borderId="22" xfId="0" applyFont="1" applyFill="1" applyBorder="1" applyAlignment="1">
      <alignment horizontal="center"/>
    </xf>
    <xf numFmtId="43" fontId="2" fillId="3" borderId="60" xfId="2" applyFill="1" applyBorder="1" applyAlignment="1">
      <alignment vertical="center"/>
    </xf>
    <xf numFmtId="43" fontId="2" fillId="19" borderId="1" xfId="2" applyFill="1" applyBorder="1" applyAlignment="1">
      <alignment vertical="center"/>
    </xf>
    <xf numFmtId="166" fontId="0" fillId="16" borderId="0" xfId="0" applyNumberFormat="1" applyFill="1" applyAlignment="1">
      <alignment horizontal="center" vertical="center"/>
    </xf>
    <xf numFmtId="3" fontId="0" fillId="14" borderId="1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1" fontId="3" fillId="15" borderId="7" xfId="0" applyNumberFormat="1" applyFont="1" applyFill="1" applyBorder="1" applyAlignment="1">
      <alignment horizontal="center"/>
    </xf>
    <xf numFmtId="0" fontId="42" fillId="15" borderId="22" xfId="0" applyFont="1" applyFill="1" applyBorder="1"/>
    <xf numFmtId="0" fontId="42" fillId="17" borderId="24" xfId="0" applyFont="1" applyFill="1" applyBorder="1"/>
    <xf numFmtId="0" fontId="42" fillId="17" borderId="26" xfId="0" applyFont="1" applyFill="1" applyBorder="1"/>
    <xf numFmtId="0" fontId="39" fillId="22" borderId="27" xfId="0" applyFont="1" applyFill="1" applyBorder="1" applyAlignment="1">
      <alignment horizontal="center" vertical="center" wrapText="1"/>
    </xf>
    <xf numFmtId="3" fontId="69" fillId="18" borderId="57" xfId="1" applyNumberFormat="1" applyFont="1" applyFill="1" applyBorder="1" applyAlignment="1">
      <alignment horizontal="left" vertical="top" indent="1"/>
    </xf>
    <xf numFmtId="0" fontId="20" fillId="55" borderId="0" xfId="1" applyFont="1" applyFill="1"/>
    <xf numFmtId="0" fontId="9" fillId="55" borderId="0" xfId="1" applyFont="1" applyFill="1" applyAlignment="1">
      <alignment horizontal="right" vertical="top"/>
    </xf>
    <xf numFmtId="0" fontId="20" fillId="55" borderId="41" xfId="1" applyFont="1" applyFill="1" applyBorder="1"/>
    <xf numFmtId="0" fontId="17" fillId="17" borderId="29" xfId="0" applyFont="1" applyFill="1" applyBorder="1" applyAlignment="1">
      <alignment horizontal="center" vertical="center"/>
    </xf>
    <xf numFmtId="1" fontId="0" fillId="16" borderId="11" xfId="0" applyNumberFormat="1" applyFill="1" applyBorder="1" applyAlignment="1">
      <alignment horizontal="center"/>
    </xf>
    <xf numFmtId="1" fontId="0" fillId="3" borderId="61" xfId="0" applyNumberFormat="1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1" fontId="0" fillId="11" borderId="61" xfId="0" applyNumberFormat="1" applyFill="1" applyBorder="1" applyAlignment="1">
      <alignment horizontal="center"/>
    </xf>
    <xf numFmtId="1" fontId="0" fillId="16" borderId="61" xfId="0" applyNumberFormat="1" applyFill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1" fontId="3" fillId="11" borderId="61" xfId="0" applyNumberFormat="1" applyFont="1" applyFill="1" applyBorder="1" applyAlignment="1">
      <alignment horizontal="center"/>
    </xf>
    <xf numFmtId="1" fontId="0" fillId="11" borderId="64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3" borderId="1" xfId="0" applyNumberFormat="1" applyFill="1" applyBorder="1"/>
    <xf numFmtId="0" fontId="15" fillId="3" borderId="29" xfId="0" applyFont="1" applyFill="1" applyBorder="1" applyAlignment="1">
      <alignment horizontal="center" vertical="center"/>
    </xf>
    <xf numFmtId="0" fontId="3" fillId="13" borderId="66" xfId="0" applyFont="1" applyFill="1" applyBorder="1"/>
    <xf numFmtId="43" fontId="38" fillId="2" borderId="68" xfId="0" applyNumberFormat="1" applyFont="1" applyFill="1" applyBorder="1" applyAlignment="1">
      <alignment vertical="center"/>
    </xf>
    <xf numFmtId="43" fontId="38" fillId="2" borderId="69" xfId="0" applyNumberFormat="1" applyFont="1" applyFill="1" applyBorder="1" applyAlignment="1">
      <alignment vertical="center"/>
    </xf>
    <xf numFmtId="43" fontId="38" fillId="2" borderId="71" xfId="0" applyNumberFormat="1" applyFont="1" applyFill="1" applyBorder="1" applyAlignment="1">
      <alignment vertical="center"/>
    </xf>
    <xf numFmtId="0" fontId="3" fillId="13" borderId="10" xfId="0" applyFont="1" applyFill="1" applyBorder="1" applyAlignment="1">
      <alignment horizontal="center"/>
    </xf>
    <xf numFmtId="0" fontId="3" fillId="13" borderId="15" xfId="0" applyFont="1" applyFill="1" applyBorder="1"/>
    <xf numFmtId="43" fontId="38" fillId="2" borderId="72" xfId="0" applyNumberFormat="1" applyFont="1" applyFill="1" applyBorder="1" applyAlignment="1">
      <alignment vertical="center"/>
    </xf>
    <xf numFmtId="0" fontId="3" fillId="13" borderId="62" xfId="0" applyFont="1" applyFill="1" applyBorder="1" applyAlignment="1">
      <alignment horizontal="center"/>
    </xf>
    <xf numFmtId="167" fontId="1" fillId="2" borderId="0" xfId="0" applyNumberFormat="1" applyFont="1" applyFill="1"/>
    <xf numFmtId="1" fontId="55" fillId="2" borderId="1" xfId="0" applyNumberFormat="1" applyFont="1" applyFill="1" applyBorder="1" applyAlignment="1">
      <alignment horizontal="center" vertical="center"/>
    </xf>
    <xf numFmtId="3" fontId="69" fillId="18" borderId="38" xfId="1" applyNumberFormat="1" applyFont="1" applyFill="1" applyBorder="1" applyAlignment="1">
      <alignment horizontal="left" vertical="top" indent="1"/>
    </xf>
    <xf numFmtId="3" fontId="69" fillId="18" borderId="38" xfId="1" applyNumberFormat="1" applyFont="1" applyFill="1" applyBorder="1" applyAlignment="1">
      <alignment horizontal="left" indent="1"/>
    </xf>
    <xf numFmtId="3" fontId="69" fillId="18" borderId="38" xfId="1" applyNumberFormat="1" applyFont="1" applyFill="1" applyBorder="1" applyAlignment="1">
      <alignment horizontal="left" vertical="center" indent="1"/>
    </xf>
    <xf numFmtId="3" fontId="12" fillId="10" borderId="37" xfId="1" applyNumberFormat="1" applyFont="1" applyFill="1" applyBorder="1" applyAlignment="1">
      <alignment horizontal="left" vertical="center"/>
    </xf>
    <xf numFmtId="3" fontId="12" fillId="10" borderId="40" xfId="1" applyNumberFormat="1" applyFont="1" applyFill="1" applyBorder="1" applyAlignment="1">
      <alignment horizontal="left" vertical="center"/>
    </xf>
    <xf numFmtId="0" fontId="20" fillId="10" borderId="0" xfId="1" applyFont="1" applyFill="1"/>
    <xf numFmtId="0" fontId="20" fillId="10" borderId="39" xfId="1" applyFont="1" applyFill="1" applyBorder="1"/>
    <xf numFmtId="0" fontId="20" fillId="10" borderId="40" xfId="1" applyFont="1" applyFill="1" applyBorder="1"/>
    <xf numFmtId="0" fontId="2" fillId="10" borderId="0" xfId="1" applyFill="1"/>
    <xf numFmtId="3" fontId="12" fillId="10" borderId="0" xfId="1" applyNumberFormat="1" applyFont="1" applyFill="1" applyAlignment="1">
      <alignment horizontal="left" vertical="center"/>
    </xf>
    <xf numFmtId="0" fontId="52" fillId="17" borderId="54" xfId="1" applyFont="1" applyFill="1" applyBorder="1" applyAlignment="1">
      <alignment horizontal="center" vertical="center" wrapText="1"/>
    </xf>
    <xf numFmtId="0" fontId="52" fillId="17" borderId="55" xfId="1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left" vertical="center"/>
    </xf>
    <xf numFmtId="169" fontId="71" fillId="3" borderId="30" xfId="0" applyNumberFormat="1" applyFont="1" applyFill="1" applyBorder="1" applyAlignment="1">
      <alignment horizontal="center" vertical="center"/>
    </xf>
    <xf numFmtId="0" fontId="34" fillId="17" borderId="35" xfId="0" applyFont="1" applyFill="1" applyBorder="1" applyAlignment="1">
      <alignment horizontal="center" wrapText="1"/>
    </xf>
    <xf numFmtId="43" fontId="11" fillId="8" borderId="23" xfId="2" applyFont="1" applyFill="1" applyBorder="1" applyAlignment="1">
      <alignment horizontal="center" vertical="center"/>
    </xf>
    <xf numFmtId="43" fontId="11" fillId="8" borderId="25" xfId="2" applyFont="1" applyFill="1" applyBorder="1" applyAlignment="1">
      <alignment horizontal="center" vertical="center"/>
    </xf>
    <xf numFmtId="43" fontId="11" fillId="8" borderId="27" xfId="2" applyFont="1" applyFill="1" applyBorder="1" applyAlignment="1">
      <alignment horizontal="center" vertical="center"/>
    </xf>
    <xf numFmtId="0" fontId="34" fillId="17" borderId="34" xfId="0" applyFont="1" applyFill="1" applyBorder="1" applyAlignment="1">
      <alignment horizontal="center" vertical="center" wrapText="1"/>
    </xf>
    <xf numFmtId="0" fontId="34" fillId="17" borderId="35" xfId="0" applyFont="1" applyFill="1" applyBorder="1" applyAlignment="1">
      <alignment horizontal="center" vertical="center" wrapText="1"/>
    </xf>
    <xf numFmtId="0" fontId="34" fillId="17" borderId="36" xfId="0" applyFont="1" applyFill="1" applyBorder="1" applyAlignment="1">
      <alignment horizontal="center" vertical="center" wrapText="1"/>
    </xf>
    <xf numFmtId="43" fontId="70" fillId="0" borderId="30" xfId="2" applyFont="1" applyBorder="1" applyAlignment="1">
      <alignment horizontal="left" vertical="center"/>
    </xf>
    <xf numFmtId="43" fontId="16" fillId="3" borderId="30" xfId="2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73" fillId="0" borderId="43" xfId="1" applyNumberFormat="1" applyFont="1" applyBorder="1" applyAlignment="1">
      <alignment horizontal="center" vertical="center" wrapText="1"/>
    </xf>
    <xf numFmtId="49" fontId="73" fillId="0" borderId="42" xfId="1" applyNumberFormat="1" applyFont="1" applyBorder="1" applyAlignment="1">
      <alignment horizontal="center" vertical="center" wrapText="1"/>
    </xf>
    <xf numFmtId="49" fontId="73" fillId="0" borderId="44" xfId="1" applyNumberFormat="1" applyFont="1" applyBorder="1" applyAlignment="1">
      <alignment horizontal="center" vertical="center" wrapText="1"/>
    </xf>
    <xf numFmtId="4" fontId="73" fillId="0" borderId="43" xfId="1" applyNumberFormat="1" applyFont="1" applyBorder="1" applyAlignment="1">
      <alignment horizontal="center" vertical="center" wrapText="1"/>
    </xf>
    <xf numFmtId="4" fontId="73" fillId="0" borderId="42" xfId="1" applyNumberFormat="1" applyFont="1" applyBorder="1" applyAlignment="1">
      <alignment horizontal="center" vertical="center" wrapText="1"/>
    </xf>
    <xf numFmtId="4" fontId="73" fillId="0" borderId="44" xfId="1" applyNumberFormat="1" applyFont="1" applyBorder="1" applyAlignment="1">
      <alignment horizontal="center" vertical="center" wrapText="1"/>
    </xf>
    <xf numFmtId="49" fontId="72" fillId="0" borderId="43" xfId="1" applyNumberFormat="1" applyFont="1" applyBorder="1" applyAlignment="1">
      <alignment horizontal="center" vertical="center" wrapText="1"/>
    </xf>
    <xf numFmtId="49" fontId="72" fillId="0" borderId="42" xfId="1" applyNumberFormat="1" applyFont="1" applyBorder="1" applyAlignment="1">
      <alignment horizontal="center" vertical="center" wrapText="1"/>
    </xf>
    <xf numFmtId="0" fontId="52" fillId="20" borderId="4" xfId="1" applyFont="1" applyFill="1" applyBorder="1" applyAlignment="1">
      <alignment horizontal="center" vertical="center" wrapText="1"/>
    </xf>
    <xf numFmtId="0" fontId="52" fillId="20" borderId="16" xfId="1" applyFont="1" applyFill="1" applyBorder="1" applyAlignment="1">
      <alignment horizontal="center" vertical="center"/>
    </xf>
    <xf numFmtId="0" fontId="52" fillId="20" borderId="5" xfId="1" applyFont="1" applyFill="1" applyBorder="1" applyAlignment="1">
      <alignment horizontal="center" vertical="center"/>
    </xf>
    <xf numFmtId="0" fontId="53" fillId="17" borderId="18" xfId="1" applyFont="1" applyFill="1" applyBorder="1" applyAlignment="1">
      <alignment horizontal="center" vertical="center" wrapText="1"/>
    </xf>
    <xf numFmtId="0" fontId="53" fillId="17" borderId="19" xfId="1" applyFont="1" applyFill="1" applyBorder="1" applyAlignment="1">
      <alignment horizontal="center" vertical="center" wrapText="1"/>
    </xf>
    <xf numFmtId="3" fontId="73" fillId="0" borderId="43" xfId="1" applyNumberFormat="1" applyFont="1" applyBorder="1" applyAlignment="1">
      <alignment horizontal="center" vertical="center"/>
    </xf>
    <xf numFmtId="3" fontId="73" fillId="0" borderId="42" xfId="1" applyNumberFormat="1" applyFont="1" applyBorder="1" applyAlignment="1">
      <alignment horizontal="center" vertical="center"/>
    </xf>
    <xf numFmtId="0" fontId="73" fillId="0" borderId="43" xfId="1" applyFont="1" applyBorder="1" applyAlignment="1">
      <alignment horizontal="center" vertical="center" wrapText="1"/>
    </xf>
    <xf numFmtId="0" fontId="73" fillId="0" borderId="42" xfId="1" applyFont="1" applyBorder="1" applyAlignment="1">
      <alignment horizontal="center" vertical="center" wrapText="1"/>
    </xf>
    <xf numFmtId="49" fontId="76" fillId="0" borderId="43" xfId="1" applyNumberFormat="1" applyFont="1" applyBorder="1" applyAlignment="1">
      <alignment horizontal="center" vertical="center" wrapText="1"/>
    </xf>
    <xf numFmtId="49" fontId="76" fillId="0" borderId="42" xfId="1" applyNumberFormat="1" applyFont="1" applyBorder="1" applyAlignment="1">
      <alignment horizontal="center" vertical="center" wrapText="1"/>
    </xf>
    <xf numFmtId="49" fontId="76" fillId="0" borderId="44" xfId="1" applyNumberFormat="1" applyFont="1" applyBorder="1" applyAlignment="1">
      <alignment horizontal="center" vertical="center" wrapText="1"/>
    </xf>
    <xf numFmtId="49" fontId="72" fillId="0" borderId="44" xfId="1" applyNumberFormat="1" applyFont="1" applyBorder="1" applyAlignment="1">
      <alignment horizontal="center" vertical="center" wrapText="1"/>
    </xf>
    <xf numFmtId="3" fontId="73" fillId="0" borderId="44" xfId="1" applyNumberFormat="1" applyFont="1" applyBorder="1" applyAlignment="1">
      <alignment horizontal="center" vertical="center"/>
    </xf>
    <xf numFmtId="0" fontId="73" fillId="0" borderId="44" xfId="1" applyFont="1" applyBorder="1" applyAlignment="1">
      <alignment horizontal="center" vertical="center" wrapText="1"/>
    </xf>
    <xf numFmtId="167" fontId="73" fillId="0" borderId="43" xfId="1" applyNumberFormat="1" applyFont="1" applyBorder="1" applyAlignment="1">
      <alignment horizontal="center" vertical="center" wrapText="1"/>
    </xf>
    <xf numFmtId="167" fontId="73" fillId="0" borderId="42" xfId="1" applyNumberFormat="1" applyFont="1" applyBorder="1" applyAlignment="1">
      <alignment horizontal="center" vertical="center" wrapText="1"/>
    </xf>
    <xf numFmtId="167" fontId="73" fillId="0" borderId="44" xfId="1" applyNumberFormat="1" applyFont="1" applyBorder="1" applyAlignment="1">
      <alignment horizontal="center" vertical="center" wrapText="1"/>
    </xf>
  </cellXfs>
  <cellStyles count="66">
    <cellStyle name="20% - Énfasis1" xfId="43" builtinId="30" customBuiltin="1"/>
    <cellStyle name="20% - Énfasis2" xfId="47" builtinId="34" customBuiltin="1"/>
    <cellStyle name="20% - Énfasis3" xfId="51" builtinId="38" customBuiltin="1"/>
    <cellStyle name="20% - Énfasis4" xfId="55" builtinId="42" customBuiltin="1"/>
    <cellStyle name="20% - Énfasis5" xfId="59" builtinId="46" customBuiltin="1"/>
    <cellStyle name="20% - Énfasis6" xfId="63" builtinId="50" customBuiltin="1"/>
    <cellStyle name="40% - Énfasis1" xfId="44" builtinId="31" customBuiltin="1"/>
    <cellStyle name="40% - Énfasis2" xfId="48" builtinId="35" customBuiltin="1"/>
    <cellStyle name="40% - Énfasis3" xfId="52" builtinId="39" customBuiltin="1"/>
    <cellStyle name="40% - Énfasis4" xfId="56" builtinId="43" customBuiltin="1"/>
    <cellStyle name="40% - Énfasis5" xfId="60" builtinId="47" customBuiltin="1"/>
    <cellStyle name="40% - Énfasis6" xfId="64" builtinId="51" customBuiltin="1"/>
    <cellStyle name="60% - Énfasis1" xfId="45" builtinId="32" customBuiltin="1"/>
    <cellStyle name="60% - Énfasis2" xfId="49" builtinId="36" customBuiltin="1"/>
    <cellStyle name="60% - Énfasis3" xfId="53" builtinId="40" customBuiltin="1"/>
    <cellStyle name="60% - Énfasis4" xfId="57" builtinId="44" customBuiltin="1"/>
    <cellStyle name="60% - Énfasis5" xfId="61" builtinId="48" customBuiltin="1"/>
    <cellStyle name="60% - Énfasis6" xfId="65" builtinId="52" customBuiltin="1"/>
    <cellStyle name="Bueno" xfId="30" builtinId="26" customBuiltin="1"/>
    <cellStyle name="Cálculo" xfId="35" builtinId="22" customBuiltin="1"/>
    <cellStyle name="Celda de comprobación" xfId="37" builtinId="23" customBuiltin="1"/>
    <cellStyle name="Celda vinculada" xfId="36" builtinId="24" customBuiltin="1"/>
    <cellStyle name="Encabezado 1" xfId="26" builtinId="16" customBuiltin="1"/>
    <cellStyle name="Encabezado 4" xfId="29" builtinId="19" customBuiltin="1"/>
    <cellStyle name="Énfasis1" xfId="42" builtinId="29" customBuiltin="1"/>
    <cellStyle name="Énfasis2" xfId="46" builtinId="33" customBuiltin="1"/>
    <cellStyle name="Énfasis3" xfId="50" builtinId="37" customBuiltin="1"/>
    <cellStyle name="Énfasis4" xfId="54" builtinId="41" customBuiltin="1"/>
    <cellStyle name="Énfasis5" xfId="58" builtinId="45" customBuiltin="1"/>
    <cellStyle name="Énfasis6" xfId="62" builtinId="49" customBuiltin="1"/>
    <cellStyle name="Entrada" xfId="33" builtinId="20" customBuiltin="1"/>
    <cellStyle name="Euro 19" xfId="10" xr:uid="{00000000-0005-0000-0000-000004000000}"/>
    <cellStyle name="Incorrecto" xfId="31" builtinId="27" customBuiltin="1"/>
    <cellStyle name="Millares 12" xfId="8" xr:uid="{00000000-0005-0000-0000-000005000000}"/>
    <cellStyle name="Millares 2" xfId="6" xr:uid="{00000000-0005-0000-0000-000006000000}"/>
    <cellStyle name="Millares 2 2 2" xfId="9" xr:uid="{00000000-0005-0000-0000-000007000000}"/>
    <cellStyle name="Neutral" xfId="32" builtinId="28" customBuiltin="1"/>
    <cellStyle name="Normal" xfId="0" builtinId="0"/>
    <cellStyle name="Normal - Style1 4" xfId="4" xr:uid="{00000000-0005-0000-0000-000009000000}"/>
    <cellStyle name="Normal 10" xfId="16" xr:uid="{00000000-0005-0000-0000-00000A000000}"/>
    <cellStyle name="Normal 11" xfId="17" xr:uid="{00000000-0005-0000-0000-00000B000000}"/>
    <cellStyle name="Normal 12" xfId="18" xr:uid="{00000000-0005-0000-0000-00000C000000}"/>
    <cellStyle name="Normal 13" xfId="19" xr:uid="{00000000-0005-0000-0000-00000D000000}"/>
    <cellStyle name="Normal 14" xfId="20" xr:uid="{00000000-0005-0000-0000-00000E000000}"/>
    <cellStyle name="Normal 15" xfId="21" xr:uid="{00000000-0005-0000-0000-00000F000000}"/>
    <cellStyle name="Normal 16" xfId="22" xr:uid="{00000000-0005-0000-0000-000010000000}"/>
    <cellStyle name="Normal 17" xfId="23" xr:uid="{00000000-0005-0000-0000-000011000000}"/>
    <cellStyle name="Normal 18" xfId="24" xr:uid="{00000000-0005-0000-0000-000012000000}"/>
    <cellStyle name="Normal 2" xfId="1" xr:uid="{00000000-0005-0000-0000-000013000000}"/>
    <cellStyle name="Normal 2 2" xfId="3" xr:uid="{00000000-0005-0000-0000-000014000000}"/>
    <cellStyle name="Normal 2 2 2" xfId="12" xr:uid="{00000000-0005-0000-0000-000015000000}"/>
    <cellStyle name="Normal 3" xfId="2" xr:uid="{00000000-0005-0000-0000-000016000000}"/>
    <cellStyle name="Normal 4" xfId="5" xr:uid="{00000000-0005-0000-0000-000017000000}"/>
    <cellStyle name="Normal 5" xfId="7" xr:uid="{00000000-0005-0000-0000-000018000000}"/>
    <cellStyle name="Normal 6" xfId="11" xr:uid="{00000000-0005-0000-0000-000019000000}"/>
    <cellStyle name="Normal 7" xfId="13" xr:uid="{00000000-0005-0000-0000-00001A000000}"/>
    <cellStyle name="Normal 8" xfId="14" xr:uid="{00000000-0005-0000-0000-00001B000000}"/>
    <cellStyle name="Normal 9" xfId="15" xr:uid="{00000000-0005-0000-0000-00001C000000}"/>
    <cellStyle name="Notas" xfId="39" builtinId="10" customBuiltin="1"/>
    <cellStyle name="Salida" xfId="34" builtinId="21" customBuiltin="1"/>
    <cellStyle name="Texto de advertencia" xfId="38" builtinId="11" customBuiltin="1"/>
    <cellStyle name="Texto explicativo" xfId="40" builtinId="53" customBuiltin="1"/>
    <cellStyle name="Título" xfId="25" builtinId="15" customBuiltin="1"/>
    <cellStyle name="Título 2" xfId="27" builtinId="17" customBuiltin="1"/>
    <cellStyle name="Título 3" xfId="28" builtinId="18" customBuiltin="1"/>
    <cellStyle name="Total" xfId="41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7BBBB8"/>
      <color rgb="FFF8F85A"/>
      <color rgb="FFFF9900"/>
      <color rgb="FFD7E24C"/>
      <color rgb="FFF4EE00"/>
      <color rgb="FFFFFF66"/>
      <color rgb="FFFFCD2F"/>
      <color rgb="FFB5BF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8606519072677"/>
          <c:y val="4.612600247767646E-2"/>
          <c:w val="5.6405068141172562E-2"/>
          <c:h val="0.94519111847629389"/>
        </c:manualLayout>
      </c:layout>
      <c:scatterChart>
        <c:scatterStyle val="lineMarker"/>
        <c:varyColors val="0"/>
        <c:ser>
          <c:idx val="0"/>
          <c:order val="0"/>
          <c:tx>
            <c:v>MW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'DATOS DE GRAFICOS'!$E$85:$E$105</c:f>
              <c:numCache>
                <c:formatCode>General</c:formatCode>
                <c:ptCount val="21"/>
                <c:pt idx="0">
                  <c:v>8.6</c:v>
                </c:pt>
                <c:pt idx="1">
                  <c:v>8.6</c:v>
                </c:pt>
                <c:pt idx="2">
                  <c:v>9.1999999999999993</c:v>
                </c:pt>
                <c:pt idx="3">
                  <c:v>8.6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9.35</c:v>
                </c:pt>
                <c:pt idx="16">
                  <c:v>9.5</c:v>
                </c:pt>
                <c:pt idx="17">
                  <c:v>9.5</c:v>
                </c:pt>
                <c:pt idx="18">
                  <c:v>9.8000000000000007</c:v>
                </c:pt>
                <c:pt idx="19">
                  <c:v>8.4</c:v>
                </c:pt>
                <c:pt idx="20">
                  <c:v>8.6</c:v>
                </c:pt>
              </c:numCache>
            </c:numRef>
          </c:xVal>
          <c:yVal>
            <c:numRef>
              <c:f>'DATOS DE GRAFICOS'!$D$85:$D$105</c:f>
              <c:numCache>
                <c:formatCode>0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1200</c:v>
                </c:pt>
                <c:pt idx="3">
                  <c:v>1200</c:v>
                </c:pt>
                <c:pt idx="4">
                  <c:v>6310</c:v>
                </c:pt>
                <c:pt idx="5">
                  <c:v>6310</c:v>
                </c:pt>
                <c:pt idx="6">
                  <c:v>7381</c:v>
                </c:pt>
                <c:pt idx="7">
                  <c:v>7875</c:v>
                </c:pt>
                <c:pt idx="8">
                  <c:v>7910</c:v>
                </c:pt>
                <c:pt idx="9">
                  <c:v>8010</c:v>
                </c:pt>
                <c:pt idx="10">
                  <c:v>8077</c:v>
                </c:pt>
                <c:pt idx="11">
                  <c:v>8295</c:v>
                </c:pt>
                <c:pt idx="12">
                  <c:v>8459</c:v>
                </c:pt>
                <c:pt idx="13">
                  <c:v>8725</c:v>
                </c:pt>
                <c:pt idx="14">
                  <c:v>8779</c:v>
                </c:pt>
                <c:pt idx="15">
                  <c:v>9208</c:v>
                </c:pt>
                <c:pt idx="16">
                  <c:v>10152</c:v>
                </c:pt>
                <c:pt idx="17">
                  <c:v>10504</c:v>
                </c:pt>
                <c:pt idx="18">
                  <c:v>10504</c:v>
                </c:pt>
                <c:pt idx="19">
                  <c:v>10504</c:v>
                </c:pt>
                <c:pt idx="20">
                  <c:v>13174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121-BF2F-263B524D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12448"/>
        <c:axId val="1678835104"/>
      </c:scatterChart>
      <c:valAx>
        <c:axId val="1856412448"/>
        <c:scaling>
          <c:orientation val="minMax"/>
          <c:max val="10"/>
          <c:min val="8"/>
        </c:scaling>
        <c:delete val="0"/>
        <c:axPos val="t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alpha val="19000"/>
                </a:schemeClr>
              </a:solidFill>
            </a:ln>
            <a:effectLst/>
          </c:spPr>
        </c:minorGridlines>
        <c:numFmt formatCode="0" sourceLinked="0"/>
        <c:majorTickMark val="out"/>
        <c:minorTickMark val="out"/>
        <c:tickLblPos val="low"/>
        <c:spPr>
          <a:noFill/>
          <a:ln w="9525" cap="flat" cmpd="sng" algn="ctr">
            <a:solidFill>
              <a:srgbClr val="FFFF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835104"/>
        <c:crossesAt val="0"/>
        <c:crossBetween val="midCat"/>
        <c:majorUnit val="1"/>
        <c:minorUnit val="0.1"/>
      </c:valAx>
      <c:valAx>
        <c:axId val="1678835104"/>
        <c:scaling>
          <c:orientation val="maxMin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412448"/>
        <c:crossesAt val="0"/>
        <c:crossBetween val="midCat"/>
        <c:majorUnit val="1000"/>
        <c:minorUnit val="100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9920525892204E-2"/>
          <c:y val="4.6853770848953834E-2"/>
          <c:w val="6.0940607131210252E-2"/>
          <c:h val="0.94347853919391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'DATOS DE GRAFICOS'!$C$8</c:f>
              <c:strCache>
                <c:ptCount val="1"/>
                <c:pt idx="0">
                  <c:v> Fm. Guayabo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BA9-4821-A850-02F59A63DD5C}"/>
              </c:ext>
            </c:extLst>
          </c:dPt>
          <c:val>
            <c:numRef>
              <c:f>'DATOS DE GRAFICOS'!$C$8:$D$8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9-4821-A850-02F59A63DD5C}"/>
            </c:ext>
          </c:extLst>
        </c:ser>
        <c:ser>
          <c:idx val="1"/>
          <c:order val="1"/>
          <c:tx>
            <c:strRef>
              <c:f>'DATOS DE GRAFICOS'!$C$9</c:f>
              <c:strCache>
                <c:ptCount val="1"/>
                <c:pt idx="0">
                  <c:v> Fm. Guayabo 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GRAFICOS'!$C$9:$D$9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9-4821-A850-02F59A63DD5C}"/>
            </c:ext>
          </c:extLst>
        </c:ser>
        <c:ser>
          <c:idx val="2"/>
          <c:order val="2"/>
          <c:tx>
            <c:strRef>
              <c:f>'DATOS DE GRAFICOS'!$C$10</c:f>
              <c:strCache>
                <c:ptCount val="1"/>
                <c:pt idx="0">
                  <c:v> Fm. León </c:v>
                </c:pt>
              </c:strCache>
            </c:strRef>
          </c:tx>
          <c:spPr>
            <a:pattFill prst="ltHorz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GRAFICOS'!$C$10:$D$10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9-4821-A850-02F59A63DD5C}"/>
            </c:ext>
          </c:extLst>
        </c:ser>
        <c:ser>
          <c:idx val="3"/>
          <c:order val="3"/>
          <c:tx>
            <c:strRef>
              <c:f>'DATOS DE GRAFICOS'!$C$11</c:f>
              <c:strCache>
                <c:ptCount val="1"/>
                <c:pt idx="0">
                  <c:v> Fm. Carbonera C1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GRAFICOS'!$C$11:$D$11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9-4821-A850-02F59A63DD5C}"/>
            </c:ext>
          </c:extLst>
        </c:ser>
        <c:ser>
          <c:idx val="4"/>
          <c:order val="4"/>
          <c:tx>
            <c:strRef>
              <c:f>'DATOS DE GRAFICOS'!$C$12</c:f>
              <c:strCache>
                <c:ptCount val="1"/>
                <c:pt idx="0">
                  <c:v> Fm. Carbonera C2 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GRAFICOS'!$C$12:$D$12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9-4821-A850-02F59A63DD5C}"/>
            </c:ext>
          </c:extLst>
        </c:ser>
        <c:ser>
          <c:idx val="5"/>
          <c:order val="5"/>
          <c:tx>
            <c:strRef>
              <c:f>'DATOS DE GRAFICOS'!$C$13</c:f>
              <c:strCache>
                <c:ptCount val="1"/>
                <c:pt idx="0">
                  <c:v> Fm. Carbonera C3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GRAFICOS'!$C$13:$D$13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9-4821-A850-02F59A63DD5C}"/>
            </c:ext>
          </c:extLst>
        </c:ser>
        <c:ser>
          <c:idx val="6"/>
          <c:order val="6"/>
          <c:tx>
            <c:strRef>
              <c:f>'DATOS DE GRAFICOS'!$C$14</c:f>
              <c:strCache>
                <c:ptCount val="1"/>
                <c:pt idx="0">
                  <c:v> Fm. Carbonera C4 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accent6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GRAFICOS'!$C$14:$D$14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9-4821-A850-02F59A63DD5C}"/>
            </c:ext>
          </c:extLst>
        </c:ser>
        <c:ser>
          <c:idx val="7"/>
          <c:order val="7"/>
          <c:tx>
            <c:strRef>
              <c:f>'DATOS DE GRAFICOS'!$C$15</c:f>
              <c:strCache>
                <c:ptCount val="1"/>
                <c:pt idx="0">
                  <c:v> Fm. Carbonera C5 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smConfetti">
                <a:fgClr>
                  <a:schemeClr val="tx1"/>
                </a:fgClr>
                <a:bgClr>
                  <a:srgbClr val="FFFF00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A9-4821-A850-02F59A63DD5C}"/>
              </c:ext>
            </c:extLst>
          </c:dPt>
          <c:val>
            <c:numRef>
              <c:f>'DATOS DE GRAFICOS'!$C$15:$D$15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A9-4821-A850-02F59A63DD5C}"/>
            </c:ext>
          </c:extLst>
        </c:ser>
        <c:ser>
          <c:idx val="8"/>
          <c:order val="8"/>
          <c:tx>
            <c:strRef>
              <c:f>'DATOS DE GRAFICOS'!$C$16</c:f>
              <c:strCache>
                <c:ptCount val="1"/>
                <c:pt idx="0">
                  <c:v> Fm. Carbonera C6 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GRAFICOS'!$C$16:$D$16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A9-4821-A850-02F59A63DD5C}"/>
            </c:ext>
          </c:extLst>
        </c:ser>
        <c:ser>
          <c:idx val="9"/>
          <c:order val="9"/>
          <c:tx>
            <c:strRef>
              <c:f>'DATOS DE GRAFICOS'!$C$17</c:f>
              <c:strCache>
                <c:ptCount val="1"/>
                <c:pt idx="0">
                  <c:v> Fm. Carbonera C7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GRAFICOS'!$C$17:$D$17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A9-4821-A850-02F59A63DD5C}"/>
            </c:ext>
          </c:extLst>
        </c:ser>
        <c:ser>
          <c:idx val="10"/>
          <c:order val="10"/>
          <c:tx>
            <c:strRef>
              <c:f>'DATOS DE GRAFICOS'!$C$18</c:f>
              <c:strCache>
                <c:ptCount val="1"/>
                <c:pt idx="0">
                  <c:v> Fm. Carbonera C8 </c:v>
                </c:pt>
              </c:strCache>
            </c:strRef>
          </c:tx>
          <c:spPr>
            <a:pattFill prst="narHorz">
              <a:fgClr>
                <a:schemeClr val="bg2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GRAFICOS'!$C$18:$D$18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A9-4821-A850-02F59A63DD5C}"/>
            </c:ext>
          </c:extLst>
        </c:ser>
        <c:ser>
          <c:idx val="11"/>
          <c:order val="11"/>
          <c:tx>
            <c:strRef>
              <c:f>'DATOS DE GRAFICOS'!$C$19</c:f>
              <c:strCache>
                <c:ptCount val="1"/>
                <c:pt idx="0">
                  <c:v> Fm. Guadalupe </c:v>
                </c:pt>
              </c:strCache>
            </c:strRef>
          </c:tx>
          <c:spPr>
            <a:pattFill prst="smConfetti">
              <a:fgClr>
                <a:schemeClr val="tx2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GRAFICOS'!$C$19:$D$19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A9-4821-A850-02F59A63DD5C}"/>
            </c:ext>
          </c:extLst>
        </c:ser>
        <c:ser>
          <c:idx val="12"/>
          <c:order val="12"/>
          <c:tx>
            <c:strRef>
              <c:f>'DATOS DE GRAFICOS'!$C$20</c:f>
              <c:strCache>
                <c:ptCount val="1"/>
                <c:pt idx="0">
                  <c:v> Fm. Gacheta 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GRAFICOS'!$C$20:$D$20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A9-4821-A850-02F59A63DD5C}"/>
            </c:ext>
          </c:extLst>
        </c:ser>
        <c:ser>
          <c:idx val="13"/>
          <c:order val="13"/>
          <c:tx>
            <c:strRef>
              <c:f>'DATOS DE GRAFICOS'!$C$21</c:f>
              <c:strCache>
                <c:ptCount val="1"/>
                <c:pt idx="0">
                  <c:v> Fm. Ubaque 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GRAFICOS'!$C$21:$D$21</c:f>
              <c:numCache>
                <c:formatCode>#,##0_ ;\-#,##0\ </c:formatCode>
                <c:ptCount val="2"/>
                <c:pt idx="0" formatCode="_(* #,##0.00_);_(* \(#,##0.00\);_(* &quot;-&quot;??_);_(@_)">
                  <c:v>0</c:v>
                </c:pt>
                <c:pt idx="1">
                  <c:v>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A9-4821-A850-02F59A63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6412448"/>
        <c:axId val="167883510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'DATOS DE GRAFICOS'!$C$22</c15:sqref>
                        </c15:formulaRef>
                      </c:ext>
                    </c:extLst>
                    <c:strCache>
                      <c:ptCount val="1"/>
                      <c:pt idx="0">
                        <c:v> TD </c:v>
                      </c:pt>
                    </c:strCache>
                  </c:strRef>
                </c:tx>
                <c:spPr>
                  <a:pattFill prst="wave">
                    <a:fgClr>
                      <a:schemeClr val="tx1"/>
                    </a:fgClr>
                    <a:bgClr>
                      <a:srgbClr val="C00000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GRAFICOS'!$C$22:$D$22</c15:sqref>
                        </c15:formulaRef>
                      </c:ext>
                    </c:extLst>
                    <c:numCache>
                      <c:formatCode>#,##0_ ;\-#,##0\ </c:formatCode>
                      <c:ptCount val="2"/>
                      <c:pt idx="0" formatCode="_(* #,##0.00_);_(* \(#,##0.00\);_(* &quot;-&quot;??_);_(@_)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A9-4821-A850-02F59A63DD5C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DE GRAFICOS'!$C$23:$D$23</c15:sqref>
                        </c15:formulaRef>
                      </c:ext>
                    </c:extLst>
                    <c:numCache>
                      <c:formatCode>#,##0_ ;\-#,##0\ 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A9-4821-A850-02F59A63DD5C}"/>
                  </c:ext>
                </c:extLst>
              </c15:ser>
            </c15:filteredBarSeries>
          </c:ext>
        </c:extLst>
      </c:barChart>
      <c:catAx>
        <c:axId val="1856412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835104"/>
        <c:crossesAt val="11000"/>
        <c:auto val="1"/>
        <c:lblAlgn val="ctr"/>
        <c:lblOffset val="100"/>
        <c:tickLblSkip val="1"/>
        <c:tickMarkSkip val="1"/>
        <c:noMultiLvlLbl val="0"/>
      </c:catAx>
      <c:valAx>
        <c:axId val="1678835104"/>
        <c:scaling>
          <c:orientation val="maxMin"/>
          <c:max val="15000"/>
        </c:scaling>
        <c:delete val="0"/>
        <c:axPos val="l"/>
        <c:numFmt formatCode="#,##0" sourceLinked="0"/>
        <c:majorTickMark val="out"/>
        <c:minorTickMark val="out"/>
        <c:tickLblPos val="nextTo"/>
        <c:spPr>
          <a:noFill/>
          <a:ln w="2222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412448"/>
        <c:crosses val="autoZero"/>
        <c:crossBetween val="midCat"/>
        <c:majorUnit val="10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356011711891044E-2"/>
          <c:y val="0.94835575425341345"/>
          <c:w val="0.93849076796753961"/>
          <c:h val="4.186539897912684E-2"/>
        </c:manualLayout>
      </c:layout>
      <c:overlay val="1"/>
      <c:spPr>
        <a:solidFill>
          <a:srgbClr val="00B0F0"/>
        </a:solidFill>
        <a:ln w="25400"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3678471311959"/>
          <c:y val="4.5105647047192769E-2"/>
          <c:w val="6.5484338290774241E-2"/>
          <c:h val="0.94643897557181422"/>
        </c:manualLayout>
      </c:layout>
      <c:barChart>
        <c:barDir val="col"/>
        <c:grouping val="stacked"/>
        <c:varyColors val="0"/>
        <c:ser>
          <c:idx val="9"/>
          <c:order val="3"/>
          <c:tx>
            <c:strRef>
              <c:f>'DATOS DE GRAFICOS'!$C$50:$D$50</c:f>
              <c:strCache>
                <c:ptCount val="2"/>
                <c:pt idx="0">
                  <c:v>Fase II</c:v>
                </c:pt>
                <c:pt idx="1">
                  <c:v>Casing sin Cemento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0-4AA4-896F-E6A7BCB9FFE6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GRAFICOS'!$E$50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B0-4AA4-896F-E6A7BCB9FFE6}"/>
            </c:ext>
          </c:extLst>
        </c:ser>
        <c:ser>
          <c:idx val="10"/>
          <c:order val="4"/>
          <c:tx>
            <c:strRef>
              <c:f>'DATOS DE GRAFICOS'!$C$51:$D$51</c:f>
              <c:strCache>
                <c:ptCount val="2"/>
                <c:pt idx="0">
                  <c:v>Fase II</c:v>
                </c:pt>
                <c:pt idx="1">
                  <c:v>Lechada Relleno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GRAFICOS'!$E$51</c:f>
              <c:numCache>
                <c:formatCode>#,##0</c:formatCode>
                <c:ptCount val="1"/>
                <c:pt idx="0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AB0-4AA4-896F-E6A7BCB9FFE6}"/>
            </c:ext>
          </c:extLst>
        </c:ser>
        <c:ser>
          <c:idx val="11"/>
          <c:order val="5"/>
          <c:tx>
            <c:strRef>
              <c:f>'DATOS DE GRAFICOS'!$C$52:$D$52</c:f>
              <c:strCache>
                <c:ptCount val="2"/>
                <c:pt idx="0">
                  <c:v>Fase II</c:v>
                </c:pt>
                <c:pt idx="1">
                  <c:v>Lechada Principal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GRAFICOS'!$E$52</c:f>
              <c:numCache>
                <c:formatCode>#,##0</c:formatCode>
                <c:ptCount val="1"/>
                <c:pt idx="0">
                  <c:v>2300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AB0-4AA4-896F-E6A7BCB9FFE6}"/>
            </c:ext>
          </c:extLst>
        </c:ser>
        <c:ser>
          <c:idx val="12"/>
          <c:order val="6"/>
          <c:tx>
            <c:strRef>
              <c:f>'DATOS DE GRAFICOS'!$C$53:$D$53</c:f>
              <c:strCache>
                <c:ptCount val="2"/>
                <c:pt idx="0">
                  <c:v>Fase II</c:v>
                </c:pt>
                <c:pt idx="1">
                  <c:v>Intervalo Grafico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5AB0-4AA4-896F-E6A7BCB9FFE6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GRAFICOS'!$E$53</c:f>
              <c:numCache>
                <c:formatCode>#,##0</c:formatCode>
                <c:ptCount val="1"/>
                <c:pt idx="0">
                  <c:v>5496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AB0-4AA4-896F-E6A7BCB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17713439"/>
        <c:axId val="219147871"/>
        <c:extLst/>
      </c:barChart>
      <c:barChart>
        <c:barDir val="col"/>
        <c:grouping val="stacked"/>
        <c:varyColors val="0"/>
        <c:ser>
          <c:idx val="50"/>
          <c:order val="0"/>
          <c:tx>
            <c:v>CSG FASE II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'DATOS DE GRAFICOS'!$F$52</c:f>
              <c:numCache>
                <c:formatCode>#,##0</c:formatCode>
                <c:ptCount val="1"/>
                <c:pt idx="0">
                  <c:v>10504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AB0-4AA4-896F-E6A7BCB9FFE6}"/>
            </c:ext>
          </c:extLst>
        </c:ser>
        <c:ser>
          <c:idx val="33"/>
          <c:order val="1"/>
          <c:tx>
            <c:strRef>
              <c:f>'DATOS DE GRAFICOS'!$D$49</c:f>
              <c:strCache>
                <c:ptCount val="1"/>
                <c:pt idx="0">
                  <c:v>Liner Fase II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GRAFICOS'!$E$49</c:f>
              <c:numCache>
                <c:formatCode>#,##0</c:formatCode>
                <c:ptCount val="1"/>
                <c:pt idx="0">
                  <c:v>3196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AB0-4AA4-896F-E6A7BCB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5"/>
        <c:axId val="233633423"/>
        <c:axId val="14305839"/>
        <c:extLst>
          <c:ext xmlns:c15="http://schemas.microsoft.com/office/drawing/2012/chart" uri="{02D57815-91ED-43cb-92C2-25804820EDAC}">
            <c15:filteredBarSeries>
              <c15:ser>
                <c:idx val="43"/>
                <c:order val="2"/>
                <c:tx>
                  <c:v>TD FASE II</c:v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GRAFICOS'!$F$52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10504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AB0-4AA4-896F-E6A7BCB9FFE6}"/>
                  </c:ext>
                </c:extLst>
              </c15:ser>
            </c15:filteredBarSeries>
          </c:ext>
        </c:extLst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88849035467262"/>
          <c:y val="4.554069404280503E-2"/>
          <c:w val="7.6096814830813875E-2"/>
          <c:h val="0.94627643403744899"/>
        </c:manualLayout>
      </c:layout>
      <c:barChart>
        <c:barDir val="col"/>
        <c:grouping val="stacked"/>
        <c:varyColors val="0"/>
        <c:ser>
          <c:idx val="4"/>
          <c:order val="3"/>
          <c:tx>
            <c:strRef>
              <c:f>'DATOS DE GRAFICOS'!$C$45:$D$45</c:f>
              <c:strCache>
                <c:ptCount val="2"/>
                <c:pt idx="0">
                  <c:v>Fase I</c:v>
                </c:pt>
                <c:pt idx="1">
                  <c:v>Casing sin Cemento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GRAFICOS'!$E$45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64-4721-AF26-252ED4737688}"/>
            </c:ext>
          </c:extLst>
        </c:ser>
        <c:ser>
          <c:idx val="5"/>
          <c:order val="4"/>
          <c:tx>
            <c:strRef>
              <c:f>'DATOS DE GRAFICOS'!$C$46:$D$46</c:f>
              <c:strCache>
                <c:ptCount val="2"/>
                <c:pt idx="0">
                  <c:v>Fase I</c:v>
                </c:pt>
                <c:pt idx="1">
                  <c:v>Lechada Relleno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GRAFICOS'!$E$46</c:f>
              <c:numCache>
                <c:formatCode>#,##0</c:formatCode>
                <c:ptCount val="1"/>
                <c:pt idx="0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64-4721-AF26-252ED4737688}"/>
            </c:ext>
          </c:extLst>
        </c:ser>
        <c:ser>
          <c:idx val="6"/>
          <c:order val="5"/>
          <c:tx>
            <c:strRef>
              <c:f>'DATOS DE GRAFICOS'!$C$47:$D$47</c:f>
              <c:strCache>
                <c:ptCount val="2"/>
                <c:pt idx="0">
                  <c:v>Fase I</c:v>
                </c:pt>
                <c:pt idx="1">
                  <c:v>Lechada Principal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9064-4721-AF26-252ED4737688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GRAFICOS'!$E$47</c:f>
              <c:numCache>
                <c:formatCode>#,##0</c:formatCode>
                <c:ptCount val="1"/>
                <c:pt idx="0">
                  <c:v>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064-4721-AF26-252ED4737688}"/>
            </c:ext>
          </c:extLst>
        </c:ser>
        <c:ser>
          <c:idx val="8"/>
          <c:order val="6"/>
          <c:tx>
            <c:strRef>
              <c:f>'DATOS DE GRAFICOS'!$C$48:$D$48</c:f>
              <c:strCache>
                <c:ptCount val="2"/>
                <c:pt idx="0">
                  <c:v>Fase I</c:v>
                </c:pt>
                <c:pt idx="1">
                  <c:v>Intervalo Grafico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9064-4721-AF26-252ED4737688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GRAFICOS'!$E$48</c:f>
              <c:numCache>
                <c:formatCode>#,##0</c:formatCode>
                <c:ptCount val="1"/>
                <c:pt idx="0">
                  <c:v>14800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064-4721-AF26-252ED473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17713439"/>
        <c:axId val="219147871"/>
        <c:extLst/>
      </c:barChart>
      <c:barChart>
        <c:barDir val="col"/>
        <c:grouping val="stacked"/>
        <c:varyColors val="0"/>
        <c:ser>
          <c:idx val="49"/>
          <c:order val="0"/>
          <c:tx>
            <c:v>CSG FASE 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64-4721-AF26-252ED4737688}"/>
              </c:ext>
            </c:extLst>
          </c:dPt>
          <c:val>
            <c:numRef>
              <c:f>'DATOS DE GRAFICOS'!$F$47</c:f>
              <c:numCache>
                <c:formatCode>#,##0</c:formatCode>
                <c:ptCount val="1"/>
                <c:pt idx="0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064-4721-AF26-252ED4737688}"/>
            </c:ext>
          </c:extLst>
        </c:ser>
        <c:ser>
          <c:idx val="32"/>
          <c:order val="1"/>
          <c:tx>
            <c:strRef>
              <c:f>'DATOS DE GRAFICOS'!$D$44</c:f>
              <c:strCache>
                <c:ptCount val="1"/>
                <c:pt idx="0">
                  <c:v>Liner Fase 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GRAFICOS'!$E$44</c:f>
              <c:numCache>
                <c:formatCode>#,##0</c:formatCode>
                <c:ptCount val="1"/>
                <c:pt idx="0">
                  <c:v>14400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064-4721-AF26-252ED473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5"/>
        <c:axId val="233633423"/>
        <c:axId val="14305839"/>
        <c:extLst>
          <c:ext xmlns:c15="http://schemas.microsoft.com/office/drawing/2012/chart" uri="{02D57815-91ED-43cb-92C2-25804820EDAC}">
            <c15:filteredBarSeries>
              <c15:ser>
                <c:idx val="29"/>
                <c:order val="2"/>
                <c:tx>
                  <c:v>TD FASE I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GRAFICOS'!$F$47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064-4721-AF26-252ED4737688}"/>
                  </c:ext>
                </c:extLst>
              </c15:ser>
            </c15:filteredBarSeries>
          </c:ext>
        </c:extLst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9770917051211"/>
          <c:y val="4.5613673317751693E-2"/>
          <c:w val="9.568059461677092E-2"/>
          <c:h val="0.94637649767509402"/>
        </c:manualLayout>
      </c:layout>
      <c:barChart>
        <c:barDir val="col"/>
        <c:grouping val="stacked"/>
        <c:varyColors val="0"/>
        <c:ser>
          <c:idx val="0"/>
          <c:order val="2"/>
          <c:tx>
            <c:strRef>
              <c:f>'DATOS DE GRAFICOS'!$D$55</c:f>
              <c:strCache>
                <c:ptCount val="1"/>
                <c:pt idx="0">
                  <c:v>Casing sin Cemento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GRAFICOS'!$E$55</c:f>
              <c:numCache>
                <c:formatCode>#,##0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4-4CF7-973C-74CF42773548}"/>
            </c:ext>
          </c:extLst>
        </c:ser>
        <c:ser>
          <c:idx val="1"/>
          <c:order val="3"/>
          <c:tx>
            <c:strRef>
              <c:f>'DATOS DE GRAFICOS'!$D$56</c:f>
              <c:strCache>
                <c:ptCount val="1"/>
                <c:pt idx="0">
                  <c:v>Lechada Relleno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A70-4B11-9A43-94BCF74F0F51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GRAFICOS'!$E$56</c:f>
              <c:numCache>
                <c:formatCode>#,##0</c:formatCode>
                <c:ptCount val="1"/>
                <c:pt idx="0">
                  <c:v>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4-4CF7-973C-74CF42773548}"/>
            </c:ext>
          </c:extLst>
        </c:ser>
        <c:ser>
          <c:idx val="2"/>
          <c:order val="4"/>
          <c:tx>
            <c:strRef>
              <c:f>'DATOS DE GRAFICOS'!$D$57</c:f>
              <c:strCache>
                <c:ptCount val="1"/>
                <c:pt idx="0">
                  <c:v>Lechada Principal</c:v>
                </c:pt>
              </c:strCache>
            </c:strRef>
          </c:tx>
          <c:spPr>
            <a:pattFill prst="dashVert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GRAFICOS'!$E$57</c:f>
              <c:numCache>
                <c:formatCode>#,##0</c:formatCode>
                <c:ptCount val="1"/>
                <c:pt idx="0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4-4CF7-973C-74CF42773548}"/>
            </c:ext>
          </c:extLst>
        </c:ser>
        <c:ser>
          <c:idx val="3"/>
          <c:order val="5"/>
          <c:tx>
            <c:strRef>
              <c:f>'DATOS DE GRAFICOS'!$D$58</c:f>
              <c:strCache>
                <c:ptCount val="1"/>
                <c:pt idx="0">
                  <c:v>Intervalo Grafico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GRAFICOS'!$E$58</c:f>
              <c:numCache>
                <c:formatCode>#,##0</c:formatCode>
                <c:ptCount val="1"/>
                <c:pt idx="0">
                  <c:v>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4-4CF7-973C-74CF4277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17713439"/>
        <c:axId val="219147871"/>
      </c:barChart>
      <c:barChart>
        <c:barDir val="col"/>
        <c:grouping val="stacked"/>
        <c:varyColors val="0"/>
        <c:ser>
          <c:idx val="31"/>
          <c:order val="0"/>
          <c:tx>
            <c:strRef>
              <c:f>'DATOS DE GRAFICOS'!$D$54</c:f>
              <c:strCache>
                <c:ptCount val="1"/>
                <c:pt idx="0">
                  <c:v>Liner Fase III</c:v>
                </c:pt>
              </c:strCache>
            </c:strRef>
          </c:tx>
          <c:spPr>
            <a:noFill/>
            <a:ln>
              <a:noFill/>
              <a:prstDash val="dashDot"/>
            </a:ln>
            <a:effectLst/>
          </c:spPr>
          <c:invertIfNegative val="0"/>
          <c:val>
            <c:numRef>
              <c:f>'DATOS DE GRAFICOS'!$F$57</c:f>
              <c:numCache>
                <c:formatCode>#,##0</c:formatCode>
                <c:ptCount val="1"/>
                <c:pt idx="0">
                  <c:v>13174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C4-4CF7-973C-74CF42773548}"/>
            </c:ext>
          </c:extLst>
        </c:ser>
        <c:ser>
          <c:idx val="30"/>
          <c:order val="1"/>
          <c:tx>
            <c:strRef>
              <c:f>'DATOS DE GRAFICOS'!$D$54</c:f>
              <c:strCache>
                <c:ptCount val="1"/>
                <c:pt idx="0">
                  <c:v>Liner Fase III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GRAFICOS'!$E$54</c:f>
              <c:numCache>
                <c:formatCode>#,##0</c:formatCode>
                <c:ptCount val="1"/>
                <c:pt idx="0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C4-4CF7-973C-74CF4277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633423"/>
        <c:axId val="14305839"/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1904999</xdr:colOff>
      <xdr:row>5</xdr:row>
      <xdr:rowOff>359</xdr:rowOff>
    </xdr:from>
    <xdr:to>
      <xdr:col>5</xdr:col>
      <xdr:colOff>928686</xdr:colOff>
      <xdr:row>30</xdr:row>
      <xdr:rowOff>228670</xdr:rowOff>
    </xdr:to>
    <xdr:sp macro="" textlink="">
      <xdr:nvSpPr>
        <xdr:cNvPr id="8" name="Rectángulo 18">
          <a:extLst>
            <a:ext uri="{FF2B5EF4-FFF2-40B4-BE49-F238E27FC236}">
              <a16:creationId xmlns:a16="http://schemas.microsoft.com/office/drawing/2014/main" id="{5BBB66B7-6001-4DBE-A8D7-85568DBA87D2}"/>
            </a:ext>
          </a:extLst>
        </xdr:cNvPr>
        <xdr:cNvSpPr/>
      </xdr:nvSpPr>
      <xdr:spPr>
        <a:xfrm>
          <a:off x="5193631" y="1283727"/>
          <a:ext cx="928687" cy="5993443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883438"/>
            <a:gd name="connsiteX1" fmla="*/ 973875 w 3648872"/>
            <a:gd name="connsiteY1" fmla="*/ 0 h 2883438"/>
            <a:gd name="connsiteX2" fmla="*/ 3648872 w 3648872"/>
            <a:gd name="connsiteY2" fmla="*/ 899190 h 2883438"/>
            <a:gd name="connsiteX3" fmla="*/ 3633954 w 3648872"/>
            <a:gd name="connsiteY3" fmla="*/ 2883438 h 2883438"/>
            <a:gd name="connsiteX4" fmla="*/ 28 w 3648872"/>
            <a:gd name="connsiteY4" fmla="*/ 1088485 h 2883438"/>
            <a:gd name="connsiteX5" fmla="*/ 17243 w 3648872"/>
            <a:gd name="connsiteY5" fmla="*/ 0 h 2883438"/>
            <a:gd name="connsiteX0" fmla="*/ 17243 w 3712829"/>
            <a:gd name="connsiteY0" fmla="*/ 0 h 2874910"/>
            <a:gd name="connsiteX1" fmla="*/ 973875 w 3712829"/>
            <a:gd name="connsiteY1" fmla="*/ 0 h 2874910"/>
            <a:gd name="connsiteX2" fmla="*/ 3648872 w 3712829"/>
            <a:gd name="connsiteY2" fmla="*/ 899190 h 2874910"/>
            <a:gd name="connsiteX3" fmla="*/ 3712829 w 3712829"/>
            <a:gd name="connsiteY3" fmla="*/ 2874910 h 2874910"/>
            <a:gd name="connsiteX4" fmla="*/ 28 w 3712829"/>
            <a:gd name="connsiteY4" fmla="*/ 1088485 h 2874910"/>
            <a:gd name="connsiteX5" fmla="*/ 17243 w 3712829"/>
            <a:gd name="connsiteY5" fmla="*/ 0 h 2874910"/>
            <a:gd name="connsiteX0" fmla="*/ 17243 w 3728606"/>
            <a:gd name="connsiteY0" fmla="*/ 0 h 2874910"/>
            <a:gd name="connsiteX1" fmla="*/ 973875 w 3728606"/>
            <a:gd name="connsiteY1" fmla="*/ 0 h 2874910"/>
            <a:gd name="connsiteX2" fmla="*/ 3648872 w 3728606"/>
            <a:gd name="connsiteY2" fmla="*/ 899190 h 2874910"/>
            <a:gd name="connsiteX3" fmla="*/ 3728606 w 3728606"/>
            <a:gd name="connsiteY3" fmla="*/ 2874910 h 2874910"/>
            <a:gd name="connsiteX4" fmla="*/ 28 w 3728606"/>
            <a:gd name="connsiteY4" fmla="*/ 1088485 h 2874910"/>
            <a:gd name="connsiteX5" fmla="*/ 17243 w 3728606"/>
            <a:gd name="connsiteY5" fmla="*/ 0 h 2874910"/>
            <a:gd name="connsiteX0" fmla="*/ 17243 w 3697055"/>
            <a:gd name="connsiteY0" fmla="*/ 0 h 2874910"/>
            <a:gd name="connsiteX1" fmla="*/ 973875 w 3697055"/>
            <a:gd name="connsiteY1" fmla="*/ 0 h 2874910"/>
            <a:gd name="connsiteX2" fmla="*/ 3648872 w 3697055"/>
            <a:gd name="connsiteY2" fmla="*/ 899190 h 2874910"/>
            <a:gd name="connsiteX3" fmla="*/ 3697055 w 3697055"/>
            <a:gd name="connsiteY3" fmla="*/ 2874910 h 2874910"/>
            <a:gd name="connsiteX4" fmla="*/ 28 w 3697055"/>
            <a:gd name="connsiteY4" fmla="*/ 1088485 h 2874910"/>
            <a:gd name="connsiteX5" fmla="*/ 17243 w 3697055"/>
            <a:gd name="connsiteY5" fmla="*/ 0 h 2874910"/>
            <a:gd name="connsiteX0" fmla="*/ 17243 w 3665504"/>
            <a:gd name="connsiteY0" fmla="*/ 0 h 2883438"/>
            <a:gd name="connsiteX1" fmla="*/ 973875 w 3665504"/>
            <a:gd name="connsiteY1" fmla="*/ 0 h 2883438"/>
            <a:gd name="connsiteX2" fmla="*/ 3648872 w 3665504"/>
            <a:gd name="connsiteY2" fmla="*/ 899190 h 2883438"/>
            <a:gd name="connsiteX3" fmla="*/ 3665504 w 3665504"/>
            <a:gd name="connsiteY3" fmla="*/ 2883438 h 2883438"/>
            <a:gd name="connsiteX4" fmla="*/ 28 w 3665504"/>
            <a:gd name="connsiteY4" fmla="*/ 1088485 h 2883438"/>
            <a:gd name="connsiteX5" fmla="*/ 17243 w 3665504"/>
            <a:gd name="connsiteY5" fmla="*/ 0 h 2883438"/>
            <a:gd name="connsiteX0" fmla="*/ 17243 w 3665504"/>
            <a:gd name="connsiteY0" fmla="*/ 0 h 2877753"/>
            <a:gd name="connsiteX1" fmla="*/ 973875 w 3665504"/>
            <a:gd name="connsiteY1" fmla="*/ 0 h 2877753"/>
            <a:gd name="connsiteX2" fmla="*/ 3648872 w 3665504"/>
            <a:gd name="connsiteY2" fmla="*/ 899190 h 2877753"/>
            <a:gd name="connsiteX3" fmla="*/ 3665504 w 3665504"/>
            <a:gd name="connsiteY3" fmla="*/ 2877753 h 2877753"/>
            <a:gd name="connsiteX4" fmla="*/ 28 w 3665504"/>
            <a:gd name="connsiteY4" fmla="*/ 1088485 h 2877753"/>
            <a:gd name="connsiteX5" fmla="*/ 17243 w 3665504"/>
            <a:gd name="connsiteY5" fmla="*/ 0 h 2877753"/>
            <a:gd name="connsiteX0" fmla="*/ 17243 w 3648872"/>
            <a:gd name="connsiteY0" fmla="*/ 0 h 2874910"/>
            <a:gd name="connsiteX1" fmla="*/ 973875 w 3648872"/>
            <a:gd name="connsiteY1" fmla="*/ 0 h 2874910"/>
            <a:gd name="connsiteX2" fmla="*/ 3648872 w 3648872"/>
            <a:gd name="connsiteY2" fmla="*/ 899190 h 2874910"/>
            <a:gd name="connsiteX3" fmla="*/ 3633953 w 3648872"/>
            <a:gd name="connsiteY3" fmla="*/ 2874910 h 2874910"/>
            <a:gd name="connsiteX4" fmla="*/ 28 w 3648872"/>
            <a:gd name="connsiteY4" fmla="*/ 1088485 h 2874910"/>
            <a:gd name="connsiteX5" fmla="*/ 17243 w 3648872"/>
            <a:gd name="connsiteY5" fmla="*/ 0 h 2874910"/>
            <a:gd name="connsiteX0" fmla="*/ 17243 w 3681278"/>
            <a:gd name="connsiteY0" fmla="*/ 0 h 2872068"/>
            <a:gd name="connsiteX1" fmla="*/ 973875 w 3681278"/>
            <a:gd name="connsiteY1" fmla="*/ 0 h 2872068"/>
            <a:gd name="connsiteX2" fmla="*/ 3648872 w 3681278"/>
            <a:gd name="connsiteY2" fmla="*/ 899190 h 2872068"/>
            <a:gd name="connsiteX3" fmla="*/ 3681278 w 3681278"/>
            <a:gd name="connsiteY3" fmla="*/ 2872068 h 2872068"/>
            <a:gd name="connsiteX4" fmla="*/ 28 w 3681278"/>
            <a:gd name="connsiteY4" fmla="*/ 1088485 h 2872068"/>
            <a:gd name="connsiteX5" fmla="*/ 17243 w 3681278"/>
            <a:gd name="connsiteY5" fmla="*/ 0 h 2872068"/>
            <a:gd name="connsiteX0" fmla="*/ 17243 w 3649727"/>
            <a:gd name="connsiteY0" fmla="*/ 0 h 2872068"/>
            <a:gd name="connsiteX1" fmla="*/ 973875 w 3649727"/>
            <a:gd name="connsiteY1" fmla="*/ 0 h 2872068"/>
            <a:gd name="connsiteX2" fmla="*/ 3648872 w 3649727"/>
            <a:gd name="connsiteY2" fmla="*/ 899190 h 2872068"/>
            <a:gd name="connsiteX3" fmla="*/ 3649727 w 3649727"/>
            <a:gd name="connsiteY3" fmla="*/ 2872068 h 2872068"/>
            <a:gd name="connsiteX4" fmla="*/ 28 w 3649727"/>
            <a:gd name="connsiteY4" fmla="*/ 1088485 h 2872068"/>
            <a:gd name="connsiteX5" fmla="*/ 17243 w 3649727"/>
            <a:gd name="connsiteY5" fmla="*/ 0 h 2872068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91322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6476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3670 w 3649847"/>
            <a:gd name="connsiteY2" fmla="*/ 894273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59636"/>
            <a:gd name="connsiteY0" fmla="*/ 0 h 2874905"/>
            <a:gd name="connsiteX1" fmla="*/ 973995 w 3659636"/>
            <a:gd name="connsiteY1" fmla="*/ 2837 h 2874905"/>
            <a:gd name="connsiteX2" fmla="*/ 3659636 w 3659636"/>
            <a:gd name="connsiteY2" fmla="*/ 894273 h 2874905"/>
            <a:gd name="connsiteX3" fmla="*/ 3649847 w 3659636"/>
            <a:gd name="connsiteY3" fmla="*/ 2874905 h 2874905"/>
            <a:gd name="connsiteX4" fmla="*/ 148 w 3659636"/>
            <a:gd name="connsiteY4" fmla="*/ 1081629 h 2874905"/>
            <a:gd name="connsiteX5" fmla="*/ 1717 w 3659636"/>
            <a:gd name="connsiteY5" fmla="*/ 0 h 2874905"/>
            <a:gd name="connsiteX0" fmla="*/ 1717 w 3654314"/>
            <a:gd name="connsiteY0" fmla="*/ 0 h 2874905"/>
            <a:gd name="connsiteX1" fmla="*/ 973995 w 3654314"/>
            <a:gd name="connsiteY1" fmla="*/ 2837 h 2874905"/>
            <a:gd name="connsiteX2" fmla="*/ 3654314 w 3654314"/>
            <a:gd name="connsiteY2" fmla="*/ 894273 h 2874905"/>
            <a:gd name="connsiteX3" fmla="*/ 3649847 w 3654314"/>
            <a:gd name="connsiteY3" fmla="*/ 2874905 h 2874905"/>
            <a:gd name="connsiteX4" fmla="*/ 148 w 3654314"/>
            <a:gd name="connsiteY4" fmla="*/ 1081629 h 2874905"/>
            <a:gd name="connsiteX5" fmla="*/ 1717 w 3654314"/>
            <a:gd name="connsiteY5" fmla="*/ 0 h 2874905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8 w 3654314"/>
            <a:gd name="connsiteY4" fmla="*/ 1081700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49436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50060 w 3702657"/>
            <a:gd name="connsiteY0" fmla="*/ 71 h 2874976"/>
            <a:gd name="connsiteX1" fmla="*/ 997779 w 3702657"/>
            <a:gd name="connsiteY1" fmla="*/ 0 h 2874976"/>
            <a:gd name="connsiteX2" fmla="*/ 3702657 w 3702657"/>
            <a:gd name="connsiteY2" fmla="*/ 894344 h 2874976"/>
            <a:gd name="connsiteX3" fmla="*/ 3698190 w 3702657"/>
            <a:gd name="connsiteY3" fmla="*/ 2874976 h 2874976"/>
            <a:gd name="connsiteX4" fmla="*/ 11 w 3702657"/>
            <a:gd name="connsiteY4" fmla="*/ 1097207 h 2874976"/>
            <a:gd name="connsiteX5" fmla="*/ 50060 w 3702657"/>
            <a:gd name="connsiteY5" fmla="*/ 71 h 2874976"/>
            <a:gd name="connsiteX0" fmla="*/ 1720 w 3654317"/>
            <a:gd name="connsiteY0" fmla="*/ 71 h 2874976"/>
            <a:gd name="connsiteX1" fmla="*/ 949439 w 3654317"/>
            <a:gd name="connsiteY1" fmla="*/ 0 h 2874976"/>
            <a:gd name="connsiteX2" fmla="*/ 3654317 w 3654317"/>
            <a:gd name="connsiteY2" fmla="*/ 894344 h 2874976"/>
            <a:gd name="connsiteX3" fmla="*/ 3649850 w 3654317"/>
            <a:gd name="connsiteY3" fmla="*/ 2874976 h 2874976"/>
            <a:gd name="connsiteX4" fmla="*/ 150 w 3654317"/>
            <a:gd name="connsiteY4" fmla="*/ 1088253 h 2874976"/>
            <a:gd name="connsiteX5" fmla="*/ 1720 w 3654317"/>
            <a:gd name="connsiteY5" fmla="*/ 71 h 2874976"/>
            <a:gd name="connsiteX0" fmla="*/ 13725 w 3666322"/>
            <a:gd name="connsiteY0" fmla="*/ 71 h 2874976"/>
            <a:gd name="connsiteX1" fmla="*/ 961444 w 3666322"/>
            <a:gd name="connsiteY1" fmla="*/ 0 h 2874976"/>
            <a:gd name="connsiteX2" fmla="*/ 3666322 w 3666322"/>
            <a:gd name="connsiteY2" fmla="*/ 894344 h 2874976"/>
            <a:gd name="connsiteX3" fmla="*/ 3661855 w 3666322"/>
            <a:gd name="connsiteY3" fmla="*/ 2874976 h 2874976"/>
            <a:gd name="connsiteX4" fmla="*/ 36 w 3666322"/>
            <a:gd name="connsiteY4" fmla="*/ 1092730 h 2874976"/>
            <a:gd name="connsiteX5" fmla="*/ 13725 w 3666322"/>
            <a:gd name="connsiteY5" fmla="*/ 71 h 2874976"/>
            <a:gd name="connsiteX0" fmla="*/ 13725 w 3666322"/>
            <a:gd name="connsiteY0" fmla="*/ 0 h 2874905"/>
            <a:gd name="connsiteX1" fmla="*/ 985681 w 3666322"/>
            <a:gd name="connsiteY1" fmla="*/ 2167 h 2874905"/>
            <a:gd name="connsiteX2" fmla="*/ 3666322 w 3666322"/>
            <a:gd name="connsiteY2" fmla="*/ 894273 h 2874905"/>
            <a:gd name="connsiteX3" fmla="*/ 3661855 w 3666322"/>
            <a:gd name="connsiteY3" fmla="*/ 2874905 h 2874905"/>
            <a:gd name="connsiteX4" fmla="*/ 36 w 3666322"/>
            <a:gd name="connsiteY4" fmla="*/ 1092659 h 2874905"/>
            <a:gd name="connsiteX5" fmla="*/ 13725 w 3666322"/>
            <a:gd name="connsiteY5" fmla="*/ 0 h 2874905"/>
            <a:gd name="connsiteX0" fmla="*/ 1715 w 3666435"/>
            <a:gd name="connsiteY0" fmla="*/ 0 h 2874905"/>
            <a:gd name="connsiteX1" fmla="*/ 985794 w 3666435"/>
            <a:gd name="connsiteY1" fmla="*/ 2167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5 w 3666435"/>
            <a:gd name="connsiteY0" fmla="*/ 0 h 2874905"/>
            <a:gd name="connsiteX1" fmla="*/ 979110 w 3666435"/>
            <a:gd name="connsiteY1" fmla="*/ 9518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6 w 3666435"/>
            <a:gd name="connsiteY0" fmla="*/ 0 h 2866328"/>
            <a:gd name="connsiteX1" fmla="*/ 979110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0 h 2866328"/>
            <a:gd name="connsiteX1" fmla="*/ 959003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284 h 2866612"/>
            <a:gd name="connsiteX1" fmla="*/ 959003 w 3666435"/>
            <a:gd name="connsiteY1" fmla="*/ 0 h 2866612"/>
            <a:gd name="connsiteX2" fmla="*/ 3666435 w 3666435"/>
            <a:gd name="connsiteY2" fmla="*/ 885980 h 2866612"/>
            <a:gd name="connsiteX3" fmla="*/ 3661968 w 3666435"/>
            <a:gd name="connsiteY3" fmla="*/ 2866612 h 2866612"/>
            <a:gd name="connsiteX4" fmla="*/ 149 w 3666435"/>
            <a:gd name="connsiteY4" fmla="*/ 1084366 h 2866612"/>
            <a:gd name="connsiteX5" fmla="*/ 1716 w 3666435"/>
            <a:gd name="connsiteY5" fmla="*/ 284 h 2866612"/>
            <a:gd name="connsiteX0" fmla="*/ 1716 w 3673138"/>
            <a:gd name="connsiteY0" fmla="*/ 284 h 2866612"/>
            <a:gd name="connsiteX1" fmla="*/ 959003 w 3673138"/>
            <a:gd name="connsiteY1" fmla="*/ 0 h 2866612"/>
            <a:gd name="connsiteX2" fmla="*/ 3673138 w 3673138"/>
            <a:gd name="connsiteY2" fmla="*/ 885980 h 2866612"/>
            <a:gd name="connsiteX3" fmla="*/ 3661968 w 3673138"/>
            <a:gd name="connsiteY3" fmla="*/ 2866612 h 2866612"/>
            <a:gd name="connsiteX4" fmla="*/ 149 w 3673138"/>
            <a:gd name="connsiteY4" fmla="*/ 1084366 h 2866612"/>
            <a:gd name="connsiteX5" fmla="*/ 1716 w 3673138"/>
            <a:gd name="connsiteY5" fmla="*/ 284 h 2866612"/>
            <a:gd name="connsiteX0" fmla="*/ 1716 w 3676241"/>
            <a:gd name="connsiteY0" fmla="*/ 284 h 2867837"/>
            <a:gd name="connsiteX1" fmla="*/ 959003 w 3676241"/>
            <a:gd name="connsiteY1" fmla="*/ 0 h 2867837"/>
            <a:gd name="connsiteX2" fmla="*/ 3673138 w 3676241"/>
            <a:gd name="connsiteY2" fmla="*/ 885980 h 2867837"/>
            <a:gd name="connsiteX3" fmla="*/ 3675374 w 3676241"/>
            <a:gd name="connsiteY3" fmla="*/ 2867837 h 2867837"/>
            <a:gd name="connsiteX4" fmla="*/ 149 w 3676241"/>
            <a:gd name="connsiteY4" fmla="*/ 1084366 h 2867837"/>
            <a:gd name="connsiteX5" fmla="*/ 1716 w 3676241"/>
            <a:gd name="connsiteY5" fmla="*/ 284 h 2867837"/>
            <a:gd name="connsiteX0" fmla="*/ 8322 w 3682847"/>
            <a:gd name="connsiteY0" fmla="*/ 284 h 2867837"/>
            <a:gd name="connsiteX1" fmla="*/ 965609 w 3682847"/>
            <a:gd name="connsiteY1" fmla="*/ 0 h 2867837"/>
            <a:gd name="connsiteX2" fmla="*/ 3679744 w 3682847"/>
            <a:gd name="connsiteY2" fmla="*/ 885980 h 2867837"/>
            <a:gd name="connsiteX3" fmla="*/ 3681980 w 3682847"/>
            <a:gd name="connsiteY3" fmla="*/ 2867837 h 2867837"/>
            <a:gd name="connsiteX4" fmla="*/ 53 w 3682847"/>
            <a:gd name="connsiteY4" fmla="*/ 1084366 h 2867837"/>
            <a:gd name="connsiteX5" fmla="*/ 8322 w 3682847"/>
            <a:gd name="connsiteY5" fmla="*/ 284 h 2867837"/>
            <a:gd name="connsiteX0" fmla="*/ 8322 w 3682847"/>
            <a:gd name="connsiteY0" fmla="*/ 284 h 2862936"/>
            <a:gd name="connsiteX1" fmla="*/ 965609 w 3682847"/>
            <a:gd name="connsiteY1" fmla="*/ 0 h 2862936"/>
            <a:gd name="connsiteX2" fmla="*/ 3679744 w 3682847"/>
            <a:gd name="connsiteY2" fmla="*/ 885980 h 2862936"/>
            <a:gd name="connsiteX3" fmla="*/ 3681980 w 3682847"/>
            <a:gd name="connsiteY3" fmla="*/ 2862936 h 2862936"/>
            <a:gd name="connsiteX4" fmla="*/ 53 w 3682847"/>
            <a:gd name="connsiteY4" fmla="*/ 1084366 h 2862936"/>
            <a:gd name="connsiteX5" fmla="*/ 8322 w 3682847"/>
            <a:gd name="connsiteY5" fmla="*/ 284 h 2862936"/>
            <a:gd name="connsiteX0" fmla="*/ 8322 w 3682847"/>
            <a:gd name="connsiteY0" fmla="*/ 0 h 2862652"/>
            <a:gd name="connsiteX1" fmla="*/ 972311 w 3682847"/>
            <a:gd name="connsiteY1" fmla="*/ 941 h 2862652"/>
            <a:gd name="connsiteX2" fmla="*/ 3679744 w 3682847"/>
            <a:gd name="connsiteY2" fmla="*/ 885696 h 2862652"/>
            <a:gd name="connsiteX3" fmla="*/ 3681980 w 3682847"/>
            <a:gd name="connsiteY3" fmla="*/ 2862652 h 2862652"/>
            <a:gd name="connsiteX4" fmla="*/ 53 w 3682847"/>
            <a:gd name="connsiteY4" fmla="*/ 1084082 h 2862652"/>
            <a:gd name="connsiteX5" fmla="*/ 8322 w 3682847"/>
            <a:gd name="connsiteY5" fmla="*/ 0 h 2862652"/>
            <a:gd name="connsiteX0" fmla="*/ 8322 w 3686446"/>
            <a:gd name="connsiteY0" fmla="*/ 0 h 2862652"/>
            <a:gd name="connsiteX1" fmla="*/ 972311 w 3686446"/>
            <a:gd name="connsiteY1" fmla="*/ 941 h 2862652"/>
            <a:gd name="connsiteX2" fmla="*/ 3686446 w 3686446"/>
            <a:gd name="connsiteY2" fmla="*/ 884471 h 2862652"/>
            <a:gd name="connsiteX3" fmla="*/ 3681980 w 3686446"/>
            <a:gd name="connsiteY3" fmla="*/ 2862652 h 2862652"/>
            <a:gd name="connsiteX4" fmla="*/ 53 w 3686446"/>
            <a:gd name="connsiteY4" fmla="*/ 1084082 h 2862652"/>
            <a:gd name="connsiteX5" fmla="*/ 8322 w 3686446"/>
            <a:gd name="connsiteY5" fmla="*/ 0 h 2862652"/>
            <a:gd name="connsiteX0" fmla="*/ 8322 w 3686446"/>
            <a:gd name="connsiteY0" fmla="*/ 0 h 2863877"/>
            <a:gd name="connsiteX1" fmla="*/ 972311 w 3686446"/>
            <a:gd name="connsiteY1" fmla="*/ 941 h 2863877"/>
            <a:gd name="connsiteX2" fmla="*/ 3686446 w 3686446"/>
            <a:gd name="connsiteY2" fmla="*/ 884471 h 2863877"/>
            <a:gd name="connsiteX3" fmla="*/ 3661871 w 3686446"/>
            <a:gd name="connsiteY3" fmla="*/ 2863877 h 2863877"/>
            <a:gd name="connsiteX4" fmla="*/ 53 w 3686446"/>
            <a:gd name="connsiteY4" fmla="*/ 1084082 h 2863877"/>
            <a:gd name="connsiteX5" fmla="*/ 8322 w 3686446"/>
            <a:gd name="connsiteY5" fmla="*/ 0 h 2863877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75831"/>
            <a:gd name="connsiteY0" fmla="*/ 0 h 2867552"/>
            <a:gd name="connsiteX1" fmla="*/ 972311 w 3675831"/>
            <a:gd name="connsiteY1" fmla="*/ 941 h 2867552"/>
            <a:gd name="connsiteX2" fmla="*/ 3666338 w 3675831"/>
            <a:gd name="connsiteY2" fmla="*/ 884471 h 2867552"/>
            <a:gd name="connsiteX3" fmla="*/ 3675277 w 3675831"/>
            <a:gd name="connsiteY3" fmla="*/ 2867552 h 2867552"/>
            <a:gd name="connsiteX4" fmla="*/ 53 w 3675831"/>
            <a:gd name="connsiteY4" fmla="*/ 1084082 h 2867552"/>
            <a:gd name="connsiteX5" fmla="*/ 8322 w 3675831"/>
            <a:gd name="connsiteY5" fmla="*/ 0 h 2867552"/>
            <a:gd name="connsiteX0" fmla="*/ 8322 w 3669441"/>
            <a:gd name="connsiteY0" fmla="*/ 0 h 2866327"/>
            <a:gd name="connsiteX1" fmla="*/ 972311 w 3669441"/>
            <a:gd name="connsiteY1" fmla="*/ 941 h 2866327"/>
            <a:gd name="connsiteX2" fmla="*/ 3666338 w 3669441"/>
            <a:gd name="connsiteY2" fmla="*/ 884471 h 2866327"/>
            <a:gd name="connsiteX3" fmla="*/ 3668574 w 3669441"/>
            <a:gd name="connsiteY3" fmla="*/ 2866327 h 2866327"/>
            <a:gd name="connsiteX4" fmla="*/ 53 w 3669441"/>
            <a:gd name="connsiteY4" fmla="*/ 1084082 h 2866327"/>
            <a:gd name="connsiteX5" fmla="*/ 8322 w 3669441"/>
            <a:gd name="connsiteY5" fmla="*/ 0 h 2866327"/>
            <a:gd name="connsiteX0" fmla="*/ 15005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5 w 3676124"/>
            <a:gd name="connsiteY5" fmla="*/ 0 h 2866327"/>
            <a:gd name="connsiteX0" fmla="*/ 15004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4 w 3676124"/>
            <a:gd name="connsiteY5" fmla="*/ 0 h 2866327"/>
            <a:gd name="connsiteX0" fmla="*/ 8323 w 3676146"/>
            <a:gd name="connsiteY0" fmla="*/ 0 h 2866327"/>
            <a:gd name="connsiteX1" fmla="*/ 979016 w 3676146"/>
            <a:gd name="connsiteY1" fmla="*/ 941 h 2866327"/>
            <a:gd name="connsiteX2" fmla="*/ 3673043 w 3676146"/>
            <a:gd name="connsiteY2" fmla="*/ 884471 h 2866327"/>
            <a:gd name="connsiteX3" fmla="*/ 3675279 w 3676146"/>
            <a:gd name="connsiteY3" fmla="*/ 2866327 h 2866327"/>
            <a:gd name="connsiteX4" fmla="*/ 55 w 3676146"/>
            <a:gd name="connsiteY4" fmla="*/ 1082857 h 2866327"/>
            <a:gd name="connsiteX5" fmla="*/ 8323 w 3676146"/>
            <a:gd name="connsiteY5" fmla="*/ 0 h 2866327"/>
            <a:gd name="connsiteX0" fmla="*/ -1 w 3667822"/>
            <a:gd name="connsiteY0" fmla="*/ 0 h 2866327"/>
            <a:gd name="connsiteX1" fmla="*/ 970692 w 3667822"/>
            <a:gd name="connsiteY1" fmla="*/ 941 h 2866327"/>
            <a:gd name="connsiteX2" fmla="*/ 3664719 w 3667822"/>
            <a:gd name="connsiteY2" fmla="*/ 884471 h 2866327"/>
            <a:gd name="connsiteX3" fmla="*/ 3666955 w 3667822"/>
            <a:gd name="connsiteY3" fmla="*/ 2866327 h 2866327"/>
            <a:gd name="connsiteX4" fmla="*/ 5137 w 3667822"/>
            <a:gd name="connsiteY4" fmla="*/ 1081632 h 2866327"/>
            <a:gd name="connsiteX5" fmla="*/ -1 w 3667822"/>
            <a:gd name="connsiteY5" fmla="*/ 0 h 2866327"/>
            <a:gd name="connsiteX0" fmla="*/ 1714 w 3669537"/>
            <a:gd name="connsiteY0" fmla="*/ 0 h 2866327"/>
            <a:gd name="connsiteX1" fmla="*/ 972407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959002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1003024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0 w 3667823"/>
            <a:gd name="connsiteY0" fmla="*/ 0 h 2866327"/>
            <a:gd name="connsiteX1" fmla="*/ 1001310 w 3667823"/>
            <a:gd name="connsiteY1" fmla="*/ 941 h 2866327"/>
            <a:gd name="connsiteX2" fmla="*/ 3664720 w 3667823"/>
            <a:gd name="connsiteY2" fmla="*/ 884471 h 2866327"/>
            <a:gd name="connsiteX3" fmla="*/ 3666956 w 3667823"/>
            <a:gd name="connsiteY3" fmla="*/ 2866327 h 2866327"/>
            <a:gd name="connsiteX4" fmla="*/ 75042 w 3667823"/>
            <a:gd name="connsiteY4" fmla="*/ 1243969 h 2866327"/>
            <a:gd name="connsiteX5" fmla="*/ 0 w 3667823"/>
            <a:gd name="connsiteY5" fmla="*/ 0 h 2866327"/>
            <a:gd name="connsiteX0" fmla="*/ 0 w 3667074"/>
            <a:gd name="connsiteY0" fmla="*/ 0 h 2866327"/>
            <a:gd name="connsiteX1" fmla="*/ 1001310 w 3667074"/>
            <a:gd name="connsiteY1" fmla="*/ 941 h 2866327"/>
            <a:gd name="connsiteX2" fmla="*/ 3588114 w 3667074"/>
            <a:gd name="connsiteY2" fmla="*/ 1355 h 2866327"/>
            <a:gd name="connsiteX3" fmla="*/ 3666956 w 3667074"/>
            <a:gd name="connsiteY3" fmla="*/ 2866327 h 2866327"/>
            <a:gd name="connsiteX4" fmla="*/ 75042 w 3667074"/>
            <a:gd name="connsiteY4" fmla="*/ 1243969 h 2866327"/>
            <a:gd name="connsiteX5" fmla="*/ 0 w 3667074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79034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98515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66047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7848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875"/>
            <a:gd name="connsiteY0" fmla="*/ 0 h 2866327"/>
            <a:gd name="connsiteX1" fmla="*/ 1003024 w 3668875"/>
            <a:gd name="connsiteY1" fmla="*/ 941 h 2866327"/>
            <a:gd name="connsiteX2" fmla="*/ 3628131 w 3668875"/>
            <a:gd name="connsiteY2" fmla="*/ 7848 h 2866327"/>
            <a:gd name="connsiteX3" fmla="*/ 3668670 w 3668875"/>
            <a:gd name="connsiteY3" fmla="*/ 2866327 h 2866327"/>
            <a:gd name="connsiteX4" fmla="*/ 149 w 3668875"/>
            <a:gd name="connsiteY4" fmla="*/ 1185528 h 2866327"/>
            <a:gd name="connsiteX5" fmla="*/ 1714 w 3668875"/>
            <a:gd name="connsiteY5" fmla="*/ 0 h 2866327"/>
            <a:gd name="connsiteX0" fmla="*/ 1714 w 3631230"/>
            <a:gd name="connsiteY0" fmla="*/ 0 h 2866327"/>
            <a:gd name="connsiteX1" fmla="*/ 1003024 w 3631230"/>
            <a:gd name="connsiteY1" fmla="*/ 941 h 2866327"/>
            <a:gd name="connsiteX2" fmla="*/ 3628131 w 3631230"/>
            <a:gd name="connsiteY2" fmla="*/ 7848 h 2866327"/>
            <a:gd name="connsiteX3" fmla="*/ 3630363 w 3631230"/>
            <a:gd name="connsiteY3" fmla="*/ 2866327 h 2866327"/>
            <a:gd name="connsiteX4" fmla="*/ 149 w 3631230"/>
            <a:gd name="connsiteY4" fmla="*/ 1185528 h 2866327"/>
            <a:gd name="connsiteX5" fmla="*/ 1714 w 3631230"/>
            <a:gd name="connsiteY5" fmla="*/ 0 h 28663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631230" h="2866327">
              <a:moveTo>
                <a:pt x="1714" y="0"/>
              </a:moveTo>
              <a:lnTo>
                <a:pt x="1003024" y="941"/>
              </a:lnTo>
              <a:lnTo>
                <a:pt x="3628131" y="7848"/>
              </a:lnTo>
              <a:cubicBezTo>
                <a:pt x="3624408" y="668059"/>
                <a:pt x="3634086" y="2206116"/>
                <a:pt x="3630363" y="2866327"/>
              </a:cubicBezTo>
              <a:cubicBezTo>
                <a:pt x="2407523" y="2271429"/>
                <a:pt x="1222989" y="1780426"/>
                <a:pt x="149" y="1185528"/>
              </a:cubicBezTo>
              <a:cubicBezTo>
                <a:pt x="-730" y="1102216"/>
                <a:pt x="2593" y="83312"/>
                <a:pt x="1714" y="0"/>
              </a:cubicBezTo>
              <a:close/>
            </a:path>
          </a:pathLst>
        </a:custGeom>
        <a:solidFill>
          <a:schemeClr val="bg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4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r>
            <a:rPr lang="es-CO" sz="1400" b="1">
              <a:solidFill>
                <a:schemeClr val="tx1"/>
              </a:solidFill>
            </a:rPr>
            <a:t>Broca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59859</xdr:colOff>
      <xdr:row>122</xdr:row>
      <xdr:rowOff>17647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BA818-F656-46F1-AB2D-1FFD7CAF5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74925</xdr:colOff>
      <xdr:row>122</xdr:row>
      <xdr:rowOff>49050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ED5E25-5849-477B-83EE-17E33C57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13608</xdr:rowOff>
    </xdr:from>
    <xdr:to>
      <xdr:col>13</xdr:col>
      <xdr:colOff>58364</xdr:colOff>
      <xdr:row>122</xdr:row>
      <xdr:rowOff>31426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F4F59-189D-47BF-B9B3-71B8F2B2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13</xdr:col>
      <xdr:colOff>58364</xdr:colOff>
      <xdr:row>122</xdr:row>
      <xdr:rowOff>17819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B5F549-BCAF-426F-B2D7-3F775698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0</xdr:row>
      <xdr:rowOff>0</xdr:rowOff>
    </xdr:from>
    <xdr:to>
      <xdr:col>13</xdr:col>
      <xdr:colOff>96463</xdr:colOff>
      <xdr:row>122</xdr:row>
      <xdr:rowOff>17818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88A153-E8DF-4914-846E-CAC7CE8E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1567579</xdr:colOff>
      <xdr:row>14</xdr:row>
      <xdr:rowOff>69557</xdr:rowOff>
    </xdr:from>
    <xdr:to>
      <xdr:col>5</xdr:col>
      <xdr:colOff>932447</xdr:colOff>
      <xdr:row>86</xdr:row>
      <xdr:rowOff>90237</xdr:rowOff>
    </xdr:to>
    <xdr:sp macro="" textlink="">
      <xdr:nvSpPr>
        <xdr:cNvPr id="10" name="Rectángulo 18">
          <a:extLst>
            <a:ext uri="{FF2B5EF4-FFF2-40B4-BE49-F238E27FC236}">
              <a16:creationId xmlns:a16="http://schemas.microsoft.com/office/drawing/2014/main" id="{7B571F18-133F-446A-9F39-C1A6BD2ECE21}"/>
            </a:ext>
          </a:extLst>
        </xdr:cNvPr>
        <xdr:cNvSpPr/>
      </xdr:nvSpPr>
      <xdr:spPr>
        <a:xfrm>
          <a:off x="4856211" y="3428373"/>
          <a:ext cx="1269868" cy="16624259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80620"/>
            <a:gd name="connsiteY0" fmla="*/ 0 h 2912656"/>
            <a:gd name="connsiteX1" fmla="*/ 973875 w 3680620"/>
            <a:gd name="connsiteY1" fmla="*/ 0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2976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1488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83381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83381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9 w 3680620"/>
            <a:gd name="connsiteY4" fmla="*/ 1979629 h 2912656"/>
            <a:gd name="connsiteX5" fmla="*/ 17243 w 3680620"/>
            <a:gd name="connsiteY5" fmla="*/ 0 h 2912656"/>
            <a:gd name="connsiteX0" fmla="*/ 33105 w 3696482"/>
            <a:gd name="connsiteY0" fmla="*/ 0 h 2912656"/>
            <a:gd name="connsiteX1" fmla="*/ 799243 w 3696482"/>
            <a:gd name="connsiteY1" fmla="*/ 1488 h 2912656"/>
            <a:gd name="connsiteX2" fmla="*/ 3696482 w 3696482"/>
            <a:gd name="connsiteY2" fmla="*/ 565941 h 2912656"/>
            <a:gd name="connsiteX3" fmla="*/ 3649817 w 3696482"/>
            <a:gd name="connsiteY3" fmla="*/ 2912656 h 2912656"/>
            <a:gd name="connsiteX4" fmla="*/ 16 w 3696482"/>
            <a:gd name="connsiteY4" fmla="*/ 2793412 h 2912656"/>
            <a:gd name="connsiteX5" fmla="*/ 33105 w 3696482"/>
            <a:gd name="connsiteY5" fmla="*/ 0 h 2912656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6 w 3697440"/>
            <a:gd name="connsiteY4" fmla="*/ 2793412 h 2911168"/>
            <a:gd name="connsiteX5" fmla="*/ 33105 w 3697440"/>
            <a:gd name="connsiteY5" fmla="*/ 0 h 2911168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5 w 3697440"/>
            <a:gd name="connsiteY4" fmla="*/ 2797875 h 2911168"/>
            <a:gd name="connsiteX5" fmla="*/ 33105 w 3697440"/>
            <a:gd name="connsiteY5" fmla="*/ 0 h 2911168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5 w 3697440"/>
            <a:gd name="connsiteY4" fmla="*/ 2797875 h 2911168"/>
            <a:gd name="connsiteX5" fmla="*/ 33105 w 3697440"/>
            <a:gd name="connsiteY5" fmla="*/ 0 h 2911168"/>
            <a:gd name="connsiteX0" fmla="*/ 1500 w 3697584"/>
            <a:gd name="connsiteY0" fmla="*/ 0 h 2911168"/>
            <a:gd name="connsiteX1" fmla="*/ 799387 w 3697584"/>
            <a:gd name="connsiteY1" fmla="*/ 1488 h 2911168"/>
            <a:gd name="connsiteX2" fmla="*/ 3696626 w 3697584"/>
            <a:gd name="connsiteY2" fmla="*/ 565941 h 2911168"/>
            <a:gd name="connsiteX3" fmla="*/ 3697584 w 3697584"/>
            <a:gd name="connsiteY3" fmla="*/ 2911168 h 2911168"/>
            <a:gd name="connsiteX4" fmla="*/ 159 w 3697584"/>
            <a:gd name="connsiteY4" fmla="*/ 2797875 h 2911168"/>
            <a:gd name="connsiteX5" fmla="*/ 1500 w 3697584"/>
            <a:gd name="connsiteY5" fmla="*/ 0 h 2911168"/>
            <a:gd name="connsiteX0" fmla="*/ 14281 w 3710365"/>
            <a:gd name="connsiteY0" fmla="*/ 0 h 2911168"/>
            <a:gd name="connsiteX1" fmla="*/ 812168 w 3710365"/>
            <a:gd name="connsiteY1" fmla="*/ 1488 h 2911168"/>
            <a:gd name="connsiteX2" fmla="*/ 3709407 w 3710365"/>
            <a:gd name="connsiteY2" fmla="*/ 565941 h 2911168"/>
            <a:gd name="connsiteX3" fmla="*/ 3710365 w 3710365"/>
            <a:gd name="connsiteY3" fmla="*/ 2911168 h 2911168"/>
            <a:gd name="connsiteX4" fmla="*/ 12940 w 3710365"/>
            <a:gd name="connsiteY4" fmla="*/ 2797875 h 2911168"/>
            <a:gd name="connsiteX5" fmla="*/ 14281 w 3710365"/>
            <a:gd name="connsiteY5" fmla="*/ 0 h 2911168"/>
            <a:gd name="connsiteX0" fmla="*/ 1372 w 3697456"/>
            <a:gd name="connsiteY0" fmla="*/ 0 h 2911168"/>
            <a:gd name="connsiteX1" fmla="*/ 799259 w 3697456"/>
            <a:gd name="connsiteY1" fmla="*/ 1488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35363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71767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89971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36281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01713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26740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873 w 3697445"/>
            <a:gd name="connsiteY0" fmla="*/ 0 h 2911168"/>
            <a:gd name="connsiteX1" fmla="*/ 726729 w 3697445"/>
            <a:gd name="connsiteY1" fmla="*/ 3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676678 w 3697445"/>
            <a:gd name="connsiteY1" fmla="*/ 1233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6779 w 3697445"/>
            <a:gd name="connsiteY1" fmla="*/ 3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1473 h 2912641"/>
            <a:gd name="connsiteX1" fmla="*/ 528321 w 3697445"/>
            <a:gd name="connsiteY1" fmla="*/ 0 h 2912641"/>
            <a:gd name="connsiteX2" fmla="*/ 3696488 w 3697445"/>
            <a:gd name="connsiteY2" fmla="*/ 572861 h 2912641"/>
            <a:gd name="connsiteX3" fmla="*/ 3697445 w 3697445"/>
            <a:gd name="connsiteY3" fmla="*/ 2912641 h 2912641"/>
            <a:gd name="connsiteX4" fmla="*/ 20 w 3697445"/>
            <a:gd name="connsiteY4" fmla="*/ 2799348 h 2912641"/>
            <a:gd name="connsiteX5" fmla="*/ 13873 w 3697445"/>
            <a:gd name="connsiteY5" fmla="*/ 1473 h 2912641"/>
            <a:gd name="connsiteX0" fmla="*/ 13873 w 3697445"/>
            <a:gd name="connsiteY0" fmla="*/ 0 h 2911168"/>
            <a:gd name="connsiteX1" fmla="*/ 768498 w 3697445"/>
            <a:gd name="connsiteY1" fmla="*/ 9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644270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6780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8069 h 2919237"/>
            <a:gd name="connsiteX1" fmla="*/ 387529 w 3697445"/>
            <a:gd name="connsiteY1" fmla="*/ 0 h 2919237"/>
            <a:gd name="connsiteX2" fmla="*/ 3696488 w 3697445"/>
            <a:gd name="connsiteY2" fmla="*/ 579457 h 2919237"/>
            <a:gd name="connsiteX3" fmla="*/ 3697445 w 3697445"/>
            <a:gd name="connsiteY3" fmla="*/ 2919237 h 2919237"/>
            <a:gd name="connsiteX4" fmla="*/ 20 w 3697445"/>
            <a:gd name="connsiteY4" fmla="*/ 2805944 h 2919237"/>
            <a:gd name="connsiteX5" fmla="*/ 13873 w 3697445"/>
            <a:gd name="connsiteY5" fmla="*/ 8069 h 2919237"/>
            <a:gd name="connsiteX0" fmla="*/ 13873 w 3697445"/>
            <a:gd name="connsiteY0" fmla="*/ 0 h 2911168"/>
            <a:gd name="connsiteX1" fmla="*/ 685679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68498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2072 h 2913240"/>
            <a:gd name="connsiteX1" fmla="*/ 553167 w 3697445"/>
            <a:gd name="connsiteY1" fmla="*/ 0 h 2913240"/>
            <a:gd name="connsiteX2" fmla="*/ 3696488 w 3697445"/>
            <a:gd name="connsiteY2" fmla="*/ 573460 h 2913240"/>
            <a:gd name="connsiteX3" fmla="*/ 3697445 w 3697445"/>
            <a:gd name="connsiteY3" fmla="*/ 2913240 h 2913240"/>
            <a:gd name="connsiteX4" fmla="*/ 20 w 3697445"/>
            <a:gd name="connsiteY4" fmla="*/ 2799947 h 2913240"/>
            <a:gd name="connsiteX5" fmla="*/ 13873 w 3697445"/>
            <a:gd name="connsiteY5" fmla="*/ 2072 h 2913240"/>
            <a:gd name="connsiteX0" fmla="*/ 13873 w 3697445"/>
            <a:gd name="connsiteY0" fmla="*/ 0 h 2911168"/>
            <a:gd name="connsiteX1" fmla="*/ 770489 w 3697445"/>
            <a:gd name="connsiteY1" fmla="*/ 164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133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407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407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212 h 2911380"/>
            <a:gd name="connsiteX1" fmla="*/ 774750 w 3697445"/>
            <a:gd name="connsiteY1" fmla="*/ 0 h 2911380"/>
            <a:gd name="connsiteX2" fmla="*/ 3696488 w 3697445"/>
            <a:gd name="connsiteY2" fmla="*/ 571600 h 2911380"/>
            <a:gd name="connsiteX3" fmla="*/ 3697445 w 3697445"/>
            <a:gd name="connsiteY3" fmla="*/ 2911380 h 2911380"/>
            <a:gd name="connsiteX4" fmla="*/ 20 w 3697445"/>
            <a:gd name="connsiteY4" fmla="*/ 2798087 h 2911380"/>
            <a:gd name="connsiteX5" fmla="*/ 13873 w 3697445"/>
            <a:gd name="connsiteY5" fmla="*/ 212 h 2911380"/>
            <a:gd name="connsiteX0" fmla="*/ 35098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35098 w 3697436"/>
            <a:gd name="connsiteY5" fmla="*/ 0 h 2911787"/>
            <a:gd name="connsiteX0" fmla="*/ 26605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26605 w 3697436"/>
            <a:gd name="connsiteY5" fmla="*/ 0 h 2911787"/>
            <a:gd name="connsiteX0" fmla="*/ 22360 w 3697438"/>
            <a:gd name="connsiteY0" fmla="*/ 0 h 2911787"/>
            <a:gd name="connsiteX1" fmla="*/ 774743 w 3697438"/>
            <a:gd name="connsiteY1" fmla="*/ 407 h 2911787"/>
            <a:gd name="connsiteX2" fmla="*/ 3696481 w 3697438"/>
            <a:gd name="connsiteY2" fmla="*/ 572007 h 2911787"/>
            <a:gd name="connsiteX3" fmla="*/ 3697438 w 3697438"/>
            <a:gd name="connsiteY3" fmla="*/ 2911787 h 2911787"/>
            <a:gd name="connsiteX4" fmla="*/ 13 w 3697438"/>
            <a:gd name="connsiteY4" fmla="*/ 2798494 h 2911787"/>
            <a:gd name="connsiteX5" fmla="*/ 22360 w 3697438"/>
            <a:gd name="connsiteY5" fmla="*/ 0 h 2911787"/>
            <a:gd name="connsiteX0" fmla="*/ 26607 w 3697438"/>
            <a:gd name="connsiteY0" fmla="*/ 0 h 2911787"/>
            <a:gd name="connsiteX1" fmla="*/ 774743 w 3697438"/>
            <a:gd name="connsiteY1" fmla="*/ 407 h 2911787"/>
            <a:gd name="connsiteX2" fmla="*/ 3696481 w 3697438"/>
            <a:gd name="connsiteY2" fmla="*/ 572007 h 2911787"/>
            <a:gd name="connsiteX3" fmla="*/ 3697438 w 3697438"/>
            <a:gd name="connsiteY3" fmla="*/ 2911787 h 2911787"/>
            <a:gd name="connsiteX4" fmla="*/ 13 w 3697438"/>
            <a:gd name="connsiteY4" fmla="*/ 2798494 h 2911787"/>
            <a:gd name="connsiteX5" fmla="*/ 26607 w 3697438"/>
            <a:gd name="connsiteY5" fmla="*/ 0 h 2911787"/>
            <a:gd name="connsiteX0" fmla="*/ 39344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39344 w 3697436"/>
            <a:gd name="connsiteY5" fmla="*/ 0 h 2911787"/>
            <a:gd name="connsiteX0" fmla="*/ 26605 w 3697436"/>
            <a:gd name="connsiteY0" fmla="*/ 0 h 2912097"/>
            <a:gd name="connsiteX1" fmla="*/ 774741 w 3697436"/>
            <a:gd name="connsiteY1" fmla="*/ 717 h 2912097"/>
            <a:gd name="connsiteX2" fmla="*/ 3696479 w 3697436"/>
            <a:gd name="connsiteY2" fmla="*/ 572317 h 2912097"/>
            <a:gd name="connsiteX3" fmla="*/ 3697436 w 3697436"/>
            <a:gd name="connsiteY3" fmla="*/ 2912097 h 2912097"/>
            <a:gd name="connsiteX4" fmla="*/ 11 w 3697436"/>
            <a:gd name="connsiteY4" fmla="*/ 2798804 h 2912097"/>
            <a:gd name="connsiteX5" fmla="*/ 26605 w 3697436"/>
            <a:gd name="connsiteY5" fmla="*/ 0 h 2912097"/>
            <a:gd name="connsiteX0" fmla="*/ 18116 w 3697440"/>
            <a:gd name="connsiteY0" fmla="*/ 0 h 2911787"/>
            <a:gd name="connsiteX1" fmla="*/ 774745 w 3697440"/>
            <a:gd name="connsiteY1" fmla="*/ 407 h 2911787"/>
            <a:gd name="connsiteX2" fmla="*/ 3696483 w 3697440"/>
            <a:gd name="connsiteY2" fmla="*/ 572007 h 2911787"/>
            <a:gd name="connsiteX3" fmla="*/ 3697440 w 3697440"/>
            <a:gd name="connsiteY3" fmla="*/ 2911787 h 2911787"/>
            <a:gd name="connsiteX4" fmla="*/ 15 w 3697440"/>
            <a:gd name="connsiteY4" fmla="*/ 2798494 h 2911787"/>
            <a:gd name="connsiteX5" fmla="*/ 18116 w 3697440"/>
            <a:gd name="connsiteY5" fmla="*/ 0 h 2911787"/>
            <a:gd name="connsiteX0" fmla="*/ 9627 w 3697444"/>
            <a:gd name="connsiteY0" fmla="*/ 0 h 2912097"/>
            <a:gd name="connsiteX1" fmla="*/ 774749 w 3697444"/>
            <a:gd name="connsiteY1" fmla="*/ 71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934 h 2913031"/>
            <a:gd name="connsiteX1" fmla="*/ 808234 w 3697444"/>
            <a:gd name="connsiteY1" fmla="*/ 0 h 2913031"/>
            <a:gd name="connsiteX2" fmla="*/ 3696487 w 3697444"/>
            <a:gd name="connsiteY2" fmla="*/ 573251 h 2913031"/>
            <a:gd name="connsiteX3" fmla="*/ 3697444 w 3697444"/>
            <a:gd name="connsiteY3" fmla="*/ 2913031 h 2913031"/>
            <a:gd name="connsiteX4" fmla="*/ 19 w 3697444"/>
            <a:gd name="connsiteY4" fmla="*/ 2799738 h 2913031"/>
            <a:gd name="connsiteX5" fmla="*/ 9627 w 3697444"/>
            <a:gd name="connsiteY5" fmla="*/ 934 h 2913031"/>
            <a:gd name="connsiteX0" fmla="*/ 9627 w 3697444"/>
            <a:gd name="connsiteY0" fmla="*/ 108 h 2912205"/>
            <a:gd name="connsiteX1" fmla="*/ 808234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819398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790331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0 h 2912097"/>
            <a:gd name="connsiteX1" fmla="*/ 780643 w 3697444"/>
            <a:gd name="connsiteY1" fmla="*/ 2038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0 h 2912097"/>
            <a:gd name="connsiteX1" fmla="*/ 770953 w 3697444"/>
            <a:gd name="connsiteY1" fmla="*/ 60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108 h 2912205"/>
            <a:gd name="connsiteX1" fmla="*/ 761264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771955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0 h 2912097"/>
            <a:gd name="connsiteX1" fmla="*/ 771955 w 3697444"/>
            <a:gd name="connsiteY1" fmla="*/ 1459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0 h 2912097"/>
            <a:gd name="connsiteX1" fmla="*/ 777301 w 3697444"/>
            <a:gd name="connsiteY1" fmla="*/ 106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707186"/>
            <a:gd name="connsiteY0" fmla="*/ 0 h 2912097"/>
            <a:gd name="connsiteX1" fmla="*/ 777301 w 3707186"/>
            <a:gd name="connsiteY1" fmla="*/ 1067 h 2912097"/>
            <a:gd name="connsiteX2" fmla="*/ 3707179 w 3707186"/>
            <a:gd name="connsiteY2" fmla="*/ 569967 h 2912097"/>
            <a:gd name="connsiteX3" fmla="*/ 3697444 w 3707186"/>
            <a:gd name="connsiteY3" fmla="*/ 2912097 h 2912097"/>
            <a:gd name="connsiteX4" fmla="*/ 19 w 3707186"/>
            <a:gd name="connsiteY4" fmla="*/ 2798804 h 2912097"/>
            <a:gd name="connsiteX5" fmla="*/ 9627 w 3707186"/>
            <a:gd name="connsiteY5" fmla="*/ 0 h 2912097"/>
            <a:gd name="connsiteX0" fmla="*/ 9627 w 3708136"/>
            <a:gd name="connsiteY0" fmla="*/ 0 h 2912488"/>
            <a:gd name="connsiteX1" fmla="*/ 777301 w 3708136"/>
            <a:gd name="connsiteY1" fmla="*/ 1067 h 2912488"/>
            <a:gd name="connsiteX2" fmla="*/ 3707179 w 3708136"/>
            <a:gd name="connsiteY2" fmla="*/ 569967 h 2912488"/>
            <a:gd name="connsiteX3" fmla="*/ 3708136 w 3708136"/>
            <a:gd name="connsiteY3" fmla="*/ 2912488 h 2912488"/>
            <a:gd name="connsiteX4" fmla="*/ 19 w 3708136"/>
            <a:gd name="connsiteY4" fmla="*/ 2798804 h 2912488"/>
            <a:gd name="connsiteX5" fmla="*/ 9627 w 3708136"/>
            <a:gd name="connsiteY5" fmla="*/ 0 h 2912488"/>
            <a:gd name="connsiteX0" fmla="*/ 9627 w 3708136"/>
            <a:gd name="connsiteY0" fmla="*/ 0 h 2912488"/>
            <a:gd name="connsiteX1" fmla="*/ 777301 w 3708136"/>
            <a:gd name="connsiteY1" fmla="*/ 1067 h 2912488"/>
            <a:gd name="connsiteX2" fmla="*/ 3707179 w 3708136"/>
            <a:gd name="connsiteY2" fmla="*/ 568792 h 2912488"/>
            <a:gd name="connsiteX3" fmla="*/ 3708136 w 3708136"/>
            <a:gd name="connsiteY3" fmla="*/ 2912488 h 2912488"/>
            <a:gd name="connsiteX4" fmla="*/ 19 w 3708136"/>
            <a:gd name="connsiteY4" fmla="*/ 2798804 h 2912488"/>
            <a:gd name="connsiteX5" fmla="*/ 9627 w 3708136"/>
            <a:gd name="connsiteY5" fmla="*/ 0 h 2912488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8792 h 2912096"/>
            <a:gd name="connsiteX3" fmla="*/ 3697444 w 3707186"/>
            <a:gd name="connsiteY3" fmla="*/ 2912096 h 2912096"/>
            <a:gd name="connsiteX4" fmla="*/ 19 w 3707186"/>
            <a:gd name="connsiteY4" fmla="*/ 2798804 h 2912096"/>
            <a:gd name="connsiteX5" fmla="*/ 9627 w 3707186"/>
            <a:gd name="connsiteY5" fmla="*/ 0 h 2912096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8792 h 2912096"/>
            <a:gd name="connsiteX3" fmla="*/ 3697444 w 3707186"/>
            <a:gd name="connsiteY3" fmla="*/ 2912096 h 2912096"/>
            <a:gd name="connsiteX4" fmla="*/ 20 w 3707186"/>
            <a:gd name="connsiteY4" fmla="*/ 2798021 h 2912096"/>
            <a:gd name="connsiteX5" fmla="*/ 9627 w 370718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6488 w 3697444"/>
            <a:gd name="connsiteY2" fmla="*/ 569575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701846"/>
            <a:gd name="connsiteY0" fmla="*/ 0 h 2912096"/>
            <a:gd name="connsiteX1" fmla="*/ 777301 w 3701846"/>
            <a:gd name="connsiteY1" fmla="*/ 1067 h 2912096"/>
            <a:gd name="connsiteX2" fmla="*/ 3701833 w 3701846"/>
            <a:gd name="connsiteY2" fmla="*/ 569575 h 2912096"/>
            <a:gd name="connsiteX3" fmla="*/ 3697444 w 3701846"/>
            <a:gd name="connsiteY3" fmla="*/ 2912096 h 2912096"/>
            <a:gd name="connsiteX4" fmla="*/ 20 w 3701846"/>
            <a:gd name="connsiteY4" fmla="*/ 2798021 h 2912096"/>
            <a:gd name="connsiteX5" fmla="*/ 9627 w 3701846"/>
            <a:gd name="connsiteY5" fmla="*/ 0 h 2912096"/>
            <a:gd name="connsiteX0" fmla="*/ 9627 w 3701846"/>
            <a:gd name="connsiteY0" fmla="*/ 0 h 2912096"/>
            <a:gd name="connsiteX1" fmla="*/ 777301 w 3701846"/>
            <a:gd name="connsiteY1" fmla="*/ 1067 h 2912096"/>
            <a:gd name="connsiteX2" fmla="*/ 3701833 w 3701846"/>
            <a:gd name="connsiteY2" fmla="*/ 569967 h 2912096"/>
            <a:gd name="connsiteX3" fmla="*/ 3697444 w 3701846"/>
            <a:gd name="connsiteY3" fmla="*/ 2912096 h 2912096"/>
            <a:gd name="connsiteX4" fmla="*/ 20 w 3701846"/>
            <a:gd name="connsiteY4" fmla="*/ 2798021 h 2912096"/>
            <a:gd name="connsiteX5" fmla="*/ 9627 w 370184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1141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9967 h 2912096"/>
            <a:gd name="connsiteX3" fmla="*/ 3697444 w 3707186"/>
            <a:gd name="connsiteY3" fmla="*/ 2912096 h 2912096"/>
            <a:gd name="connsiteX4" fmla="*/ 20 w 3707186"/>
            <a:gd name="connsiteY4" fmla="*/ 2798021 h 2912096"/>
            <a:gd name="connsiteX5" fmla="*/ 9627 w 370718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697444"/>
            <a:gd name="connsiteY0" fmla="*/ 0 h 2912096"/>
            <a:gd name="connsiteX1" fmla="*/ 761263 w 3697444"/>
            <a:gd name="connsiteY1" fmla="*/ 675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697444"/>
            <a:gd name="connsiteY0" fmla="*/ 0 h 2912096"/>
            <a:gd name="connsiteX1" fmla="*/ 766609 w 3697444"/>
            <a:gd name="connsiteY1" fmla="*/ 283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14971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1 w 3697442"/>
            <a:gd name="connsiteY5" fmla="*/ 0 h 2912096"/>
            <a:gd name="connsiteX0" fmla="*/ 14970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0 w 3697442"/>
            <a:gd name="connsiteY5" fmla="*/ 0 h 2912096"/>
            <a:gd name="connsiteX0" fmla="*/ 14970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0 w 3697442"/>
            <a:gd name="connsiteY5" fmla="*/ 0 h 2912096"/>
            <a:gd name="connsiteX0" fmla="*/ 14970 w 3697442"/>
            <a:gd name="connsiteY0" fmla="*/ 892 h 2911813"/>
            <a:gd name="connsiteX1" fmla="*/ 766607 w 3697442"/>
            <a:gd name="connsiteY1" fmla="*/ 0 h 2911813"/>
            <a:gd name="connsiteX2" fmla="*/ 3696486 w 3697442"/>
            <a:gd name="connsiteY2" fmla="*/ 569684 h 2911813"/>
            <a:gd name="connsiteX3" fmla="*/ 3697442 w 3697442"/>
            <a:gd name="connsiteY3" fmla="*/ 2911813 h 2911813"/>
            <a:gd name="connsiteX4" fmla="*/ 18 w 3697442"/>
            <a:gd name="connsiteY4" fmla="*/ 2797738 h 2911813"/>
            <a:gd name="connsiteX5" fmla="*/ 14970 w 3697442"/>
            <a:gd name="connsiteY5" fmla="*/ 892 h 2911813"/>
            <a:gd name="connsiteX0" fmla="*/ 14970 w 3697442"/>
            <a:gd name="connsiteY0" fmla="*/ 0 h 2910921"/>
            <a:gd name="connsiteX1" fmla="*/ 771953 w 3697442"/>
            <a:gd name="connsiteY1" fmla="*/ 283 h 2910921"/>
            <a:gd name="connsiteX2" fmla="*/ 3696486 w 3697442"/>
            <a:gd name="connsiteY2" fmla="*/ 568792 h 2910921"/>
            <a:gd name="connsiteX3" fmla="*/ 3697442 w 3697442"/>
            <a:gd name="connsiteY3" fmla="*/ 2910921 h 2910921"/>
            <a:gd name="connsiteX4" fmla="*/ 18 w 3697442"/>
            <a:gd name="connsiteY4" fmla="*/ 2796846 h 2910921"/>
            <a:gd name="connsiteX5" fmla="*/ 14970 w 3697442"/>
            <a:gd name="connsiteY5" fmla="*/ 0 h 2910921"/>
            <a:gd name="connsiteX0" fmla="*/ 14970 w 3697442"/>
            <a:gd name="connsiteY0" fmla="*/ 0 h 2910921"/>
            <a:gd name="connsiteX1" fmla="*/ 787921 w 3697442"/>
            <a:gd name="connsiteY1" fmla="*/ 283 h 2910921"/>
            <a:gd name="connsiteX2" fmla="*/ 3696486 w 3697442"/>
            <a:gd name="connsiteY2" fmla="*/ 568792 h 2910921"/>
            <a:gd name="connsiteX3" fmla="*/ 3697442 w 3697442"/>
            <a:gd name="connsiteY3" fmla="*/ 2910921 h 2910921"/>
            <a:gd name="connsiteX4" fmla="*/ 18 w 3697442"/>
            <a:gd name="connsiteY4" fmla="*/ 2796846 h 2910921"/>
            <a:gd name="connsiteX5" fmla="*/ 14970 w 3697442"/>
            <a:gd name="connsiteY5" fmla="*/ 0 h 2910921"/>
            <a:gd name="connsiteX0" fmla="*/ 20291 w 3697440"/>
            <a:gd name="connsiteY0" fmla="*/ 0 h 2911313"/>
            <a:gd name="connsiteX1" fmla="*/ 787919 w 3697440"/>
            <a:gd name="connsiteY1" fmla="*/ 675 h 2911313"/>
            <a:gd name="connsiteX2" fmla="*/ 3696484 w 3697440"/>
            <a:gd name="connsiteY2" fmla="*/ 569184 h 2911313"/>
            <a:gd name="connsiteX3" fmla="*/ 3697440 w 3697440"/>
            <a:gd name="connsiteY3" fmla="*/ 2911313 h 2911313"/>
            <a:gd name="connsiteX4" fmla="*/ 16 w 3697440"/>
            <a:gd name="connsiteY4" fmla="*/ 2797238 h 2911313"/>
            <a:gd name="connsiteX5" fmla="*/ 20291 w 3697440"/>
            <a:gd name="connsiteY5" fmla="*/ 0 h 2911313"/>
            <a:gd name="connsiteX0" fmla="*/ 30931 w 3697436"/>
            <a:gd name="connsiteY0" fmla="*/ 0 h 2911313"/>
            <a:gd name="connsiteX1" fmla="*/ 787915 w 3697436"/>
            <a:gd name="connsiteY1" fmla="*/ 675 h 2911313"/>
            <a:gd name="connsiteX2" fmla="*/ 3696480 w 3697436"/>
            <a:gd name="connsiteY2" fmla="*/ 569184 h 2911313"/>
            <a:gd name="connsiteX3" fmla="*/ 3697436 w 3697436"/>
            <a:gd name="connsiteY3" fmla="*/ 2911313 h 2911313"/>
            <a:gd name="connsiteX4" fmla="*/ 12 w 3697436"/>
            <a:gd name="connsiteY4" fmla="*/ 2797238 h 2911313"/>
            <a:gd name="connsiteX5" fmla="*/ 30931 w 3697436"/>
            <a:gd name="connsiteY5" fmla="*/ 0 h 2911313"/>
            <a:gd name="connsiteX0" fmla="*/ 25608 w 3697436"/>
            <a:gd name="connsiteY0" fmla="*/ 500 h 2910638"/>
            <a:gd name="connsiteX1" fmla="*/ 787915 w 3697436"/>
            <a:gd name="connsiteY1" fmla="*/ 0 h 2910638"/>
            <a:gd name="connsiteX2" fmla="*/ 3696480 w 3697436"/>
            <a:gd name="connsiteY2" fmla="*/ 568509 h 2910638"/>
            <a:gd name="connsiteX3" fmla="*/ 3697436 w 3697436"/>
            <a:gd name="connsiteY3" fmla="*/ 2910638 h 2910638"/>
            <a:gd name="connsiteX4" fmla="*/ 12 w 3697436"/>
            <a:gd name="connsiteY4" fmla="*/ 2796563 h 2910638"/>
            <a:gd name="connsiteX5" fmla="*/ 25608 w 3697436"/>
            <a:gd name="connsiteY5" fmla="*/ 500 h 2910638"/>
            <a:gd name="connsiteX0" fmla="*/ 25610 w 3697438"/>
            <a:gd name="connsiteY0" fmla="*/ 500 h 2910638"/>
            <a:gd name="connsiteX1" fmla="*/ 787917 w 3697438"/>
            <a:gd name="connsiteY1" fmla="*/ 0 h 2910638"/>
            <a:gd name="connsiteX2" fmla="*/ 3696482 w 3697438"/>
            <a:gd name="connsiteY2" fmla="*/ 568509 h 2910638"/>
            <a:gd name="connsiteX3" fmla="*/ 3697438 w 3697438"/>
            <a:gd name="connsiteY3" fmla="*/ 2910638 h 2910638"/>
            <a:gd name="connsiteX4" fmla="*/ 14 w 3697438"/>
            <a:gd name="connsiteY4" fmla="*/ 2796563 h 2910638"/>
            <a:gd name="connsiteX5" fmla="*/ 25610 w 3697438"/>
            <a:gd name="connsiteY5" fmla="*/ 500 h 2910638"/>
            <a:gd name="connsiteX0" fmla="*/ 25621 w 3697449"/>
            <a:gd name="connsiteY0" fmla="*/ 500 h 2910638"/>
            <a:gd name="connsiteX1" fmla="*/ 787928 w 3697449"/>
            <a:gd name="connsiteY1" fmla="*/ 0 h 2910638"/>
            <a:gd name="connsiteX2" fmla="*/ 3696493 w 3697449"/>
            <a:gd name="connsiteY2" fmla="*/ 568509 h 2910638"/>
            <a:gd name="connsiteX3" fmla="*/ 3697449 w 3697449"/>
            <a:gd name="connsiteY3" fmla="*/ 2910638 h 2910638"/>
            <a:gd name="connsiteX4" fmla="*/ 25 w 3697449"/>
            <a:gd name="connsiteY4" fmla="*/ 2796563 h 2910638"/>
            <a:gd name="connsiteX5" fmla="*/ 25621 w 3697449"/>
            <a:gd name="connsiteY5" fmla="*/ 500 h 2910638"/>
            <a:gd name="connsiteX0" fmla="*/ 25621 w 3697449"/>
            <a:gd name="connsiteY0" fmla="*/ 109 h 2910247"/>
            <a:gd name="connsiteX1" fmla="*/ 782605 w 3697449"/>
            <a:gd name="connsiteY1" fmla="*/ 0 h 2910247"/>
            <a:gd name="connsiteX2" fmla="*/ 3696493 w 3697449"/>
            <a:gd name="connsiteY2" fmla="*/ 568118 h 2910247"/>
            <a:gd name="connsiteX3" fmla="*/ 3697449 w 3697449"/>
            <a:gd name="connsiteY3" fmla="*/ 2910247 h 2910247"/>
            <a:gd name="connsiteX4" fmla="*/ 25 w 3697449"/>
            <a:gd name="connsiteY4" fmla="*/ 2796172 h 2910247"/>
            <a:gd name="connsiteX5" fmla="*/ 25621 w 3697449"/>
            <a:gd name="connsiteY5" fmla="*/ 109 h 2910247"/>
            <a:gd name="connsiteX0" fmla="*/ 53611 w 3725439"/>
            <a:gd name="connsiteY0" fmla="*/ 109 h 2910247"/>
            <a:gd name="connsiteX1" fmla="*/ 810595 w 3725439"/>
            <a:gd name="connsiteY1" fmla="*/ 0 h 2910247"/>
            <a:gd name="connsiteX2" fmla="*/ 3724483 w 3725439"/>
            <a:gd name="connsiteY2" fmla="*/ 568118 h 2910247"/>
            <a:gd name="connsiteX3" fmla="*/ 3725439 w 3725439"/>
            <a:gd name="connsiteY3" fmla="*/ 2910247 h 2910247"/>
            <a:gd name="connsiteX4" fmla="*/ 11 w 3725439"/>
            <a:gd name="connsiteY4" fmla="*/ 2459469 h 2910247"/>
            <a:gd name="connsiteX5" fmla="*/ 53611 w 3725439"/>
            <a:gd name="connsiteY5" fmla="*/ 109 h 2910247"/>
            <a:gd name="connsiteX0" fmla="*/ 53611 w 3725439"/>
            <a:gd name="connsiteY0" fmla="*/ 109 h 2910247"/>
            <a:gd name="connsiteX1" fmla="*/ 810595 w 3725439"/>
            <a:gd name="connsiteY1" fmla="*/ 0 h 2910247"/>
            <a:gd name="connsiteX2" fmla="*/ 3724483 w 3725439"/>
            <a:gd name="connsiteY2" fmla="*/ 568118 h 2910247"/>
            <a:gd name="connsiteX3" fmla="*/ 3725439 w 3725439"/>
            <a:gd name="connsiteY3" fmla="*/ 2910247 h 2910247"/>
            <a:gd name="connsiteX4" fmla="*/ 11 w 3725439"/>
            <a:gd name="connsiteY4" fmla="*/ 2459469 h 2910247"/>
            <a:gd name="connsiteX5" fmla="*/ 53611 w 3725439"/>
            <a:gd name="connsiteY5" fmla="*/ 109 h 2910247"/>
            <a:gd name="connsiteX0" fmla="*/ 1666 w 3673494"/>
            <a:gd name="connsiteY0" fmla="*/ 109 h 2910247"/>
            <a:gd name="connsiteX1" fmla="*/ 758650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59469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758650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236206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309675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236206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405 w 3672233"/>
            <a:gd name="connsiteY0" fmla="*/ 109 h 2910247"/>
            <a:gd name="connsiteX1" fmla="*/ 1234945 w 3672233"/>
            <a:gd name="connsiteY1" fmla="*/ 0 h 2910247"/>
            <a:gd name="connsiteX2" fmla="*/ 3671277 w 3672233"/>
            <a:gd name="connsiteY2" fmla="*/ 568118 h 2910247"/>
            <a:gd name="connsiteX3" fmla="*/ 3672233 w 3672233"/>
            <a:gd name="connsiteY3" fmla="*/ 2910247 h 2910247"/>
            <a:gd name="connsiteX4" fmla="*/ 31965 w 3672233"/>
            <a:gd name="connsiteY4" fmla="*/ 2635068 h 2910247"/>
            <a:gd name="connsiteX5" fmla="*/ 405 w 3672233"/>
            <a:gd name="connsiteY5" fmla="*/ 109 h 2910247"/>
            <a:gd name="connsiteX0" fmla="*/ 55915 w 3727743"/>
            <a:gd name="connsiteY0" fmla="*/ 109 h 2910247"/>
            <a:gd name="connsiteX1" fmla="*/ 1290455 w 3727743"/>
            <a:gd name="connsiteY1" fmla="*/ 0 h 2910247"/>
            <a:gd name="connsiteX2" fmla="*/ 3726787 w 3727743"/>
            <a:gd name="connsiteY2" fmla="*/ 568118 h 2910247"/>
            <a:gd name="connsiteX3" fmla="*/ 3727743 w 3727743"/>
            <a:gd name="connsiteY3" fmla="*/ 2910247 h 2910247"/>
            <a:gd name="connsiteX4" fmla="*/ 11 w 3727743"/>
            <a:gd name="connsiteY4" fmla="*/ 2633297 h 2910247"/>
            <a:gd name="connsiteX5" fmla="*/ 55915 w 3727743"/>
            <a:gd name="connsiteY5" fmla="*/ 109 h 2910247"/>
            <a:gd name="connsiteX0" fmla="*/ 55915 w 3727743"/>
            <a:gd name="connsiteY0" fmla="*/ 109 h 3223756"/>
            <a:gd name="connsiteX1" fmla="*/ 1290455 w 3727743"/>
            <a:gd name="connsiteY1" fmla="*/ 0 h 3223756"/>
            <a:gd name="connsiteX2" fmla="*/ 3726787 w 3727743"/>
            <a:gd name="connsiteY2" fmla="*/ 568118 h 3223756"/>
            <a:gd name="connsiteX3" fmla="*/ 3727743 w 3727743"/>
            <a:gd name="connsiteY3" fmla="*/ 2910247 h 3223756"/>
            <a:gd name="connsiteX4" fmla="*/ 11 w 3727743"/>
            <a:gd name="connsiteY4" fmla="*/ 2633297 h 3223756"/>
            <a:gd name="connsiteX5" fmla="*/ 55915 w 3727743"/>
            <a:gd name="connsiteY5" fmla="*/ 109 h 3223756"/>
            <a:gd name="connsiteX0" fmla="*/ 55915 w 3727743"/>
            <a:gd name="connsiteY0" fmla="*/ 109 h 2910247"/>
            <a:gd name="connsiteX1" fmla="*/ 1290455 w 3727743"/>
            <a:gd name="connsiteY1" fmla="*/ 0 h 2910247"/>
            <a:gd name="connsiteX2" fmla="*/ 3726787 w 3727743"/>
            <a:gd name="connsiteY2" fmla="*/ 568118 h 2910247"/>
            <a:gd name="connsiteX3" fmla="*/ 3727743 w 3727743"/>
            <a:gd name="connsiteY3" fmla="*/ 2910247 h 2910247"/>
            <a:gd name="connsiteX4" fmla="*/ 11 w 3727743"/>
            <a:gd name="connsiteY4" fmla="*/ 2633297 h 2910247"/>
            <a:gd name="connsiteX5" fmla="*/ 55915 w 3727743"/>
            <a:gd name="connsiteY5" fmla="*/ 109 h 2910247"/>
            <a:gd name="connsiteX0" fmla="*/ 85065 w 3756893"/>
            <a:gd name="connsiteY0" fmla="*/ 109 h 2910247"/>
            <a:gd name="connsiteX1" fmla="*/ 1319605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640379 h 2910247"/>
            <a:gd name="connsiteX5" fmla="*/ 85065 w 3756893"/>
            <a:gd name="connsiteY5" fmla="*/ 109 h 2910247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640379 h 2910247"/>
            <a:gd name="connsiteX5" fmla="*/ 85065 w 3756893"/>
            <a:gd name="connsiteY5" fmla="*/ 109 h 2910247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734219 h 2910247"/>
            <a:gd name="connsiteX5" fmla="*/ 85065 w 3756893"/>
            <a:gd name="connsiteY5" fmla="*/ 109 h 2910247"/>
            <a:gd name="connsiteX0" fmla="*/ 85065 w 3756893"/>
            <a:gd name="connsiteY0" fmla="*/ 109 h 3319334"/>
            <a:gd name="connsiteX1" fmla="*/ 1232140 w 3756893"/>
            <a:gd name="connsiteY1" fmla="*/ 0 h 3319334"/>
            <a:gd name="connsiteX2" fmla="*/ 3755937 w 3756893"/>
            <a:gd name="connsiteY2" fmla="*/ 568118 h 3319334"/>
            <a:gd name="connsiteX3" fmla="*/ 3756893 w 3756893"/>
            <a:gd name="connsiteY3" fmla="*/ 2910247 h 3319334"/>
            <a:gd name="connsiteX4" fmla="*/ 8 w 3756893"/>
            <a:gd name="connsiteY4" fmla="*/ 2734219 h 3319334"/>
            <a:gd name="connsiteX5" fmla="*/ 85065 w 3756893"/>
            <a:gd name="connsiteY5" fmla="*/ 109 h 3319334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734219 h 2910247"/>
            <a:gd name="connsiteX5" fmla="*/ 85065 w 3756893"/>
            <a:gd name="connsiteY5" fmla="*/ 109 h 2910247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734219 h 2906028"/>
            <a:gd name="connsiteX5" fmla="*/ 85065 w 3756893"/>
            <a:gd name="connsiteY5" fmla="*/ 109 h 2906028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871351 h 2906028"/>
            <a:gd name="connsiteX5" fmla="*/ 85065 w 3756893"/>
            <a:gd name="connsiteY5" fmla="*/ 109 h 2906028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879790 h 2906028"/>
            <a:gd name="connsiteX5" fmla="*/ 85065 w 3756893"/>
            <a:gd name="connsiteY5" fmla="*/ 109 h 2906028"/>
            <a:gd name="connsiteX0" fmla="*/ 85065 w 3756893"/>
            <a:gd name="connsiteY0" fmla="*/ 109 h 2908138"/>
            <a:gd name="connsiteX1" fmla="*/ 1232140 w 3756893"/>
            <a:gd name="connsiteY1" fmla="*/ 0 h 2908138"/>
            <a:gd name="connsiteX2" fmla="*/ 3755937 w 3756893"/>
            <a:gd name="connsiteY2" fmla="*/ 568118 h 2908138"/>
            <a:gd name="connsiteX3" fmla="*/ 3756893 w 3756893"/>
            <a:gd name="connsiteY3" fmla="*/ 2908138 h 2908138"/>
            <a:gd name="connsiteX4" fmla="*/ 8 w 3756893"/>
            <a:gd name="connsiteY4" fmla="*/ 2879790 h 2908138"/>
            <a:gd name="connsiteX5" fmla="*/ 85065 w 3756893"/>
            <a:gd name="connsiteY5" fmla="*/ 109 h 2908138"/>
            <a:gd name="connsiteX0" fmla="*/ 85065 w 3755939"/>
            <a:gd name="connsiteY0" fmla="*/ 10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682500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109 h 2906028"/>
            <a:gd name="connsiteX0" fmla="*/ 85065 w 3755939"/>
            <a:gd name="connsiteY0" fmla="*/ 10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719697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109 h 2906028"/>
            <a:gd name="connsiteX0" fmla="*/ 85065 w 3755939"/>
            <a:gd name="connsiteY0" fmla="*/ 221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719697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2219 h 2906028"/>
            <a:gd name="connsiteX0" fmla="*/ 379001 w 4049875"/>
            <a:gd name="connsiteY0" fmla="*/ 236545 h 3140354"/>
            <a:gd name="connsiteX1" fmla="*/ 1526076 w 4049875"/>
            <a:gd name="connsiteY1" fmla="*/ 234326 h 3140354"/>
            <a:gd name="connsiteX2" fmla="*/ 4049873 w 4049875"/>
            <a:gd name="connsiteY2" fmla="*/ 802444 h 3140354"/>
            <a:gd name="connsiteX3" fmla="*/ 4013633 w 4049875"/>
            <a:gd name="connsiteY3" fmla="*/ 3140354 h 3140354"/>
            <a:gd name="connsiteX4" fmla="*/ 293944 w 4049875"/>
            <a:gd name="connsiteY4" fmla="*/ 3114116 h 3140354"/>
            <a:gd name="connsiteX5" fmla="*/ 379001 w 4049875"/>
            <a:gd name="connsiteY5" fmla="*/ 236545 h 3140354"/>
            <a:gd name="connsiteX0" fmla="*/ 379001 w 4049875"/>
            <a:gd name="connsiteY0" fmla="*/ 2219 h 2906028"/>
            <a:gd name="connsiteX1" fmla="*/ 1526076 w 4049875"/>
            <a:gd name="connsiteY1" fmla="*/ 0 h 2906028"/>
            <a:gd name="connsiteX2" fmla="*/ 4049873 w 4049875"/>
            <a:gd name="connsiteY2" fmla="*/ 568118 h 2906028"/>
            <a:gd name="connsiteX3" fmla="*/ 4013633 w 4049875"/>
            <a:gd name="connsiteY3" fmla="*/ 2906028 h 2906028"/>
            <a:gd name="connsiteX4" fmla="*/ 293944 w 4049875"/>
            <a:gd name="connsiteY4" fmla="*/ 2879790 h 2906028"/>
            <a:gd name="connsiteX5" fmla="*/ 379001 w 4049875"/>
            <a:gd name="connsiteY5" fmla="*/ 2219 h 2906028"/>
            <a:gd name="connsiteX0" fmla="*/ 303690 w 4086153"/>
            <a:gd name="connsiteY0" fmla="*/ 2219 h 2906028"/>
            <a:gd name="connsiteX1" fmla="*/ 1562354 w 4086153"/>
            <a:gd name="connsiteY1" fmla="*/ 0 h 2906028"/>
            <a:gd name="connsiteX2" fmla="*/ 4086151 w 4086153"/>
            <a:gd name="connsiteY2" fmla="*/ 568118 h 2906028"/>
            <a:gd name="connsiteX3" fmla="*/ 4049911 w 4086153"/>
            <a:gd name="connsiteY3" fmla="*/ 2906028 h 2906028"/>
            <a:gd name="connsiteX4" fmla="*/ 330222 w 4086153"/>
            <a:gd name="connsiteY4" fmla="*/ 2879790 h 2906028"/>
            <a:gd name="connsiteX5" fmla="*/ 303690 w 4086153"/>
            <a:gd name="connsiteY5" fmla="*/ 2219 h 2906028"/>
            <a:gd name="connsiteX0" fmla="*/ 353081 w 4061151"/>
            <a:gd name="connsiteY0" fmla="*/ 109 h 2906028"/>
            <a:gd name="connsiteX1" fmla="*/ 1537352 w 4061151"/>
            <a:gd name="connsiteY1" fmla="*/ 0 h 2906028"/>
            <a:gd name="connsiteX2" fmla="*/ 4061149 w 4061151"/>
            <a:gd name="connsiteY2" fmla="*/ 568118 h 2906028"/>
            <a:gd name="connsiteX3" fmla="*/ 4024909 w 4061151"/>
            <a:gd name="connsiteY3" fmla="*/ 2906028 h 2906028"/>
            <a:gd name="connsiteX4" fmla="*/ 305220 w 4061151"/>
            <a:gd name="connsiteY4" fmla="*/ 2879790 h 2906028"/>
            <a:gd name="connsiteX5" fmla="*/ 353081 w 4061151"/>
            <a:gd name="connsiteY5" fmla="*/ 109 h 2906028"/>
            <a:gd name="connsiteX0" fmla="*/ 353081 w 4061151"/>
            <a:gd name="connsiteY0" fmla="*/ 164963 h 3070882"/>
            <a:gd name="connsiteX1" fmla="*/ 1537352 w 4061151"/>
            <a:gd name="connsiteY1" fmla="*/ 164854 h 3070882"/>
            <a:gd name="connsiteX2" fmla="*/ 4061149 w 4061151"/>
            <a:gd name="connsiteY2" fmla="*/ 732972 h 3070882"/>
            <a:gd name="connsiteX3" fmla="*/ 4024909 w 4061151"/>
            <a:gd name="connsiteY3" fmla="*/ 3070882 h 3070882"/>
            <a:gd name="connsiteX4" fmla="*/ 305220 w 4061151"/>
            <a:gd name="connsiteY4" fmla="*/ 3044644 h 3070882"/>
            <a:gd name="connsiteX5" fmla="*/ 353081 w 4061151"/>
            <a:gd name="connsiteY5" fmla="*/ 164963 h 3070882"/>
            <a:gd name="connsiteX0" fmla="*/ 353081 w 4061151"/>
            <a:gd name="connsiteY0" fmla="*/ 109 h 2906028"/>
            <a:gd name="connsiteX1" fmla="*/ 1537352 w 4061151"/>
            <a:gd name="connsiteY1" fmla="*/ 0 h 2906028"/>
            <a:gd name="connsiteX2" fmla="*/ 4061149 w 4061151"/>
            <a:gd name="connsiteY2" fmla="*/ 568118 h 2906028"/>
            <a:gd name="connsiteX3" fmla="*/ 4024909 w 4061151"/>
            <a:gd name="connsiteY3" fmla="*/ 2906028 h 2906028"/>
            <a:gd name="connsiteX4" fmla="*/ 305220 w 4061151"/>
            <a:gd name="connsiteY4" fmla="*/ 2879790 h 2906028"/>
            <a:gd name="connsiteX5" fmla="*/ 353081 w 4061151"/>
            <a:gd name="connsiteY5" fmla="*/ 109 h 2906028"/>
            <a:gd name="connsiteX0" fmla="*/ 47860 w 3755930"/>
            <a:gd name="connsiteY0" fmla="*/ 109 h 2906028"/>
            <a:gd name="connsiteX1" fmla="*/ 1232131 w 3755930"/>
            <a:gd name="connsiteY1" fmla="*/ 0 h 2906028"/>
            <a:gd name="connsiteX2" fmla="*/ 3755928 w 3755930"/>
            <a:gd name="connsiteY2" fmla="*/ 568118 h 2906028"/>
            <a:gd name="connsiteX3" fmla="*/ 3719688 w 3755930"/>
            <a:gd name="connsiteY3" fmla="*/ 2906028 h 2906028"/>
            <a:gd name="connsiteX4" fmla="*/ -1 w 3755930"/>
            <a:gd name="connsiteY4" fmla="*/ 2879790 h 2906028"/>
            <a:gd name="connsiteX5" fmla="*/ 47860 w 3755930"/>
            <a:gd name="connsiteY5" fmla="*/ 109 h 2906028"/>
            <a:gd name="connsiteX0" fmla="*/ 47860 w 3755927"/>
            <a:gd name="connsiteY0" fmla="*/ 109 h 2906028"/>
            <a:gd name="connsiteX1" fmla="*/ 1232131 w 3755927"/>
            <a:gd name="connsiteY1" fmla="*/ 0 h 2906028"/>
            <a:gd name="connsiteX2" fmla="*/ 3755928 w 3755927"/>
            <a:gd name="connsiteY2" fmla="*/ 568118 h 2906028"/>
            <a:gd name="connsiteX3" fmla="*/ 3719688 w 3755927"/>
            <a:gd name="connsiteY3" fmla="*/ 2906028 h 2906028"/>
            <a:gd name="connsiteX4" fmla="*/ -1 w 3755927"/>
            <a:gd name="connsiteY4" fmla="*/ 2879790 h 2906028"/>
            <a:gd name="connsiteX5" fmla="*/ 47860 w 3755927"/>
            <a:gd name="connsiteY5" fmla="*/ 109 h 2906028"/>
            <a:gd name="connsiteX0" fmla="*/ 47860 w 3755927"/>
            <a:gd name="connsiteY0" fmla="*/ 109 h 2906028"/>
            <a:gd name="connsiteX1" fmla="*/ 1232131 w 3755927"/>
            <a:gd name="connsiteY1" fmla="*/ 0 h 2906028"/>
            <a:gd name="connsiteX2" fmla="*/ 3755927 w 3755927"/>
            <a:gd name="connsiteY2" fmla="*/ 553350 h 2906028"/>
            <a:gd name="connsiteX3" fmla="*/ 3719688 w 3755927"/>
            <a:gd name="connsiteY3" fmla="*/ 2906028 h 2906028"/>
            <a:gd name="connsiteX4" fmla="*/ -1 w 3755927"/>
            <a:gd name="connsiteY4" fmla="*/ 2879790 h 2906028"/>
            <a:gd name="connsiteX5" fmla="*/ 47860 w 3755927"/>
            <a:gd name="connsiteY5" fmla="*/ 109 h 2906028"/>
            <a:gd name="connsiteX0" fmla="*/ 47860 w 3719687"/>
            <a:gd name="connsiteY0" fmla="*/ 109 h 2906028"/>
            <a:gd name="connsiteX1" fmla="*/ 1232131 w 3719687"/>
            <a:gd name="connsiteY1" fmla="*/ 0 h 2906028"/>
            <a:gd name="connsiteX2" fmla="*/ 3718730 w 3719687"/>
            <a:gd name="connsiteY2" fmla="*/ 542802 h 2906028"/>
            <a:gd name="connsiteX3" fmla="*/ 3719688 w 3719687"/>
            <a:gd name="connsiteY3" fmla="*/ 2906028 h 2906028"/>
            <a:gd name="connsiteX4" fmla="*/ -1 w 3719687"/>
            <a:gd name="connsiteY4" fmla="*/ 2879790 h 2906028"/>
            <a:gd name="connsiteX5" fmla="*/ 47860 w 3719687"/>
            <a:gd name="connsiteY5" fmla="*/ 109 h 2906028"/>
            <a:gd name="connsiteX0" fmla="*/ 47860 w 3753570"/>
            <a:gd name="connsiteY0" fmla="*/ 109 h 2906028"/>
            <a:gd name="connsiteX1" fmla="*/ 1232131 w 3753570"/>
            <a:gd name="connsiteY1" fmla="*/ 0 h 2906028"/>
            <a:gd name="connsiteX2" fmla="*/ 3753567 w 3753570"/>
            <a:gd name="connsiteY2" fmla="*/ 726624 h 2906028"/>
            <a:gd name="connsiteX3" fmla="*/ 3719688 w 3753570"/>
            <a:gd name="connsiteY3" fmla="*/ 2906028 h 2906028"/>
            <a:gd name="connsiteX4" fmla="*/ -1 w 3753570"/>
            <a:gd name="connsiteY4" fmla="*/ 2879790 h 2906028"/>
            <a:gd name="connsiteX5" fmla="*/ 47860 w 3753570"/>
            <a:gd name="connsiteY5" fmla="*/ 109 h 2906028"/>
            <a:gd name="connsiteX0" fmla="*/ 47860 w 3753570"/>
            <a:gd name="connsiteY0" fmla="*/ 0 h 2905919"/>
            <a:gd name="connsiteX1" fmla="*/ 1057941 w 3753570"/>
            <a:gd name="connsiteY1" fmla="*/ 7343 h 2905919"/>
            <a:gd name="connsiteX2" fmla="*/ 3753567 w 3753570"/>
            <a:gd name="connsiteY2" fmla="*/ 726515 h 2905919"/>
            <a:gd name="connsiteX3" fmla="*/ 3719688 w 3753570"/>
            <a:gd name="connsiteY3" fmla="*/ 2905919 h 2905919"/>
            <a:gd name="connsiteX4" fmla="*/ -1 w 3753570"/>
            <a:gd name="connsiteY4" fmla="*/ 2879681 h 2905919"/>
            <a:gd name="connsiteX5" fmla="*/ 47860 w 3753570"/>
            <a:gd name="connsiteY5" fmla="*/ 0 h 2905919"/>
            <a:gd name="connsiteX0" fmla="*/ 47860 w 3753570"/>
            <a:gd name="connsiteY0" fmla="*/ 0 h 2905919"/>
            <a:gd name="connsiteX1" fmla="*/ 1023101 w 3753570"/>
            <a:gd name="connsiteY1" fmla="*/ 4859 h 2905919"/>
            <a:gd name="connsiteX2" fmla="*/ 3753567 w 3753570"/>
            <a:gd name="connsiteY2" fmla="*/ 726515 h 2905919"/>
            <a:gd name="connsiteX3" fmla="*/ 3719688 w 3753570"/>
            <a:gd name="connsiteY3" fmla="*/ 2905919 h 2905919"/>
            <a:gd name="connsiteX4" fmla="*/ -1 w 3753570"/>
            <a:gd name="connsiteY4" fmla="*/ 2879681 h 2905919"/>
            <a:gd name="connsiteX5" fmla="*/ 47860 w 3753570"/>
            <a:gd name="connsiteY5" fmla="*/ 0 h 2905919"/>
            <a:gd name="connsiteX0" fmla="*/ 13023 w 3718733"/>
            <a:gd name="connsiteY0" fmla="*/ 0 h 3890702"/>
            <a:gd name="connsiteX1" fmla="*/ 988264 w 3718733"/>
            <a:gd name="connsiteY1" fmla="*/ 4859 h 3890702"/>
            <a:gd name="connsiteX2" fmla="*/ 3718730 w 3718733"/>
            <a:gd name="connsiteY2" fmla="*/ 726515 h 3890702"/>
            <a:gd name="connsiteX3" fmla="*/ 3684851 w 3718733"/>
            <a:gd name="connsiteY3" fmla="*/ 2905919 h 3890702"/>
            <a:gd name="connsiteX4" fmla="*/ 0 w 3718733"/>
            <a:gd name="connsiteY4" fmla="*/ 3890702 h 3890702"/>
            <a:gd name="connsiteX5" fmla="*/ 13023 w 3718733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2905919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2900951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3413413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726515 h 3887839"/>
            <a:gd name="connsiteX3" fmla="*/ 3719687 w 3719687"/>
            <a:gd name="connsiteY3" fmla="*/ 3413413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72651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869661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91260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91260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993767"/>
            <a:gd name="connsiteX1" fmla="*/ 988264 w 3719687"/>
            <a:gd name="connsiteY1" fmla="*/ 4859 h 3993767"/>
            <a:gd name="connsiteX2" fmla="*/ 3718730 w 3719687"/>
            <a:gd name="connsiteY2" fmla="*/ 912605 h 3993767"/>
            <a:gd name="connsiteX3" fmla="*/ 3719687 w 3719687"/>
            <a:gd name="connsiteY3" fmla="*/ 3422002 h 3993767"/>
            <a:gd name="connsiteX4" fmla="*/ 0 w 3719687"/>
            <a:gd name="connsiteY4" fmla="*/ 3993767 h 3993767"/>
            <a:gd name="connsiteX5" fmla="*/ 13023 w 3719687"/>
            <a:gd name="connsiteY5" fmla="*/ 0 h 3993767"/>
            <a:gd name="connsiteX0" fmla="*/ 13023 w 3719687"/>
            <a:gd name="connsiteY0" fmla="*/ 0 h 4005219"/>
            <a:gd name="connsiteX1" fmla="*/ 988264 w 3719687"/>
            <a:gd name="connsiteY1" fmla="*/ 4859 h 4005219"/>
            <a:gd name="connsiteX2" fmla="*/ 3718730 w 3719687"/>
            <a:gd name="connsiteY2" fmla="*/ 912605 h 4005219"/>
            <a:gd name="connsiteX3" fmla="*/ 3719687 w 3719687"/>
            <a:gd name="connsiteY3" fmla="*/ 3422002 h 4005219"/>
            <a:gd name="connsiteX4" fmla="*/ 0 w 3719687"/>
            <a:gd name="connsiteY4" fmla="*/ 4005219 h 4005219"/>
            <a:gd name="connsiteX5" fmla="*/ 13023 w 3719687"/>
            <a:gd name="connsiteY5" fmla="*/ 0 h 4005219"/>
            <a:gd name="connsiteX0" fmla="*/ 13023 w 3719687"/>
            <a:gd name="connsiteY0" fmla="*/ 0 h 3968001"/>
            <a:gd name="connsiteX1" fmla="*/ 988264 w 3719687"/>
            <a:gd name="connsiteY1" fmla="*/ 4859 h 3968001"/>
            <a:gd name="connsiteX2" fmla="*/ 3718730 w 3719687"/>
            <a:gd name="connsiteY2" fmla="*/ 912605 h 3968001"/>
            <a:gd name="connsiteX3" fmla="*/ 3719687 w 3719687"/>
            <a:gd name="connsiteY3" fmla="*/ 3422002 h 3968001"/>
            <a:gd name="connsiteX4" fmla="*/ 0 w 3719687"/>
            <a:gd name="connsiteY4" fmla="*/ 3968001 h 3968001"/>
            <a:gd name="connsiteX5" fmla="*/ 13023 w 3719687"/>
            <a:gd name="connsiteY5" fmla="*/ 0 h 3968001"/>
            <a:gd name="connsiteX0" fmla="*/ -1 w 3706663"/>
            <a:gd name="connsiteY0" fmla="*/ 0 h 4176994"/>
            <a:gd name="connsiteX1" fmla="*/ 975240 w 3706663"/>
            <a:gd name="connsiteY1" fmla="*/ 4859 h 4176994"/>
            <a:gd name="connsiteX2" fmla="*/ 3705706 w 3706663"/>
            <a:gd name="connsiteY2" fmla="*/ 912605 h 4176994"/>
            <a:gd name="connsiteX3" fmla="*/ 3706663 w 3706663"/>
            <a:gd name="connsiteY3" fmla="*/ 3422002 h 4176994"/>
            <a:gd name="connsiteX4" fmla="*/ 21813 w 3706663"/>
            <a:gd name="connsiteY4" fmla="*/ 4176994 h 4176994"/>
            <a:gd name="connsiteX5" fmla="*/ -1 w 3706663"/>
            <a:gd name="connsiteY5" fmla="*/ 0 h 4176994"/>
            <a:gd name="connsiteX0" fmla="*/ -1 w 3706663"/>
            <a:gd name="connsiteY0" fmla="*/ 0 h 4188446"/>
            <a:gd name="connsiteX1" fmla="*/ 975240 w 3706663"/>
            <a:gd name="connsiteY1" fmla="*/ 4859 h 4188446"/>
            <a:gd name="connsiteX2" fmla="*/ 3705706 w 3706663"/>
            <a:gd name="connsiteY2" fmla="*/ 912605 h 4188446"/>
            <a:gd name="connsiteX3" fmla="*/ 3706663 w 3706663"/>
            <a:gd name="connsiteY3" fmla="*/ 3422002 h 4188446"/>
            <a:gd name="connsiteX4" fmla="*/ 21813 w 3706663"/>
            <a:gd name="connsiteY4" fmla="*/ 4188446 h 4188446"/>
            <a:gd name="connsiteX5" fmla="*/ -1 w 3706663"/>
            <a:gd name="connsiteY5" fmla="*/ 0 h 4188446"/>
            <a:gd name="connsiteX0" fmla="*/ -1 w 3706663"/>
            <a:gd name="connsiteY0" fmla="*/ 0 h 4179857"/>
            <a:gd name="connsiteX1" fmla="*/ 975240 w 3706663"/>
            <a:gd name="connsiteY1" fmla="*/ 4859 h 4179857"/>
            <a:gd name="connsiteX2" fmla="*/ 3705706 w 3706663"/>
            <a:gd name="connsiteY2" fmla="*/ 912605 h 4179857"/>
            <a:gd name="connsiteX3" fmla="*/ 3706663 w 3706663"/>
            <a:gd name="connsiteY3" fmla="*/ 3422002 h 4179857"/>
            <a:gd name="connsiteX4" fmla="*/ 56651 w 3706663"/>
            <a:gd name="connsiteY4" fmla="*/ 4179857 h 4179857"/>
            <a:gd name="connsiteX5" fmla="*/ -1 w 3706663"/>
            <a:gd name="connsiteY5" fmla="*/ 0 h 4179857"/>
            <a:gd name="connsiteX0" fmla="*/ -1 w 3706663"/>
            <a:gd name="connsiteY0" fmla="*/ 0 h 4174131"/>
            <a:gd name="connsiteX1" fmla="*/ 975240 w 3706663"/>
            <a:gd name="connsiteY1" fmla="*/ 4859 h 4174131"/>
            <a:gd name="connsiteX2" fmla="*/ 3705706 w 3706663"/>
            <a:gd name="connsiteY2" fmla="*/ 912605 h 4174131"/>
            <a:gd name="connsiteX3" fmla="*/ 3706663 w 3706663"/>
            <a:gd name="connsiteY3" fmla="*/ 3422002 h 4174131"/>
            <a:gd name="connsiteX4" fmla="*/ 56651 w 3706663"/>
            <a:gd name="connsiteY4" fmla="*/ 4174131 h 4174131"/>
            <a:gd name="connsiteX5" fmla="*/ -1 w 3706663"/>
            <a:gd name="connsiteY5" fmla="*/ 0 h 4174131"/>
            <a:gd name="connsiteX0" fmla="*/ -1 w 3706663"/>
            <a:gd name="connsiteY0" fmla="*/ 0 h 4174131"/>
            <a:gd name="connsiteX1" fmla="*/ 975240 w 3706663"/>
            <a:gd name="connsiteY1" fmla="*/ 4859 h 4174131"/>
            <a:gd name="connsiteX2" fmla="*/ 3705706 w 3706663"/>
            <a:gd name="connsiteY2" fmla="*/ 912605 h 4174131"/>
            <a:gd name="connsiteX3" fmla="*/ 3706663 w 3706663"/>
            <a:gd name="connsiteY3" fmla="*/ 3422002 h 4174131"/>
            <a:gd name="connsiteX4" fmla="*/ 21813 w 3706663"/>
            <a:gd name="connsiteY4" fmla="*/ 4174131 h 4174131"/>
            <a:gd name="connsiteX5" fmla="*/ -1 w 3706663"/>
            <a:gd name="connsiteY5" fmla="*/ 0 h 4174131"/>
            <a:gd name="connsiteX0" fmla="*/ 47863 w 3754527"/>
            <a:gd name="connsiteY0" fmla="*/ 0 h 4174131"/>
            <a:gd name="connsiteX1" fmla="*/ 1023104 w 3754527"/>
            <a:gd name="connsiteY1" fmla="*/ 4859 h 4174131"/>
            <a:gd name="connsiteX2" fmla="*/ 3753570 w 3754527"/>
            <a:gd name="connsiteY2" fmla="*/ 912605 h 4174131"/>
            <a:gd name="connsiteX3" fmla="*/ 3754527 w 3754527"/>
            <a:gd name="connsiteY3" fmla="*/ 3422002 h 4174131"/>
            <a:gd name="connsiteX4" fmla="*/ 0 w 3754527"/>
            <a:gd name="connsiteY4" fmla="*/ 4174131 h 4174131"/>
            <a:gd name="connsiteX5" fmla="*/ 47863 w 3754527"/>
            <a:gd name="connsiteY5" fmla="*/ 0 h 4174131"/>
            <a:gd name="connsiteX0" fmla="*/ 47863 w 3754527"/>
            <a:gd name="connsiteY0" fmla="*/ 0 h 3925820"/>
            <a:gd name="connsiteX1" fmla="*/ 1023104 w 3754527"/>
            <a:gd name="connsiteY1" fmla="*/ 4859 h 3925820"/>
            <a:gd name="connsiteX2" fmla="*/ 3753570 w 3754527"/>
            <a:gd name="connsiteY2" fmla="*/ 912605 h 3925820"/>
            <a:gd name="connsiteX3" fmla="*/ 3754527 w 3754527"/>
            <a:gd name="connsiteY3" fmla="*/ 3422002 h 3925820"/>
            <a:gd name="connsiteX4" fmla="*/ 0 w 3754527"/>
            <a:gd name="connsiteY4" fmla="*/ 3925820 h 3925820"/>
            <a:gd name="connsiteX5" fmla="*/ 47863 w 3754527"/>
            <a:gd name="connsiteY5" fmla="*/ 0 h 3925820"/>
            <a:gd name="connsiteX0" fmla="*/ 18586 w 3725250"/>
            <a:gd name="connsiteY0" fmla="*/ 0 h 3925820"/>
            <a:gd name="connsiteX1" fmla="*/ 993827 w 3725250"/>
            <a:gd name="connsiteY1" fmla="*/ 4859 h 3925820"/>
            <a:gd name="connsiteX2" fmla="*/ 3724293 w 3725250"/>
            <a:gd name="connsiteY2" fmla="*/ 912605 h 3925820"/>
            <a:gd name="connsiteX3" fmla="*/ 3725250 w 3725250"/>
            <a:gd name="connsiteY3" fmla="*/ 3422002 h 3925820"/>
            <a:gd name="connsiteX4" fmla="*/ 0 w 3725250"/>
            <a:gd name="connsiteY4" fmla="*/ 3925820 h 3925820"/>
            <a:gd name="connsiteX5" fmla="*/ 18586 w 3725250"/>
            <a:gd name="connsiteY5" fmla="*/ 0 h 3925820"/>
            <a:gd name="connsiteX0" fmla="*/ 252 w 3706916"/>
            <a:gd name="connsiteY0" fmla="*/ 0 h 3925820"/>
            <a:gd name="connsiteX1" fmla="*/ 975493 w 3706916"/>
            <a:gd name="connsiteY1" fmla="*/ 4859 h 3925820"/>
            <a:gd name="connsiteX2" fmla="*/ 3705959 w 3706916"/>
            <a:gd name="connsiteY2" fmla="*/ 912605 h 3925820"/>
            <a:gd name="connsiteX3" fmla="*/ 3706916 w 3706916"/>
            <a:gd name="connsiteY3" fmla="*/ 3422002 h 3925820"/>
            <a:gd name="connsiteX4" fmla="*/ 98765 w 3706916"/>
            <a:gd name="connsiteY4" fmla="*/ 3925820 h 3925820"/>
            <a:gd name="connsiteX5" fmla="*/ 252 w 3706916"/>
            <a:gd name="connsiteY5" fmla="*/ 0 h 3925820"/>
            <a:gd name="connsiteX0" fmla="*/ 199 w 3706863"/>
            <a:gd name="connsiteY0" fmla="*/ 0 h 3925820"/>
            <a:gd name="connsiteX1" fmla="*/ 975440 w 3706863"/>
            <a:gd name="connsiteY1" fmla="*/ 4859 h 3925820"/>
            <a:gd name="connsiteX2" fmla="*/ 3705906 w 3706863"/>
            <a:gd name="connsiteY2" fmla="*/ 912605 h 3925820"/>
            <a:gd name="connsiteX3" fmla="*/ 3706863 w 3706863"/>
            <a:gd name="connsiteY3" fmla="*/ 3422002 h 3925820"/>
            <a:gd name="connsiteX4" fmla="*/ 127987 w 3706863"/>
            <a:gd name="connsiteY4" fmla="*/ 3925820 h 3925820"/>
            <a:gd name="connsiteX5" fmla="*/ 199 w 3706863"/>
            <a:gd name="connsiteY5" fmla="*/ 0 h 3925820"/>
            <a:gd name="connsiteX0" fmla="*/ 511 w 3707175"/>
            <a:gd name="connsiteY0" fmla="*/ 0 h 3930550"/>
            <a:gd name="connsiteX1" fmla="*/ 975752 w 3707175"/>
            <a:gd name="connsiteY1" fmla="*/ 4859 h 3930550"/>
            <a:gd name="connsiteX2" fmla="*/ 3706218 w 3707175"/>
            <a:gd name="connsiteY2" fmla="*/ 912605 h 3930550"/>
            <a:gd name="connsiteX3" fmla="*/ 3707175 w 3707175"/>
            <a:gd name="connsiteY3" fmla="*/ 3422002 h 3930550"/>
            <a:gd name="connsiteX4" fmla="*/ 40474 w 3707175"/>
            <a:gd name="connsiteY4" fmla="*/ 3930550 h 3930550"/>
            <a:gd name="connsiteX5" fmla="*/ 511 w 3707175"/>
            <a:gd name="connsiteY5" fmla="*/ 0 h 3930550"/>
            <a:gd name="connsiteX0" fmla="*/ 1071 w 3707735"/>
            <a:gd name="connsiteY0" fmla="*/ 0 h 3928181"/>
            <a:gd name="connsiteX1" fmla="*/ 976312 w 3707735"/>
            <a:gd name="connsiteY1" fmla="*/ 4859 h 3928181"/>
            <a:gd name="connsiteX2" fmla="*/ 3706778 w 3707735"/>
            <a:gd name="connsiteY2" fmla="*/ 912605 h 3928181"/>
            <a:gd name="connsiteX3" fmla="*/ 3707735 w 3707735"/>
            <a:gd name="connsiteY3" fmla="*/ 3422002 h 3928181"/>
            <a:gd name="connsiteX4" fmla="*/ 11614 w 3707735"/>
            <a:gd name="connsiteY4" fmla="*/ 3928181 h 3928181"/>
            <a:gd name="connsiteX5" fmla="*/ 1071 w 3707735"/>
            <a:gd name="connsiteY5" fmla="*/ 0 h 3928181"/>
            <a:gd name="connsiteX0" fmla="*/ 1071 w 3707735"/>
            <a:gd name="connsiteY0" fmla="*/ 0 h 3925812"/>
            <a:gd name="connsiteX1" fmla="*/ 976312 w 3707735"/>
            <a:gd name="connsiteY1" fmla="*/ 4859 h 3925812"/>
            <a:gd name="connsiteX2" fmla="*/ 3706778 w 3707735"/>
            <a:gd name="connsiteY2" fmla="*/ 912605 h 3925812"/>
            <a:gd name="connsiteX3" fmla="*/ 3707735 w 3707735"/>
            <a:gd name="connsiteY3" fmla="*/ 3422002 h 3925812"/>
            <a:gd name="connsiteX4" fmla="*/ 11614 w 3707735"/>
            <a:gd name="connsiteY4" fmla="*/ 3925812 h 3925812"/>
            <a:gd name="connsiteX5" fmla="*/ 1071 w 3707735"/>
            <a:gd name="connsiteY5" fmla="*/ 0 h 3925812"/>
            <a:gd name="connsiteX0" fmla="*/ 48296 w 3696121"/>
            <a:gd name="connsiteY0" fmla="*/ 0 h 3923443"/>
            <a:gd name="connsiteX1" fmla="*/ 964698 w 3696121"/>
            <a:gd name="connsiteY1" fmla="*/ 2490 h 3923443"/>
            <a:gd name="connsiteX2" fmla="*/ 3695164 w 3696121"/>
            <a:gd name="connsiteY2" fmla="*/ 910236 h 3923443"/>
            <a:gd name="connsiteX3" fmla="*/ 3696121 w 3696121"/>
            <a:gd name="connsiteY3" fmla="*/ 3419633 h 3923443"/>
            <a:gd name="connsiteX4" fmla="*/ 0 w 3696121"/>
            <a:gd name="connsiteY4" fmla="*/ 3923443 h 3923443"/>
            <a:gd name="connsiteX5" fmla="*/ 48296 w 3696121"/>
            <a:gd name="connsiteY5" fmla="*/ 0 h 3923443"/>
            <a:gd name="connsiteX0" fmla="*/ 18873 w 3696121"/>
            <a:gd name="connsiteY0" fmla="*/ 0 h 3928181"/>
            <a:gd name="connsiteX1" fmla="*/ 964698 w 3696121"/>
            <a:gd name="connsiteY1" fmla="*/ 7228 h 3928181"/>
            <a:gd name="connsiteX2" fmla="*/ 3695164 w 3696121"/>
            <a:gd name="connsiteY2" fmla="*/ 914974 h 3928181"/>
            <a:gd name="connsiteX3" fmla="*/ 3696121 w 3696121"/>
            <a:gd name="connsiteY3" fmla="*/ 3424371 h 3928181"/>
            <a:gd name="connsiteX4" fmla="*/ 0 w 3696121"/>
            <a:gd name="connsiteY4" fmla="*/ 3928181 h 3928181"/>
            <a:gd name="connsiteX5" fmla="*/ 18873 w 3696121"/>
            <a:gd name="connsiteY5" fmla="*/ 0 h 3928181"/>
            <a:gd name="connsiteX0" fmla="*/ 511 w 3736600"/>
            <a:gd name="connsiteY0" fmla="*/ 0 h 3928181"/>
            <a:gd name="connsiteX1" fmla="*/ 1005177 w 3736600"/>
            <a:gd name="connsiteY1" fmla="*/ 7228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7228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4859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121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33655 w 3736600"/>
            <a:gd name="connsiteY1" fmla="*/ 121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49702 w 3785791"/>
            <a:gd name="connsiteY0" fmla="*/ 0 h 3928181"/>
            <a:gd name="connsiteX1" fmla="*/ 1082846 w 3785791"/>
            <a:gd name="connsiteY1" fmla="*/ 121 h 3928181"/>
            <a:gd name="connsiteX2" fmla="*/ 3784834 w 3785791"/>
            <a:gd name="connsiteY2" fmla="*/ 914974 h 3928181"/>
            <a:gd name="connsiteX3" fmla="*/ 3785791 w 3785791"/>
            <a:gd name="connsiteY3" fmla="*/ 3424371 h 3928181"/>
            <a:gd name="connsiteX4" fmla="*/ 0 w 3785791"/>
            <a:gd name="connsiteY4" fmla="*/ 3928181 h 3928181"/>
            <a:gd name="connsiteX5" fmla="*/ 49702 w 3785791"/>
            <a:gd name="connsiteY5" fmla="*/ 0 h 39281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785791" h="3928181">
              <a:moveTo>
                <a:pt x="49702" y="0"/>
              </a:moveTo>
              <a:lnTo>
                <a:pt x="1082846" y="121"/>
              </a:lnTo>
              <a:lnTo>
                <a:pt x="3784834" y="914974"/>
              </a:lnTo>
              <a:cubicBezTo>
                <a:pt x="3785153" y="1702716"/>
                <a:pt x="3785472" y="2636629"/>
                <a:pt x="3785791" y="3424371"/>
              </a:cubicBezTo>
              <a:lnTo>
                <a:pt x="0" y="3928181"/>
              </a:lnTo>
              <a:cubicBezTo>
                <a:pt x="6195" y="2619574"/>
                <a:pt x="43507" y="1308607"/>
                <a:pt x="49702" y="0"/>
              </a:cubicBezTo>
              <a:close/>
            </a:path>
          </a:pathLst>
        </a:custGeom>
        <a:solidFill>
          <a:srgbClr val="B5BF77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CO" sz="1400" b="1">
              <a:solidFill>
                <a:schemeClr val="tx1"/>
              </a:solidFill>
            </a:rPr>
            <a:t>BROCA</a:t>
          </a:r>
          <a:r>
            <a:rPr lang="es-CO" sz="1400" b="1" baseline="0">
              <a:solidFill>
                <a:schemeClr val="tx1"/>
              </a:solidFill>
            </a:rPr>
            <a:t>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mm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y 16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1599094</xdr:colOff>
      <xdr:row>13</xdr:row>
      <xdr:rowOff>104626</xdr:rowOff>
    </xdr:from>
    <xdr:to>
      <xdr:col>4</xdr:col>
      <xdr:colOff>1816894</xdr:colOff>
      <xdr:row>14</xdr:row>
      <xdr:rowOff>53204</xdr:rowOff>
    </xdr:to>
    <xdr:sp macro="" textlink="">
      <xdr:nvSpPr>
        <xdr:cNvPr id="12" name="Triángulo rectángulo 11">
          <a:extLst>
            <a:ext uri="{FF2B5EF4-FFF2-40B4-BE49-F238E27FC236}">
              <a16:creationId xmlns:a16="http://schemas.microsoft.com/office/drawing/2014/main" id="{7B1B4916-419C-43D1-ACBA-8E7F243A04BE}"/>
            </a:ext>
          </a:extLst>
        </xdr:cNvPr>
        <xdr:cNvSpPr/>
      </xdr:nvSpPr>
      <xdr:spPr>
        <a:xfrm>
          <a:off x="4887726" y="3232837"/>
          <a:ext cx="217800" cy="179183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1004060</xdr:colOff>
      <xdr:row>106</xdr:row>
      <xdr:rowOff>68938</xdr:rowOff>
    </xdr:from>
    <xdr:to>
      <xdr:col>4</xdr:col>
      <xdr:colOff>1262062</xdr:colOff>
      <xdr:row>106</xdr:row>
      <xdr:rowOff>204289</xdr:rowOff>
    </xdr:to>
    <xdr:sp macro="" textlink="">
      <xdr:nvSpPr>
        <xdr:cNvPr id="13" name="Triángulo rectángulo 12">
          <a:extLst>
            <a:ext uri="{FF2B5EF4-FFF2-40B4-BE49-F238E27FC236}">
              <a16:creationId xmlns:a16="http://schemas.microsoft.com/office/drawing/2014/main" id="{52F3B42D-3A0C-43ED-9EDE-824B1B8778A3}"/>
            </a:ext>
          </a:extLst>
        </xdr:cNvPr>
        <xdr:cNvSpPr/>
      </xdr:nvSpPr>
      <xdr:spPr>
        <a:xfrm>
          <a:off x="4292692" y="24643438"/>
          <a:ext cx="258002" cy="135351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5</xdr:col>
      <xdr:colOff>290701</xdr:colOff>
      <xdr:row>10</xdr:row>
      <xdr:rowOff>207030</xdr:rowOff>
    </xdr:from>
    <xdr:to>
      <xdr:col>5</xdr:col>
      <xdr:colOff>830701</xdr:colOff>
      <xdr:row>14</xdr:row>
      <xdr:rowOff>1945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AC9D290-24A3-44EE-9DEE-3BAC7DFEE46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484333" y="2643425"/>
          <a:ext cx="540000" cy="717336"/>
        </a:xfrm>
        <a:prstGeom prst="rect">
          <a:avLst/>
        </a:prstGeom>
      </xdr:spPr>
    </xdr:pic>
    <xdr:clientData/>
  </xdr:twoCellAnchor>
  <xdr:twoCellAnchor editAs="oneCell">
    <xdr:from>
      <xdr:col>5</xdr:col>
      <xdr:colOff>258768</xdr:colOff>
      <xdr:row>43</xdr:row>
      <xdr:rowOff>190997</xdr:rowOff>
    </xdr:from>
    <xdr:to>
      <xdr:col>5</xdr:col>
      <xdr:colOff>798768</xdr:colOff>
      <xdr:row>46</xdr:row>
      <xdr:rowOff>220904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EECCD2F-99DF-4842-AE84-EEC0AEF154EF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581882" y="10162311"/>
          <a:ext cx="540000" cy="715707"/>
        </a:xfrm>
        <a:prstGeom prst="rect">
          <a:avLst/>
        </a:prstGeom>
      </xdr:spPr>
    </xdr:pic>
    <xdr:clientData/>
  </xdr:twoCellAnchor>
  <xdr:twoCellAnchor>
    <xdr:from>
      <xdr:col>4</xdr:col>
      <xdr:colOff>181131</xdr:colOff>
      <xdr:row>4</xdr:row>
      <xdr:rowOff>37476</xdr:rowOff>
    </xdr:from>
    <xdr:to>
      <xdr:col>4</xdr:col>
      <xdr:colOff>749508</xdr:colOff>
      <xdr:row>4</xdr:row>
      <xdr:rowOff>187377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31E1E70-4D60-4D56-900B-BD823D722945}"/>
            </a:ext>
          </a:extLst>
        </xdr:cNvPr>
        <xdr:cNvSpPr txBox="1"/>
      </xdr:nvSpPr>
      <xdr:spPr>
        <a:xfrm>
          <a:off x="3556791" y="906156"/>
          <a:ext cx="568377" cy="149901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MW</a:t>
          </a:r>
        </a:p>
      </xdr:txBody>
    </xdr:sp>
    <xdr:clientData/>
  </xdr:twoCellAnchor>
  <xdr:twoCellAnchor>
    <xdr:from>
      <xdr:col>4</xdr:col>
      <xdr:colOff>993098</xdr:colOff>
      <xdr:row>3</xdr:row>
      <xdr:rowOff>142430</xdr:rowOff>
    </xdr:from>
    <xdr:to>
      <xdr:col>4</xdr:col>
      <xdr:colOff>1892508</xdr:colOff>
      <xdr:row>4</xdr:row>
      <xdr:rowOff>399738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409C908-9AD0-4640-AE27-9ECA706C012A}"/>
            </a:ext>
          </a:extLst>
        </xdr:cNvPr>
        <xdr:cNvSpPr txBox="1"/>
      </xdr:nvSpPr>
      <xdr:spPr>
        <a:xfrm>
          <a:off x="4368758" y="858710"/>
          <a:ext cx="899410" cy="409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 b="1">
              <a:solidFill>
                <a:schemeClr val="bg1"/>
              </a:solidFill>
            </a:rPr>
            <a:t>CASING</a:t>
          </a:r>
        </a:p>
        <a:p>
          <a:pPr algn="ctr"/>
          <a:r>
            <a:rPr lang="es-CO" sz="1000" b="1">
              <a:solidFill>
                <a:schemeClr val="bg1"/>
              </a:solidFill>
            </a:rPr>
            <a:t>CEMENTO</a:t>
          </a:r>
        </a:p>
      </xdr:txBody>
    </xdr:sp>
    <xdr:clientData/>
  </xdr:twoCellAnchor>
  <xdr:twoCellAnchor>
    <xdr:from>
      <xdr:col>0</xdr:col>
      <xdr:colOff>80736</xdr:colOff>
      <xdr:row>120</xdr:row>
      <xdr:rowOff>29936</xdr:rowOff>
    </xdr:from>
    <xdr:to>
      <xdr:col>1</xdr:col>
      <xdr:colOff>543379</xdr:colOff>
      <xdr:row>121</xdr:row>
      <xdr:rowOff>197303</xdr:rowOff>
    </xdr:to>
    <xdr:sp macro="" textlink="">
      <xdr:nvSpPr>
        <xdr:cNvPr id="19" name="CuadroTexto 1">
          <a:extLst>
            <a:ext uri="{FF2B5EF4-FFF2-40B4-BE49-F238E27FC236}">
              <a16:creationId xmlns:a16="http://schemas.microsoft.com/office/drawing/2014/main" id="{5E1B2E07-F68D-4CB4-A799-0950F4B1C55C}"/>
            </a:ext>
          </a:extLst>
        </xdr:cNvPr>
        <xdr:cNvSpPr txBox="1"/>
      </xdr:nvSpPr>
      <xdr:spPr>
        <a:xfrm>
          <a:off x="80736" y="23270936"/>
          <a:ext cx="866503" cy="395967"/>
        </a:xfrm>
        <a:prstGeom prst="rect">
          <a:avLst/>
        </a:prstGeom>
        <a:solidFill>
          <a:schemeClr val="tx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200" b="1">
              <a:solidFill>
                <a:schemeClr val="bg1"/>
              </a:solidFill>
            </a:rPr>
            <a:t>RIG </a:t>
          </a:r>
        </a:p>
        <a:p>
          <a:pPr algn="ctr"/>
          <a:r>
            <a:rPr lang="es-CO" sz="1200" b="1">
              <a:solidFill>
                <a:schemeClr val="bg1"/>
              </a:solidFill>
            </a:rPr>
            <a:t>1.500</a:t>
          </a:r>
          <a:r>
            <a:rPr lang="es-CO" sz="1200" b="1" baseline="0">
              <a:solidFill>
                <a:schemeClr val="bg1"/>
              </a:solidFill>
            </a:rPr>
            <a:t> HP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1000122</xdr:colOff>
      <xdr:row>84</xdr:row>
      <xdr:rowOff>143504</xdr:rowOff>
    </xdr:from>
    <xdr:to>
      <xdr:col>4</xdr:col>
      <xdr:colOff>1262059</xdr:colOff>
      <xdr:row>85</xdr:row>
      <xdr:rowOff>31962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112A99E-6154-A75F-E2B3-6222E272DB90}"/>
            </a:ext>
          </a:extLst>
        </xdr:cNvPr>
        <xdr:cNvSpPr/>
      </xdr:nvSpPr>
      <xdr:spPr>
        <a:xfrm>
          <a:off x="4288754" y="19644688"/>
          <a:ext cx="261937" cy="119063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1276776</xdr:colOff>
      <xdr:row>85</xdr:row>
      <xdr:rowOff>153536</xdr:rowOff>
    </xdr:from>
    <xdr:to>
      <xdr:col>4</xdr:col>
      <xdr:colOff>1436688</xdr:colOff>
      <xdr:row>86</xdr:row>
      <xdr:rowOff>53900</xdr:rowOff>
    </xdr:to>
    <xdr:sp macro="" textlink="">
      <xdr:nvSpPr>
        <xdr:cNvPr id="9" name="Triángulo rectángulo 8">
          <a:extLst>
            <a:ext uri="{FF2B5EF4-FFF2-40B4-BE49-F238E27FC236}">
              <a16:creationId xmlns:a16="http://schemas.microsoft.com/office/drawing/2014/main" id="{4F6FD6C0-B4A5-4654-A958-29CFB632785B}"/>
            </a:ext>
          </a:extLst>
        </xdr:cNvPr>
        <xdr:cNvSpPr/>
      </xdr:nvSpPr>
      <xdr:spPr>
        <a:xfrm>
          <a:off x="4565408" y="19885325"/>
          <a:ext cx="159912" cy="130970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1289380</xdr:colOff>
      <xdr:row>76</xdr:row>
      <xdr:rowOff>226217</xdr:rowOff>
    </xdr:from>
    <xdr:to>
      <xdr:col>5</xdr:col>
      <xdr:colOff>928687</xdr:colOff>
      <xdr:row>115</xdr:row>
      <xdr:rowOff>226217</xdr:rowOff>
    </xdr:to>
    <xdr:sp macro="" textlink="">
      <xdr:nvSpPr>
        <xdr:cNvPr id="11" name="Rectángulo 18">
          <a:extLst>
            <a:ext uri="{FF2B5EF4-FFF2-40B4-BE49-F238E27FC236}">
              <a16:creationId xmlns:a16="http://schemas.microsoft.com/office/drawing/2014/main" id="{1D1F4921-0388-48CA-BF72-F21F581CCB58}"/>
            </a:ext>
          </a:extLst>
        </xdr:cNvPr>
        <xdr:cNvSpPr/>
      </xdr:nvSpPr>
      <xdr:spPr>
        <a:xfrm>
          <a:off x="4578012" y="17882559"/>
          <a:ext cx="1544307" cy="8993605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883438"/>
            <a:gd name="connsiteX1" fmla="*/ 973875 w 3648872"/>
            <a:gd name="connsiteY1" fmla="*/ 0 h 2883438"/>
            <a:gd name="connsiteX2" fmla="*/ 3648872 w 3648872"/>
            <a:gd name="connsiteY2" fmla="*/ 899190 h 2883438"/>
            <a:gd name="connsiteX3" fmla="*/ 3633954 w 3648872"/>
            <a:gd name="connsiteY3" fmla="*/ 2883438 h 2883438"/>
            <a:gd name="connsiteX4" fmla="*/ 28 w 3648872"/>
            <a:gd name="connsiteY4" fmla="*/ 1088485 h 2883438"/>
            <a:gd name="connsiteX5" fmla="*/ 17243 w 3648872"/>
            <a:gd name="connsiteY5" fmla="*/ 0 h 2883438"/>
            <a:gd name="connsiteX0" fmla="*/ 17243 w 3712829"/>
            <a:gd name="connsiteY0" fmla="*/ 0 h 2874910"/>
            <a:gd name="connsiteX1" fmla="*/ 973875 w 3712829"/>
            <a:gd name="connsiteY1" fmla="*/ 0 h 2874910"/>
            <a:gd name="connsiteX2" fmla="*/ 3648872 w 3712829"/>
            <a:gd name="connsiteY2" fmla="*/ 899190 h 2874910"/>
            <a:gd name="connsiteX3" fmla="*/ 3712829 w 3712829"/>
            <a:gd name="connsiteY3" fmla="*/ 2874910 h 2874910"/>
            <a:gd name="connsiteX4" fmla="*/ 28 w 3712829"/>
            <a:gd name="connsiteY4" fmla="*/ 1088485 h 2874910"/>
            <a:gd name="connsiteX5" fmla="*/ 17243 w 3712829"/>
            <a:gd name="connsiteY5" fmla="*/ 0 h 2874910"/>
            <a:gd name="connsiteX0" fmla="*/ 17243 w 3728606"/>
            <a:gd name="connsiteY0" fmla="*/ 0 h 2874910"/>
            <a:gd name="connsiteX1" fmla="*/ 973875 w 3728606"/>
            <a:gd name="connsiteY1" fmla="*/ 0 h 2874910"/>
            <a:gd name="connsiteX2" fmla="*/ 3648872 w 3728606"/>
            <a:gd name="connsiteY2" fmla="*/ 899190 h 2874910"/>
            <a:gd name="connsiteX3" fmla="*/ 3728606 w 3728606"/>
            <a:gd name="connsiteY3" fmla="*/ 2874910 h 2874910"/>
            <a:gd name="connsiteX4" fmla="*/ 28 w 3728606"/>
            <a:gd name="connsiteY4" fmla="*/ 1088485 h 2874910"/>
            <a:gd name="connsiteX5" fmla="*/ 17243 w 3728606"/>
            <a:gd name="connsiteY5" fmla="*/ 0 h 2874910"/>
            <a:gd name="connsiteX0" fmla="*/ 17243 w 3697055"/>
            <a:gd name="connsiteY0" fmla="*/ 0 h 2874910"/>
            <a:gd name="connsiteX1" fmla="*/ 973875 w 3697055"/>
            <a:gd name="connsiteY1" fmla="*/ 0 h 2874910"/>
            <a:gd name="connsiteX2" fmla="*/ 3648872 w 3697055"/>
            <a:gd name="connsiteY2" fmla="*/ 899190 h 2874910"/>
            <a:gd name="connsiteX3" fmla="*/ 3697055 w 3697055"/>
            <a:gd name="connsiteY3" fmla="*/ 2874910 h 2874910"/>
            <a:gd name="connsiteX4" fmla="*/ 28 w 3697055"/>
            <a:gd name="connsiteY4" fmla="*/ 1088485 h 2874910"/>
            <a:gd name="connsiteX5" fmla="*/ 17243 w 3697055"/>
            <a:gd name="connsiteY5" fmla="*/ 0 h 2874910"/>
            <a:gd name="connsiteX0" fmla="*/ 17243 w 3665504"/>
            <a:gd name="connsiteY0" fmla="*/ 0 h 2883438"/>
            <a:gd name="connsiteX1" fmla="*/ 973875 w 3665504"/>
            <a:gd name="connsiteY1" fmla="*/ 0 h 2883438"/>
            <a:gd name="connsiteX2" fmla="*/ 3648872 w 3665504"/>
            <a:gd name="connsiteY2" fmla="*/ 899190 h 2883438"/>
            <a:gd name="connsiteX3" fmla="*/ 3665504 w 3665504"/>
            <a:gd name="connsiteY3" fmla="*/ 2883438 h 2883438"/>
            <a:gd name="connsiteX4" fmla="*/ 28 w 3665504"/>
            <a:gd name="connsiteY4" fmla="*/ 1088485 h 2883438"/>
            <a:gd name="connsiteX5" fmla="*/ 17243 w 3665504"/>
            <a:gd name="connsiteY5" fmla="*/ 0 h 2883438"/>
            <a:gd name="connsiteX0" fmla="*/ 17243 w 3665504"/>
            <a:gd name="connsiteY0" fmla="*/ 0 h 2877753"/>
            <a:gd name="connsiteX1" fmla="*/ 973875 w 3665504"/>
            <a:gd name="connsiteY1" fmla="*/ 0 h 2877753"/>
            <a:gd name="connsiteX2" fmla="*/ 3648872 w 3665504"/>
            <a:gd name="connsiteY2" fmla="*/ 899190 h 2877753"/>
            <a:gd name="connsiteX3" fmla="*/ 3665504 w 3665504"/>
            <a:gd name="connsiteY3" fmla="*/ 2877753 h 2877753"/>
            <a:gd name="connsiteX4" fmla="*/ 28 w 3665504"/>
            <a:gd name="connsiteY4" fmla="*/ 1088485 h 2877753"/>
            <a:gd name="connsiteX5" fmla="*/ 17243 w 3665504"/>
            <a:gd name="connsiteY5" fmla="*/ 0 h 2877753"/>
            <a:gd name="connsiteX0" fmla="*/ 17243 w 3648872"/>
            <a:gd name="connsiteY0" fmla="*/ 0 h 2874910"/>
            <a:gd name="connsiteX1" fmla="*/ 973875 w 3648872"/>
            <a:gd name="connsiteY1" fmla="*/ 0 h 2874910"/>
            <a:gd name="connsiteX2" fmla="*/ 3648872 w 3648872"/>
            <a:gd name="connsiteY2" fmla="*/ 899190 h 2874910"/>
            <a:gd name="connsiteX3" fmla="*/ 3633953 w 3648872"/>
            <a:gd name="connsiteY3" fmla="*/ 2874910 h 2874910"/>
            <a:gd name="connsiteX4" fmla="*/ 28 w 3648872"/>
            <a:gd name="connsiteY4" fmla="*/ 1088485 h 2874910"/>
            <a:gd name="connsiteX5" fmla="*/ 17243 w 3648872"/>
            <a:gd name="connsiteY5" fmla="*/ 0 h 2874910"/>
            <a:gd name="connsiteX0" fmla="*/ 17243 w 3681278"/>
            <a:gd name="connsiteY0" fmla="*/ 0 h 2872068"/>
            <a:gd name="connsiteX1" fmla="*/ 973875 w 3681278"/>
            <a:gd name="connsiteY1" fmla="*/ 0 h 2872068"/>
            <a:gd name="connsiteX2" fmla="*/ 3648872 w 3681278"/>
            <a:gd name="connsiteY2" fmla="*/ 899190 h 2872068"/>
            <a:gd name="connsiteX3" fmla="*/ 3681278 w 3681278"/>
            <a:gd name="connsiteY3" fmla="*/ 2872068 h 2872068"/>
            <a:gd name="connsiteX4" fmla="*/ 28 w 3681278"/>
            <a:gd name="connsiteY4" fmla="*/ 1088485 h 2872068"/>
            <a:gd name="connsiteX5" fmla="*/ 17243 w 3681278"/>
            <a:gd name="connsiteY5" fmla="*/ 0 h 2872068"/>
            <a:gd name="connsiteX0" fmla="*/ 17243 w 3649727"/>
            <a:gd name="connsiteY0" fmla="*/ 0 h 2872068"/>
            <a:gd name="connsiteX1" fmla="*/ 973875 w 3649727"/>
            <a:gd name="connsiteY1" fmla="*/ 0 h 2872068"/>
            <a:gd name="connsiteX2" fmla="*/ 3648872 w 3649727"/>
            <a:gd name="connsiteY2" fmla="*/ 899190 h 2872068"/>
            <a:gd name="connsiteX3" fmla="*/ 3649727 w 3649727"/>
            <a:gd name="connsiteY3" fmla="*/ 2872068 h 2872068"/>
            <a:gd name="connsiteX4" fmla="*/ 28 w 3649727"/>
            <a:gd name="connsiteY4" fmla="*/ 1088485 h 2872068"/>
            <a:gd name="connsiteX5" fmla="*/ 17243 w 3649727"/>
            <a:gd name="connsiteY5" fmla="*/ 0 h 2872068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91322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6476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3670 w 3649847"/>
            <a:gd name="connsiteY2" fmla="*/ 894273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59636"/>
            <a:gd name="connsiteY0" fmla="*/ 0 h 2874905"/>
            <a:gd name="connsiteX1" fmla="*/ 973995 w 3659636"/>
            <a:gd name="connsiteY1" fmla="*/ 2837 h 2874905"/>
            <a:gd name="connsiteX2" fmla="*/ 3659636 w 3659636"/>
            <a:gd name="connsiteY2" fmla="*/ 894273 h 2874905"/>
            <a:gd name="connsiteX3" fmla="*/ 3649847 w 3659636"/>
            <a:gd name="connsiteY3" fmla="*/ 2874905 h 2874905"/>
            <a:gd name="connsiteX4" fmla="*/ 148 w 3659636"/>
            <a:gd name="connsiteY4" fmla="*/ 1081629 h 2874905"/>
            <a:gd name="connsiteX5" fmla="*/ 1717 w 3659636"/>
            <a:gd name="connsiteY5" fmla="*/ 0 h 2874905"/>
            <a:gd name="connsiteX0" fmla="*/ 1717 w 3654314"/>
            <a:gd name="connsiteY0" fmla="*/ 0 h 2874905"/>
            <a:gd name="connsiteX1" fmla="*/ 973995 w 3654314"/>
            <a:gd name="connsiteY1" fmla="*/ 2837 h 2874905"/>
            <a:gd name="connsiteX2" fmla="*/ 3654314 w 3654314"/>
            <a:gd name="connsiteY2" fmla="*/ 894273 h 2874905"/>
            <a:gd name="connsiteX3" fmla="*/ 3649847 w 3654314"/>
            <a:gd name="connsiteY3" fmla="*/ 2874905 h 2874905"/>
            <a:gd name="connsiteX4" fmla="*/ 148 w 3654314"/>
            <a:gd name="connsiteY4" fmla="*/ 1081629 h 2874905"/>
            <a:gd name="connsiteX5" fmla="*/ 1717 w 3654314"/>
            <a:gd name="connsiteY5" fmla="*/ 0 h 2874905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8 w 3654314"/>
            <a:gd name="connsiteY4" fmla="*/ 1081700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49436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50060 w 3702657"/>
            <a:gd name="connsiteY0" fmla="*/ 71 h 2874976"/>
            <a:gd name="connsiteX1" fmla="*/ 997779 w 3702657"/>
            <a:gd name="connsiteY1" fmla="*/ 0 h 2874976"/>
            <a:gd name="connsiteX2" fmla="*/ 3702657 w 3702657"/>
            <a:gd name="connsiteY2" fmla="*/ 894344 h 2874976"/>
            <a:gd name="connsiteX3" fmla="*/ 3698190 w 3702657"/>
            <a:gd name="connsiteY3" fmla="*/ 2874976 h 2874976"/>
            <a:gd name="connsiteX4" fmla="*/ 11 w 3702657"/>
            <a:gd name="connsiteY4" fmla="*/ 1097207 h 2874976"/>
            <a:gd name="connsiteX5" fmla="*/ 50060 w 3702657"/>
            <a:gd name="connsiteY5" fmla="*/ 71 h 2874976"/>
            <a:gd name="connsiteX0" fmla="*/ 1720 w 3654317"/>
            <a:gd name="connsiteY0" fmla="*/ 71 h 2874976"/>
            <a:gd name="connsiteX1" fmla="*/ 949439 w 3654317"/>
            <a:gd name="connsiteY1" fmla="*/ 0 h 2874976"/>
            <a:gd name="connsiteX2" fmla="*/ 3654317 w 3654317"/>
            <a:gd name="connsiteY2" fmla="*/ 894344 h 2874976"/>
            <a:gd name="connsiteX3" fmla="*/ 3649850 w 3654317"/>
            <a:gd name="connsiteY3" fmla="*/ 2874976 h 2874976"/>
            <a:gd name="connsiteX4" fmla="*/ 150 w 3654317"/>
            <a:gd name="connsiteY4" fmla="*/ 1088253 h 2874976"/>
            <a:gd name="connsiteX5" fmla="*/ 1720 w 3654317"/>
            <a:gd name="connsiteY5" fmla="*/ 71 h 2874976"/>
            <a:gd name="connsiteX0" fmla="*/ 13725 w 3666322"/>
            <a:gd name="connsiteY0" fmla="*/ 71 h 2874976"/>
            <a:gd name="connsiteX1" fmla="*/ 961444 w 3666322"/>
            <a:gd name="connsiteY1" fmla="*/ 0 h 2874976"/>
            <a:gd name="connsiteX2" fmla="*/ 3666322 w 3666322"/>
            <a:gd name="connsiteY2" fmla="*/ 894344 h 2874976"/>
            <a:gd name="connsiteX3" fmla="*/ 3661855 w 3666322"/>
            <a:gd name="connsiteY3" fmla="*/ 2874976 h 2874976"/>
            <a:gd name="connsiteX4" fmla="*/ 36 w 3666322"/>
            <a:gd name="connsiteY4" fmla="*/ 1092730 h 2874976"/>
            <a:gd name="connsiteX5" fmla="*/ 13725 w 3666322"/>
            <a:gd name="connsiteY5" fmla="*/ 71 h 2874976"/>
            <a:gd name="connsiteX0" fmla="*/ 13725 w 3666322"/>
            <a:gd name="connsiteY0" fmla="*/ 0 h 2874905"/>
            <a:gd name="connsiteX1" fmla="*/ 985681 w 3666322"/>
            <a:gd name="connsiteY1" fmla="*/ 2167 h 2874905"/>
            <a:gd name="connsiteX2" fmla="*/ 3666322 w 3666322"/>
            <a:gd name="connsiteY2" fmla="*/ 894273 h 2874905"/>
            <a:gd name="connsiteX3" fmla="*/ 3661855 w 3666322"/>
            <a:gd name="connsiteY3" fmla="*/ 2874905 h 2874905"/>
            <a:gd name="connsiteX4" fmla="*/ 36 w 3666322"/>
            <a:gd name="connsiteY4" fmla="*/ 1092659 h 2874905"/>
            <a:gd name="connsiteX5" fmla="*/ 13725 w 3666322"/>
            <a:gd name="connsiteY5" fmla="*/ 0 h 2874905"/>
            <a:gd name="connsiteX0" fmla="*/ 1715 w 3666435"/>
            <a:gd name="connsiteY0" fmla="*/ 0 h 2874905"/>
            <a:gd name="connsiteX1" fmla="*/ 985794 w 3666435"/>
            <a:gd name="connsiteY1" fmla="*/ 2167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5 w 3666435"/>
            <a:gd name="connsiteY0" fmla="*/ 0 h 2874905"/>
            <a:gd name="connsiteX1" fmla="*/ 979110 w 3666435"/>
            <a:gd name="connsiteY1" fmla="*/ 9518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6 w 3666435"/>
            <a:gd name="connsiteY0" fmla="*/ 0 h 2866328"/>
            <a:gd name="connsiteX1" fmla="*/ 979110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0 h 2866328"/>
            <a:gd name="connsiteX1" fmla="*/ 959003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284 h 2866612"/>
            <a:gd name="connsiteX1" fmla="*/ 959003 w 3666435"/>
            <a:gd name="connsiteY1" fmla="*/ 0 h 2866612"/>
            <a:gd name="connsiteX2" fmla="*/ 3666435 w 3666435"/>
            <a:gd name="connsiteY2" fmla="*/ 885980 h 2866612"/>
            <a:gd name="connsiteX3" fmla="*/ 3661968 w 3666435"/>
            <a:gd name="connsiteY3" fmla="*/ 2866612 h 2866612"/>
            <a:gd name="connsiteX4" fmla="*/ 149 w 3666435"/>
            <a:gd name="connsiteY4" fmla="*/ 1084366 h 2866612"/>
            <a:gd name="connsiteX5" fmla="*/ 1716 w 3666435"/>
            <a:gd name="connsiteY5" fmla="*/ 284 h 2866612"/>
            <a:gd name="connsiteX0" fmla="*/ 1716 w 3673138"/>
            <a:gd name="connsiteY0" fmla="*/ 284 h 2866612"/>
            <a:gd name="connsiteX1" fmla="*/ 959003 w 3673138"/>
            <a:gd name="connsiteY1" fmla="*/ 0 h 2866612"/>
            <a:gd name="connsiteX2" fmla="*/ 3673138 w 3673138"/>
            <a:gd name="connsiteY2" fmla="*/ 885980 h 2866612"/>
            <a:gd name="connsiteX3" fmla="*/ 3661968 w 3673138"/>
            <a:gd name="connsiteY3" fmla="*/ 2866612 h 2866612"/>
            <a:gd name="connsiteX4" fmla="*/ 149 w 3673138"/>
            <a:gd name="connsiteY4" fmla="*/ 1084366 h 2866612"/>
            <a:gd name="connsiteX5" fmla="*/ 1716 w 3673138"/>
            <a:gd name="connsiteY5" fmla="*/ 284 h 2866612"/>
            <a:gd name="connsiteX0" fmla="*/ 1716 w 3676241"/>
            <a:gd name="connsiteY0" fmla="*/ 284 h 2867837"/>
            <a:gd name="connsiteX1" fmla="*/ 959003 w 3676241"/>
            <a:gd name="connsiteY1" fmla="*/ 0 h 2867837"/>
            <a:gd name="connsiteX2" fmla="*/ 3673138 w 3676241"/>
            <a:gd name="connsiteY2" fmla="*/ 885980 h 2867837"/>
            <a:gd name="connsiteX3" fmla="*/ 3675374 w 3676241"/>
            <a:gd name="connsiteY3" fmla="*/ 2867837 h 2867837"/>
            <a:gd name="connsiteX4" fmla="*/ 149 w 3676241"/>
            <a:gd name="connsiteY4" fmla="*/ 1084366 h 2867837"/>
            <a:gd name="connsiteX5" fmla="*/ 1716 w 3676241"/>
            <a:gd name="connsiteY5" fmla="*/ 284 h 2867837"/>
            <a:gd name="connsiteX0" fmla="*/ 8322 w 3682847"/>
            <a:gd name="connsiteY0" fmla="*/ 284 h 2867837"/>
            <a:gd name="connsiteX1" fmla="*/ 965609 w 3682847"/>
            <a:gd name="connsiteY1" fmla="*/ 0 h 2867837"/>
            <a:gd name="connsiteX2" fmla="*/ 3679744 w 3682847"/>
            <a:gd name="connsiteY2" fmla="*/ 885980 h 2867837"/>
            <a:gd name="connsiteX3" fmla="*/ 3681980 w 3682847"/>
            <a:gd name="connsiteY3" fmla="*/ 2867837 h 2867837"/>
            <a:gd name="connsiteX4" fmla="*/ 53 w 3682847"/>
            <a:gd name="connsiteY4" fmla="*/ 1084366 h 2867837"/>
            <a:gd name="connsiteX5" fmla="*/ 8322 w 3682847"/>
            <a:gd name="connsiteY5" fmla="*/ 284 h 2867837"/>
            <a:gd name="connsiteX0" fmla="*/ 8322 w 3682847"/>
            <a:gd name="connsiteY0" fmla="*/ 284 h 2862936"/>
            <a:gd name="connsiteX1" fmla="*/ 965609 w 3682847"/>
            <a:gd name="connsiteY1" fmla="*/ 0 h 2862936"/>
            <a:gd name="connsiteX2" fmla="*/ 3679744 w 3682847"/>
            <a:gd name="connsiteY2" fmla="*/ 885980 h 2862936"/>
            <a:gd name="connsiteX3" fmla="*/ 3681980 w 3682847"/>
            <a:gd name="connsiteY3" fmla="*/ 2862936 h 2862936"/>
            <a:gd name="connsiteX4" fmla="*/ 53 w 3682847"/>
            <a:gd name="connsiteY4" fmla="*/ 1084366 h 2862936"/>
            <a:gd name="connsiteX5" fmla="*/ 8322 w 3682847"/>
            <a:gd name="connsiteY5" fmla="*/ 284 h 2862936"/>
            <a:gd name="connsiteX0" fmla="*/ 8322 w 3682847"/>
            <a:gd name="connsiteY0" fmla="*/ 0 h 2862652"/>
            <a:gd name="connsiteX1" fmla="*/ 972311 w 3682847"/>
            <a:gd name="connsiteY1" fmla="*/ 941 h 2862652"/>
            <a:gd name="connsiteX2" fmla="*/ 3679744 w 3682847"/>
            <a:gd name="connsiteY2" fmla="*/ 885696 h 2862652"/>
            <a:gd name="connsiteX3" fmla="*/ 3681980 w 3682847"/>
            <a:gd name="connsiteY3" fmla="*/ 2862652 h 2862652"/>
            <a:gd name="connsiteX4" fmla="*/ 53 w 3682847"/>
            <a:gd name="connsiteY4" fmla="*/ 1084082 h 2862652"/>
            <a:gd name="connsiteX5" fmla="*/ 8322 w 3682847"/>
            <a:gd name="connsiteY5" fmla="*/ 0 h 2862652"/>
            <a:gd name="connsiteX0" fmla="*/ 8322 w 3686446"/>
            <a:gd name="connsiteY0" fmla="*/ 0 h 2862652"/>
            <a:gd name="connsiteX1" fmla="*/ 972311 w 3686446"/>
            <a:gd name="connsiteY1" fmla="*/ 941 h 2862652"/>
            <a:gd name="connsiteX2" fmla="*/ 3686446 w 3686446"/>
            <a:gd name="connsiteY2" fmla="*/ 884471 h 2862652"/>
            <a:gd name="connsiteX3" fmla="*/ 3681980 w 3686446"/>
            <a:gd name="connsiteY3" fmla="*/ 2862652 h 2862652"/>
            <a:gd name="connsiteX4" fmla="*/ 53 w 3686446"/>
            <a:gd name="connsiteY4" fmla="*/ 1084082 h 2862652"/>
            <a:gd name="connsiteX5" fmla="*/ 8322 w 3686446"/>
            <a:gd name="connsiteY5" fmla="*/ 0 h 2862652"/>
            <a:gd name="connsiteX0" fmla="*/ 8322 w 3686446"/>
            <a:gd name="connsiteY0" fmla="*/ 0 h 2863877"/>
            <a:gd name="connsiteX1" fmla="*/ 972311 w 3686446"/>
            <a:gd name="connsiteY1" fmla="*/ 941 h 2863877"/>
            <a:gd name="connsiteX2" fmla="*/ 3686446 w 3686446"/>
            <a:gd name="connsiteY2" fmla="*/ 884471 h 2863877"/>
            <a:gd name="connsiteX3" fmla="*/ 3661871 w 3686446"/>
            <a:gd name="connsiteY3" fmla="*/ 2863877 h 2863877"/>
            <a:gd name="connsiteX4" fmla="*/ 53 w 3686446"/>
            <a:gd name="connsiteY4" fmla="*/ 1084082 h 2863877"/>
            <a:gd name="connsiteX5" fmla="*/ 8322 w 3686446"/>
            <a:gd name="connsiteY5" fmla="*/ 0 h 2863877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75831"/>
            <a:gd name="connsiteY0" fmla="*/ 0 h 2867552"/>
            <a:gd name="connsiteX1" fmla="*/ 972311 w 3675831"/>
            <a:gd name="connsiteY1" fmla="*/ 941 h 2867552"/>
            <a:gd name="connsiteX2" fmla="*/ 3666338 w 3675831"/>
            <a:gd name="connsiteY2" fmla="*/ 884471 h 2867552"/>
            <a:gd name="connsiteX3" fmla="*/ 3675277 w 3675831"/>
            <a:gd name="connsiteY3" fmla="*/ 2867552 h 2867552"/>
            <a:gd name="connsiteX4" fmla="*/ 53 w 3675831"/>
            <a:gd name="connsiteY4" fmla="*/ 1084082 h 2867552"/>
            <a:gd name="connsiteX5" fmla="*/ 8322 w 3675831"/>
            <a:gd name="connsiteY5" fmla="*/ 0 h 2867552"/>
            <a:gd name="connsiteX0" fmla="*/ 8322 w 3669441"/>
            <a:gd name="connsiteY0" fmla="*/ 0 h 2866327"/>
            <a:gd name="connsiteX1" fmla="*/ 972311 w 3669441"/>
            <a:gd name="connsiteY1" fmla="*/ 941 h 2866327"/>
            <a:gd name="connsiteX2" fmla="*/ 3666338 w 3669441"/>
            <a:gd name="connsiteY2" fmla="*/ 884471 h 2866327"/>
            <a:gd name="connsiteX3" fmla="*/ 3668574 w 3669441"/>
            <a:gd name="connsiteY3" fmla="*/ 2866327 h 2866327"/>
            <a:gd name="connsiteX4" fmla="*/ 53 w 3669441"/>
            <a:gd name="connsiteY4" fmla="*/ 1084082 h 2866327"/>
            <a:gd name="connsiteX5" fmla="*/ 8322 w 3669441"/>
            <a:gd name="connsiteY5" fmla="*/ 0 h 2866327"/>
            <a:gd name="connsiteX0" fmla="*/ 15005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5 w 3676124"/>
            <a:gd name="connsiteY5" fmla="*/ 0 h 2866327"/>
            <a:gd name="connsiteX0" fmla="*/ 15004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4 w 3676124"/>
            <a:gd name="connsiteY5" fmla="*/ 0 h 2866327"/>
            <a:gd name="connsiteX0" fmla="*/ 8323 w 3676146"/>
            <a:gd name="connsiteY0" fmla="*/ 0 h 2866327"/>
            <a:gd name="connsiteX1" fmla="*/ 979016 w 3676146"/>
            <a:gd name="connsiteY1" fmla="*/ 941 h 2866327"/>
            <a:gd name="connsiteX2" fmla="*/ 3673043 w 3676146"/>
            <a:gd name="connsiteY2" fmla="*/ 884471 h 2866327"/>
            <a:gd name="connsiteX3" fmla="*/ 3675279 w 3676146"/>
            <a:gd name="connsiteY3" fmla="*/ 2866327 h 2866327"/>
            <a:gd name="connsiteX4" fmla="*/ 55 w 3676146"/>
            <a:gd name="connsiteY4" fmla="*/ 1082857 h 2866327"/>
            <a:gd name="connsiteX5" fmla="*/ 8323 w 3676146"/>
            <a:gd name="connsiteY5" fmla="*/ 0 h 2866327"/>
            <a:gd name="connsiteX0" fmla="*/ -1 w 3667822"/>
            <a:gd name="connsiteY0" fmla="*/ 0 h 2866327"/>
            <a:gd name="connsiteX1" fmla="*/ 970692 w 3667822"/>
            <a:gd name="connsiteY1" fmla="*/ 941 h 2866327"/>
            <a:gd name="connsiteX2" fmla="*/ 3664719 w 3667822"/>
            <a:gd name="connsiteY2" fmla="*/ 884471 h 2866327"/>
            <a:gd name="connsiteX3" fmla="*/ 3666955 w 3667822"/>
            <a:gd name="connsiteY3" fmla="*/ 2866327 h 2866327"/>
            <a:gd name="connsiteX4" fmla="*/ 5137 w 3667822"/>
            <a:gd name="connsiteY4" fmla="*/ 1081632 h 2866327"/>
            <a:gd name="connsiteX5" fmla="*/ -1 w 3667822"/>
            <a:gd name="connsiteY5" fmla="*/ 0 h 2866327"/>
            <a:gd name="connsiteX0" fmla="*/ 1714 w 3669537"/>
            <a:gd name="connsiteY0" fmla="*/ 0 h 2866327"/>
            <a:gd name="connsiteX1" fmla="*/ 972407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959002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1003024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0 w 3667823"/>
            <a:gd name="connsiteY0" fmla="*/ 0 h 2866327"/>
            <a:gd name="connsiteX1" fmla="*/ 1001310 w 3667823"/>
            <a:gd name="connsiteY1" fmla="*/ 941 h 2866327"/>
            <a:gd name="connsiteX2" fmla="*/ 3664720 w 3667823"/>
            <a:gd name="connsiteY2" fmla="*/ 884471 h 2866327"/>
            <a:gd name="connsiteX3" fmla="*/ 3666956 w 3667823"/>
            <a:gd name="connsiteY3" fmla="*/ 2866327 h 2866327"/>
            <a:gd name="connsiteX4" fmla="*/ 75042 w 3667823"/>
            <a:gd name="connsiteY4" fmla="*/ 1243969 h 2866327"/>
            <a:gd name="connsiteX5" fmla="*/ 0 w 3667823"/>
            <a:gd name="connsiteY5" fmla="*/ 0 h 2866327"/>
            <a:gd name="connsiteX0" fmla="*/ 0 w 3667074"/>
            <a:gd name="connsiteY0" fmla="*/ 0 h 2866327"/>
            <a:gd name="connsiteX1" fmla="*/ 1001310 w 3667074"/>
            <a:gd name="connsiteY1" fmla="*/ 941 h 2866327"/>
            <a:gd name="connsiteX2" fmla="*/ 3588114 w 3667074"/>
            <a:gd name="connsiteY2" fmla="*/ 1355 h 2866327"/>
            <a:gd name="connsiteX3" fmla="*/ 3666956 w 3667074"/>
            <a:gd name="connsiteY3" fmla="*/ 2866327 h 2866327"/>
            <a:gd name="connsiteX4" fmla="*/ 75042 w 3667074"/>
            <a:gd name="connsiteY4" fmla="*/ 1243969 h 2866327"/>
            <a:gd name="connsiteX5" fmla="*/ 0 w 3667074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79034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98515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66047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7848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875"/>
            <a:gd name="connsiteY0" fmla="*/ 0 h 2866327"/>
            <a:gd name="connsiteX1" fmla="*/ 1003024 w 3668875"/>
            <a:gd name="connsiteY1" fmla="*/ 941 h 2866327"/>
            <a:gd name="connsiteX2" fmla="*/ 3628131 w 3668875"/>
            <a:gd name="connsiteY2" fmla="*/ 7848 h 2866327"/>
            <a:gd name="connsiteX3" fmla="*/ 3668670 w 3668875"/>
            <a:gd name="connsiteY3" fmla="*/ 2866327 h 2866327"/>
            <a:gd name="connsiteX4" fmla="*/ 149 w 3668875"/>
            <a:gd name="connsiteY4" fmla="*/ 1185528 h 2866327"/>
            <a:gd name="connsiteX5" fmla="*/ 1714 w 3668875"/>
            <a:gd name="connsiteY5" fmla="*/ 0 h 2866327"/>
            <a:gd name="connsiteX0" fmla="*/ 1714 w 3631230"/>
            <a:gd name="connsiteY0" fmla="*/ 0 h 2866327"/>
            <a:gd name="connsiteX1" fmla="*/ 1003024 w 3631230"/>
            <a:gd name="connsiteY1" fmla="*/ 941 h 2866327"/>
            <a:gd name="connsiteX2" fmla="*/ 3628131 w 3631230"/>
            <a:gd name="connsiteY2" fmla="*/ 7848 h 2866327"/>
            <a:gd name="connsiteX3" fmla="*/ 3630363 w 3631230"/>
            <a:gd name="connsiteY3" fmla="*/ 2866327 h 2866327"/>
            <a:gd name="connsiteX4" fmla="*/ 149 w 3631230"/>
            <a:gd name="connsiteY4" fmla="*/ 1185528 h 2866327"/>
            <a:gd name="connsiteX5" fmla="*/ 1714 w 3631230"/>
            <a:gd name="connsiteY5" fmla="*/ 0 h 2866327"/>
            <a:gd name="connsiteX0" fmla="*/ 1714 w 3630489"/>
            <a:gd name="connsiteY0" fmla="*/ 1799898 h 4666225"/>
            <a:gd name="connsiteX1" fmla="*/ 1003024 w 3630489"/>
            <a:gd name="connsiteY1" fmla="*/ 1800839 h 4666225"/>
            <a:gd name="connsiteX2" fmla="*/ 3557233 w 3630489"/>
            <a:gd name="connsiteY2" fmla="*/ 2 h 4666225"/>
            <a:gd name="connsiteX3" fmla="*/ 3630363 w 3630489"/>
            <a:gd name="connsiteY3" fmla="*/ 4666225 h 4666225"/>
            <a:gd name="connsiteX4" fmla="*/ 149 w 3630489"/>
            <a:gd name="connsiteY4" fmla="*/ 2985426 h 4666225"/>
            <a:gd name="connsiteX5" fmla="*/ 1714 w 3630489"/>
            <a:gd name="connsiteY5" fmla="*/ 1799898 h 4666225"/>
            <a:gd name="connsiteX0" fmla="*/ 1714 w 3630489"/>
            <a:gd name="connsiteY0" fmla="*/ 2678661 h 5544988"/>
            <a:gd name="connsiteX1" fmla="*/ 1003024 w 3630489"/>
            <a:gd name="connsiteY1" fmla="*/ 2679602 h 5544988"/>
            <a:gd name="connsiteX2" fmla="*/ 3557233 w 3630489"/>
            <a:gd name="connsiteY2" fmla="*/ 1 h 5544988"/>
            <a:gd name="connsiteX3" fmla="*/ 3630363 w 3630489"/>
            <a:gd name="connsiteY3" fmla="*/ 5544988 h 5544988"/>
            <a:gd name="connsiteX4" fmla="*/ 149 w 3630489"/>
            <a:gd name="connsiteY4" fmla="*/ 3864189 h 5544988"/>
            <a:gd name="connsiteX5" fmla="*/ 1714 w 3630489"/>
            <a:gd name="connsiteY5" fmla="*/ 2678661 h 5544988"/>
            <a:gd name="connsiteX0" fmla="*/ 1714 w 3630489"/>
            <a:gd name="connsiteY0" fmla="*/ 2678660 h 5544987"/>
            <a:gd name="connsiteX1" fmla="*/ 1003024 w 3630489"/>
            <a:gd name="connsiteY1" fmla="*/ 2679601 h 5544987"/>
            <a:gd name="connsiteX2" fmla="*/ 3557233 w 3630489"/>
            <a:gd name="connsiteY2" fmla="*/ 0 h 5544987"/>
            <a:gd name="connsiteX3" fmla="*/ 3630363 w 3630489"/>
            <a:gd name="connsiteY3" fmla="*/ 5544987 h 5544987"/>
            <a:gd name="connsiteX4" fmla="*/ 149 w 3630489"/>
            <a:gd name="connsiteY4" fmla="*/ 3864188 h 5544987"/>
            <a:gd name="connsiteX5" fmla="*/ 1714 w 3630489"/>
            <a:gd name="connsiteY5" fmla="*/ 2678660 h 5544987"/>
            <a:gd name="connsiteX0" fmla="*/ 203924 w 3832699"/>
            <a:gd name="connsiteY0" fmla="*/ 2678660 h 5544987"/>
            <a:gd name="connsiteX1" fmla="*/ 0 w 3832699"/>
            <a:gd name="connsiteY1" fmla="*/ 3374244 h 5544987"/>
            <a:gd name="connsiteX2" fmla="*/ 3759443 w 3832699"/>
            <a:gd name="connsiteY2" fmla="*/ 0 h 5544987"/>
            <a:gd name="connsiteX3" fmla="*/ 3832573 w 3832699"/>
            <a:gd name="connsiteY3" fmla="*/ 5544987 h 5544987"/>
            <a:gd name="connsiteX4" fmla="*/ 202359 w 3832699"/>
            <a:gd name="connsiteY4" fmla="*/ 3864188 h 5544987"/>
            <a:gd name="connsiteX5" fmla="*/ 203924 w 3832699"/>
            <a:gd name="connsiteY5" fmla="*/ 2678660 h 5544987"/>
            <a:gd name="connsiteX0" fmla="*/ 0 w 4940355"/>
            <a:gd name="connsiteY0" fmla="*/ 3314718 h 5544987"/>
            <a:gd name="connsiteX1" fmla="*/ 1107656 w 4940355"/>
            <a:gd name="connsiteY1" fmla="*/ 3374244 h 5544987"/>
            <a:gd name="connsiteX2" fmla="*/ 4867099 w 4940355"/>
            <a:gd name="connsiteY2" fmla="*/ 0 h 5544987"/>
            <a:gd name="connsiteX3" fmla="*/ 4940229 w 4940355"/>
            <a:gd name="connsiteY3" fmla="*/ 5544987 h 5544987"/>
            <a:gd name="connsiteX4" fmla="*/ 1310015 w 4940355"/>
            <a:gd name="connsiteY4" fmla="*/ 3864188 h 5544987"/>
            <a:gd name="connsiteX5" fmla="*/ 0 w 4940355"/>
            <a:gd name="connsiteY5" fmla="*/ 3314718 h 5544987"/>
            <a:gd name="connsiteX0" fmla="*/ 37025 w 4977380"/>
            <a:gd name="connsiteY0" fmla="*/ 3314718 h 5544987"/>
            <a:gd name="connsiteX1" fmla="*/ 1144681 w 4977380"/>
            <a:gd name="connsiteY1" fmla="*/ 3374244 h 5544987"/>
            <a:gd name="connsiteX2" fmla="*/ 4904124 w 4977380"/>
            <a:gd name="connsiteY2" fmla="*/ 0 h 5544987"/>
            <a:gd name="connsiteX3" fmla="*/ 4977254 w 4977380"/>
            <a:gd name="connsiteY3" fmla="*/ 5544987 h 5544987"/>
            <a:gd name="connsiteX4" fmla="*/ 15 w 4977380"/>
            <a:gd name="connsiteY4" fmla="*/ 4960552 h 5544987"/>
            <a:gd name="connsiteX5" fmla="*/ 37025 w 4977380"/>
            <a:gd name="connsiteY5" fmla="*/ 3314718 h 5544987"/>
            <a:gd name="connsiteX0" fmla="*/ 37025 w 4977380"/>
            <a:gd name="connsiteY0" fmla="*/ 3314718 h 5544987"/>
            <a:gd name="connsiteX1" fmla="*/ 1144681 w 4977380"/>
            <a:gd name="connsiteY1" fmla="*/ 3374244 h 5544987"/>
            <a:gd name="connsiteX2" fmla="*/ 4904124 w 4977380"/>
            <a:gd name="connsiteY2" fmla="*/ 0 h 5544987"/>
            <a:gd name="connsiteX3" fmla="*/ 4977254 w 4977380"/>
            <a:gd name="connsiteY3" fmla="*/ 5544987 h 5544987"/>
            <a:gd name="connsiteX4" fmla="*/ 15 w 4977380"/>
            <a:gd name="connsiteY4" fmla="*/ 4960552 h 5544987"/>
            <a:gd name="connsiteX5" fmla="*/ 37025 w 4977380"/>
            <a:gd name="connsiteY5" fmla="*/ 3314718 h 5544987"/>
            <a:gd name="connsiteX0" fmla="*/ 0 w 5153045"/>
            <a:gd name="connsiteY0" fmla="*/ 3364933 h 5544987"/>
            <a:gd name="connsiteX1" fmla="*/ 1320346 w 5153045"/>
            <a:gd name="connsiteY1" fmla="*/ 3374244 h 5544987"/>
            <a:gd name="connsiteX2" fmla="*/ 5079789 w 5153045"/>
            <a:gd name="connsiteY2" fmla="*/ 0 h 5544987"/>
            <a:gd name="connsiteX3" fmla="*/ 5152919 w 5153045"/>
            <a:gd name="connsiteY3" fmla="*/ 5544987 h 5544987"/>
            <a:gd name="connsiteX4" fmla="*/ 175680 w 5153045"/>
            <a:gd name="connsiteY4" fmla="*/ 4960552 h 5544987"/>
            <a:gd name="connsiteX5" fmla="*/ 0 w 5153045"/>
            <a:gd name="connsiteY5" fmla="*/ 3364933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104782 w 5082147"/>
            <a:gd name="connsiteY4" fmla="*/ 4960552 h 5544987"/>
            <a:gd name="connsiteX5" fmla="*/ 0 w 5082147"/>
            <a:gd name="connsiteY5" fmla="*/ 3373302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104782 w 5082147"/>
            <a:gd name="connsiteY4" fmla="*/ 4960552 h 5544987"/>
            <a:gd name="connsiteX5" fmla="*/ 0 w 5082147"/>
            <a:gd name="connsiteY5" fmla="*/ 3373302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69335 w 5082147"/>
            <a:gd name="connsiteY4" fmla="*/ 4918706 h 5544987"/>
            <a:gd name="connsiteX5" fmla="*/ 0 w 5082147"/>
            <a:gd name="connsiteY5" fmla="*/ 3373302 h 5544987"/>
            <a:gd name="connsiteX0" fmla="*/ 1560 w 5012812"/>
            <a:gd name="connsiteY0" fmla="*/ 3364933 h 5544987"/>
            <a:gd name="connsiteX1" fmla="*/ 1180113 w 5012812"/>
            <a:gd name="connsiteY1" fmla="*/ 3374244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1560 w 5012812"/>
            <a:gd name="connsiteY5" fmla="*/ 3364933 h 5544987"/>
            <a:gd name="connsiteX0" fmla="*/ 1560 w 5012812"/>
            <a:gd name="connsiteY0" fmla="*/ 3364933 h 5544987"/>
            <a:gd name="connsiteX1" fmla="*/ 1144666 w 5012812"/>
            <a:gd name="connsiteY1" fmla="*/ 3382613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1560 w 5012812"/>
            <a:gd name="connsiteY5" fmla="*/ 3364933 h 5544987"/>
            <a:gd name="connsiteX0" fmla="*/ 320592 w 5012812"/>
            <a:gd name="connsiteY0" fmla="*/ 3373302 h 5544987"/>
            <a:gd name="connsiteX1" fmla="*/ 1144666 w 5012812"/>
            <a:gd name="connsiteY1" fmla="*/ 3382613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320592 w 5012812"/>
            <a:gd name="connsiteY5" fmla="*/ 3373302 h 5544987"/>
            <a:gd name="connsiteX0" fmla="*/ 0 w 4692220"/>
            <a:gd name="connsiteY0" fmla="*/ 3373302 h 5544987"/>
            <a:gd name="connsiteX1" fmla="*/ 824074 w 4692220"/>
            <a:gd name="connsiteY1" fmla="*/ 3382613 h 5544987"/>
            <a:gd name="connsiteX2" fmla="*/ 4618964 w 4692220"/>
            <a:gd name="connsiteY2" fmla="*/ 0 h 5544987"/>
            <a:gd name="connsiteX3" fmla="*/ 4692094 w 4692220"/>
            <a:gd name="connsiteY3" fmla="*/ 5544987 h 5544987"/>
            <a:gd name="connsiteX4" fmla="*/ 69337 w 4692220"/>
            <a:gd name="connsiteY4" fmla="*/ 4901968 h 5544987"/>
            <a:gd name="connsiteX5" fmla="*/ 0 w 4692220"/>
            <a:gd name="connsiteY5" fmla="*/ 3373302 h 5544987"/>
            <a:gd name="connsiteX0" fmla="*/ 1560 w 4693780"/>
            <a:gd name="connsiteY0" fmla="*/ 3373302 h 5544987"/>
            <a:gd name="connsiteX1" fmla="*/ 825634 w 4693780"/>
            <a:gd name="connsiteY1" fmla="*/ 3382613 h 5544987"/>
            <a:gd name="connsiteX2" fmla="*/ 4620524 w 4693780"/>
            <a:gd name="connsiteY2" fmla="*/ 0 h 5544987"/>
            <a:gd name="connsiteX3" fmla="*/ 4693654 w 4693780"/>
            <a:gd name="connsiteY3" fmla="*/ 5544987 h 5544987"/>
            <a:gd name="connsiteX4" fmla="*/ 0 w 4693780"/>
            <a:gd name="connsiteY4" fmla="*/ 4885230 h 5544987"/>
            <a:gd name="connsiteX5" fmla="*/ 1560 w 4693780"/>
            <a:gd name="connsiteY5" fmla="*/ 3373302 h 5544987"/>
            <a:gd name="connsiteX0" fmla="*/ 1560 w 4693780"/>
            <a:gd name="connsiteY0" fmla="*/ 3373302 h 5544987"/>
            <a:gd name="connsiteX1" fmla="*/ 825634 w 4693780"/>
            <a:gd name="connsiteY1" fmla="*/ 3365875 h 5544987"/>
            <a:gd name="connsiteX2" fmla="*/ 4620524 w 4693780"/>
            <a:gd name="connsiteY2" fmla="*/ 0 h 5544987"/>
            <a:gd name="connsiteX3" fmla="*/ 4693654 w 4693780"/>
            <a:gd name="connsiteY3" fmla="*/ 5544987 h 5544987"/>
            <a:gd name="connsiteX4" fmla="*/ 0 w 4693780"/>
            <a:gd name="connsiteY4" fmla="*/ 4885230 h 5544987"/>
            <a:gd name="connsiteX5" fmla="*/ 1560 w 4693780"/>
            <a:gd name="connsiteY5" fmla="*/ 3373302 h 5544987"/>
            <a:gd name="connsiteX0" fmla="*/ 1560 w 4693780"/>
            <a:gd name="connsiteY0" fmla="*/ 3373302 h 5929969"/>
            <a:gd name="connsiteX1" fmla="*/ 825634 w 4693780"/>
            <a:gd name="connsiteY1" fmla="*/ 3365875 h 5929969"/>
            <a:gd name="connsiteX2" fmla="*/ 4620524 w 4693780"/>
            <a:gd name="connsiteY2" fmla="*/ 0 h 5929969"/>
            <a:gd name="connsiteX3" fmla="*/ 4693655 w 4693780"/>
            <a:gd name="connsiteY3" fmla="*/ 5929969 h 5929969"/>
            <a:gd name="connsiteX4" fmla="*/ 0 w 4693780"/>
            <a:gd name="connsiteY4" fmla="*/ 4885230 h 5929969"/>
            <a:gd name="connsiteX5" fmla="*/ 1560 w 4693780"/>
            <a:gd name="connsiteY5" fmla="*/ 3373302 h 5929969"/>
            <a:gd name="connsiteX0" fmla="*/ 1560 w 4658422"/>
            <a:gd name="connsiteY0" fmla="*/ 3373302 h 5929969"/>
            <a:gd name="connsiteX1" fmla="*/ 825634 w 4658422"/>
            <a:gd name="connsiteY1" fmla="*/ 3365875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1560 w 4658422"/>
            <a:gd name="connsiteY5" fmla="*/ 3373302 h 5929969"/>
            <a:gd name="connsiteX0" fmla="*/ 0 w 4692312"/>
            <a:gd name="connsiteY0" fmla="*/ 1344865 h 5929969"/>
            <a:gd name="connsiteX1" fmla="*/ 859524 w 4692312"/>
            <a:gd name="connsiteY1" fmla="*/ 3365875 h 5929969"/>
            <a:gd name="connsiteX2" fmla="*/ 4654414 w 4692312"/>
            <a:gd name="connsiteY2" fmla="*/ 0 h 5929969"/>
            <a:gd name="connsiteX3" fmla="*/ 4692095 w 4692312"/>
            <a:gd name="connsiteY3" fmla="*/ 5929969 h 5929969"/>
            <a:gd name="connsiteX4" fmla="*/ 33890 w 4692312"/>
            <a:gd name="connsiteY4" fmla="*/ 4885230 h 5929969"/>
            <a:gd name="connsiteX5" fmla="*/ 0 w 4692312"/>
            <a:gd name="connsiteY5" fmla="*/ 1344865 h 5929969"/>
            <a:gd name="connsiteX0" fmla="*/ 0 w 4692312"/>
            <a:gd name="connsiteY0" fmla="*/ 1344865 h 5929969"/>
            <a:gd name="connsiteX1" fmla="*/ 930419 w 4692312"/>
            <a:gd name="connsiteY1" fmla="*/ 1329452 h 5929969"/>
            <a:gd name="connsiteX2" fmla="*/ 4654414 w 4692312"/>
            <a:gd name="connsiteY2" fmla="*/ 0 h 5929969"/>
            <a:gd name="connsiteX3" fmla="*/ 4692095 w 4692312"/>
            <a:gd name="connsiteY3" fmla="*/ 5929969 h 5929969"/>
            <a:gd name="connsiteX4" fmla="*/ 33890 w 4692312"/>
            <a:gd name="connsiteY4" fmla="*/ 4885230 h 5929969"/>
            <a:gd name="connsiteX5" fmla="*/ 0 w 4692312"/>
            <a:gd name="connsiteY5" fmla="*/ 1344865 h 5929969"/>
            <a:gd name="connsiteX0" fmla="*/ 72455 w 4658422"/>
            <a:gd name="connsiteY0" fmla="*/ 1344865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72455 w 4658422"/>
            <a:gd name="connsiteY5" fmla="*/ 1344865 h 5929969"/>
            <a:gd name="connsiteX0" fmla="*/ 72455 w 4658422"/>
            <a:gd name="connsiteY0" fmla="*/ 1320907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72455 w 4658422"/>
            <a:gd name="connsiteY5" fmla="*/ 1320907 h 5929969"/>
            <a:gd name="connsiteX0" fmla="*/ 37007 w 4658422"/>
            <a:gd name="connsiteY0" fmla="*/ 1161187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161187 h 5929969"/>
            <a:gd name="connsiteX0" fmla="*/ 37007 w 4658422"/>
            <a:gd name="connsiteY0" fmla="*/ 1304934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04934 h 5929969"/>
            <a:gd name="connsiteX0" fmla="*/ 37007 w 4658422"/>
            <a:gd name="connsiteY0" fmla="*/ 1336878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53409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45424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37438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61079 w 4658422"/>
            <a:gd name="connsiteY1" fmla="*/ 1770166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0 w 4692309"/>
            <a:gd name="connsiteY0" fmla="*/ 1625363 h 5929969"/>
            <a:gd name="connsiteX1" fmla="*/ 894966 w 4692309"/>
            <a:gd name="connsiteY1" fmla="*/ 1770166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309"/>
            <a:gd name="connsiteY0" fmla="*/ 1625363 h 5929969"/>
            <a:gd name="connsiteX1" fmla="*/ 894966 w 4692309"/>
            <a:gd name="connsiteY1" fmla="*/ 1633937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309"/>
            <a:gd name="connsiteY0" fmla="*/ 1625363 h 5929969"/>
            <a:gd name="connsiteX1" fmla="*/ 894966 w 4692309"/>
            <a:gd name="connsiteY1" fmla="*/ 1633937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33887 w 4692961"/>
            <a:gd name="connsiteY4" fmla="*/ 4893243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69338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40232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5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211130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69338 w 4692961"/>
            <a:gd name="connsiteY4" fmla="*/ 5333984 h 5937982"/>
            <a:gd name="connsiteX5" fmla="*/ 0 w 4692961"/>
            <a:gd name="connsiteY5" fmla="*/ 1633376 h 5937982"/>
            <a:gd name="connsiteX0" fmla="*/ 0 w 4728408"/>
            <a:gd name="connsiteY0" fmla="*/ 1633376 h 5937982"/>
            <a:gd name="connsiteX1" fmla="*/ 930413 w 4728408"/>
            <a:gd name="connsiteY1" fmla="*/ 1641950 h 5937982"/>
            <a:gd name="connsiteX2" fmla="*/ 4725306 w 4728408"/>
            <a:gd name="connsiteY2" fmla="*/ 0 h 5937982"/>
            <a:gd name="connsiteX3" fmla="*/ 4727539 w 4728408"/>
            <a:gd name="connsiteY3" fmla="*/ 5937982 h 5937982"/>
            <a:gd name="connsiteX4" fmla="*/ 104785 w 4728408"/>
            <a:gd name="connsiteY4" fmla="*/ 5333984 h 5937982"/>
            <a:gd name="connsiteX5" fmla="*/ 0 w 4728408"/>
            <a:gd name="connsiteY5" fmla="*/ 1633376 h 5937982"/>
            <a:gd name="connsiteX0" fmla="*/ 0 w 4728408"/>
            <a:gd name="connsiteY0" fmla="*/ 1649403 h 5937982"/>
            <a:gd name="connsiteX1" fmla="*/ 930413 w 4728408"/>
            <a:gd name="connsiteY1" fmla="*/ 1641950 h 5937982"/>
            <a:gd name="connsiteX2" fmla="*/ 4725306 w 4728408"/>
            <a:gd name="connsiteY2" fmla="*/ 0 h 5937982"/>
            <a:gd name="connsiteX3" fmla="*/ 4727539 w 4728408"/>
            <a:gd name="connsiteY3" fmla="*/ 5937982 h 5937982"/>
            <a:gd name="connsiteX4" fmla="*/ 104785 w 4728408"/>
            <a:gd name="connsiteY4" fmla="*/ 5333984 h 5937982"/>
            <a:gd name="connsiteX5" fmla="*/ 0 w 4728408"/>
            <a:gd name="connsiteY5" fmla="*/ 1649403 h 5937982"/>
            <a:gd name="connsiteX0" fmla="*/ 0 w 4799306"/>
            <a:gd name="connsiteY0" fmla="*/ 1649403 h 5937982"/>
            <a:gd name="connsiteX1" fmla="*/ 1001311 w 4799306"/>
            <a:gd name="connsiteY1" fmla="*/ 1641950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649403 h 5937982"/>
            <a:gd name="connsiteX0" fmla="*/ 0 w 4799306"/>
            <a:gd name="connsiteY0" fmla="*/ 1561255 h 5937982"/>
            <a:gd name="connsiteX1" fmla="*/ 1001311 w 4799306"/>
            <a:gd name="connsiteY1" fmla="*/ 1641950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61255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61255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53241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53241 h 5937982"/>
            <a:gd name="connsiteX0" fmla="*/ 0 w 4941098"/>
            <a:gd name="connsiteY0" fmla="*/ 1537214 h 5937982"/>
            <a:gd name="connsiteX1" fmla="*/ 1072208 w 4941098"/>
            <a:gd name="connsiteY1" fmla="*/ 1561816 h 5937982"/>
            <a:gd name="connsiteX2" fmla="*/ 4937996 w 4941098"/>
            <a:gd name="connsiteY2" fmla="*/ 0 h 5937982"/>
            <a:gd name="connsiteX3" fmla="*/ 4940229 w 4941098"/>
            <a:gd name="connsiteY3" fmla="*/ 5937982 h 5937982"/>
            <a:gd name="connsiteX4" fmla="*/ 317475 w 4941098"/>
            <a:gd name="connsiteY4" fmla="*/ 5333984 h 5937982"/>
            <a:gd name="connsiteX5" fmla="*/ 0 w 4941098"/>
            <a:gd name="connsiteY5" fmla="*/ 1537214 h 5937982"/>
            <a:gd name="connsiteX0" fmla="*/ 0 w 4799306"/>
            <a:gd name="connsiteY0" fmla="*/ 1537214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37214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1 w 4692964"/>
            <a:gd name="connsiteY4" fmla="*/ 5333984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50011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33984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33984 h 5937982"/>
            <a:gd name="connsiteX5" fmla="*/ 0 w 4692964"/>
            <a:gd name="connsiteY5" fmla="*/ 1561255 h 5937982"/>
            <a:gd name="connsiteX0" fmla="*/ 0 w 4657517"/>
            <a:gd name="connsiteY0" fmla="*/ 1553241 h 5937982"/>
            <a:gd name="connsiteX1" fmla="*/ 788627 w 4657517"/>
            <a:gd name="connsiteY1" fmla="*/ 1561816 h 5937982"/>
            <a:gd name="connsiteX2" fmla="*/ 4654415 w 4657517"/>
            <a:gd name="connsiteY2" fmla="*/ 0 h 5937982"/>
            <a:gd name="connsiteX3" fmla="*/ 4656648 w 4657517"/>
            <a:gd name="connsiteY3" fmla="*/ 5937982 h 5937982"/>
            <a:gd name="connsiteX4" fmla="*/ 33893 w 4657517"/>
            <a:gd name="connsiteY4" fmla="*/ 5333984 h 5937982"/>
            <a:gd name="connsiteX5" fmla="*/ 0 w 4657517"/>
            <a:gd name="connsiteY5" fmla="*/ 1553241 h 5937982"/>
            <a:gd name="connsiteX0" fmla="*/ 1557 w 4623624"/>
            <a:gd name="connsiteY0" fmla="*/ 1561255 h 5937982"/>
            <a:gd name="connsiteX1" fmla="*/ 754734 w 4623624"/>
            <a:gd name="connsiteY1" fmla="*/ 1561816 h 5937982"/>
            <a:gd name="connsiteX2" fmla="*/ 4620522 w 4623624"/>
            <a:gd name="connsiteY2" fmla="*/ 0 h 5937982"/>
            <a:gd name="connsiteX3" fmla="*/ 4622755 w 4623624"/>
            <a:gd name="connsiteY3" fmla="*/ 5937982 h 5937982"/>
            <a:gd name="connsiteX4" fmla="*/ 0 w 4623624"/>
            <a:gd name="connsiteY4" fmla="*/ 5333984 h 5937982"/>
            <a:gd name="connsiteX5" fmla="*/ 1557 w 4623624"/>
            <a:gd name="connsiteY5" fmla="*/ 1561255 h 5937982"/>
            <a:gd name="connsiteX0" fmla="*/ 37007 w 4659074"/>
            <a:gd name="connsiteY0" fmla="*/ 1561255 h 5937982"/>
            <a:gd name="connsiteX1" fmla="*/ 790184 w 4659074"/>
            <a:gd name="connsiteY1" fmla="*/ 1561816 h 5937982"/>
            <a:gd name="connsiteX2" fmla="*/ 4655972 w 4659074"/>
            <a:gd name="connsiteY2" fmla="*/ 0 h 5937982"/>
            <a:gd name="connsiteX3" fmla="*/ 4658205 w 4659074"/>
            <a:gd name="connsiteY3" fmla="*/ 5937982 h 5937982"/>
            <a:gd name="connsiteX4" fmla="*/ 0 w 4659074"/>
            <a:gd name="connsiteY4" fmla="*/ 5325970 h 5937982"/>
            <a:gd name="connsiteX5" fmla="*/ 37007 w 4659074"/>
            <a:gd name="connsiteY5" fmla="*/ 1561255 h 5937982"/>
            <a:gd name="connsiteX0" fmla="*/ 0 w 4622067"/>
            <a:gd name="connsiteY0" fmla="*/ 1561255 h 5937982"/>
            <a:gd name="connsiteX1" fmla="*/ 753177 w 4622067"/>
            <a:gd name="connsiteY1" fmla="*/ 1561816 h 5937982"/>
            <a:gd name="connsiteX2" fmla="*/ 4618965 w 4622067"/>
            <a:gd name="connsiteY2" fmla="*/ 0 h 5937982"/>
            <a:gd name="connsiteX3" fmla="*/ 4621198 w 4622067"/>
            <a:gd name="connsiteY3" fmla="*/ 5937982 h 5937982"/>
            <a:gd name="connsiteX4" fmla="*/ 69338 w 4622067"/>
            <a:gd name="connsiteY4" fmla="*/ 5325970 h 5937982"/>
            <a:gd name="connsiteX5" fmla="*/ 0 w 4622067"/>
            <a:gd name="connsiteY5" fmla="*/ 1561255 h 5937982"/>
            <a:gd name="connsiteX0" fmla="*/ 0 w 4622067"/>
            <a:gd name="connsiteY0" fmla="*/ 1561255 h 5937982"/>
            <a:gd name="connsiteX1" fmla="*/ 753177 w 4622067"/>
            <a:gd name="connsiteY1" fmla="*/ 1561816 h 5937982"/>
            <a:gd name="connsiteX2" fmla="*/ 4618965 w 4622067"/>
            <a:gd name="connsiteY2" fmla="*/ 0 h 5937982"/>
            <a:gd name="connsiteX3" fmla="*/ 4621198 w 4622067"/>
            <a:gd name="connsiteY3" fmla="*/ 5937982 h 5937982"/>
            <a:gd name="connsiteX4" fmla="*/ 33890 w 4622067"/>
            <a:gd name="connsiteY4" fmla="*/ 5325970 h 5937982"/>
            <a:gd name="connsiteX5" fmla="*/ 0 w 4622067"/>
            <a:gd name="connsiteY5" fmla="*/ 1561255 h 5937982"/>
            <a:gd name="connsiteX0" fmla="*/ 0 w 4657514"/>
            <a:gd name="connsiteY0" fmla="*/ 1545228 h 5937982"/>
            <a:gd name="connsiteX1" fmla="*/ 788624 w 4657514"/>
            <a:gd name="connsiteY1" fmla="*/ 1561816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1545228 h 5937982"/>
            <a:gd name="connsiteX0" fmla="*/ 0 w 4657514"/>
            <a:gd name="connsiteY0" fmla="*/ 2226373 h 5937982"/>
            <a:gd name="connsiteX1" fmla="*/ 788624 w 4657514"/>
            <a:gd name="connsiteY1" fmla="*/ 1561816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226373 h 5937982"/>
            <a:gd name="connsiteX0" fmla="*/ 0 w 4692961"/>
            <a:gd name="connsiteY0" fmla="*/ 2370616 h 5937982"/>
            <a:gd name="connsiteX1" fmla="*/ 824071 w 4692961"/>
            <a:gd name="connsiteY1" fmla="*/ 1561816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824071 w 4692961"/>
            <a:gd name="connsiteY1" fmla="*/ 2162827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965863 w 4692961"/>
            <a:gd name="connsiteY1" fmla="*/ 2258989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894966 w 4692961"/>
            <a:gd name="connsiteY1" fmla="*/ 212276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57514"/>
            <a:gd name="connsiteY0" fmla="*/ 2146239 h 5937982"/>
            <a:gd name="connsiteX1" fmla="*/ 859519 w 4657514"/>
            <a:gd name="connsiteY1" fmla="*/ 2122760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146239 h 5937982"/>
            <a:gd name="connsiteX0" fmla="*/ 0 w 4657514"/>
            <a:gd name="connsiteY0" fmla="*/ 2146239 h 5937982"/>
            <a:gd name="connsiteX1" fmla="*/ 919222 w 4657514"/>
            <a:gd name="connsiteY1" fmla="*/ 1427679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146239 h 5937982"/>
            <a:gd name="connsiteX0" fmla="*/ 0 w 4597811"/>
            <a:gd name="connsiteY0" fmla="*/ 1451158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51158 h 5937982"/>
            <a:gd name="connsiteX0" fmla="*/ 0 w 4597811"/>
            <a:gd name="connsiteY0" fmla="*/ 1451158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51158 h 5937982"/>
            <a:gd name="connsiteX0" fmla="*/ 0 w 4597811"/>
            <a:gd name="connsiteY0" fmla="*/ 1431299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31299 h 5937982"/>
            <a:gd name="connsiteX0" fmla="*/ 0 w 4597811"/>
            <a:gd name="connsiteY0" fmla="*/ 1431299 h 5937982"/>
            <a:gd name="connsiteX1" fmla="*/ 769965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31299 h 5937982"/>
            <a:gd name="connsiteX0" fmla="*/ 0 w 4597811"/>
            <a:gd name="connsiteY0" fmla="*/ 1418060 h 5937982"/>
            <a:gd name="connsiteX1" fmla="*/ 769965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18060 h 5937982"/>
            <a:gd name="connsiteX0" fmla="*/ 0 w 4597811"/>
            <a:gd name="connsiteY0" fmla="*/ 1418060 h 5937982"/>
            <a:gd name="connsiteX1" fmla="*/ 769965 w 4597811"/>
            <a:gd name="connsiteY1" fmla="*/ 1414440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18060 h 59379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597811" h="5937982">
              <a:moveTo>
                <a:pt x="0" y="1418060"/>
              </a:moveTo>
              <a:lnTo>
                <a:pt x="769965" y="1414440"/>
              </a:lnTo>
              <a:lnTo>
                <a:pt x="4594709" y="0"/>
              </a:lnTo>
              <a:cubicBezTo>
                <a:pt x="4590986" y="660211"/>
                <a:pt x="4600665" y="5277771"/>
                <a:pt x="4596942" y="5937982"/>
              </a:cubicBezTo>
              <a:lnTo>
                <a:pt x="9634" y="5325970"/>
              </a:lnTo>
              <a:cubicBezTo>
                <a:pt x="6423" y="4034366"/>
                <a:pt x="3211" y="2709664"/>
                <a:pt x="0" y="1418060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r>
            <a:rPr lang="es-CO" sz="1400" b="1">
              <a:solidFill>
                <a:schemeClr val="tx1"/>
              </a:solidFill>
            </a:rPr>
            <a:t>Broca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16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280540</xdr:colOff>
      <xdr:row>93</xdr:row>
      <xdr:rowOff>73230</xdr:rowOff>
    </xdr:from>
    <xdr:to>
      <xdr:col>5</xdr:col>
      <xdr:colOff>820540</xdr:colOff>
      <xdr:row>96</xdr:row>
      <xdr:rowOff>98749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634851-F66D-4737-9371-BF227E132DA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474172" y="21649862"/>
          <a:ext cx="540000" cy="7173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C3EF5-A065-4AF0-AC00-C30979F0E383}" name="Tabla1" displayName="Tabla1" ref="A15:A20" totalsRowShown="0" headerRowDxfId="9" dataDxfId="7" headerRowBorderDxfId="8" tableBorderDxfId="6" totalsRowBorderDxfId="5" headerRowCellStyle="Normal 3">
  <autoFilter ref="A15:A20" xr:uid="{C84C3EF5-A065-4AF0-AC00-C30979F0E383}"/>
  <tableColumns count="1">
    <tableColumn id="1" xr3:uid="{D34EDEAD-F413-4244-B7DC-0407368DB501}" name="Objetivo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opLeftCell="G39" zoomScaleNormal="100" workbookViewId="0">
      <selection activeCell="Q50" sqref="Q50"/>
    </sheetView>
  </sheetViews>
  <sheetFormatPr baseColWidth="10" defaultColWidth="11.44140625" defaultRowHeight="14.4" x14ac:dyDescent="0.3"/>
  <cols>
    <col min="1" max="1" width="12.6640625" style="1" customWidth="1"/>
    <col min="2" max="2" width="26.88671875" style="1" bestFit="1" customWidth="1"/>
    <col min="3" max="9" width="15.6640625" style="1" customWidth="1"/>
    <col min="10" max="10" width="15.6640625" style="1" hidden="1" customWidth="1"/>
    <col min="11" max="11" width="15.6640625" style="1" customWidth="1"/>
    <col min="12" max="12" width="23.88671875" style="1" bestFit="1" customWidth="1"/>
    <col min="13" max="15" width="15.6640625" style="1" customWidth="1"/>
    <col min="16" max="16" width="18.88671875" style="1" bestFit="1" customWidth="1"/>
    <col min="17" max="22" width="15.6640625" style="1" customWidth="1"/>
    <col min="23" max="16384" width="11.44140625" style="1"/>
  </cols>
  <sheetData>
    <row r="1" spans="1:15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1" t="s">
        <v>72</v>
      </c>
    </row>
    <row r="2" spans="1:15" ht="21" x14ac:dyDescent="0.3">
      <c r="A2" s="36"/>
      <c r="B2" s="237" t="s">
        <v>68</v>
      </c>
      <c r="C2" s="237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5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5" ht="15.6" x14ac:dyDescent="0.3">
      <c r="A4" s="36"/>
      <c r="B4" s="58" t="s">
        <v>32</v>
      </c>
      <c r="C4" s="238">
        <v>45769</v>
      </c>
      <c r="D4" s="238"/>
      <c r="E4" s="238"/>
      <c r="F4" s="36"/>
      <c r="G4" s="36"/>
      <c r="H4" s="36"/>
      <c r="I4" s="36"/>
      <c r="J4" s="36"/>
      <c r="K4" s="36"/>
      <c r="L4" s="36"/>
      <c r="M4" s="36"/>
      <c r="N4" s="36"/>
    </row>
    <row r="5" spans="1:15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5" x14ac:dyDescent="0.3">
      <c r="A6" s="36"/>
      <c r="B6" s="57" t="s">
        <v>31</v>
      </c>
      <c r="C6" s="247" t="s">
        <v>123</v>
      </c>
      <c r="D6" s="247"/>
      <c r="E6" s="214" t="s">
        <v>122</v>
      </c>
      <c r="F6" s="39" t="str">
        <f>CONCATENATE("POZO ",C6," // ",C7)</f>
        <v>POZO Alberta HZ-5 // HORIZONTAL</v>
      </c>
      <c r="G6" s="36"/>
      <c r="H6" s="36"/>
      <c r="I6" s="36"/>
      <c r="J6" s="36"/>
      <c r="K6" s="36"/>
      <c r="L6" s="36"/>
      <c r="M6" s="36"/>
      <c r="N6" s="36"/>
    </row>
    <row r="7" spans="1:15" x14ac:dyDescent="0.3">
      <c r="A7" s="36"/>
      <c r="B7" s="57" t="s">
        <v>43</v>
      </c>
      <c r="C7" s="246" t="s">
        <v>73</v>
      </c>
      <c r="D7" s="246"/>
      <c r="E7" s="199"/>
      <c r="G7" s="36"/>
      <c r="H7" s="36"/>
      <c r="I7" s="36"/>
      <c r="J7" s="36"/>
      <c r="K7" s="36"/>
      <c r="L7" s="36"/>
      <c r="M7" s="36"/>
      <c r="N7" s="36"/>
    </row>
    <row r="8" spans="1:15" x14ac:dyDescent="0.3">
      <c r="A8" s="31"/>
      <c r="B8" s="59" t="s">
        <v>44</v>
      </c>
      <c r="C8" s="60">
        <v>526</v>
      </c>
      <c r="D8" s="33" t="s">
        <v>33</v>
      </c>
      <c r="F8" s="31"/>
      <c r="G8" s="31" t="s">
        <v>24</v>
      </c>
      <c r="H8" s="31"/>
      <c r="I8" s="31"/>
      <c r="J8" s="31"/>
      <c r="K8" s="31"/>
      <c r="L8" s="31"/>
      <c r="M8" s="31"/>
      <c r="N8" s="31"/>
    </row>
    <row r="9" spans="1:15" x14ac:dyDescent="0.3">
      <c r="A9" s="31"/>
      <c r="B9" s="59" t="s">
        <v>45</v>
      </c>
      <c r="C9" s="184">
        <v>29</v>
      </c>
      <c r="D9" s="33" t="s">
        <v>33</v>
      </c>
      <c r="F9" s="31"/>
      <c r="G9" s="31"/>
      <c r="H9" s="31"/>
      <c r="I9" s="31"/>
      <c r="J9" s="31"/>
      <c r="K9" s="31"/>
      <c r="L9" s="31"/>
      <c r="M9" s="31"/>
      <c r="N9" s="31"/>
    </row>
    <row r="10" spans="1:15" x14ac:dyDescent="0.3">
      <c r="A10" s="31"/>
      <c r="B10" s="59" t="s">
        <v>46</v>
      </c>
      <c r="C10" s="185">
        <f>+C9+C8</f>
        <v>555</v>
      </c>
      <c r="D10" s="33" t="s">
        <v>33</v>
      </c>
      <c r="F10" s="31"/>
      <c r="G10" s="31"/>
      <c r="H10" s="31"/>
      <c r="I10" s="31"/>
      <c r="J10" s="31"/>
      <c r="K10" s="31"/>
      <c r="L10" s="31"/>
      <c r="M10" s="31"/>
      <c r="N10" s="31"/>
    </row>
    <row r="11" spans="1:15" x14ac:dyDescent="0.3">
      <c r="A11" s="31"/>
      <c r="B11" s="31"/>
      <c r="C11" s="31"/>
      <c r="D11" s="31"/>
      <c r="E11" s="36"/>
      <c r="F11" s="31"/>
      <c r="G11" s="32"/>
      <c r="H11" s="31"/>
      <c r="I11" s="31"/>
      <c r="J11" s="31"/>
      <c r="K11" s="31"/>
      <c r="L11" s="31"/>
      <c r="M11" s="31"/>
      <c r="N11" s="31"/>
    </row>
    <row r="12" spans="1:15" x14ac:dyDescent="0.3">
      <c r="A12" s="31"/>
      <c r="B12" s="31"/>
      <c r="C12" s="31"/>
      <c r="D12" s="31"/>
      <c r="E12" s="36"/>
      <c r="F12" s="31"/>
      <c r="G12" s="32"/>
      <c r="H12" s="31"/>
      <c r="I12" s="31"/>
      <c r="J12" s="31"/>
      <c r="K12" s="31"/>
      <c r="L12" s="31"/>
      <c r="M12" s="31"/>
      <c r="N12" s="31"/>
    </row>
    <row r="13" spans="1:15" ht="17.399999999999999" x14ac:dyDescent="0.3">
      <c r="A13" s="46" t="s">
        <v>56</v>
      </c>
      <c r="C13" s="31"/>
      <c r="D13" s="31"/>
      <c r="E13" s="31"/>
      <c r="F13" s="31"/>
      <c r="G13" s="32"/>
      <c r="H13" s="31"/>
      <c r="I13" s="31"/>
      <c r="J13" s="31"/>
      <c r="K13" s="31"/>
      <c r="L13" s="31"/>
      <c r="M13" s="31"/>
      <c r="N13" s="31"/>
    </row>
    <row r="14" spans="1:15" x14ac:dyDescent="0.3">
      <c r="A14" s="31"/>
      <c r="B14" s="31"/>
      <c r="C14" s="31"/>
      <c r="D14" s="31"/>
      <c r="E14" s="31"/>
      <c r="F14" s="31"/>
      <c r="G14" s="32"/>
      <c r="H14" s="31"/>
      <c r="I14" s="31"/>
      <c r="J14" s="31"/>
      <c r="K14" s="31"/>
      <c r="L14" s="31"/>
      <c r="M14" s="31"/>
      <c r="N14" s="31"/>
    </row>
    <row r="15" spans="1:15" x14ac:dyDescent="0.3">
      <c r="A15" s="182" t="s">
        <v>61</v>
      </c>
      <c r="B15" s="61" t="s">
        <v>21</v>
      </c>
      <c r="C15" s="54" t="s">
        <v>22</v>
      </c>
      <c r="D15" s="31"/>
      <c r="E15" s="31"/>
      <c r="F15" s="31"/>
      <c r="G15" s="32"/>
      <c r="H15" s="31"/>
      <c r="I15" s="31"/>
      <c r="J15" s="31"/>
    </row>
    <row r="16" spans="1:15" x14ac:dyDescent="0.3">
      <c r="A16" s="181" t="s">
        <v>62</v>
      </c>
      <c r="B16" s="62" t="s">
        <v>20</v>
      </c>
      <c r="C16" s="56" t="str">
        <f>IFERROR(VLOOKUP(A16,$A$27:$I$41,2,FALSE),"")</f>
        <v>Fm. Ubaque</v>
      </c>
      <c r="D16" s="31"/>
      <c r="E16" s="31"/>
      <c r="F16" s="31"/>
      <c r="G16" s="32"/>
      <c r="H16" s="31"/>
      <c r="I16" s="31"/>
      <c r="J16" s="31"/>
    </row>
    <row r="17" spans="1:10" x14ac:dyDescent="0.3">
      <c r="A17" s="181" t="s">
        <v>63</v>
      </c>
      <c r="B17" s="62" t="s">
        <v>57</v>
      </c>
      <c r="C17" s="56" t="str">
        <f>IFERROR(VLOOKUP(A17,$A$27:$I$41,2,FALSE),"")</f>
        <v>Fm. Carbonera C7</v>
      </c>
      <c r="D17" s="31"/>
      <c r="E17" s="31"/>
      <c r="F17" s="31"/>
      <c r="G17" s="32"/>
      <c r="H17" s="31"/>
      <c r="I17" s="31"/>
      <c r="J17" s="31"/>
    </row>
    <row r="18" spans="1:10" x14ac:dyDescent="0.3">
      <c r="A18" s="181" t="s">
        <v>64</v>
      </c>
      <c r="B18" s="62" t="s">
        <v>58</v>
      </c>
      <c r="C18" s="56" t="str">
        <f>IFERROR(VLOOKUP(A18,$A$27:$I$41,2,FALSE),"")</f>
        <v>Fm. Guadalupe</v>
      </c>
      <c r="D18" s="31"/>
      <c r="E18" s="31"/>
      <c r="F18" s="31"/>
      <c r="G18" s="32"/>
      <c r="H18" s="31"/>
      <c r="I18" s="31"/>
      <c r="J18" s="31"/>
    </row>
    <row r="19" spans="1:10" x14ac:dyDescent="0.3">
      <c r="A19" s="181" t="s">
        <v>65</v>
      </c>
      <c r="B19" s="62" t="s">
        <v>59</v>
      </c>
      <c r="C19" s="56" t="str">
        <f>IFERROR(VLOOKUP(A19,$A$27:$I$41,2,FALSE),"")</f>
        <v>Fm. Gacheta</v>
      </c>
      <c r="D19" s="31"/>
      <c r="E19" s="31"/>
      <c r="F19" s="31"/>
      <c r="G19" s="32"/>
      <c r="H19" s="31"/>
      <c r="I19" s="31"/>
      <c r="J19" s="31"/>
    </row>
    <row r="20" spans="1:10" x14ac:dyDescent="0.3">
      <c r="A20" s="181" t="s">
        <v>66</v>
      </c>
      <c r="B20" s="62" t="s">
        <v>60</v>
      </c>
      <c r="C20" s="56" t="str">
        <f>IFERROR(VLOOKUP(A20,$A$27:$I$41,2,FALSE),"")</f>
        <v/>
      </c>
      <c r="D20" s="31"/>
      <c r="E20" s="31"/>
      <c r="F20" s="31"/>
      <c r="G20" s="32"/>
      <c r="H20" s="31"/>
      <c r="I20" s="31"/>
      <c r="J20" s="31"/>
    </row>
    <row r="21" spans="1:10" x14ac:dyDescent="0.3">
      <c r="A21" s="9"/>
      <c r="B21" s="55" t="str">
        <f>+B40</f>
        <v>TD</v>
      </c>
      <c r="C21" s="9"/>
      <c r="D21" s="31"/>
      <c r="E21" s="31"/>
      <c r="F21" s="31"/>
      <c r="G21" s="32"/>
      <c r="H21" s="31"/>
      <c r="I21" s="31"/>
      <c r="J21" s="31"/>
    </row>
    <row r="22" spans="1:10" x14ac:dyDescent="0.3">
      <c r="A22" s="53"/>
      <c r="C22" s="31"/>
      <c r="D22" s="31"/>
      <c r="E22" s="31"/>
      <c r="F22" s="31"/>
      <c r="G22" s="32"/>
      <c r="H22" s="31"/>
      <c r="I22" s="31"/>
      <c r="J22" s="31"/>
    </row>
    <row r="23" spans="1:10" x14ac:dyDescent="0.3">
      <c r="B23" s="35"/>
      <c r="C23" s="35"/>
      <c r="D23" s="31"/>
      <c r="E23" s="31"/>
      <c r="F23" s="31"/>
      <c r="G23" s="32"/>
      <c r="H23" s="31"/>
      <c r="I23" s="31"/>
      <c r="J23" s="31"/>
    </row>
    <row r="24" spans="1:10" ht="25.5" customHeight="1" x14ac:dyDescent="0.3">
      <c r="A24" s="240" t="s">
        <v>61</v>
      </c>
      <c r="B24" s="37" t="s">
        <v>23</v>
      </c>
      <c r="C24" s="42" t="s">
        <v>42</v>
      </c>
      <c r="D24" s="31"/>
      <c r="E24" s="31"/>
      <c r="F24" s="31"/>
      <c r="G24" s="32"/>
      <c r="H24" s="31"/>
      <c r="I24" s="31"/>
      <c r="J24" s="31"/>
    </row>
    <row r="25" spans="1:10" x14ac:dyDescent="0.3">
      <c r="A25" s="241"/>
      <c r="B25" s="92" t="s">
        <v>91</v>
      </c>
      <c r="C25" s="105"/>
      <c r="D25" s="31"/>
      <c r="E25" s="31"/>
      <c r="F25" s="31"/>
      <c r="G25" s="32"/>
      <c r="H25" s="31"/>
      <c r="I25" s="31"/>
      <c r="J25" s="31"/>
    </row>
    <row r="26" spans="1:10" ht="15" thickBot="1" x14ac:dyDescent="0.35">
      <c r="A26" s="242"/>
      <c r="B26" s="92" t="s">
        <v>90</v>
      </c>
      <c r="C26" s="106">
        <v>0</v>
      </c>
      <c r="D26" s="31"/>
      <c r="E26" s="31"/>
      <c r="F26" s="31"/>
      <c r="G26" s="32"/>
      <c r="H26" s="31"/>
      <c r="I26" s="31"/>
      <c r="J26" s="31"/>
    </row>
    <row r="27" spans="1:10" x14ac:dyDescent="0.3">
      <c r="A27" s="183"/>
      <c r="B27" s="149" t="s">
        <v>25</v>
      </c>
      <c r="C27" s="147">
        <v>29</v>
      </c>
      <c r="D27" s="31"/>
      <c r="E27" s="31"/>
      <c r="F27" s="31"/>
      <c r="G27" s="32"/>
      <c r="H27" s="31"/>
      <c r="I27" s="31"/>
      <c r="J27" s="31"/>
    </row>
    <row r="28" spans="1:10" ht="15" customHeight="1" x14ac:dyDescent="0.3">
      <c r="A28" s="183"/>
      <c r="B28" s="149" t="s">
        <v>26</v>
      </c>
      <c r="C28" s="148">
        <v>6310</v>
      </c>
      <c r="D28" s="31"/>
      <c r="E28" s="31"/>
      <c r="F28" s="31"/>
      <c r="G28" s="32"/>
      <c r="H28" s="31"/>
      <c r="I28" s="31"/>
      <c r="J28" s="31"/>
    </row>
    <row r="29" spans="1:10" ht="15" customHeight="1" x14ac:dyDescent="0.3">
      <c r="A29" s="183"/>
      <c r="B29" s="93" t="s">
        <v>34</v>
      </c>
      <c r="C29" s="154">
        <v>7381</v>
      </c>
      <c r="D29" s="31"/>
      <c r="E29" s="31"/>
      <c r="F29" s="31"/>
      <c r="G29" s="32"/>
      <c r="H29" s="31"/>
      <c r="I29" s="31"/>
      <c r="J29" s="31"/>
    </row>
    <row r="30" spans="1:10" ht="15" customHeight="1" x14ac:dyDescent="0.3">
      <c r="A30" s="183"/>
      <c r="B30" s="93" t="s">
        <v>35</v>
      </c>
      <c r="C30" s="154">
        <v>7875</v>
      </c>
      <c r="D30" s="31"/>
      <c r="E30" s="31"/>
      <c r="F30" s="31"/>
      <c r="G30" s="32"/>
      <c r="H30" s="31"/>
      <c r="I30" s="31"/>
      <c r="J30" s="31"/>
    </row>
    <row r="31" spans="1:10" ht="15" customHeight="1" x14ac:dyDescent="0.3">
      <c r="A31" s="183"/>
      <c r="B31" s="93" t="s">
        <v>36</v>
      </c>
      <c r="C31" s="154">
        <v>7910</v>
      </c>
      <c r="D31" s="31"/>
      <c r="E31" s="31"/>
      <c r="F31" s="31"/>
      <c r="G31" s="32"/>
      <c r="H31" s="31"/>
      <c r="I31" s="31"/>
      <c r="J31" s="31"/>
    </row>
    <row r="32" spans="1:10" ht="15" customHeight="1" x14ac:dyDescent="0.3">
      <c r="A32" s="183"/>
      <c r="B32" s="93" t="s">
        <v>37</v>
      </c>
      <c r="C32" s="154">
        <v>8010</v>
      </c>
      <c r="D32" s="31"/>
      <c r="E32" s="31"/>
      <c r="F32" s="31"/>
      <c r="G32" s="32"/>
      <c r="H32" s="31"/>
      <c r="I32" s="31"/>
      <c r="J32" s="31"/>
    </row>
    <row r="33" spans="1:18" ht="15" customHeight="1" x14ac:dyDescent="0.3">
      <c r="A33" s="183"/>
      <c r="B33" s="93" t="s">
        <v>41</v>
      </c>
      <c r="C33" s="154">
        <v>8077</v>
      </c>
      <c r="D33" s="31"/>
      <c r="E33" s="31"/>
      <c r="F33" s="31"/>
      <c r="G33" s="32"/>
      <c r="H33" s="31"/>
      <c r="I33" s="31"/>
      <c r="J33" s="31"/>
    </row>
    <row r="34" spans="1:18" ht="15" customHeight="1" x14ac:dyDescent="0.3">
      <c r="A34" s="183"/>
      <c r="B34" s="93" t="s">
        <v>38</v>
      </c>
      <c r="C34" s="154">
        <v>8295</v>
      </c>
      <c r="D34" s="31"/>
      <c r="E34" s="31"/>
      <c r="F34" s="31"/>
      <c r="G34" s="32"/>
      <c r="H34" s="31"/>
      <c r="I34" s="31"/>
      <c r="J34" s="31"/>
    </row>
    <row r="35" spans="1:18" ht="15" customHeight="1" x14ac:dyDescent="0.3">
      <c r="A35" s="183" t="s">
        <v>63</v>
      </c>
      <c r="B35" s="95" t="s">
        <v>39</v>
      </c>
      <c r="C35" s="154">
        <v>8459</v>
      </c>
      <c r="D35" s="31"/>
      <c r="E35" s="31"/>
      <c r="F35" s="31"/>
      <c r="G35" s="32"/>
      <c r="H35" s="31"/>
      <c r="I35" s="31"/>
      <c r="J35" s="31"/>
    </row>
    <row r="36" spans="1:18" ht="15" customHeight="1" x14ac:dyDescent="0.3">
      <c r="A36" s="183"/>
      <c r="B36" s="93" t="s">
        <v>40</v>
      </c>
      <c r="C36" s="154">
        <v>8725</v>
      </c>
      <c r="D36" s="31"/>
      <c r="E36" s="31"/>
      <c r="F36" s="31"/>
      <c r="G36" s="32"/>
      <c r="H36" s="31"/>
      <c r="I36" s="31"/>
      <c r="J36" s="31"/>
    </row>
    <row r="37" spans="1:18" ht="15" customHeight="1" x14ac:dyDescent="0.3">
      <c r="A37" s="183" t="s">
        <v>64</v>
      </c>
      <c r="B37" s="95" t="s">
        <v>27</v>
      </c>
      <c r="C37" s="154">
        <v>8779</v>
      </c>
      <c r="D37" s="31"/>
      <c r="E37" s="31"/>
      <c r="F37" s="31"/>
      <c r="G37" s="32"/>
      <c r="H37" s="31"/>
      <c r="I37" s="31"/>
      <c r="J37" s="31"/>
    </row>
    <row r="38" spans="1:18" x14ac:dyDescent="0.3">
      <c r="A38" s="183" t="s">
        <v>65</v>
      </c>
      <c r="B38" s="95" t="s">
        <v>28</v>
      </c>
      <c r="C38" s="154">
        <v>9208</v>
      </c>
      <c r="D38" s="31"/>
      <c r="E38" s="31"/>
      <c r="F38" s="31"/>
      <c r="G38" s="32"/>
      <c r="H38" s="31"/>
      <c r="I38" s="31"/>
      <c r="J38" s="31"/>
    </row>
    <row r="39" spans="1:18" x14ac:dyDescent="0.3">
      <c r="A39" s="183" t="s">
        <v>62</v>
      </c>
      <c r="B39" s="95" t="s">
        <v>29</v>
      </c>
      <c r="C39" s="224">
        <v>10152</v>
      </c>
      <c r="D39" s="31"/>
      <c r="E39" s="31"/>
      <c r="F39" s="31"/>
      <c r="G39" s="32"/>
      <c r="H39" s="31"/>
      <c r="I39" s="31"/>
      <c r="J39" s="31"/>
    </row>
    <row r="40" spans="1:18" x14ac:dyDescent="0.3">
      <c r="A40" s="183"/>
      <c r="B40" s="96" t="s">
        <v>4</v>
      </c>
      <c r="C40" s="154">
        <v>13174</v>
      </c>
      <c r="D40" s="31"/>
      <c r="E40" s="31"/>
      <c r="F40" s="31"/>
      <c r="G40" s="32"/>
      <c r="H40" s="31"/>
      <c r="I40" s="31"/>
      <c r="J40" s="31"/>
    </row>
    <row r="41" spans="1:18" x14ac:dyDescent="0.3">
      <c r="A41" s="183"/>
      <c r="B41" s="94"/>
      <c r="C41" s="146"/>
      <c r="D41" s="31"/>
      <c r="E41" s="31"/>
      <c r="F41" s="31"/>
      <c r="G41" s="32"/>
      <c r="H41" s="31"/>
      <c r="I41" s="31"/>
      <c r="J41" s="31"/>
    </row>
    <row r="42" spans="1:18" x14ac:dyDescent="0.3">
      <c r="A42" s="38"/>
      <c r="B42" s="38"/>
      <c r="C42" s="38"/>
      <c r="D42" s="31"/>
      <c r="E42" s="31"/>
      <c r="F42" s="31"/>
      <c r="G42" s="32"/>
      <c r="H42" s="31"/>
      <c r="I42" s="31"/>
      <c r="J42" s="31"/>
    </row>
    <row r="43" spans="1:18" x14ac:dyDescent="0.3">
      <c r="A43" s="36"/>
      <c r="C43" s="36"/>
      <c r="D43" s="36"/>
      <c r="E43" s="31"/>
      <c r="F43" s="31"/>
      <c r="G43" s="32"/>
      <c r="H43" s="31"/>
      <c r="I43" s="31"/>
      <c r="J43" s="31"/>
    </row>
    <row r="44" spans="1:18" x14ac:dyDescent="0.3">
      <c r="A44" s="31"/>
      <c r="B44" s="31"/>
      <c r="C44" s="31"/>
      <c r="D44" s="31"/>
      <c r="E44" s="31"/>
      <c r="F44" s="31"/>
      <c r="G44" s="31"/>
    </row>
    <row r="45" spans="1:18" ht="17.399999999999999" x14ac:dyDescent="0.3">
      <c r="B45" s="46" t="s">
        <v>67</v>
      </c>
    </row>
    <row r="46" spans="1:18" ht="17.399999999999999" x14ac:dyDescent="0.3">
      <c r="B46" s="46"/>
    </row>
    <row r="47" spans="1:18" x14ac:dyDescent="0.3">
      <c r="B47" s="73">
        <v>1</v>
      </c>
      <c r="C47" s="73">
        <f>1+B47</f>
        <v>2</v>
      </c>
      <c r="D47" s="73">
        <f t="shared" ref="D47:E47" si="0">1+C47</f>
        <v>3</v>
      </c>
      <c r="E47" s="73">
        <f t="shared" si="0"/>
        <v>4</v>
      </c>
      <c r="F47" s="73">
        <f t="shared" ref="F47:G47" si="1">1+E47</f>
        <v>5</v>
      </c>
      <c r="G47" s="73">
        <f t="shared" si="1"/>
        <v>6</v>
      </c>
      <c r="H47" s="73">
        <f t="shared" ref="H47" si="2">1+G47</f>
        <v>7</v>
      </c>
      <c r="I47" s="186">
        <f>1+H47</f>
        <v>8</v>
      </c>
      <c r="J47" s="73">
        <f t="shared" ref="J47:R47" si="3">1+I47</f>
        <v>9</v>
      </c>
      <c r="K47" s="186">
        <f>1+J47</f>
        <v>10</v>
      </c>
      <c r="L47" s="73">
        <f t="shared" si="3"/>
        <v>11</v>
      </c>
      <c r="M47" s="73">
        <f t="shared" si="3"/>
        <v>12</v>
      </c>
      <c r="N47" s="73">
        <f t="shared" si="3"/>
        <v>13</v>
      </c>
      <c r="O47" s="73">
        <f t="shared" si="3"/>
        <v>14</v>
      </c>
      <c r="P47" s="73">
        <f t="shared" si="3"/>
        <v>15</v>
      </c>
      <c r="Q47" s="73">
        <f t="shared" si="3"/>
        <v>16</v>
      </c>
      <c r="R47" s="73">
        <f t="shared" si="3"/>
        <v>17</v>
      </c>
    </row>
    <row r="48" spans="1:18" x14ac:dyDescent="0.3">
      <c r="C48" s="243" t="s">
        <v>71</v>
      </c>
      <c r="D48" s="244"/>
      <c r="E48" s="244"/>
      <c r="F48" s="245"/>
      <c r="G48" s="239"/>
      <c r="H48" s="239"/>
      <c r="I48" s="239"/>
      <c r="J48" s="239"/>
      <c r="K48" s="87" t="s">
        <v>79</v>
      </c>
      <c r="L48" s="191"/>
      <c r="M48" s="87"/>
      <c r="N48" s="87"/>
      <c r="O48" s="192"/>
      <c r="P48" s="10"/>
      <c r="Q48" s="193"/>
      <c r="R48" s="87"/>
    </row>
    <row r="49" spans="2:18" ht="36" x14ac:dyDescent="0.3">
      <c r="B49" s="52" t="s">
        <v>55</v>
      </c>
      <c r="C49" s="72" t="s">
        <v>70</v>
      </c>
      <c r="D49" s="72" t="s">
        <v>76</v>
      </c>
      <c r="E49" s="72" t="s">
        <v>75</v>
      </c>
      <c r="F49" s="72" t="s">
        <v>74</v>
      </c>
      <c r="G49" s="72" t="s">
        <v>93</v>
      </c>
      <c r="H49" s="72" t="s">
        <v>77</v>
      </c>
      <c r="I49" s="72" t="s">
        <v>54</v>
      </c>
      <c r="J49" s="72" t="s">
        <v>84</v>
      </c>
      <c r="K49" s="84" t="s">
        <v>88</v>
      </c>
      <c r="L49" s="85" t="s">
        <v>86</v>
      </c>
      <c r="M49" s="84" t="s">
        <v>80</v>
      </c>
      <c r="N49" s="84" t="s">
        <v>83</v>
      </c>
      <c r="O49" s="88" t="s">
        <v>89</v>
      </c>
      <c r="P49" s="194" t="s">
        <v>87</v>
      </c>
      <c r="Q49" s="88" t="s">
        <v>81</v>
      </c>
      <c r="R49" s="88" t="s">
        <v>92</v>
      </c>
    </row>
    <row r="50" spans="2:18" x14ac:dyDescent="0.3">
      <c r="B50" s="89" t="s">
        <v>90</v>
      </c>
      <c r="C50" s="102">
        <v>0</v>
      </c>
      <c r="D50" s="102">
        <v>0</v>
      </c>
      <c r="E50" s="102">
        <v>0</v>
      </c>
      <c r="F50" s="102">
        <v>0</v>
      </c>
      <c r="G50" s="102">
        <f>+G59+5</f>
        <v>205</v>
      </c>
      <c r="H50" s="102">
        <v>0</v>
      </c>
      <c r="I50" s="102">
        <v>0</v>
      </c>
      <c r="J50" s="102">
        <v>0</v>
      </c>
      <c r="K50" s="102">
        <v>0</v>
      </c>
      <c r="L50" s="103">
        <v>0</v>
      </c>
      <c r="M50" s="102">
        <v>0</v>
      </c>
      <c r="N50" s="102">
        <v>0</v>
      </c>
      <c r="O50" s="102">
        <v>0</v>
      </c>
      <c r="P50" s="103">
        <v>0</v>
      </c>
      <c r="Q50" s="102">
        <v>0</v>
      </c>
      <c r="R50" s="102">
        <v>0</v>
      </c>
    </row>
    <row r="51" spans="2:18" x14ac:dyDescent="0.3">
      <c r="B51" s="67" t="s">
        <v>78</v>
      </c>
      <c r="C51" s="69"/>
      <c r="D51" s="108"/>
      <c r="E51" s="110" t="str">
        <f>IF(D51&gt;0,D51,"")</f>
        <v/>
      </c>
      <c r="F51" s="70" t="str">
        <f>+IF($D51&gt;0,($C51^2)/1029.4,"")</f>
        <v/>
      </c>
      <c r="G51" s="101"/>
      <c r="H51" s="80" t="str">
        <f t="shared" ref="H51:H57" si="4">IF($D51&gt;0,$D51-5,"")</f>
        <v/>
      </c>
      <c r="I51" s="104" t="str">
        <f>IF(D51&gt;0,IF($H50&gt;$G$59,IF($G51=#REF!,$H50-$G$59,"0"),"0"),"")</f>
        <v/>
      </c>
      <c r="J51" s="99" t="str">
        <f t="shared" ref="J51:J58" si="5">IF(D51&gt;0,H51-I51,"")</f>
        <v/>
      </c>
      <c r="K51" s="107">
        <f>IF(D51&gt;0,D51,$D$50)</f>
        <v>0</v>
      </c>
      <c r="L51" s="86" t="s">
        <v>90</v>
      </c>
      <c r="M51" s="97" t="str">
        <f>IF($L51&gt;0,IF($D51&gt;0,IF($L51=$B$25,(IF($K51&lt;3000,IF($K51&lt;2000,IF($K51&lt;1500,IF($K51&lt;1000,"",$K51/2),$K51-800),$K51-1000),$K51-1200)),(IF(($D51-$D50)&gt;$D51-IFERROR(VLOOKUP($L51,Formaciones!$A$4:$B$20,2,FALSE),""),IF(IFERROR(VLOOKUP($L51,Formaciones!$A$4:$B$20,2,FALSE),"")&lt;K51,IFERROR(VLOOKUP($L51,Formaciones!$A$4:$B$20,2,FALSE),""),$K51),(IF($K50&lt;=$G$59+5,"0",$D50-($G$59+5)))))),""),"")</f>
        <v/>
      </c>
      <c r="N51" s="97" t="str">
        <f>IF($L51&gt;0,IF($L51&gt;0,IF($K51&gt;0,$K51-$M51,""),""),"")</f>
        <v/>
      </c>
      <c r="O51" s="107" t="str">
        <f>IF(M51&gt;0,M51,"0")</f>
        <v/>
      </c>
      <c r="P51" s="86" t="s">
        <v>90</v>
      </c>
      <c r="Q51" s="97" t="str">
        <f>IF($P51&gt;0,IF($D51&gt;0,IF($P51=$B$25,(IF($O51&lt;3000,IF($O51&lt;2000,IF($O51&lt;1500,IF($O51&lt;1000,"",$O51/2),$O51-800),$O51-1000),$O51-1200)),(IF(($D51-$D50)&gt;$D51-IFERROR(VLOOKUP($P51,Formaciones!$A$4:$B$20,2,FALSE),""),IF(IFERROR(VLOOKUP($P51,Formaciones!$A$4:$B$20,2,FALSE),"")&lt;O51,IFERROR(VLOOKUP($P51,Formaciones!$A$4:$B$20,2,FALSE),""),$O51),(IF($O50&lt;=0,"0",$D50-($G$59+5)))))),""),"")</f>
        <v/>
      </c>
      <c r="R51" s="97" t="str">
        <f t="shared" ref="R51:R58" si="6">IF($P51&gt;0,IF($D51&gt;0,IF($O51&gt;0,$O51-$Q51,""),""),"")</f>
        <v/>
      </c>
    </row>
    <row r="52" spans="2:18" x14ac:dyDescent="0.3">
      <c r="B52" s="68" t="s">
        <v>47</v>
      </c>
      <c r="C52" s="69">
        <v>12.25</v>
      </c>
      <c r="D52" s="78">
        <v>1200</v>
      </c>
      <c r="E52" s="79">
        <f>IF($D52&gt;0,$D52-$D51,"")</f>
        <v>1200</v>
      </c>
      <c r="F52" s="70">
        <f t="shared" ref="F52:F58" si="7">+IF($D52&gt;0,($C52^2)/1029.4,"")</f>
        <v>0.14577666601904021</v>
      </c>
      <c r="G52" s="101" t="s">
        <v>17</v>
      </c>
      <c r="H52" s="80">
        <f t="shared" si="4"/>
        <v>1195</v>
      </c>
      <c r="I52" s="104" t="str">
        <f>IF(D52&gt;0,IF($H51&gt;$G$59,IF($G52="LINER",$H51-$G$59,"0"),"0"),"")</f>
        <v>0</v>
      </c>
      <c r="J52" s="99">
        <f t="shared" si="5"/>
        <v>1195</v>
      </c>
      <c r="K52" s="77">
        <f t="shared" ref="K52:K58" si="8">IF(D52&gt;0,D52,"")</f>
        <v>1200</v>
      </c>
      <c r="L52" s="86" t="s">
        <v>91</v>
      </c>
      <c r="M52" s="109">
        <f>IF($L52&gt;0,IF($D52&gt;0,IF($L52=$B$26,"0",IF($L52=$B$25,(IF($K52&lt;3000,IF($K52&lt;2000,IF($K52&lt;1500,IF($K52&lt;1000,"",$K52/2),$K52-800),$K52-1000),$K52-1200)),(IF(($D52-$D51)&gt;$D52-IFERROR(VLOOKUP($L52,Formaciones!$A$4:$B$20,2,FALSE),""),IF(IFERROR(VLOOKUP($L52,Formaciones!$A$4:$B$20,2,FALSE),"")&lt;K52,IFERROR(VLOOKUP($L52,Formaciones!$A$4:$B$20,2,FALSE)-$G$59,""),$K52),(IF($K51&lt;=$G$59+5,"0",$D51-($G$59))))))),""),"")+200</f>
        <v>800</v>
      </c>
      <c r="N52" s="97">
        <f t="shared" ref="N52:N58" si="9">IF($L52&gt;0,IF($D52&gt;0,IF($K52&gt;0,$K52-$M52,""),""),"")</f>
        <v>400</v>
      </c>
      <c r="O52" s="97">
        <f>IF(M52&gt;0,M52,"0")</f>
        <v>800</v>
      </c>
      <c r="P52" s="86" t="s">
        <v>90</v>
      </c>
      <c r="Q52" s="109" t="str">
        <f>IF($P52&gt;0,IF($D52&gt;0,IF($P52=$B$26,"0",IF($P52=$B$25,(IF($O52&lt;3000,IF($O52&lt;2000,IF($O52&lt;1500,IF($O52&lt;1000,"",$O52/2),$O52-800),$O52-1000),$O52-1200)),(IF(($D52-$D51)&gt;$D52-IFERROR(VLOOKUP($P52,Formaciones!$A$4:$B$20,2,FALSE),""),IF(IFERROR(VLOOKUP($P52,Formaciones!$A$4:$B$20,2,FALSE),"")&lt;O52,IFERROR(VLOOKUP($P52,Formaciones!$A$4:$B$20,2,FALSE)-$G$59,""),$O52),(IF($O51&lt;=$G$59+5,"0",$D51-($G$59+5))))))),""),"")</f>
        <v>0</v>
      </c>
      <c r="R52" s="97">
        <f t="shared" si="6"/>
        <v>800</v>
      </c>
    </row>
    <row r="53" spans="2:18" x14ac:dyDescent="0.3">
      <c r="B53" s="68" t="s">
        <v>48</v>
      </c>
      <c r="C53" s="69">
        <v>8.75</v>
      </c>
      <c r="D53" s="223">
        <v>10504</v>
      </c>
      <c r="E53" s="79">
        <f t="shared" ref="E53:E58" si="10">IF($D53&gt;0,$D53-$D52,"")</f>
        <v>9304</v>
      </c>
      <c r="F53" s="70">
        <f t="shared" si="7"/>
        <v>7.4375850009714389E-2</v>
      </c>
      <c r="G53" s="101" t="s">
        <v>17</v>
      </c>
      <c r="H53" s="80">
        <f t="shared" si="4"/>
        <v>10499</v>
      </c>
      <c r="I53" s="104" t="str">
        <f>IF(D53&gt;0,IF($H52&gt;$G$59,IF($G53="Liner",$H52-$G$59,"0"),"0"),"")</f>
        <v>0</v>
      </c>
      <c r="J53" s="99">
        <f t="shared" si="5"/>
        <v>10499</v>
      </c>
      <c r="K53" s="77">
        <f t="shared" si="8"/>
        <v>10504</v>
      </c>
      <c r="L53" s="86" t="s">
        <v>39</v>
      </c>
      <c r="M53" s="109">
        <f>IF($L53&gt;0,IF($D53&gt;0,IF($L53=$B$26,"0",IF($L53=$B$25,(IF($K53&lt;3000,IF($K53&lt;2000,IF($K53&lt;1500,IF($K53&lt;1000,"",$K53/2),$K53-800),$K53-1000),$K53-1200)),(IF(($D53-$D52)&gt;$D53-IFERROR(VLOOKUP($L53,Formaciones!$A$4:$B$20,2,FALSE),""),IF(IFERROR(VLOOKUP($L53,Formaciones!$A$4:$B$20,2,FALSE),"")&lt;K53,IFERROR(VLOOKUP($L53,Formaciones!$A$4:$B$20,2,FALSE)-$G$59,""),$K53),(IF($K52&lt;=$G$59+5,"0",$D52-($G$59))))))),""),"")-55</f>
        <v>8204</v>
      </c>
      <c r="N53" s="97">
        <f t="shared" si="9"/>
        <v>2300</v>
      </c>
      <c r="O53" s="97">
        <f t="shared" ref="O53:O58" si="11">IF(M53&gt;0,M53,"0")</f>
        <v>8204</v>
      </c>
      <c r="P53" s="86" t="s">
        <v>34</v>
      </c>
      <c r="Q53" s="109">
        <f>IF($P53&gt;0,IF($D53&gt;0,IF($P53=$B$26,"0",IF($P53=$B$25,(IF($O53&lt;3000,IF($O53&lt;2000,IF($O53&lt;1500,IF($O53&lt;1000,"",$O53/2),$O53-800),$O53-1000),$O53-1200)),(IF(($D53-$D52)&gt;$D53-IFERROR(VLOOKUP($P53,Formaciones!$A$4:$B$20,2,FALSE),""),IF(IFERROR(VLOOKUP($P53,Formaciones!$A$4:$B$20,2,FALSE),"")&lt;O53,IFERROR(VLOOKUP($P53,Formaciones!$A$4:$B$20,2,FALSE)-$G$59,""),$O53),(IF($O52&lt;=$G$59+5,"0",$D52-($G$59+5))))))),""),"")-177</f>
        <v>7004</v>
      </c>
      <c r="R53" s="97">
        <f t="shared" si="6"/>
        <v>1200</v>
      </c>
    </row>
    <row r="54" spans="2:18" x14ac:dyDescent="0.3">
      <c r="B54" s="68" t="s">
        <v>49</v>
      </c>
      <c r="C54" s="69">
        <v>6.125</v>
      </c>
      <c r="D54" s="78">
        <f>C40</f>
        <v>13174</v>
      </c>
      <c r="E54" s="79">
        <f t="shared" si="10"/>
        <v>2670</v>
      </c>
      <c r="F54" s="70">
        <f t="shared" si="7"/>
        <v>3.6444166504760053E-2</v>
      </c>
      <c r="G54" s="101" t="s">
        <v>95</v>
      </c>
      <c r="H54" s="80">
        <f>IF($D54&gt;0,$D54-5,"")</f>
        <v>13169</v>
      </c>
      <c r="I54" s="104">
        <f>IF(D54&gt;0,IF($H53&gt;$G$59,IF($G54="LINER",$H53-$G$59,"0"),"0"),"")</f>
        <v>10299</v>
      </c>
      <c r="J54" s="99">
        <f t="shared" si="5"/>
        <v>2870</v>
      </c>
      <c r="K54" s="77">
        <f t="shared" si="8"/>
        <v>13174</v>
      </c>
      <c r="L54" s="86" t="s">
        <v>29</v>
      </c>
      <c r="M54" s="109">
        <f>IF($L54&gt;0,IF($D54&gt;0,IF($L54=$B$26,"0",IF($L54=$B$25,(IF($K54&lt;3000,IF($K54&lt;2000,IF($K54&lt;1500,IF($K54&lt;1000,"",$K54/2),$K54-800),$K54-1000),$K54-1200)),(IF(($D54-$D53)&gt;$D54-IFERROR(VLOOKUP($L54,Formaciones!$A$4:$B$20,2,FALSE),""),IF(IFERROR(VLOOKUP($L54,Formaciones!$A$4:$B$20,2,FALSE),"")&lt;K54,IFERROR(VLOOKUP($L54,Formaciones!$A$4:$B$20,2,FALSE)-$G$59,""),$K54),(IF($K53&lt;=$G$59+5,"0",$D53-($G$59))))))),""),"")</f>
        <v>10304</v>
      </c>
      <c r="N54" s="97">
        <f t="shared" si="9"/>
        <v>2870</v>
      </c>
      <c r="O54" s="97">
        <f t="shared" si="11"/>
        <v>10304</v>
      </c>
      <c r="P54" s="86" t="s">
        <v>90</v>
      </c>
      <c r="Q54" s="109">
        <f>IF($P54&gt;0,IF($D54&gt;0,IF($P54=$B$26,"0",IF($P54=$B$25,(IF($O54&lt;3000,IF($O54&lt;2000,IF($O54&lt;1500,IF($O54&lt;1000,"",$O54/2),$O54-800),$O54-1000),$O54-1200)),(IF(($D54-$D53)&gt;$D54-IFERROR(VLOOKUP($P54,Formaciones!$A$4:$B$20,2,FALSE),""),IF(IFERROR(VLOOKUP($P54,Formaciones!$A$4:$B$20,2,FALSE),"")&lt;O54,IFERROR(VLOOKUP($P54,Formaciones!$A$4:$B$20,2,FALSE)-$G$59,""),$O54),(IF($O53&lt;=$G$59+5,"0",$D53-($G$59+5))))))),""),"")+5</f>
        <v>5</v>
      </c>
      <c r="R54" s="97">
        <f t="shared" si="6"/>
        <v>10299</v>
      </c>
    </row>
    <row r="55" spans="2:18" x14ac:dyDescent="0.3">
      <c r="B55" s="68" t="s">
        <v>50</v>
      </c>
      <c r="C55" s="71"/>
      <c r="D55" s="78"/>
      <c r="E55" s="79" t="str">
        <f t="shared" si="10"/>
        <v/>
      </c>
      <c r="F55" s="70" t="str">
        <f t="shared" si="7"/>
        <v/>
      </c>
      <c r="G55" s="101"/>
      <c r="H55" s="80" t="str">
        <f t="shared" si="4"/>
        <v/>
      </c>
      <c r="I55" s="104" t="str">
        <f>IF(D55&gt;0,IF($H54&gt;$G$59,IF($G55=#REF!,$H54-$G$59,"0"),"0"),"")</f>
        <v/>
      </c>
      <c r="J55" s="99" t="str">
        <f t="shared" si="5"/>
        <v/>
      </c>
      <c r="K55" s="77" t="str">
        <f t="shared" si="8"/>
        <v/>
      </c>
      <c r="L55" s="86"/>
      <c r="M55" s="109" t="str">
        <f>IF($L55&gt;0,IF($D55&gt;0,IF($L55=$B$26,"0",IF($L55=$B$25,(IF($K55&lt;3000,IF($K55&lt;2000,IF($K55&lt;1500,IF($K55&lt;1000,"",$K55/2),$K55-800),$K55-1000),$K55-1200)),(IF(($D55-$D54)&gt;$D55-IFERROR(VLOOKUP($L55,Formaciones!$A$4:$B$20,15,FALSE),""),IF(IFERROR(VLOOKUP($L55,Formaciones!$A$4:$B$20,15,FALSE),"")&lt;K55,IFERROR(VLOOKUP($L55,Formaciones!$A$4:$B$20,15,FALSE)-$G$59,""),$K55),(IF($K54&lt;=$G$59+5,"0",$D54-($G$59))))))),""),"")</f>
        <v/>
      </c>
      <c r="N55" s="97" t="str">
        <f t="shared" si="9"/>
        <v/>
      </c>
      <c r="O55" s="97" t="str">
        <f t="shared" si="11"/>
        <v/>
      </c>
      <c r="P55" s="86"/>
      <c r="Q55" s="109" t="str">
        <f>IF($P55&gt;0,IF($D55&gt;0,IF($P55=$B$26,"0",IF($P55=$B$25,(IF($O55&lt;3000,IF($O55&lt;2000,IF($O55&lt;1500,IF($O55&lt;1000,"",$O55/2),$O55-800),$O55-1000),$O55-1200)),(IF(($D55-$D54)&gt;$D55-IFERROR(VLOOKUP($P55,Formaciones!$A$4:$B$20,15,FALSE),""),IF(IFERROR(VLOOKUP($P55,Formaciones!$A$4:$B$20,15,FALSE),"")&lt;O55,IFERROR(VLOOKUP($P55,Formaciones!$A$4:$B$20,15,FALSE)-$G$59,""),$O55),(IF($O54&lt;=$G$59+5,"0",$D54-($G$59))))))),""),"")</f>
        <v/>
      </c>
      <c r="R55" s="97" t="str">
        <f t="shared" si="6"/>
        <v/>
      </c>
    </row>
    <row r="56" spans="2:18" x14ac:dyDescent="0.3">
      <c r="B56" s="68" t="s">
        <v>51</v>
      </c>
      <c r="C56" s="71"/>
      <c r="D56" s="78"/>
      <c r="E56" s="79" t="str">
        <f t="shared" si="10"/>
        <v/>
      </c>
      <c r="F56" s="70" t="str">
        <f t="shared" si="7"/>
        <v/>
      </c>
      <c r="G56" s="101"/>
      <c r="H56" s="80" t="str">
        <f t="shared" si="4"/>
        <v/>
      </c>
      <c r="I56" s="104" t="str">
        <f>IF(D56&gt;0,IF($H55&gt;$G$59,IF($G56=#REF!,$H55-$G$59,"0"),"0"),"")</f>
        <v/>
      </c>
      <c r="J56" s="99" t="str">
        <f t="shared" si="5"/>
        <v/>
      </c>
      <c r="K56" s="77" t="str">
        <f t="shared" si="8"/>
        <v/>
      </c>
      <c r="L56" s="86"/>
      <c r="M56" s="109" t="str">
        <f>IF($L56&gt;0,IF($D56&gt;0,IF($L56=$B$26,"0",IF($L56=$B$25,(IF($K56&lt;3000,IF($K56&lt;2000,IF($K56&lt;1500,IF($K56&lt;1000,"",$K56/2),$K56-800),$K56-1000),$K56-1200)),(IF(($D56-$D55)&gt;$D56-IFERROR(VLOOKUP($L56,Formaciones!$A$4:$B$20,15,FALSE),""),IF(IFERROR(VLOOKUP($L56,Formaciones!$A$4:$B$20,15,FALSE),"")&lt;K56,IFERROR(VLOOKUP($L56,Formaciones!$A$4:$B$20,15,FALSE)-$G$59,""),$K56),(IF($K55&lt;=$G$59+5,"0",$D55-($G$59))))))),""),"")</f>
        <v/>
      </c>
      <c r="N56" s="97" t="str">
        <f t="shared" si="9"/>
        <v/>
      </c>
      <c r="O56" s="79" t="str">
        <f t="shared" si="11"/>
        <v/>
      </c>
      <c r="P56" s="86"/>
      <c r="Q56" s="109" t="str">
        <f>IF($P56&gt;0,IF($D56&gt;0,IF($P56=$B$26,"0",IF($P56=$B$25,(IF($O56&lt;3000,IF($O56&lt;2000,IF($O56&lt;1500,IF($O56&lt;1000,"",$O56/2),$O56-800),$O56-1000),$O56-1200)),(IF(($D56-$D55)&gt;$D56-IFERROR(VLOOKUP($P56,Formaciones!$A$4:$B$20,15,FALSE),""),IF(IFERROR(VLOOKUP($P56,Formaciones!$A$4:$B$20,15,FALSE),"")&lt;O56,IFERROR(VLOOKUP($P56,Formaciones!$A$4:$B$20,15,FALSE)-$G$59,""),$O56),(IF($O55&lt;=$G$59+5,"0",$D55-($G$59))))))),""),"")</f>
        <v/>
      </c>
      <c r="R56" s="97" t="str">
        <f t="shared" si="6"/>
        <v/>
      </c>
    </row>
    <row r="57" spans="2:18" x14ac:dyDescent="0.3">
      <c r="B57" s="68" t="s">
        <v>52</v>
      </c>
      <c r="C57" s="71"/>
      <c r="D57" s="78"/>
      <c r="E57" s="79" t="str">
        <f t="shared" si="10"/>
        <v/>
      </c>
      <c r="F57" s="70" t="str">
        <f t="shared" si="7"/>
        <v/>
      </c>
      <c r="G57" s="101"/>
      <c r="H57" s="80" t="str">
        <f t="shared" si="4"/>
        <v/>
      </c>
      <c r="I57" s="104" t="str">
        <f>IF(D57&gt;0,IF($H56&gt;$G$59,IF($G57=#REF!,$H56-$G$59,"0"),"0"),"")</f>
        <v/>
      </c>
      <c r="J57" s="99" t="str">
        <f t="shared" si="5"/>
        <v/>
      </c>
      <c r="K57" s="77" t="str">
        <f t="shared" si="8"/>
        <v/>
      </c>
      <c r="L57" s="86"/>
      <c r="M57" s="109" t="str">
        <f>IF($L57&gt;0,IF($D57&gt;0,IF($L57=$B$26,"0",IF($L57=$B$25,(IF($K57&lt;3000,IF($K57&lt;2000,IF($K57&lt;1500,IF($K57&lt;1000,"",$K57/2),$K57-800),$K57-1000),$K57-1200)),(IF(($D57-$D56)&gt;$D57-IFERROR(VLOOKUP($L57,Formaciones!$A$4:$B$20,15,FALSE),""),IF(IFERROR(VLOOKUP($L57,Formaciones!$A$4:$B$20,15,FALSE),"")&lt;K57,IFERROR(VLOOKUP($L57,Formaciones!$A$4:$B$20,15,FALSE)-$G$59,""),$K57),(IF($K56&lt;=$G$59+5,"0",$D56-($G$59))))))),""),"")</f>
        <v/>
      </c>
      <c r="N57" s="97" t="str">
        <f t="shared" si="9"/>
        <v/>
      </c>
      <c r="O57" s="79" t="str">
        <f t="shared" si="11"/>
        <v/>
      </c>
      <c r="P57" s="86"/>
      <c r="Q57" s="109" t="str">
        <f>IF($P57&gt;0,IF($D57&gt;0,IF($P57=$B$26,"0",IF($P57=$B$25,(IF($O57&lt;3000,IF($O57&lt;2000,IF($O57&lt;1500,IF($O57&lt;1000,"",$O57/2),$O57-800),$O57-1000),$O57-1200)),(IF(($D57-$D56)&gt;$D57-IFERROR(VLOOKUP($P57,Formaciones!$A$4:$B$20,15,FALSE),""),IF(IFERROR(VLOOKUP($P57,Formaciones!$A$4:$B$20,15,FALSE),"")&lt;O57,IFERROR(VLOOKUP($P57,Formaciones!$A$4:$B$20,15,FALSE)-$G$59,""),$O57),(IF($O56&lt;=$G$59+5,"0",$D56-($G$59))))))),""),"")</f>
        <v/>
      </c>
      <c r="R57" s="97" t="str">
        <f t="shared" si="6"/>
        <v/>
      </c>
    </row>
    <row r="58" spans="2:18" x14ac:dyDescent="0.3">
      <c r="B58" s="68" t="s">
        <v>53</v>
      </c>
      <c r="C58" s="71"/>
      <c r="D58" s="78"/>
      <c r="E58" s="79" t="str">
        <f t="shared" si="10"/>
        <v/>
      </c>
      <c r="F58" s="70" t="str">
        <f t="shared" si="7"/>
        <v/>
      </c>
      <c r="G58" s="101"/>
      <c r="H58" s="80" t="str">
        <f t="shared" ref="H58" si="12">IF($D58&gt;0,$D58-5,"")</f>
        <v/>
      </c>
      <c r="I58" s="104" t="str">
        <f>IF(D58&gt;0,IF($H57&gt;$G$59,IF($G58=#REF!,$H57-$G$59,"0"),"0"),"")</f>
        <v/>
      </c>
      <c r="J58" s="99" t="str">
        <f t="shared" si="5"/>
        <v/>
      </c>
      <c r="K58" s="77" t="str">
        <f t="shared" si="8"/>
        <v/>
      </c>
      <c r="L58" s="86"/>
      <c r="M58" s="109" t="str">
        <f>IF($L58&gt;0,IF($D58&gt;0,IF($L58=$B$26,"0",IF($L58=$B$25,(IF($K58&lt;3000,IF($K58&lt;2000,IF($K58&lt;1500,IF($K58&lt;1000,"",$K58/2),$K58-800),$K58-1000),$K58-1200)),(IF(($D58-$D57)&gt;$D58-IFERROR(VLOOKUP($L58,Formaciones!$A$4:$B$20,15,FALSE),""),IF(IFERROR(VLOOKUP($L58,Formaciones!$A$4:$B$20,15,FALSE),"")&lt;K58,IFERROR(VLOOKUP($L58,Formaciones!$A$4:$B$20,15,FALSE)-$G$59,""),$K58),(IF($K57&lt;=$G$59+5,"0",$D57-($G$59))))))),""),"")</f>
        <v/>
      </c>
      <c r="N58" s="97" t="str">
        <f t="shared" si="9"/>
        <v/>
      </c>
      <c r="O58" s="79" t="str">
        <f t="shared" si="11"/>
        <v/>
      </c>
      <c r="P58" s="86"/>
      <c r="Q58" s="109" t="str">
        <f>IF($P58&gt;0,IF($D58&gt;0,IF($P58=$B$26,"0",IF($P58=$B$25,(IF($O58&lt;3000,IF($O58&lt;2000,IF($O58&lt;1500,IF($O58&lt;1000,"",$O58/2),$O58-800),$O58-1000),$O58-1200)),(IF(($D58-$D57)&gt;$D58-IFERROR(VLOOKUP($P58,Formaciones!$A$4:$B$20,15,FALSE),""),IF(IFERROR(VLOOKUP($P58,Formaciones!$A$4:$B$20,15,FALSE),"")&lt;O58,IFERROR(VLOOKUP($P58,Formaciones!$A$4:$B$20,15,FALSE)-$G$59,""),$O58),(IF($O57&lt;=$G$59+5,"0",$D57-($G$59))))))),""),"")</f>
        <v/>
      </c>
      <c r="R58" s="97" t="str">
        <f t="shared" si="6"/>
        <v/>
      </c>
    </row>
    <row r="59" spans="2:18" x14ac:dyDescent="0.3">
      <c r="F59" s="98" t="s">
        <v>96</v>
      </c>
      <c r="G59" s="100">
        <v>200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 x14ac:dyDescent="0.3">
      <c r="C60" s="82" t="s">
        <v>85</v>
      </c>
      <c r="D60" s="74">
        <f>_xlfn.CEILING.MATH(MAXA(D51,D52,D53,D54,D55,D56,D57,D58),1000,1000)+2000</f>
        <v>16000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 x14ac:dyDescent="0.3"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3" spans="2:18" x14ac:dyDescent="0.3">
      <c r="B63" s="65" t="s">
        <v>94</v>
      </c>
    </row>
    <row r="64" spans="2:18" x14ac:dyDescent="0.3">
      <c r="B64" s="76" t="s">
        <v>78</v>
      </c>
    </row>
    <row r="65" spans="2:2" x14ac:dyDescent="0.3">
      <c r="B65" s="76" t="s">
        <v>17</v>
      </c>
    </row>
    <row r="66" spans="2:2" x14ac:dyDescent="0.3">
      <c r="B66" s="76" t="s">
        <v>95</v>
      </c>
    </row>
  </sheetData>
  <dataConsolidate/>
  <mergeCells count="7">
    <mergeCell ref="B2:C2"/>
    <mergeCell ref="C4:E4"/>
    <mergeCell ref="G48:J48"/>
    <mergeCell ref="A24:A26"/>
    <mergeCell ref="C48:F48"/>
    <mergeCell ref="C7:D7"/>
    <mergeCell ref="C6:D6"/>
  </mergeCells>
  <conditionalFormatting sqref="M51:M58">
    <cfRule type="cellIs" dxfId="3" priority="13" operator="equal">
      <formula>$K$51=$K$51</formula>
    </cfRule>
  </conditionalFormatting>
  <conditionalFormatting sqref="N51:N58">
    <cfRule type="cellIs" dxfId="2" priority="11" operator="equal">
      <formula>0</formula>
    </cfRule>
  </conditionalFormatting>
  <conditionalFormatting sqref="Q51:Q58">
    <cfRule type="cellIs" dxfId="1" priority="2" operator="equal">
      <formula>$K$51=$K$51</formula>
    </cfRule>
  </conditionalFormatting>
  <conditionalFormatting sqref="R51:R58">
    <cfRule type="cellIs" dxfId="0" priority="1" operator="equal">
      <formula>0</formula>
    </cfRule>
  </conditionalFormatting>
  <dataValidations count="5">
    <dataValidation type="list" allowBlank="1" showInputMessage="1" showErrorMessage="1" sqref="P51:P58 L52:L58" xr:uid="{00000000-0002-0000-0200-000004000000}">
      <formula1>$B$25:$B$42</formula1>
    </dataValidation>
    <dataValidation type="list" allowBlank="1" showInputMessage="1" showErrorMessage="1" sqref="L51" xr:uid="{00000000-0002-0000-0200-000005000000}">
      <formula1>$B$26:$B$42</formula1>
    </dataValidation>
    <dataValidation type="list" allowBlank="1" showInputMessage="1" showErrorMessage="1" sqref="G51:G58" xr:uid="{10612DC3-AA1D-40C7-9FCA-AB5B2C2C8C59}">
      <formula1>$B$64:$B$66</formula1>
    </dataValidation>
    <dataValidation type="list" allowBlank="1" showInputMessage="1" showErrorMessage="1" sqref="C7:D7" xr:uid="{00000000-0002-0000-0200-000006000000}">
      <formula1>#REF!</formula1>
    </dataValidation>
    <dataValidation type="list" allowBlank="1" showInputMessage="1" showErrorMessage="1" sqref="A27:A41" xr:uid="{25874034-44D2-42E6-BBC3-D6A435842814}">
      <formula1>$A$16:$A$20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26.88671875" style="1" bestFit="1" customWidth="1"/>
    <col min="2" max="2" width="15.6640625" style="1" customWidth="1"/>
    <col min="3" max="16384" width="11.44140625" style="1"/>
  </cols>
  <sheetData>
    <row r="1" spans="1:2" s="36" customFormat="1" ht="13.2" x14ac:dyDescent="0.3"/>
    <row r="3" spans="1:2" s="31" customFormat="1" ht="25.5" customHeight="1" x14ac:dyDescent="0.25">
      <c r="A3" s="41" t="s">
        <v>23</v>
      </c>
      <c r="B3" s="90" t="s">
        <v>108</v>
      </c>
    </row>
    <row r="4" spans="1:2" s="31" customFormat="1" ht="16.5" customHeight="1" x14ac:dyDescent="0.25">
      <c r="A4" s="91" t="s">
        <v>90</v>
      </c>
      <c r="B4" s="40">
        <v>0</v>
      </c>
    </row>
    <row r="5" spans="1:2" s="31" customFormat="1" ht="13.2" x14ac:dyDescent="0.25">
      <c r="A5" s="43" t="str">
        <f>IF('Ingreso de Datos'!$B27&gt;0,'Ingreso de Datos'!B27,"")</f>
        <v>Fm. Guayabo</v>
      </c>
      <c r="B5" s="153">
        <f>IF('Ingreso de Datos'!$B27&gt;0,'Ingreso de Datos'!C27,"")</f>
        <v>29</v>
      </c>
    </row>
    <row r="6" spans="1:2" s="31" customFormat="1" ht="13.2" x14ac:dyDescent="0.25">
      <c r="A6" s="43" t="str">
        <f>IF('Ingreso de Datos'!$B28&gt;0,'Ingreso de Datos'!B28,"")</f>
        <v>Fm. León</v>
      </c>
      <c r="B6" s="153">
        <f>IF('Ingreso de Datos'!$B28&gt;0,'Ingreso de Datos'!C28,"")</f>
        <v>6310</v>
      </c>
    </row>
    <row r="7" spans="1:2" s="31" customFormat="1" ht="13.2" x14ac:dyDescent="0.25">
      <c r="A7" s="43" t="str">
        <f>IF('Ingreso de Datos'!$B29&gt;0,'Ingreso de Datos'!B29,"")</f>
        <v>Fm. Carbonera C1</v>
      </c>
      <c r="B7" s="153">
        <f>IF('Ingreso de Datos'!$B29&gt;0,'Ingreso de Datos'!C29,"")</f>
        <v>7381</v>
      </c>
    </row>
    <row r="8" spans="1:2" s="31" customFormat="1" ht="13.2" x14ac:dyDescent="0.25">
      <c r="A8" s="43" t="str">
        <f>IF('Ingreso de Datos'!$B30&gt;0,'Ingreso de Datos'!B30,"")</f>
        <v>Fm. Carbonera C2</v>
      </c>
      <c r="B8" s="153">
        <f>IF('Ingreso de Datos'!$B30&gt;0,'Ingreso de Datos'!C30,"")</f>
        <v>7875</v>
      </c>
    </row>
    <row r="9" spans="1:2" s="31" customFormat="1" ht="13.2" x14ac:dyDescent="0.25">
      <c r="A9" s="43" t="str">
        <f>IF('Ingreso de Datos'!$B31&gt;0,'Ingreso de Datos'!B31,"")</f>
        <v>Fm. Carbonera C3</v>
      </c>
      <c r="B9" s="153">
        <f>IF('Ingreso de Datos'!$B31&gt;0,'Ingreso de Datos'!C31,"")</f>
        <v>7910</v>
      </c>
    </row>
    <row r="10" spans="1:2" s="31" customFormat="1" ht="13.2" x14ac:dyDescent="0.25">
      <c r="A10" s="43" t="str">
        <f>IF('Ingreso de Datos'!$B32&gt;0,'Ingreso de Datos'!B32,"")</f>
        <v>Fm. Carbonera C4</v>
      </c>
      <c r="B10" s="153">
        <f>IF('Ingreso de Datos'!$B32&gt;0,'Ingreso de Datos'!C32,"")</f>
        <v>8010</v>
      </c>
    </row>
    <row r="11" spans="1:2" s="31" customFormat="1" ht="13.2" x14ac:dyDescent="0.25">
      <c r="A11" s="43" t="str">
        <f>IF('Ingreso de Datos'!$B33&gt;0,'Ingreso de Datos'!B33,"")</f>
        <v>Fm. Carbonera C5</v>
      </c>
      <c r="B11" s="153">
        <f>IF('Ingreso de Datos'!$B33&gt;0,'Ingreso de Datos'!C33,"")</f>
        <v>8077</v>
      </c>
    </row>
    <row r="12" spans="1:2" s="31" customFormat="1" ht="13.2" x14ac:dyDescent="0.25">
      <c r="A12" s="43" t="str">
        <f>IF('Ingreso de Datos'!$B34&gt;0,'Ingreso de Datos'!B34,"")</f>
        <v>Fm. Carbonera C6</v>
      </c>
      <c r="B12" s="153">
        <f>IF('Ingreso de Datos'!$B34&gt;0,'Ingreso de Datos'!C34,"")</f>
        <v>8295</v>
      </c>
    </row>
    <row r="13" spans="1:2" s="31" customFormat="1" ht="13.2" x14ac:dyDescent="0.25">
      <c r="A13" s="44" t="str">
        <f>IF('Ingreso de Datos'!$B35&gt;0,'Ingreso de Datos'!B35,"")</f>
        <v>Fm. Carbonera C7</v>
      </c>
      <c r="B13" s="153">
        <f>IF('Ingreso de Datos'!$B35&gt;0,'Ingreso de Datos'!C35,"")</f>
        <v>8459</v>
      </c>
    </row>
    <row r="14" spans="1:2" s="31" customFormat="1" ht="13.2" x14ac:dyDescent="0.25">
      <c r="A14" s="43" t="str">
        <f>IF('Ingreso de Datos'!$B36&gt;0,'Ingreso de Datos'!B36,"")</f>
        <v>Fm. Carbonera C8</v>
      </c>
      <c r="B14" s="153">
        <f>IF('Ingreso de Datos'!$B36&gt;0,'Ingreso de Datos'!C36,"")</f>
        <v>8725</v>
      </c>
    </row>
    <row r="15" spans="1:2" s="31" customFormat="1" ht="13.2" x14ac:dyDescent="0.25">
      <c r="A15" s="44" t="str">
        <f>IF('Ingreso de Datos'!$B37&gt;0,'Ingreso de Datos'!B37,"")</f>
        <v>Fm. Guadalupe</v>
      </c>
      <c r="B15" s="153">
        <f>IF('Ingreso de Datos'!$B37&gt;0,'Ingreso de Datos'!C37,"")</f>
        <v>8779</v>
      </c>
    </row>
    <row r="16" spans="1:2" s="31" customFormat="1" ht="13.2" x14ac:dyDescent="0.25">
      <c r="A16" s="44" t="str">
        <f>IF('Ingreso de Datos'!$B38&gt;0,'Ingreso de Datos'!B38,"")</f>
        <v>Fm. Gacheta</v>
      </c>
      <c r="B16" s="153">
        <f>IF('Ingreso de Datos'!$B38&gt;0,'Ingreso de Datos'!C38,"")</f>
        <v>9208</v>
      </c>
    </row>
    <row r="17" spans="1:8" s="31" customFormat="1" ht="13.2" x14ac:dyDescent="0.25">
      <c r="A17" s="44" t="str">
        <f>IF('Ingreso de Datos'!$B39&gt;0,'Ingreso de Datos'!B39,"")</f>
        <v>Fm. Ubaque</v>
      </c>
      <c r="B17" s="153">
        <f>IF('Ingreso de Datos'!$B39&gt;0,'Ingreso de Datos'!C39,"")</f>
        <v>10152</v>
      </c>
    </row>
    <row r="18" spans="1:8" s="31" customFormat="1" ht="13.2" x14ac:dyDescent="0.25">
      <c r="A18" s="45" t="str">
        <f>IF('Ingreso de Datos'!$B40&gt;0,'Ingreso de Datos'!B40,"")</f>
        <v>TD</v>
      </c>
      <c r="B18" s="153">
        <f>IF('Ingreso de Datos'!$B40&gt;0,'Ingreso de Datos'!C40,"")</f>
        <v>13174</v>
      </c>
    </row>
    <row r="19" spans="1:8" s="31" customFormat="1" ht="13.2" x14ac:dyDescent="0.25">
      <c r="A19" s="45" t="str">
        <f>IF('Ingreso de Datos'!$B41&gt;0,'Ingreso de Datos'!B41,"")</f>
        <v/>
      </c>
      <c r="B19" s="153" t="str">
        <f>IF('Ingreso de Datos'!$B41&gt;0,'Ingreso de Datos'!C41,"")</f>
        <v/>
      </c>
    </row>
    <row r="20" spans="1:8" s="31" customFormat="1" ht="13.2" x14ac:dyDescent="0.25">
      <c r="A20" s="38"/>
      <c r="B20" s="38"/>
    </row>
    <row r="21" spans="1:8" s="36" customFormat="1" ht="13.2" x14ac:dyDescent="0.25">
      <c r="H21" s="31"/>
    </row>
    <row r="22" spans="1:8" x14ac:dyDescent="0.3">
      <c r="H22" s="31"/>
    </row>
    <row r="23" spans="1:8" x14ac:dyDescent="0.3">
      <c r="H23" s="31"/>
    </row>
    <row r="24" spans="1:8" x14ac:dyDescent="0.3">
      <c r="H24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05"/>
  <sheetViews>
    <sheetView topLeftCell="A72" zoomScale="75" zoomScaleNormal="118" workbookViewId="0">
      <selection activeCell="K97" sqref="K97"/>
    </sheetView>
  </sheetViews>
  <sheetFormatPr baseColWidth="10" defaultColWidth="11.44140625" defaultRowHeight="14.4" x14ac:dyDescent="0.3"/>
  <cols>
    <col min="1" max="1" width="5.109375" style="1" customWidth="1"/>
    <col min="2" max="2" width="11.44140625" style="1"/>
    <col min="3" max="3" width="21.33203125" style="1" customWidth="1"/>
    <col min="4" max="17" width="15.6640625" style="1" customWidth="1"/>
    <col min="18" max="18" width="18.88671875" style="1" bestFit="1" customWidth="1"/>
    <col min="19" max="22" width="15.6640625" style="1" customWidth="1"/>
    <col min="23" max="23" width="15.6640625" style="1" bestFit="1" customWidth="1"/>
    <col min="24" max="24" width="11.44140625" style="1"/>
    <col min="25" max="26" width="14.88671875" style="1" customWidth="1"/>
    <col min="27" max="16384" width="11.44140625" style="1"/>
  </cols>
  <sheetData>
    <row r="1" spans="2:24" x14ac:dyDescent="0.3"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2:24" x14ac:dyDescent="0.3"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24" x14ac:dyDescent="0.3">
      <c r="K3" s="7"/>
      <c r="L3" s="7"/>
      <c r="N3" s="23"/>
      <c r="O3" s="23"/>
      <c r="P3" s="23"/>
      <c r="Q3" s="23"/>
      <c r="R3" s="23"/>
      <c r="S3" s="23"/>
      <c r="T3" s="23"/>
      <c r="U3" s="23"/>
      <c r="W3" s="23"/>
      <c r="X3" s="23"/>
    </row>
    <row r="4" spans="2:24" ht="15.6" x14ac:dyDescent="0.3">
      <c r="C4" s="8" t="s">
        <v>11</v>
      </c>
      <c r="I4" s="8" t="s">
        <v>18</v>
      </c>
      <c r="N4" s="24"/>
      <c r="O4" s="23"/>
      <c r="P4" s="23"/>
      <c r="Q4" s="23"/>
      <c r="R4" s="23"/>
      <c r="S4" s="23"/>
      <c r="T4" s="24"/>
      <c r="U4" s="24"/>
      <c r="V4" s="24"/>
      <c r="W4" s="24"/>
      <c r="X4" s="23"/>
    </row>
    <row r="5" spans="2:24" ht="15.6" x14ac:dyDescent="0.3">
      <c r="C5" s="8"/>
      <c r="I5" s="8"/>
      <c r="N5" s="24"/>
      <c r="O5" s="23"/>
      <c r="P5" s="23"/>
      <c r="Q5" s="23"/>
      <c r="R5" s="23"/>
      <c r="S5" s="23"/>
      <c r="T5" s="24"/>
      <c r="U5" s="24"/>
      <c r="V5" s="23"/>
      <c r="W5" s="24"/>
      <c r="X5" s="23"/>
    </row>
    <row r="6" spans="2:24" x14ac:dyDescent="0.3">
      <c r="C6" s="2" t="s">
        <v>0</v>
      </c>
      <c r="D6" s="3" t="s">
        <v>5</v>
      </c>
      <c r="E6" s="254" t="s">
        <v>1</v>
      </c>
      <c r="F6" s="254"/>
      <c r="I6" s="48" t="s">
        <v>1</v>
      </c>
      <c r="J6" s="48" t="s">
        <v>17</v>
      </c>
      <c r="N6" s="23"/>
      <c r="O6" s="25"/>
      <c r="P6" s="25"/>
      <c r="Q6" s="25"/>
      <c r="R6" s="23"/>
      <c r="S6" s="23"/>
      <c r="T6" s="25"/>
      <c r="U6" s="25"/>
      <c r="V6" s="25"/>
      <c r="W6" s="25"/>
      <c r="X6" s="23"/>
    </row>
    <row r="7" spans="2:24" x14ac:dyDescent="0.3">
      <c r="B7" s="1">
        <v>1</v>
      </c>
      <c r="C7" s="34" t="str">
        <f>IF(Formaciones!$A4&gt;0,Formaciones!$A4,"")</f>
        <v>SUPERFICIE</v>
      </c>
      <c r="D7" s="14"/>
      <c r="E7" s="4" t="s">
        <v>2</v>
      </c>
      <c r="F7" s="4" t="s">
        <v>3</v>
      </c>
      <c r="H7" s="50" t="str">
        <f>+'Ingreso de Datos'!B54</f>
        <v>Fase III</v>
      </c>
      <c r="I7" s="83">
        <f>IF($H7='Ingreso de Datos'!B$54,IFERROR(VLOOKUP($H7,'Ingreso de Datos'!$B$51:$Y$58,'Ingreso de Datos'!$J$47,FALSE),""),"")</f>
        <v>2870</v>
      </c>
      <c r="N7" s="23"/>
      <c r="O7" s="23"/>
      <c r="P7" s="23"/>
      <c r="Q7" s="23"/>
      <c r="R7" s="23"/>
      <c r="S7" s="23"/>
      <c r="T7" s="23"/>
      <c r="U7" s="23"/>
      <c r="V7" s="23"/>
      <c r="W7" s="26"/>
      <c r="X7" s="23"/>
    </row>
    <row r="8" spans="2:24" x14ac:dyDescent="0.3">
      <c r="B8" s="1">
        <v>2</v>
      </c>
      <c r="C8" s="34" t="str">
        <f>IF(Formaciones!$A5&gt;0,Formaciones!$A5,"")</f>
        <v>Fm. Guayabo</v>
      </c>
      <c r="D8" s="158">
        <v>3000</v>
      </c>
      <c r="E8" s="158">
        <f>IFERROR(VLOOKUP($C8,#REF!,9,FALSE),$C63)</f>
        <v>0</v>
      </c>
      <c r="F8" s="159">
        <v>3000</v>
      </c>
      <c r="H8" s="12"/>
      <c r="I8" s="63"/>
      <c r="N8" s="23"/>
      <c r="O8" s="23"/>
      <c r="P8" s="23"/>
      <c r="Q8" s="23"/>
      <c r="R8" s="23"/>
      <c r="S8" s="23"/>
      <c r="T8" s="23"/>
      <c r="U8" s="23"/>
      <c r="V8" s="23"/>
      <c r="W8" s="26"/>
      <c r="X8" s="23"/>
    </row>
    <row r="9" spans="2:24" x14ac:dyDescent="0.3">
      <c r="B9" s="1">
        <v>2</v>
      </c>
      <c r="C9" s="34" t="str">
        <f>+C8</f>
        <v>Fm. Guayabo</v>
      </c>
      <c r="D9" s="158">
        <f>IF($B10&gt;0,$F9-$E9,"")</f>
        <v>3310</v>
      </c>
      <c r="E9" s="160">
        <f>+F8</f>
        <v>3000</v>
      </c>
      <c r="F9" s="161">
        <f>IF(B9&gt;0,E10,"")</f>
        <v>6310</v>
      </c>
      <c r="H9" s="12"/>
      <c r="I9" s="63"/>
      <c r="N9" s="23"/>
      <c r="O9" s="23"/>
      <c r="P9" s="23"/>
      <c r="Q9" s="23"/>
      <c r="R9" s="23"/>
      <c r="S9" s="23"/>
      <c r="T9" s="23"/>
      <c r="U9" s="23"/>
      <c r="V9" s="23"/>
      <c r="W9" s="26"/>
      <c r="X9" s="23"/>
    </row>
    <row r="10" spans="2:24" x14ac:dyDescent="0.3">
      <c r="B10" s="1">
        <f>+B9+1</f>
        <v>3</v>
      </c>
      <c r="C10" s="34" t="str">
        <f>IF(Formaciones!$A6&gt;0,Formaciones!$A6,"")</f>
        <v>Fm. León</v>
      </c>
      <c r="D10" s="158">
        <f>IF($B11&gt;0,$F10-$E10,"")</f>
        <v>1071</v>
      </c>
      <c r="E10" s="160">
        <f>'Ingreso de Datos'!C28</f>
        <v>6310</v>
      </c>
      <c r="F10" s="161">
        <f t="shared" ref="F10:F22" si="0">IF(B10&gt;0,E11,"")</f>
        <v>7381</v>
      </c>
      <c r="I10" s="63"/>
      <c r="N10" s="23"/>
      <c r="O10" s="23"/>
      <c r="P10" s="23"/>
      <c r="Q10" s="23"/>
      <c r="R10" s="23"/>
      <c r="S10" s="23"/>
      <c r="T10" s="23"/>
      <c r="U10" s="23"/>
      <c r="V10" s="23"/>
      <c r="W10" s="26"/>
      <c r="X10" s="23"/>
    </row>
    <row r="11" spans="2:24" x14ac:dyDescent="0.3">
      <c r="B11" s="1">
        <f t="shared" ref="B11:B23" si="1">+B10+1</f>
        <v>4</v>
      </c>
      <c r="C11" s="34" t="str">
        <f>IF(Formaciones!$A7&gt;0,Formaciones!$A7,"")</f>
        <v>Fm. Carbonera C1</v>
      </c>
      <c r="D11" s="158">
        <f t="shared" ref="D11:D21" si="2">IF($B12&gt;0,$F11-$E11,"")</f>
        <v>494</v>
      </c>
      <c r="E11" s="160">
        <f>+'Ingreso de Datos'!C29</f>
        <v>7381</v>
      </c>
      <c r="F11" s="161">
        <f t="shared" si="0"/>
        <v>7875</v>
      </c>
      <c r="H11" s="50" t="str">
        <f>+'Ingreso de Datos'!B53</f>
        <v>Fase II</v>
      </c>
      <c r="I11" s="83">
        <f>IF($H11='Ingreso de Datos'!B$53,IFERROR(VLOOKUP($H11,'Ingreso de Datos'!$B$51:$Y$58,'Ingreso de Datos'!$J$47,FALSE),""),"")</f>
        <v>10499</v>
      </c>
      <c r="N11" s="23"/>
      <c r="O11" s="23"/>
      <c r="P11" s="23"/>
      <c r="Q11" s="23"/>
      <c r="R11" s="23"/>
      <c r="S11" s="23"/>
      <c r="T11" s="23"/>
      <c r="U11" s="23"/>
      <c r="V11" s="23"/>
      <c r="W11" s="26"/>
      <c r="X11" s="23"/>
    </row>
    <row r="12" spans="2:24" x14ac:dyDescent="0.3">
      <c r="B12" s="1">
        <f t="shared" si="1"/>
        <v>5</v>
      </c>
      <c r="C12" s="34" t="str">
        <f>IF(Formaciones!$A8&gt;0,Formaciones!$A8,"")</f>
        <v>Fm. Carbonera C2</v>
      </c>
      <c r="D12" s="158">
        <f t="shared" si="2"/>
        <v>35</v>
      </c>
      <c r="E12" s="160">
        <f>+'Ingreso de Datos'!C30</f>
        <v>7875</v>
      </c>
      <c r="F12" s="161">
        <f t="shared" si="0"/>
        <v>7910</v>
      </c>
      <c r="I12" s="63"/>
      <c r="N12" s="23"/>
      <c r="O12" s="23"/>
      <c r="P12" s="23"/>
      <c r="Q12" s="23"/>
      <c r="R12" s="23"/>
      <c r="S12" s="23"/>
      <c r="T12" s="23"/>
      <c r="U12" s="23"/>
      <c r="V12" s="23"/>
      <c r="W12" s="26"/>
      <c r="X12" s="23"/>
    </row>
    <row r="13" spans="2:24" x14ac:dyDescent="0.3">
      <c r="B13" s="1">
        <f t="shared" si="1"/>
        <v>6</v>
      </c>
      <c r="C13" s="34" t="str">
        <f>IF(Formaciones!$A9&gt;0,Formaciones!$A9,"")</f>
        <v>Fm. Carbonera C3</v>
      </c>
      <c r="D13" s="158">
        <f t="shared" si="2"/>
        <v>100</v>
      </c>
      <c r="E13" s="160">
        <f>+'Ingreso de Datos'!C31</f>
        <v>7910</v>
      </c>
      <c r="F13" s="161">
        <f t="shared" si="0"/>
        <v>8010</v>
      </c>
      <c r="I13" s="63"/>
      <c r="N13" s="23"/>
      <c r="O13" s="23"/>
      <c r="P13" s="23"/>
      <c r="Q13" s="23"/>
      <c r="R13" s="23"/>
      <c r="S13" s="23"/>
      <c r="T13" s="23"/>
      <c r="U13" s="23"/>
      <c r="V13" s="23"/>
      <c r="W13" s="26"/>
      <c r="X13" s="23"/>
    </row>
    <row r="14" spans="2:24" x14ac:dyDescent="0.3">
      <c r="B14" s="1">
        <f t="shared" si="1"/>
        <v>7</v>
      </c>
      <c r="C14" s="34" t="str">
        <f>IF(Formaciones!$A10&gt;0,Formaciones!$A10,"")</f>
        <v>Fm. Carbonera C4</v>
      </c>
      <c r="D14" s="158">
        <f t="shared" si="2"/>
        <v>67</v>
      </c>
      <c r="E14" s="160">
        <f>+'Ingreso de Datos'!C32</f>
        <v>8010</v>
      </c>
      <c r="F14" s="161">
        <f t="shared" si="0"/>
        <v>8077</v>
      </c>
      <c r="I14" s="63"/>
      <c r="N14" s="23"/>
      <c r="O14" s="23"/>
      <c r="P14" s="23"/>
      <c r="Q14" s="23"/>
      <c r="R14" s="23"/>
      <c r="S14" s="23"/>
      <c r="T14" s="23"/>
      <c r="U14" s="23"/>
      <c r="V14" s="23"/>
      <c r="W14" s="26"/>
      <c r="X14" s="23"/>
    </row>
    <row r="15" spans="2:24" x14ac:dyDescent="0.3">
      <c r="B15" s="1">
        <f t="shared" si="1"/>
        <v>8</v>
      </c>
      <c r="C15" s="34" t="str">
        <f>IF(Formaciones!$A11&gt;0,Formaciones!$A11,"")</f>
        <v>Fm. Carbonera C5</v>
      </c>
      <c r="D15" s="158">
        <f t="shared" si="2"/>
        <v>218</v>
      </c>
      <c r="E15" s="160">
        <f>+'Ingreso de Datos'!C33</f>
        <v>8077</v>
      </c>
      <c r="F15" s="161">
        <f t="shared" si="0"/>
        <v>8295</v>
      </c>
      <c r="H15" s="50" t="str">
        <f>+'Ingreso de Datos'!B52</f>
        <v>Fase I</v>
      </c>
      <c r="I15" s="83">
        <f>IF($H15='Ingreso de Datos'!B52,IFERROR(VLOOKUP($H15,'Ingreso de Datos'!$B$51:$Y$58,'Ingreso de Datos'!$J$47,FALSE),""),"")</f>
        <v>1195</v>
      </c>
      <c r="N15" s="23"/>
      <c r="O15" s="23"/>
      <c r="P15" s="23"/>
      <c r="Q15" s="23"/>
      <c r="R15" s="23"/>
      <c r="S15" s="23"/>
      <c r="T15" s="23"/>
      <c r="U15" s="23"/>
      <c r="V15" s="23"/>
      <c r="W15" s="26"/>
      <c r="X15" s="23"/>
    </row>
    <row r="16" spans="2:24" x14ac:dyDescent="0.3">
      <c r="B16" s="1">
        <f t="shared" si="1"/>
        <v>9</v>
      </c>
      <c r="C16" s="34" t="str">
        <f>IF(Formaciones!$A12&gt;0,Formaciones!$A12,"")</f>
        <v>Fm. Carbonera C6</v>
      </c>
      <c r="D16" s="158">
        <f t="shared" si="2"/>
        <v>164</v>
      </c>
      <c r="E16" s="160">
        <f>+'Ingreso de Datos'!C34</f>
        <v>8295</v>
      </c>
      <c r="F16" s="161">
        <f t="shared" si="0"/>
        <v>8459</v>
      </c>
      <c r="I16" s="63"/>
      <c r="N16" s="23"/>
      <c r="O16" s="23"/>
      <c r="P16" s="23"/>
      <c r="Q16" s="23"/>
      <c r="R16" s="23"/>
      <c r="S16" s="23"/>
      <c r="T16" s="23"/>
      <c r="U16" s="23"/>
      <c r="V16" s="23"/>
      <c r="W16" s="26"/>
      <c r="X16" s="23"/>
    </row>
    <row r="17" spans="2:24" x14ac:dyDescent="0.3">
      <c r="B17" s="1">
        <f t="shared" si="1"/>
        <v>10</v>
      </c>
      <c r="C17" s="34" t="str">
        <f>IF(Formaciones!$A13&gt;0,Formaciones!$A13,"")</f>
        <v>Fm. Carbonera C7</v>
      </c>
      <c r="D17" s="158">
        <f t="shared" si="2"/>
        <v>266</v>
      </c>
      <c r="E17" s="160">
        <f>+'Ingreso de Datos'!C35</f>
        <v>8459</v>
      </c>
      <c r="F17" s="161">
        <f t="shared" si="0"/>
        <v>8725</v>
      </c>
      <c r="I17" s="63"/>
      <c r="N17" s="25"/>
      <c r="O17" s="256"/>
      <c r="P17" s="256"/>
      <c r="Q17" s="27"/>
      <c r="R17" s="27"/>
      <c r="S17" s="23"/>
      <c r="T17" s="23"/>
      <c r="U17" s="28"/>
      <c r="V17" s="23"/>
      <c r="W17" s="26"/>
      <c r="X17" s="23"/>
    </row>
    <row r="18" spans="2:24" x14ac:dyDescent="0.3">
      <c r="B18" s="1">
        <f t="shared" si="1"/>
        <v>11</v>
      </c>
      <c r="C18" s="34" t="str">
        <f>IF(Formaciones!$A14&gt;0,Formaciones!$A14,"")</f>
        <v>Fm. Carbonera C8</v>
      </c>
      <c r="D18" s="158">
        <f t="shared" si="2"/>
        <v>54</v>
      </c>
      <c r="E18" s="160">
        <f>+'Ingreso de Datos'!C36</f>
        <v>8725</v>
      </c>
      <c r="F18" s="161">
        <f t="shared" si="0"/>
        <v>8779</v>
      </c>
      <c r="I18" s="63"/>
      <c r="N18" s="29"/>
      <c r="O18" s="29"/>
      <c r="P18" s="29"/>
      <c r="Q18" s="30"/>
      <c r="R18" s="30"/>
      <c r="S18" s="23"/>
      <c r="T18" s="23"/>
      <c r="U18" s="23"/>
      <c r="V18" s="23"/>
      <c r="W18" s="26"/>
      <c r="X18" s="23"/>
    </row>
    <row r="19" spans="2:24" x14ac:dyDescent="0.3">
      <c r="B19" s="1">
        <f t="shared" si="1"/>
        <v>12</v>
      </c>
      <c r="C19" s="34" t="str">
        <f>IF(Formaciones!$A15&gt;0,Formaciones!$A15,"")</f>
        <v>Fm. Guadalupe</v>
      </c>
      <c r="D19" s="158">
        <f t="shared" si="2"/>
        <v>429</v>
      </c>
      <c r="E19" s="160">
        <f>+'Ingreso de Datos'!C37</f>
        <v>8779</v>
      </c>
      <c r="F19" s="161">
        <f t="shared" si="0"/>
        <v>9208</v>
      </c>
      <c r="H19" s="50" t="str">
        <f>+'Ingreso de Datos'!B51</f>
        <v>CONDUCTOR</v>
      </c>
      <c r="I19" s="83" t="str">
        <f>IF($H19='Ingreso de Datos'!$B51,IFERROR(VLOOKUP($H19,'Ingreso de Datos'!$B$51:$Y$58,'Ingreso de Datos'!$J$47,FALSE),""),"")</f>
        <v/>
      </c>
      <c r="N19" s="30"/>
      <c r="O19" s="30"/>
      <c r="P19" s="30"/>
      <c r="Q19" s="30"/>
      <c r="R19" s="30"/>
      <c r="S19" s="23"/>
      <c r="T19" s="23"/>
      <c r="U19" s="23"/>
      <c r="V19" s="23"/>
      <c r="W19" s="26"/>
      <c r="X19" s="23"/>
    </row>
    <row r="20" spans="2:24" x14ac:dyDescent="0.3">
      <c r="B20" s="1">
        <f t="shared" si="1"/>
        <v>13</v>
      </c>
      <c r="C20" s="34" t="str">
        <f>IF(Formaciones!$A16&gt;0,Formaciones!$A16,"")</f>
        <v>Fm. Gacheta</v>
      </c>
      <c r="D20" s="158">
        <f t="shared" si="2"/>
        <v>944</v>
      </c>
      <c r="E20" s="160">
        <f>+'Ingreso de Datos'!C38</f>
        <v>9208</v>
      </c>
      <c r="F20" s="161">
        <f t="shared" si="0"/>
        <v>10152</v>
      </c>
      <c r="I20" s="51"/>
      <c r="N20" s="30"/>
      <c r="O20" s="30"/>
      <c r="P20" s="30"/>
      <c r="Q20" s="30"/>
      <c r="R20" s="30"/>
      <c r="S20" s="23"/>
      <c r="T20" s="23"/>
      <c r="U20" s="23"/>
      <c r="V20" s="23"/>
      <c r="W20" s="26"/>
      <c r="X20" s="23"/>
    </row>
    <row r="21" spans="2:24" x14ac:dyDescent="0.3">
      <c r="B21" s="1">
        <f t="shared" si="1"/>
        <v>14</v>
      </c>
      <c r="C21" s="34" t="str">
        <f>IF(Formaciones!$A17&gt;0,Formaciones!$A17,"")</f>
        <v>Fm. Ubaque</v>
      </c>
      <c r="D21" s="158">
        <f t="shared" si="2"/>
        <v>3022</v>
      </c>
      <c r="E21" s="160">
        <f>+'Ingreso de Datos'!C39</f>
        <v>10152</v>
      </c>
      <c r="F21" s="161">
        <f t="shared" si="0"/>
        <v>13174</v>
      </c>
      <c r="H21" s="49" t="s">
        <v>69</v>
      </c>
      <c r="I21" s="83">
        <f>+'Ingreso de Datos'!D60</f>
        <v>16000</v>
      </c>
      <c r="N21" s="30"/>
      <c r="O21" s="30"/>
      <c r="P21" s="30"/>
      <c r="Q21" s="30"/>
      <c r="R21" s="30"/>
      <c r="S21" s="23"/>
      <c r="T21" s="23"/>
      <c r="U21" s="23"/>
      <c r="V21" s="23"/>
      <c r="W21" s="26"/>
      <c r="X21" s="23"/>
    </row>
    <row r="22" spans="2:24" x14ac:dyDescent="0.3">
      <c r="B22" s="1">
        <f t="shared" si="1"/>
        <v>15</v>
      </c>
      <c r="C22" s="34" t="str">
        <f>IF(Formaciones!$A18&gt;0,Formaciones!$A18,"")</f>
        <v>TD</v>
      </c>
      <c r="D22" s="158"/>
      <c r="E22" s="160">
        <f>+'Ingreso de Datos'!C40</f>
        <v>13174</v>
      </c>
      <c r="F22" s="161">
        <f t="shared" si="0"/>
        <v>0</v>
      </c>
      <c r="H22" s="12"/>
      <c r="I22" s="63"/>
      <c r="N22" s="30"/>
      <c r="O22" s="30"/>
      <c r="P22" s="30"/>
      <c r="Q22" s="30"/>
      <c r="R22" s="30"/>
      <c r="S22" s="23"/>
      <c r="T22" s="23"/>
      <c r="U22" s="23"/>
      <c r="V22" s="23"/>
      <c r="W22" s="26"/>
      <c r="X22" s="23"/>
    </row>
    <row r="23" spans="2:24" x14ac:dyDescent="0.3">
      <c r="B23" s="1">
        <f t="shared" si="1"/>
        <v>16</v>
      </c>
      <c r="C23" s="34"/>
      <c r="D23" s="47"/>
      <c r="E23" s="13"/>
      <c r="F23" s="11"/>
      <c r="J23" s="1" t="str">
        <f>IF('Ingreso de Datos'!$D$54&lt;=0,"",IF($H7='Ingreso de Datos'!$B$54,IFERROR(VLOOKUP($H7,'Ingreso de Datos'!$B$51:$Y$58,'Ingreso de Datos'!#REF!,FALSE),""),""))</f>
        <v/>
      </c>
      <c r="N23" s="30"/>
      <c r="O23" s="30"/>
      <c r="P23" s="30"/>
      <c r="Q23" s="30"/>
      <c r="R23" s="30"/>
      <c r="S23" s="23"/>
      <c r="T23" s="23"/>
      <c r="U23" s="23"/>
      <c r="V23" s="23"/>
      <c r="W23" s="26"/>
      <c r="X23" s="23"/>
    </row>
    <row r="24" spans="2:24" x14ac:dyDescent="0.3">
      <c r="N24" s="30"/>
      <c r="O24" s="30"/>
      <c r="P24" s="30"/>
      <c r="Q24" s="30"/>
      <c r="R24" s="30"/>
      <c r="S24" s="23"/>
      <c r="T24" s="23"/>
      <c r="U24" s="23"/>
      <c r="V24" s="23"/>
      <c r="W24" s="23"/>
      <c r="X24" s="23"/>
    </row>
    <row r="25" spans="2:24" x14ac:dyDescent="0.3">
      <c r="C25" s="113" t="s">
        <v>4</v>
      </c>
      <c r="D25" s="75">
        <f>IF($C$25&gt;0,IFERROR(VLOOKUP($C$25,Formaciones!$A$5:$B$20,2,FALSE),""),"")</f>
        <v>13174</v>
      </c>
      <c r="N25" s="30"/>
      <c r="O25" s="30"/>
      <c r="P25" s="30"/>
      <c r="Q25" s="30"/>
      <c r="R25" s="30"/>
      <c r="S25" s="23"/>
      <c r="T25" s="23"/>
      <c r="U25" s="23"/>
      <c r="V25" s="23"/>
      <c r="W25" s="23"/>
      <c r="X25" s="23"/>
    </row>
    <row r="26" spans="2:24" x14ac:dyDescent="0.3">
      <c r="N26" s="30"/>
      <c r="O26" s="30"/>
      <c r="P26" s="30"/>
      <c r="Q26" s="30"/>
      <c r="R26" s="30"/>
      <c r="S26" s="23"/>
      <c r="T26" s="23"/>
      <c r="U26" s="23"/>
      <c r="V26" s="23"/>
      <c r="W26" s="23"/>
      <c r="X26" s="23"/>
    </row>
    <row r="27" spans="2:24" x14ac:dyDescent="0.3">
      <c r="N27" s="30"/>
      <c r="O27" s="30"/>
      <c r="P27" s="30"/>
      <c r="Q27" s="30"/>
      <c r="R27" s="30"/>
      <c r="S27" s="23"/>
      <c r="T27" s="23"/>
      <c r="U27" s="23"/>
      <c r="V27" s="23"/>
      <c r="W27" s="23"/>
      <c r="X27" s="23"/>
    </row>
    <row r="28" spans="2:24" x14ac:dyDescent="0.3">
      <c r="N28" s="30"/>
      <c r="O28" s="30"/>
      <c r="P28" s="30"/>
      <c r="Q28" s="30"/>
      <c r="R28" s="30"/>
      <c r="S28" s="23"/>
      <c r="T28" s="23"/>
      <c r="U28" s="23"/>
      <c r="V28" s="23"/>
      <c r="W28" s="23"/>
      <c r="X28" s="23"/>
    </row>
    <row r="29" spans="2:24" x14ac:dyDescent="0.3">
      <c r="N29" s="30"/>
      <c r="O29" s="30"/>
      <c r="P29" s="30"/>
      <c r="Q29" s="30"/>
      <c r="R29" s="30"/>
      <c r="S29" s="23"/>
      <c r="T29" s="23"/>
      <c r="U29" s="23"/>
      <c r="V29" s="23"/>
      <c r="W29" s="23"/>
      <c r="X29" s="23"/>
    </row>
    <row r="30" spans="2:24" x14ac:dyDescent="0.3">
      <c r="N30" s="30"/>
      <c r="O30" s="30"/>
      <c r="P30" s="30"/>
      <c r="Q30" s="30"/>
      <c r="R30" s="30"/>
      <c r="S30" s="23"/>
      <c r="T30" s="23"/>
      <c r="U30" s="23"/>
      <c r="V30" s="23"/>
      <c r="W30" s="23"/>
      <c r="X30" s="23"/>
    </row>
    <row r="31" spans="2:24" x14ac:dyDescent="0.3">
      <c r="N31" s="30"/>
      <c r="O31" s="30"/>
      <c r="P31" s="30"/>
      <c r="Q31" s="30"/>
      <c r="R31" s="30"/>
      <c r="S31" s="23"/>
      <c r="T31" s="23"/>
      <c r="U31" s="23"/>
      <c r="V31" s="23"/>
      <c r="W31" s="23"/>
      <c r="X31" s="23"/>
    </row>
    <row r="32" spans="2:24" x14ac:dyDescent="0.3">
      <c r="N32" s="30"/>
      <c r="O32" s="30"/>
      <c r="P32" s="30"/>
      <c r="Q32" s="30"/>
      <c r="R32" s="30"/>
      <c r="S32" s="23"/>
      <c r="T32" s="23"/>
      <c r="U32" s="23"/>
      <c r="V32" s="23"/>
      <c r="W32" s="23"/>
      <c r="X32" s="23"/>
    </row>
    <row r="33" spans="3:64" x14ac:dyDescent="0.3">
      <c r="N33" s="30"/>
      <c r="O33" s="30"/>
      <c r="P33" s="30"/>
      <c r="Q33" s="30"/>
      <c r="R33" s="30"/>
      <c r="S33" s="23"/>
      <c r="T33" s="23"/>
      <c r="U33" s="23"/>
      <c r="V33" s="23"/>
      <c r="W33" s="23"/>
      <c r="X33" s="23"/>
    </row>
    <row r="34" spans="3:64" x14ac:dyDescent="0.3">
      <c r="N34" s="30"/>
      <c r="O34" s="30"/>
      <c r="P34" s="30"/>
      <c r="Q34" s="30"/>
      <c r="R34" s="30"/>
      <c r="S34" s="23"/>
      <c r="T34" s="23"/>
      <c r="U34" s="23"/>
      <c r="V34" s="23"/>
      <c r="W34" s="23"/>
      <c r="X34" s="23"/>
    </row>
    <row r="35" spans="3:64" ht="15.6" x14ac:dyDescent="0.3">
      <c r="C35" s="8" t="s">
        <v>10</v>
      </c>
      <c r="N35" s="30"/>
      <c r="O35" s="30"/>
      <c r="P35" s="30"/>
      <c r="Q35" s="30"/>
      <c r="R35" s="30"/>
      <c r="S35" s="23"/>
      <c r="T35" s="23"/>
      <c r="U35" s="23"/>
      <c r="V35" s="23"/>
      <c r="W35" s="23"/>
      <c r="X35" s="23"/>
    </row>
    <row r="37" spans="3:64" x14ac:dyDescent="0.3">
      <c r="D37" s="250" t="s">
        <v>107</v>
      </c>
      <c r="E37" s="249" t="s">
        <v>13</v>
      </c>
      <c r="F37" s="249"/>
      <c r="I37" s="250" t="str">
        <f>+'Ingreso de Datos'!$B$51</f>
        <v>CONDUCTOR</v>
      </c>
      <c r="J37" s="249" t="s">
        <v>13</v>
      </c>
      <c r="K37" s="249"/>
      <c r="N37" s="250" t="str">
        <f>+'Ingreso de Datos'!$B$52</f>
        <v>Fase I</v>
      </c>
      <c r="O37" s="249" t="s">
        <v>13</v>
      </c>
      <c r="P37" s="249"/>
      <c r="S37" s="250" t="str">
        <f>+'Ingreso de Datos'!$B$53</f>
        <v>Fase II</v>
      </c>
      <c r="T37" s="249" t="s">
        <v>13</v>
      </c>
      <c r="U37" s="249"/>
      <c r="V37" s="30"/>
      <c r="X37" s="250" t="str">
        <f>+'Ingreso de Datos'!$B$54</f>
        <v>Fase III</v>
      </c>
      <c r="Y37" s="249" t="s">
        <v>13</v>
      </c>
      <c r="Z37" s="249"/>
      <c r="AA37" s="23"/>
    </row>
    <row r="38" spans="3:64" x14ac:dyDescent="0.3">
      <c r="D38" s="250"/>
      <c r="E38" s="4" t="s">
        <v>19</v>
      </c>
      <c r="F38" s="115" t="s">
        <v>9</v>
      </c>
      <c r="I38" s="250"/>
      <c r="J38" s="4" t="s">
        <v>19</v>
      </c>
      <c r="K38" s="115" t="s">
        <v>9</v>
      </c>
      <c r="N38" s="250"/>
      <c r="O38" s="4" t="s">
        <v>19</v>
      </c>
      <c r="P38" s="115" t="s">
        <v>9</v>
      </c>
      <c r="S38" s="250"/>
      <c r="T38" s="4" t="s">
        <v>19</v>
      </c>
      <c r="U38" s="115" t="s">
        <v>9</v>
      </c>
      <c r="V38" s="30"/>
      <c r="X38" s="250"/>
      <c r="Y38" s="4" t="s">
        <v>19</v>
      </c>
      <c r="Z38" s="115" t="s">
        <v>9</v>
      </c>
      <c r="AA38" s="23"/>
    </row>
    <row r="39" spans="3:64" x14ac:dyDescent="0.3">
      <c r="C39" s="248" t="str">
        <f>+'Ingreso de Datos'!$B$51</f>
        <v>CONDUCTOR</v>
      </c>
      <c r="D39" s="116" t="s">
        <v>97</v>
      </c>
      <c r="E39" s="63" t="e">
        <f>+F43-F42-E42</f>
        <v>#VALUE!</v>
      </c>
      <c r="F39" s="120"/>
      <c r="H39" s="248" t="str">
        <f>+'Ingreso de Datos'!$B$51</f>
        <v>CONDUCTOR</v>
      </c>
      <c r="I39" s="116" t="s">
        <v>97</v>
      </c>
      <c r="J39" s="63" t="e">
        <f>+K43-K42-J42</f>
        <v>#VALUE!</v>
      </c>
      <c r="K39" s="120"/>
      <c r="M39" s="248" t="str">
        <f>+'Ingreso de Datos'!$B$51</f>
        <v>CONDUCTOR</v>
      </c>
      <c r="N39" s="116"/>
      <c r="O39" s="63"/>
      <c r="P39" s="120"/>
      <c r="R39" s="248" t="str">
        <f>+'Ingreso de Datos'!$B$51</f>
        <v>CONDUCTOR</v>
      </c>
      <c r="S39" s="116"/>
      <c r="T39" s="63"/>
      <c r="U39" s="120"/>
      <c r="V39" s="30"/>
      <c r="W39" s="248" t="str">
        <f>+'Ingreso de Datos'!$B$51</f>
        <v>CONDUCTOR</v>
      </c>
      <c r="X39" s="116"/>
      <c r="Y39" s="63"/>
      <c r="Z39" s="120"/>
      <c r="AA39" s="23"/>
      <c r="BL39" s="63"/>
    </row>
    <row r="40" spans="3:64" x14ac:dyDescent="0.3">
      <c r="C40" s="248"/>
      <c r="D40" s="119" t="s">
        <v>105</v>
      </c>
      <c r="E40" s="114" t="e">
        <f>IF(C39&gt;0,IFERROR(VLOOKUP(C39,'Ingreso de Datos'!$B$50:$D$58,'Ingreso de Datos'!$D$47,FALSE),""),"")-E42-E41</f>
        <v>#VALUE!</v>
      </c>
      <c r="F40" s="121"/>
      <c r="H40" s="248"/>
      <c r="I40" s="119" t="s">
        <v>105</v>
      </c>
      <c r="J40" s="114" t="e">
        <f>IF(H39&gt;0,IFERROR(VLOOKUP(H39,'Ingreso de Datos'!$B$50:$D$58,'Ingreso de Datos'!$D$47,FALSE),""),"")-J42-J41</f>
        <v>#VALUE!</v>
      </c>
      <c r="K40" s="121"/>
      <c r="M40" s="248"/>
      <c r="N40" s="119"/>
      <c r="O40" s="114"/>
      <c r="P40" s="121"/>
      <c r="R40" s="248"/>
      <c r="S40" s="119"/>
      <c r="T40" s="114"/>
      <c r="U40" s="121"/>
      <c r="V40" s="30"/>
      <c r="W40" s="248"/>
      <c r="X40" s="119"/>
      <c r="Y40" s="114"/>
      <c r="Z40" s="121"/>
      <c r="AA40" s="23"/>
      <c r="BL40" s="63"/>
    </row>
    <row r="41" spans="3:64" x14ac:dyDescent="0.3">
      <c r="C41" s="248"/>
      <c r="D41" s="117" t="s">
        <v>6</v>
      </c>
      <c r="E41" s="114" t="str">
        <f>IF(C39&gt;0,IFERROR(VLOOKUP(C39,'Ingreso de Datos'!$B$50:$R$58,'Ingreso de Datos'!$R$47,FALSE),""),"")</f>
        <v/>
      </c>
      <c r="F41" s="66" t="str">
        <f>+'Ingreso de Datos'!$O$51</f>
        <v/>
      </c>
      <c r="H41" s="248"/>
      <c r="I41" s="117" t="s">
        <v>6</v>
      </c>
      <c r="J41" s="114" t="str">
        <f>IF(H39&gt;0,IFERROR(VLOOKUP(H39,'Ingreso de Datos'!$B$50:$R$58,'Ingreso de Datos'!$R$47,FALSE),""),"")</f>
        <v/>
      </c>
      <c r="K41" s="66" t="str">
        <f>+'Ingreso de Datos'!$O$51</f>
        <v/>
      </c>
      <c r="M41" s="248"/>
      <c r="N41" s="117"/>
      <c r="O41" s="114"/>
      <c r="P41" s="66"/>
      <c r="Q41" s="1" t="s">
        <v>24</v>
      </c>
      <c r="R41" s="248"/>
      <c r="S41" s="117"/>
      <c r="T41" s="114"/>
      <c r="U41" s="66"/>
      <c r="V41" s="30"/>
      <c r="W41" s="248"/>
      <c r="X41" s="117"/>
      <c r="Y41" s="114"/>
      <c r="Z41" s="66"/>
      <c r="AA41" s="23"/>
      <c r="BL41" s="63"/>
    </row>
    <row r="42" spans="3:64" x14ac:dyDescent="0.3">
      <c r="C42" s="248"/>
      <c r="D42" s="117" t="s">
        <v>7</v>
      </c>
      <c r="E42" s="114" t="str">
        <f>IF(C39&gt;0,IFERROR(VLOOKUP(C39,'Ingreso de Datos'!$B$50:$R$58,'Ingreso de Datos'!$N$47,FALSE),""),"")</f>
        <v/>
      </c>
      <c r="F42" s="66">
        <f>+'Ingreso de Datos'!$K$51</f>
        <v>0</v>
      </c>
      <c r="H42" s="248"/>
      <c r="I42" s="117" t="s">
        <v>7</v>
      </c>
      <c r="J42" s="114" t="str">
        <f>IF(H39&gt;0,IFERROR(VLOOKUP(H39,'Ingreso de Datos'!$B$50:$R$58,'Ingreso de Datos'!$N$47,FALSE),""),"")</f>
        <v/>
      </c>
      <c r="K42" s="66">
        <f>+'Ingreso de Datos'!$K$51</f>
        <v>0</v>
      </c>
      <c r="M42" s="248"/>
      <c r="N42" s="117"/>
      <c r="O42" s="114"/>
      <c r="P42" s="66"/>
      <c r="R42" s="248"/>
      <c r="S42" s="117"/>
      <c r="T42" s="114"/>
      <c r="U42" s="66"/>
      <c r="V42" s="30"/>
      <c r="W42" s="248"/>
      <c r="X42" s="117"/>
      <c r="Y42" s="114"/>
      <c r="Z42" s="66"/>
      <c r="AA42" s="23"/>
    </row>
    <row r="43" spans="3:64" x14ac:dyDescent="0.3">
      <c r="C43" s="248"/>
      <c r="D43" s="118" t="s">
        <v>8</v>
      </c>
      <c r="E43" s="111" t="e">
        <f>+F43-E42-E41-E40</f>
        <v>#VALUE!</v>
      </c>
      <c r="F43" s="111">
        <f>+$I$21</f>
        <v>16000</v>
      </c>
      <c r="H43" s="248"/>
      <c r="I43" s="118" t="s">
        <v>8</v>
      </c>
      <c r="J43" s="111" t="e">
        <f>+K43-J42-J41-J40</f>
        <v>#VALUE!</v>
      </c>
      <c r="K43" s="111">
        <f>+$I$21</f>
        <v>16000</v>
      </c>
      <c r="M43" s="248"/>
      <c r="N43" s="118"/>
      <c r="O43" s="111"/>
      <c r="P43" s="111"/>
      <c r="R43" s="248"/>
      <c r="S43" s="118"/>
      <c r="T43" s="111"/>
      <c r="U43" s="111"/>
      <c r="V43" s="30"/>
      <c r="W43" s="248"/>
      <c r="X43" s="118"/>
      <c r="Y43" s="111"/>
      <c r="Z43" s="111"/>
      <c r="AA43" s="23"/>
    </row>
    <row r="44" spans="3:64" x14ac:dyDescent="0.3">
      <c r="C44" s="248" t="str">
        <f>+'Ingreso de Datos'!$B$52</f>
        <v>Fase I</v>
      </c>
      <c r="D44" s="116" t="s">
        <v>98</v>
      </c>
      <c r="E44" s="63">
        <f>+F48-F47-E47</f>
        <v>14400</v>
      </c>
      <c r="F44" s="120"/>
      <c r="H44" s="248" t="str">
        <f>+'Ingreso de Datos'!$B$52</f>
        <v>Fase I</v>
      </c>
      <c r="I44" s="116" t="s">
        <v>98</v>
      </c>
      <c r="J44" s="63">
        <f>+K48-K47-J47</f>
        <v>14400</v>
      </c>
      <c r="K44" s="120"/>
      <c r="M44" s="248" t="str">
        <f>+'Ingreso de Datos'!$B$52</f>
        <v>Fase I</v>
      </c>
      <c r="N44" s="116" t="s">
        <v>98</v>
      </c>
      <c r="O44" s="63">
        <f>+P48-P47-O47</f>
        <v>14400</v>
      </c>
      <c r="P44" s="120"/>
      <c r="R44" s="248" t="str">
        <f>+'Ingreso de Datos'!$B$52</f>
        <v>Fase I</v>
      </c>
      <c r="S44" s="116"/>
      <c r="T44" s="63"/>
      <c r="U44" s="120"/>
      <c r="V44" s="30"/>
      <c r="W44" s="248" t="str">
        <f>+'Ingreso de Datos'!$B$52</f>
        <v>Fase I</v>
      </c>
      <c r="X44" s="116"/>
      <c r="Y44" s="63"/>
      <c r="Z44" s="120"/>
      <c r="AA44" s="23"/>
    </row>
    <row r="45" spans="3:64" x14ac:dyDescent="0.3">
      <c r="C45" s="248"/>
      <c r="D45" s="119" t="s">
        <v>105</v>
      </c>
      <c r="E45" s="114">
        <f>IF(C44&gt;0,IFERROR(VLOOKUP(C44,'Ingreso de Datos'!$B$50:$D$58,'Ingreso de Datos'!$D$47,FALSE),""),"")-E47-E46</f>
        <v>0</v>
      </c>
      <c r="F45" s="121"/>
      <c r="H45" s="248"/>
      <c r="I45" s="119" t="s">
        <v>105</v>
      </c>
      <c r="J45" s="114">
        <f>IF(H44&gt;0,IFERROR(VLOOKUP(H44,'Ingreso de Datos'!$B$50:$D$58,'Ingreso de Datos'!$D$47,FALSE),""),"")-J47-J46</f>
        <v>0</v>
      </c>
      <c r="K45" s="121"/>
      <c r="M45" s="248"/>
      <c r="N45" s="119" t="s">
        <v>105</v>
      </c>
      <c r="O45" s="114">
        <f>IF(M44&gt;0,IFERROR(VLOOKUP(M44,'Ingreso de Datos'!$B$50:$D$58,'Ingreso de Datos'!$D$47,FALSE),""),"")-O47-O46</f>
        <v>0</v>
      </c>
      <c r="P45" s="121"/>
      <c r="R45" s="248"/>
      <c r="S45" s="119"/>
      <c r="T45" s="114"/>
      <c r="U45" s="121"/>
      <c r="V45" s="30"/>
      <c r="W45" s="248"/>
      <c r="X45" s="119"/>
      <c r="Y45" s="114"/>
      <c r="Z45" s="121"/>
      <c r="AA45" s="23"/>
    </row>
    <row r="46" spans="3:64" x14ac:dyDescent="0.3">
      <c r="C46" s="248"/>
      <c r="D46" s="6" t="s">
        <v>6</v>
      </c>
      <c r="E46" s="114">
        <f>IF(C44&gt;0,IFERROR(VLOOKUP(C44,'Ingreso de Datos'!$B$50:$R$58,'Ingreso de Datos'!$R$47,FALSE),""),"")</f>
        <v>800</v>
      </c>
      <c r="F46" s="66">
        <f>+'Ingreso de Datos'!$O52</f>
        <v>800</v>
      </c>
      <c r="H46" s="248"/>
      <c r="I46" s="6" t="s">
        <v>6</v>
      </c>
      <c r="J46" s="114">
        <f>IF(H44&gt;0,IFERROR(VLOOKUP(H44,'Ingreso de Datos'!$B$50:$R$58,'Ingreso de Datos'!$R$47,FALSE),""),"")</f>
        <v>800</v>
      </c>
      <c r="K46" s="66">
        <f>+'Ingreso de Datos'!$O52</f>
        <v>800</v>
      </c>
      <c r="M46" s="248"/>
      <c r="N46" s="6" t="s">
        <v>6</v>
      </c>
      <c r="O46" s="114">
        <f>IF(M44&gt;0,IFERROR(VLOOKUP(M44,'Ingreso de Datos'!$B$50:$R$58,'Ingreso de Datos'!$R$47,FALSE),""),"")</f>
        <v>800</v>
      </c>
      <c r="P46" s="66">
        <f>+'Ingreso de Datos'!$O52</f>
        <v>800</v>
      </c>
      <c r="R46" s="248"/>
      <c r="S46" s="6"/>
      <c r="T46" s="114"/>
      <c r="U46" s="66"/>
      <c r="V46" s="30"/>
      <c r="W46" s="248"/>
      <c r="X46" s="6"/>
      <c r="Y46" s="114"/>
      <c r="Z46" s="66"/>
      <c r="AA46" s="23"/>
    </row>
    <row r="47" spans="3:64" x14ac:dyDescent="0.3">
      <c r="C47" s="248"/>
      <c r="D47" s="6" t="s">
        <v>7</v>
      </c>
      <c r="E47" s="114">
        <f>IF(C44&gt;0,IFERROR(VLOOKUP(C44,'Ingreso de Datos'!$B$50:$R$58,'Ingreso de Datos'!$N$47,FALSE),""),"")</f>
        <v>400</v>
      </c>
      <c r="F47" s="112">
        <f>+'Ingreso de Datos'!$K$52</f>
        <v>1200</v>
      </c>
      <c r="H47" s="248"/>
      <c r="I47" s="6" t="s">
        <v>7</v>
      </c>
      <c r="J47" s="114">
        <f>IF(H44&gt;0,IFERROR(VLOOKUP(H44,'Ingreso de Datos'!$B$50:$R$58,'Ingreso de Datos'!$N$47,FALSE),""),"")</f>
        <v>400</v>
      </c>
      <c r="K47" s="112">
        <f>+'Ingreso de Datos'!$K$52</f>
        <v>1200</v>
      </c>
      <c r="M47" s="248"/>
      <c r="N47" s="6" t="s">
        <v>7</v>
      </c>
      <c r="O47" s="114">
        <f>IF(M44&gt;0,IFERROR(VLOOKUP(M44,'Ingreso de Datos'!$B$50:$R$58,'Ingreso de Datos'!$N$47,FALSE),""),"")</f>
        <v>400</v>
      </c>
      <c r="P47" s="112">
        <f>+'Ingreso de Datos'!$K$52</f>
        <v>1200</v>
      </c>
      <c r="R47" s="248"/>
      <c r="S47" s="6"/>
      <c r="T47" s="114"/>
      <c r="U47" s="112"/>
      <c r="V47" s="30"/>
      <c r="W47" s="248"/>
      <c r="X47" s="6"/>
      <c r="Y47" s="114"/>
      <c r="Z47" s="112"/>
      <c r="AA47" s="23"/>
    </row>
    <row r="48" spans="3:64" x14ac:dyDescent="0.3">
      <c r="C48" s="248"/>
      <c r="D48" s="5" t="s">
        <v>106</v>
      </c>
      <c r="E48" s="111">
        <f>+F48-E47-E46-E45</f>
        <v>14800</v>
      </c>
      <c r="F48" s="111">
        <f>+$I$21</f>
        <v>16000</v>
      </c>
      <c r="H48" s="248"/>
      <c r="I48" s="5" t="s">
        <v>106</v>
      </c>
      <c r="J48" s="111">
        <f>+K48-J47-J46-J45</f>
        <v>14800</v>
      </c>
      <c r="K48" s="111">
        <f>+$I$21</f>
        <v>16000</v>
      </c>
      <c r="M48" s="248"/>
      <c r="N48" s="5" t="s">
        <v>106</v>
      </c>
      <c r="O48" s="111">
        <f>+P48-O47-O46-O45</f>
        <v>14800</v>
      </c>
      <c r="P48" s="111">
        <f>+$I$21</f>
        <v>16000</v>
      </c>
      <c r="R48" s="248"/>
      <c r="S48" s="5"/>
      <c r="T48" s="111"/>
      <c r="U48" s="111"/>
      <c r="V48" s="23"/>
      <c r="W48" s="248"/>
      <c r="X48" s="5"/>
      <c r="Y48" s="111"/>
      <c r="Z48" s="111"/>
      <c r="AA48" s="23"/>
    </row>
    <row r="49" spans="3:27" x14ac:dyDescent="0.3">
      <c r="C49" s="248" t="str">
        <f>'Ingreso de Datos'!$B$53</f>
        <v>Fase II</v>
      </c>
      <c r="D49" s="116" t="s">
        <v>99</v>
      </c>
      <c r="E49" s="63">
        <f>+F53-F52-E52</f>
        <v>3196</v>
      </c>
      <c r="F49" s="120"/>
      <c r="H49" s="248" t="str">
        <f>'Ingreso de Datos'!$B$53</f>
        <v>Fase II</v>
      </c>
      <c r="I49" s="116"/>
      <c r="J49" s="63"/>
      <c r="K49" s="120"/>
      <c r="M49" s="248" t="str">
        <f>'Ingreso de Datos'!$B$53</f>
        <v>Fase II</v>
      </c>
      <c r="N49" s="116"/>
      <c r="O49" s="63"/>
      <c r="P49" s="120"/>
      <c r="R49" s="248" t="str">
        <f>'Ingreso de Datos'!$B$53</f>
        <v>Fase II</v>
      </c>
      <c r="S49" s="116" t="s">
        <v>99</v>
      </c>
      <c r="T49" s="63">
        <f>+U53-U52-T52</f>
        <v>3196</v>
      </c>
      <c r="U49" s="120"/>
      <c r="V49" s="23"/>
      <c r="W49" s="248" t="str">
        <f>'Ingreso de Datos'!$B$53</f>
        <v>Fase II</v>
      </c>
      <c r="X49" s="116"/>
      <c r="Y49" s="63"/>
      <c r="Z49" s="120"/>
      <c r="AA49" s="23"/>
    </row>
    <row r="50" spans="3:27" x14ac:dyDescent="0.3">
      <c r="C50" s="248"/>
      <c r="D50" s="119" t="s">
        <v>105</v>
      </c>
      <c r="E50" s="114">
        <f>IF(C49&gt;0,IFERROR(VLOOKUP(C49,'Ingreso de Datos'!$B$50:$D$58,'Ingreso de Datos'!$D$47,FALSE),""),"")-E52-E51</f>
        <v>7004</v>
      </c>
      <c r="F50" s="121"/>
      <c r="H50" s="248"/>
      <c r="I50" s="119"/>
      <c r="J50" s="114"/>
      <c r="K50" s="121"/>
      <c r="M50" s="248"/>
      <c r="N50" s="119"/>
      <c r="O50" s="114"/>
      <c r="P50" s="121"/>
      <c r="R50" s="248"/>
      <c r="S50" s="119" t="s">
        <v>105</v>
      </c>
      <c r="T50" s="114">
        <f>IF(R49&gt;0,IFERROR(VLOOKUP(R49,'Ingreso de Datos'!$B$50:$D$58,'Ingreso de Datos'!$D$47,FALSE),""),"")-T52-T51</f>
        <v>7004</v>
      </c>
      <c r="U50" s="121"/>
      <c r="V50" s="23"/>
      <c r="W50" s="248"/>
      <c r="X50" s="119"/>
      <c r="Y50" s="114"/>
      <c r="Z50" s="121"/>
      <c r="AA50" s="23"/>
    </row>
    <row r="51" spans="3:27" x14ac:dyDescent="0.3">
      <c r="C51" s="248"/>
      <c r="D51" s="6" t="s">
        <v>6</v>
      </c>
      <c r="E51" s="114">
        <f>IF(C49&gt;0,IFERROR(VLOOKUP(C49,'Ingreso de Datos'!$B$50:$R$58,'Ingreso de Datos'!$R$47,FALSE),""),"")</f>
        <v>1200</v>
      </c>
      <c r="F51" s="66">
        <f>+'Ingreso de Datos'!$O$53</f>
        <v>8204</v>
      </c>
      <c r="H51" s="248"/>
      <c r="I51" s="6"/>
      <c r="J51" s="114"/>
      <c r="K51" s="66"/>
      <c r="M51" s="248"/>
      <c r="N51" s="6"/>
      <c r="O51" s="114"/>
      <c r="P51" s="66"/>
      <c r="R51" s="248"/>
      <c r="S51" s="6" t="s">
        <v>6</v>
      </c>
      <c r="T51" s="114">
        <f>IF(R49&gt;0,IFERROR(VLOOKUP(R49,'Ingreso de Datos'!$B$50:$R$58,'Ingreso de Datos'!$R$47,FALSE),""),"")</f>
        <v>1200</v>
      </c>
      <c r="U51" s="66">
        <f>+'Ingreso de Datos'!$O$53</f>
        <v>8204</v>
      </c>
      <c r="V51" s="23"/>
      <c r="W51" s="248"/>
      <c r="X51" s="6"/>
      <c r="Y51" s="114"/>
      <c r="Z51" s="66"/>
      <c r="AA51" s="23"/>
    </row>
    <row r="52" spans="3:27" x14ac:dyDescent="0.3">
      <c r="C52" s="248"/>
      <c r="D52" s="6" t="s">
        <v>7</v>
      </c>
      <c r="E52" s="114">
        <f>IF(C49&gt;0,IFERROR(VLOOKUP(C49,'Ingreso de Datos'!$B$50:$R$58,'Ingreso de Datos'!$N$47,FALSE),""),"")</f>
        <v>2300</v>
      </c>
      <c r="F52" s="112">
        <f>+'Ingreso de Datos'!$K$53</f>
        <v>10504</v>
      </c>
      <c r="H52" s="248"/>
      <c r="I52" s="6"/>
      <c r="J52" s="114"/>
      <c r="K52" s="112"/>
      <c r="M52" s="248"/>
      <c r="N52" s="6"/>
      <c r="O52" s="114"/>
      <c r="P52" s="112"/>
      <c r="R52" s="248"/>
      <c r="S52" s="6" t="s">
        <v>7</v>
      </c>
      <c r="T52" s="114">
        <f>IF(R49&gt;0,IFERROR(VLOOKUP(R49,'Ingreso de Datos'!$B$50:$R$58,'Ingreso de Datos'!$N$47,FALSE),""),"")</f>
        <v>2300</v>
      </c>
      <c r="U52" s="112">
        <f>+'Ingreso de Datos'!$K$53</f>
        <v>10504</v>
      </c>
      <c r="V52" s="23"/>
      <c r="W52" s="248"/>
      <c r="X52" s="6"/>
      <c r="Y52" s="114"/>
      <c r="Z52" s="112"/>
      <c r="AA52" s="23"/>
    </row>
    <row r="53" spans="3:27" x14ac:dyDescent="0.3">
      <c r="C53" s="248"/>
      <c r="D53" s="5" t="s">
        <v>106</v>
      </c>
      <c r="E53" s="111">
        <f>+F53-E52-E51-E50</f>
        <v>5496</v>
      </c>
      <c r="F53" s="111">
        <f>+$I$21</f>
        <v>16000</v>
      </c>
      <c r="H53" s="248"/>
      <c r="I53" s="5"/>
      <c r="J53" s="111"/>
      <c r="K53" s="111"/>
      <c r="M53" s="248"/>
      <c r="N53" s="5"/>
      <c r="O53" s="111"/>
      <c r="P53" s="111"/>
      <c r="R53" s="248"/>
      <c r="S53" s="5" t="s">
        <v>106</v>
      </c>
      <c r="T53" s="111">
        <f>+U53-T52-T51-T50</f>
        <v>5496</v>
      </c>
      <c r="U53" s="111">
        <f>+$I$21</f>
        <v>16000</v>
      </c>
      <c r="V53" s="23"/>
      <c r="W53" s="248"/>
      <c r="X53" s="5"/>
      <c r="Y53" s="111"/>
      <c r="Z53" s="111"/>
      <c r="AA53" s="23"/>
    </row>
    <row r="54" spans="3:27" x14ac:dyDescent="0.3">
      <c r="C54" s="248" t="str">
        <f>+'Ingreso de Datos'!$B$54</f>
        <v>Fase III</v>
      </c>
      <c r="D54" s="116" t="s">
        <v>100</v>
      </c>
      <c r="E54" s="63">
        <f>+F58-F57-E57</f>
        <v>-44</v>
      </c>
      <c r="F54" s="120"/>
      <c r="H54" s="248" t="str">
        <f>+'Ingreso de Datos'!$B$54</f>
        <v>Fase III</v>
      </c>
      <c r="I54" s="116"/>
      <c r="J54" s="63"/>
      <c r="K54" s="120"/>
      <c r="M54" s="248" t="str">
        <f>+'Ingreso de Datos'!$B$54</f>
        <v>Fase III</v>
      </c>
      <c r="N54" s="116"/>
      <c r="O54" s="63"/>
      <c r="P54" s="120"/>
      <c r="R54" s="248" t="str">
        <f>+'Ingreso de Datos'!$B$54</f>
        <v>Fase III</v>
      </c>
      <c r="S54" s="116"/>
      <c r="T54" s="63"/>
      <c r="U54" s="120"/>
      <c r="V54" s="23"/>
      <c r="W54" s="248" t="str">
        <f>+'Ingreso de Datos'!$B$54</f>
        <v>Fase III</v>
      </c>
      <c r="X54" s="116" t="s">
        <v>100</v>
      </c>
      <c r="Y54" s="63">
        <f>+Z58-Z57-Y57</f>
        <v>-44</v>
      </c>
      <c r="Z54" s="120"/>
      <c r="AA54" s="23"/>
    </row>
    <row r="55" spans="3:27" x14ac:dyDescent="0.3">
      <c r="C55" s="248"/>
      <c r="D55" s="119" t="s">
        <v>105</v>
      </c>
      <c r="E55" s="114">
        <f>IF(C54&gt;0,IFERROR(VLOOKUP(C54,'Ingreso de Datos'!$B$50:$D$58,'Ingreso de Datos'!$D$47,FALSE),""),"")-E57-E56</f>
        <v>5</v>
      </c>
      <c r="F55" s="121"/>
      <c r="H55" s="248"/>
      <c r="I55" s="119"/>
      <c r="J55" s="114"/>
      <c r="K55" s="121"/>
      <c r="M55" s="248"/>
      <c r="N55" s="119"/>
      <c r="O55" s="114"/>
      <c r="P55" s="121"/>
      <c r="R55" s="248"/>
      <c r="S55" s="119"/>
      <c r="T55" s="114"/>
      <c r="U55" s="121"/>
      <c r="V55" s="23"/>
      <c r="W55" s="248"/>
      <c r="X55" s="119" t="s">
        <v>105</v>
      </c>
      <c r="Y55" s="114">
        <f>IF(W54&gt;0,IFERROR(VLOOKUP(W54,'Ingreso de Datos'!$B$50:$D$58,'Ingreso de Datos'!$D$47,FALSE),""),"")-Y57-Y56</f>
        <v>5</v>
      </c>
      <c r="Z55" s="121"/>
      <c r="AA55" s="23"/>
    </row>
    <row r="56" spans="3:27" x14ac:dyDescent="0.3">
      <c r="C56" s="248"/>
      <c r="D56" s="6" t="s">
        <v>6</v>
      </c>
      <c r="E56" s="114">
        <f>IF(C54&gt;0,IFERROR(VLOOKUP(C54,'Ingreso de Datos'!$B$50:$R$58,'Ingreso de Datos'!$R$47,FALSE),""),"")</f>
        <v>10299</v>
      </c>
      <c r="F56" s="66">
        <f>+'Ingreso de Datos'!$O$54</f>
        <v>10304</v>
      </c>
      <c r="H56" s="248"/>
      <c r="I56" s="6"/>
      <c r="J56" s="114"/>
      <c r="K56" s="66"/>
      <c r="M56" s="248"/>
      <c r="N56" s="6"/>
      <c r="O56" s="114"/>
      <c r="P56" s="66"/>
      <c r="R56" s="248"/>
      <c r="S56" s="6"/>
      <c r="T56" s="114"/>
      <c r="U56" s="66"/>
      <c r="V56" s="23"/>
      <c r="W56" s="248"/>
      <c r="X56" s="6" t="s">
        <v>6</v>
      </c>
      <c r="Y56" s="114">
        <f>IF(W54&gt;0,IFERROR(VLOOKUP(W54,'Ingreso de Datos'!$B$50:$R$58,'Ingreso de Datos'!$R$47,FALSE),""),"")</f>
        <v>10299</v>
      </c>
      <c r="Z56" s="66">
        <f>+'Ingreso de Datos'!$O$54</f>
        <v>10304</v>
      </c>
      <c r="AA56" s="23"/>
    </row>
    <row r="57" spans="3:27" x14ac:dyDescent="0.3">
      <c r="C57" s="248"/>
      <c r="D57" s="6" t="s">
        <v>7</v>
      </c>
      <c r="E57" s="114">
        <f>IF(C54&gt;0,IFERROR(VLOOKUP(C54,'Ingreso de Datos'!$B$50:$R$58,'Ingreso de Datos'!$N$47,FALSE),""),"")</f>
        <v>2870</v>
      </c>
      <c r="F57" s="112">
        <f>+'Ingreso de Datos'!$K$54</f>
        <v>13174</v>
      </c>
      <c r="H57" s="248"/>
      <c r="I57" s="6"/>
      <c r="J57" s="114"/>
      <c r="K57" s="112"/>
      <c r="M57" s="248"/>
      <c r="N57" s="6"/>
      <c r="O57" s="114"/>
      <c r="P57" s="112"/>
      <c r="R57" s="248"/>
      <c r="S57" s="6"/>
      <c r="T57" s="114"/>
      <c r="U57" s="112"/>
      <c r="V57" s="23"/>
      <c r="W57" s="248"/>
      <c r="X57" s="6" t="s">
        <v>7</v>
      </c>
      <c r="Y57" s="114">
        <f>IF(W54&gt;0,IFERROR(VLOOKUP(W54,'Ingreso de Datos'!$B$50:$R$58,'Ingreso de Datos'!$N$47,FALSE),""),"")</f>
        <v>2870</v>
      </c>
      <c r="Z57" s="112">
        <f>+'Ingreso de Datos'!$K$54</f>
        <v>13174</v>
      </c>
      <c r="AA57" s="23"/>
    </row>
    <row r="58" spans="3:27" x14ac:dyDescent="0.3">
      <c r="C58" s="248"/>
      <c r="D58" s="5" t="s">
        <v>106</v>
      </c>
      <c r="E58" s="111">
        <f>+F58-E57-E56-E55</f>
        <v>2826</v>
      </c>
      <c r="F58" s="111">
        <f>+$I$21</f>
        <v>16000</v>
      </c>
      <c r="H58" s="248"/>
      <c r="I58" s="5"/>
      <c r="J58" s="111"/>
      <c r="K58" s="111"/>
      <c r="M58" s="248"/>
      <c r="N58" s="5"/>
      <c r="O58" s="111"/>
      <c r="P58" s="111"/>
      <c r="R58" s="248"/>
      <c r="S58" s="5"/>
      <c r="T58" s="111"/>
      <c r="U58" s="111"/>
      <c r="V58" s="23"/>
      <c r="W58" s="248"/>
      <c r="X58" s="5" t="s">
        <v>106</v>
      </c>
      <c r="Y58" s="111">
        <f>+Z58-Y57-Y56-Y55</f>
        <v>2826</v>
      </c>
      <c r="Z58" s="111">
        <f>+$I$21</f>
        <v>16000</v>
      </c>
      <c r="AA58" s="23"/>
    </row>
    <row r="59" spans="3:27" x14ac:dyDescent="0.3">
      <c r="C59" s="248" t="str">
        <f>+'Ingreso de Datos'!$B$55</f>
        <v>Fase IV</v>
      </c>
      <c r="D59" s="116" t="s">
        <v>101</v>
      </c>
      <c r="E59" s="63" t="e">
        <f>+F63-F62-E62</f>
        <v>#VALUE!</v>
      </c>
      <c r="F59" s="120"/>
      <c r="H59" s="248" t="str">
        <f>+'Ingreso de Datos'!$B$55</f>
        <v>Fase IV</v>
      </c>
      <c r="I59" s="116"/>
      <c r="J59" s="63"/>
      <c r="K59" s="120"/>
      <c r="M59" s="248" t="str">
        <f>+'Ingreso de Datos'!$B$55</f>
        <v>Fase IV</v>
      </c>
      <c r="N59" s="116"/>
      <c r="O59" s="63"/>
      <c r="P59" s="120"/>
      <c r="R59" s="248" t="str">
        <f>+'Ingreso de Datos'!$B$55</f>
        <v>Fase IV</v>
      </c>
      <c r="S59" s="116"/>
      <c r="T59" s="63"/>
      <c r="U59" s="120"/>
      <c r="V59" s="23"/>
      <c r="W59" s="248" t="str">
        <f>+'Ingreso de Datos'!$B$55</f>
        <v>Fase IV</v>
      </c>
      <c r="X59" s="116"/>
      <c r="Y59" s="63"/>
      <c r="Z59" s="120"/>
      <c r="AA59" s="23"/>
    </row>
    <row r="60" spans="3:27" x14ac:dyDescent="0.3">
      <c r="C60" s="248"/>
      <c r="D60" s="119" t="s">
        <v>105</v>
      </c>
      <c r="E60" s="114" t="e">
        <f>IF(C59&gt;0,IFERROR(VLOOKUP(C59,'Ingreso de Datos'!$B$50:$D$58,'Ingreso de Datos'!$D$47,FALSE),""),"")-E62-E61</f>
        <v>#VALUE!</v>
      </c>
      <c r="F60" s="121"/>
      <c r="H60" s="248"/>
      <c r="I60" s="119"/>
      <c r="J60" s="114"/>
      <c r="K60" s="121"/>
      <c r="M60" s="248"/>
      <c r="N60" s="119"/>
      <c r="O60" s="114"/>
      <c r="P60" s="121"/>
      <c r="R60" s="248"/>
      <c r="S60" s="119"/>
      <c r="T60" s="114"/>
      <c r="U60" s="121"/>
      <c r="V60" s="23"/>
      <c r="W60" s="248"/>
      <c r="X60" s="119"/>
      <c r="Y60" s="114"/>
      <c r="Z60" s="121"/>
      <c r="AA60" s="23"/>
    </row>
    <row r="61" spans="3:27" x14ac:dyDescent="0.3">
      <c r="C61" s="248"/>
      <c r="D61" s="6" t="s">
        <v>6</v>
      </c>
      <c r="E61" s="114" t="str">
        <f>IF(C59&gt;0,IFERROR(VLOOKUP(C59,'Ingreso de Datos'!$B$50:$R$58,'Ingreso de Datos'!$R$47,FALSE),""),"")</f>
        <v/>
      </c>
      <c r="F61" s="66" t="str">
        <f>+'Ingreso de Datos'!$O$55</f>
        <v/>
      </c>
      <c r="H61" s="248"/>
      <c r="I61" s="6"/>
      <c r="J61" s="114"/>
      <c r="K61" s="66"/>
      <c r="M61" s="248"/>
      <c r="N61" s="6"/>
      <c r="O61" s="114"/>
      <c r="P61" s="66"/>
      <c r="R61" s="248"/>
      <c r="S61" s="6"/>
      <c r="T61" s="114"/>
      <c r="U61" s="66"/>
      <c r="V61" s="23"/>
      <c r="W61" s="248"/>
      <c r="X61" s="6"/>
      <c r="Y61" s="114"/>
      <c r="Z61" s="66"/>
      <c r="AA61" s="23"/>
    </row>
    <row r="62" spans="3:27" x14ac:dyDescent="0.3">
      <c r="C62" s="248"/>
      <c r="D62" s="6" t="s">
        <v>7</v>
      </c>
      <c r="E62" s="114" t="str">
        <f>IF(C59&gt;0,IFERROR(VLOOKUP(C59,'Ingreso de Datos'!$B$50:$R$58,'Ingreso de Datos'!$N$47,FALSE),""),"")</f>
        <v/>
      </c>
      <c r="F62" s="112" t="str">
        <f>+'Ingreso de Datos'!$K$55</f>
        <v/>
      </c>
      <c r="H62" s="248"/>
      <c r="I62" s="6"/>
      <c r="J62" s="114"/>
      <c r="K62" s="112"/>
      <c r="M62" s="248"/>
      <c r="N62" s="6"/>
      <c r="O62" s="114"/>
      <c r="P62" s="112"/>
      <c r="R62" s="248"/>
      <c r="S62" s="6"/>
      <c r="T62" s="114"/>
      <c r="U62" s="112"/>
      <c r="V62" s="23"/>
      <c r="W62" s="248"/>
      <c r="X62" s="6"/>
      <c r="Y62" s="114"/>
      <c r="Z62" s="112"/>
      <c r="AA62" s="23"/>
    </row>
    <row r="63" spans="3:27" x14ac:dyDescent="0.3">
      <c r="C63" s="248"/>
      <c r="D63" s="5" t="s">
        <v>106</v>
      </c>
      <c r="E63" s="111" t="e">
        <f>+F63-E62-E61-E60</f>
        <v>#VALUE!</v>
      </c>
      <c r="F63" s="111">
        <f>+$I$21</f>
        <v>16000</v>
      </c>
      <c r="H63" s="248"/>
      <c r="I63" s="5"/>
      <c r="J63" s="111"/>
      <c r="K63" s="111"/>
      <c r="M63" s="248"/>
      <c r="N63" s="5"/>
      <c r="O63" s="111"/>
      <c r="P63" s="111"/>
      <c r="R63" s="248"/>
      <c r="S63" s="5"/>
      <c r="T63" s="111"/>
      <c r="U63" s="111"/>
      <c r="V63" s="23"/>
      <c r="W63" s="248"/>
      <c r="X63" s="5"/>
      <c r="Y63" s="111"/>
      <c r="Z63" s="111"/>
      <c r="AA63" s="23"/>
    </row>
    <row r="64" spans="3:27" x14ac:dyDescent="0.3">
      <c r="C64" s="248" t="str">
        <f>+'Ingreso de Datos'!$B$56</f>
        <v>Fase V</v>
      </c>
      <c r="D64" s="116" t="s">
        <v>102</v>
      </c>
      <c r="E64" s="63" t="e">
        <f>+F68-F67-E67</f>
        <v>#VALUE!</v>
      </c>
      <c r="F64" s="120"/>
      <c r="H64" s="248" t="str">
        <f>+'Ingreso de Datos'!$B$56</f>
        <v>Fase V</v>
      </c>
      <c r="I64" s="116"/>
      <c r="J64" s="63"/>
      <c r="K64" s="120"/>
      <c r="M64" s="248" t="str">
        <f>+'Ingreso de Datos'!$B$56</f>
        <v>Fase V</v>
      </c>
      <c r="N64" s="116"/>
      <c r="O64" s="63"/>
      <c r="P64" s="120"/>
      <c r="R64" s="248" t="str">
        <f>+'Ingreso de Datos'!$B$56</f>
        <v>Fase V</v>
      </c>
      <c r="S64" s="116"/>
      <c r="T64" s="63"/>
      <c r="U64" s="120"/>
      <c r="V64" s="23"/>
      <c r="W64" s="248" t="str">
        <f>+'Ingreso de Datos'!$B$56</f>
        <v>Fase V</v>
      </c>
      <c r="X64" s="116"/>
      <c r="Y64" s="63"/>
      <c r="Z64" s="120"/>
      <c r="AA64" s="23"/>
    </row>
    <row r="65" spans="1:27" x14ac:dyDescent="0.3">
      <c r="C65" s="248"/>
      <c r="D65" s="119" t="s">
        <v>105</v>
      </c>
      <c r="E65" s="114" t="e">
        <f>IF(C64&gt;0,IFERROR(VLOOKUP(C64,'Ingreso de Datos'!$B$50:$D$58,'Ingreso de Datos'!$D$47,FALSE),""),"")-E67-E66</f>
        <v>#VALUE!</v>
      </c>
      <c r="F65" s="121"/>
      <c r="H65" s="248"/>
      <c r="I65" s="119"/>
      <c r="J65" s="114"/>
      <c r="K65" s="121"/>
      <c r="M65" s="248"/>
      <c r="N65" s="119"/>
      <c r="O65" s="114"/>
      <c r="P65" s="121"/>
      <c r="R65" s="248"/>
      <c r="S65" s="119"/>
      <c r="T65" s="114"/>
      <c r="U65" s="121"/>
      <c r="V65" s="23"/>
      <c r="W65" s="248"/>
      <c r="X65" s="119"/>
      <c r="Y65" s="114"/>
      <c r="Z65" s="121"/>
      <c r="AA65" s="23"/>
    </row>
    <row r="66" spans="1:27" x14ac:dyDescent="0.3">
      <c r="C66" s="248"/>
      <c r="D66" s="6" t="s">
        <v>6</v>
      </c>
      <c r="E66" s="114" t="str">
        <f>IF(C64&gt;0,IFERROR(VLOOKUP(C64,'Ingreso de Datos'!$B$50:$R$58,'Ingreso de Datos'!$R$47,FALSE),""),"")</f>
        <v/>
      </c>
      <c r="F66" s="66" t="str">
        <f>+'Ingreso de Datos'!$O$56</f>
        <v/>
      </c>
      <c r="H66" s="248"/>
      <c r="I66" s="6"/>
      <c r="J66" s="114"/>
      <c r="K66" s="66"/>
      <c r="M66" s="248"/>
      <c r="N66" s="6"/>
      <c r="O66" s="114"/>
      <c r="P66" s="66"/>
      <c r="R66" s="248"/>
      <c r="S66" s="6"/>
      <c r="T66" s="114"/>
      <c r="U66" s="66"/>
      <c r="V66" s="23"/>
      <c r="W66" s="248"/>
      <c r="X66" s="6"/>
      <c r="Y66" s="114"/>
      <c r="Z66" s="66"/>
      <c r="AA66" s="23"/>
    </row>
    <row r="67" spans="1:27" x14ac:dyDescent="0.3">
      <c r="C67" s="248"/>
      <c r="D67" s="6" t="s">
        <v>7</v>
      </c>
      <c r="E67" s="114" t="str">
        <f>IF(C64&gt;0,IFERROR(VLOOKUP(C64,'Ingreso de Datos'!$B$50:$R$58,'Ingreso de Datos'!$N$47,FALSE),""),"")</f>
        <v/>
      </c>
      <c r="F67" s="112" t="str">
        <f>+'Ingreso de Datos'!$K$56</f>
        <v/>
      </c>
      <c r="H67" s="248"/>
      <c r="I67" s="6"/>
      <c r="J67" s="114"/>
      <c r="K67" s="112"/>
      <c r="M67" s="248"/>
      <c r="N67" s="6"/>
      <c r="O67" s="114"/>
      <c r="P67" s="112"/>
      <c r="R67" s="248"/>
      <c r="S67" s="6"/>
      <c r="T67" s="114"/>
      <c r="U67" s="112"/>
      <c r="V67" s="23"/>
      <c r="W67" s="248"/>
      <c r="X67" s="6"/>
      <c r="Y67" s="114"/>
      <c r="Z67" s="112"/>
      <c r="AA67" s="23"/>
    </row>
    <row r="68" spans="1:27" x14ac:dyDescent="0.3">
      <c r="C68" s="248"/>
      <c r="D68" s="5" t="s">
        <v>106</v>
      </c>
      <c r="E68" s="111" t="e">
        <f>+F68-E67-E66-E65</f>
        <v>#VALUE!</v>
      </c>
      <c r="F68" s="111">
        <f>+$I$21</f>
        <v>16000</v>
      </c>
      <c r="H68" s="248"/>
      <c r="I68" s="5"/>
      <c r="J68" s="111"/>
      <c r="K68" s="111"/>
      <c r="M68" s="248"/>
      <c r="N68" s="5"/>
      <c r="O68" s="111"/>
      <c r="P68" s="111"/>
      <c r="R68" s="248"/>
      <c r="S68" s="5"/>
      <c r="T68" s="111"/>
      <c r="U68" s="111"/>
      <c r="V68" s="23"/>
      <c r="W68" s="248"/>
      <c r="X68" s="5"/>
      <c r="Y68" s="111"/>
      <c r="Z68" s="111"/>
      <c r="AA68" s="23"/>
    </row>
    <row r="69" spans="1:27" x14ac:dyDescent="0.3">
      <c r="C69" s="248" t="str">
        <f>+'Ingreso de Datos'!$B$57</f>
        <v>Fase VI</v>
      </c>
      <c r="D69" s="116" t="s">
        <v>103</v>
      </c>
      <c r="E69" s="63" t="e">
        <f>+F73-F72-E72</f>
        <v>#VALUE!</v>
      </c>
      <c r="F69" s="120"/>
      <c r="H69" s="248" t="str">
        <f>+'Ingreso de Datos'!$B$57</f>
        <v>Fase VI</v>
      </c>
      <c r="I69" s="116"/>
      <c r="J69" s="63"/>
      <c r="K69" s="120"/>
      <c r="M69" s="248" t="str">
        <f>+'Ingreso de Datos'!$B$57</f>
        <v>Fase VI</v>
      </c>
      <c r="N69" s="116"/>
      <c r="O69" s="63"/>
      <c r="P69" s="120"/>
      <c r="R69" s="248" t="str">
        <f>+'Ingreso de Datos'!$B$57</f>
        <v>Fase VI</v>
      </c>
      <c r="S69" s="116"/>
      <c r="T69" s="63"/>
      <c r="U69" s="120"/>
      <c r="V69" s="23"/>
      <c r="W69" s="248" t="str">
        <f>+'Ingreso de Datos'!$B$57</f>
        <v>Fase VI</v>
      </c>
      <c r="X69" s="116"/>
      <c r="Y69" s="63"/>
      <c r="Z69" s="120"/>
      <c r="AA69" s="23"/>
    </row>
    <row r="70" spans="1:27" x14ac:dyDescent="0.3">
      <c r="C70" s="248"/>
      <c r="D70" s="119" t="s">
        <v>105</v>
      </c>
      <c r="E70" s="114" t="e">
        <f>IF(C69&gt;0,IFERROR(VLOOKUP(C69,'Ingreso de Datos'!$B$50:$D$58,'Ingreso de Datos'!$D$47,FALSE),""),"")-E72-E71</f>
        <v>#VALUE!</v>
      </c>
      <c r="F70" s="121"/>
      <c r="H70" s="248"/>
      <c r="I70" s="119"/>
      <c r="J70" s="114"/>
      <c r="K70" s="121"/>
      <c r="M70" s="248"/>
      <c r="N70" s="119"/>
      <c r="O70" s="114"/>
      <c r="P70" s="121"/>
      <c r="R70" s="248"/>
      <c r="S70" s="119"/>
      <c r="T70" s="114"/>
      <c r="U70" s="121"/>
      <c r="V70" s="23"/>
      <c r="W70" s="248"/>
      <c r="X70" s="119"/>
      <c r="Y70" s="114"/>
      <c r="Z70" s="121"/>
      <c r="AA70" s="23"/>
    </row>
    <row r="71" spans="1:27" x14ac:dyDescent="0.3">
      <c r="C71" s="248"/>
      <c r="D71" s="6" t="s">
        <v>6</v>
      </c>
      <c r="E71" s="114" t="str">
        <f>IF(C69&gt;0,IFERROR(VLOOKUP(C69,'Ingreso de Datos'!$B$50:$R$58,'Ingreso de Datos'!$R$47,FALSE),""),"")</f>
        <v/>
      </c>
      <c r="F71" s="66" t="str">
        <f>+'Ingreso de Datos'!$O$57</f>
        <v/>
      </c>
      <c r="H71" s="248"/>
      <c r="I71" s="6"/>
      <c r="J71" s="114"/>
      <c r="K71" s="66"/>
      <c r="M71" s="248"/>
      <c r="N71" s="6"/>
      <c r="O71" s="114"/>
      <c r="P71" s="66"/>
      <c r="R71" s="248"/>
      <c r="S71" s="6"/>
      <c r="T71" s="114"/>
      <c r="U71" s="66"/>
      <c r="V71" s="23"/>
      <c r="W71" s="248"/>
      <c r="X71" s="6"/>
      <c r="Y71" s="114"/>
      <c r="Z71" s="66"/>
      <c r="AA71" s="23"/>
    </row>
    <row r="72" spans="1:27" x14ac:dyDescent="0.3">
      <c r="C72" s="248"/>
      <c r="D72" s="6" t="s">
        <v>7</v>
      </c>
      <c r="E72" s="114" t="str">
        <f>IF(C69&gt;0,IFERROR(VLOOKUP(C69,'Ingreso de Datos'!$B$50:$R$58,'Ingreso de Datos'!$N$47,FALSE),""),"")</f>
        <v/>
      </c>
      <c r="F72" s="112" t="str">
        <f>+'Ingreso de Datos'!$K$57</f>
        <v/>
      </c>
      <c r="H72" s="248"/>
      <c r="I72" s="6"/>
      <c r="J72" s="114"/>
      <c r="K72" s="112"/>
      <c r="M72" s="248"/>
      <c r="N72" s="6"/>
      <c r="O72" s="114"/>
      <c r="P72" s="112"/>
      <c r="R72" s="248"/>
      <c r="S72" s="6"/>
      <c r="T72" s="114"/>
      <c r="U72" s="112"/>
      <c r="V72" s="23"/>
      <c r="W72" s="248"/>
      <c r="X72" s="6"/>
      <c r="Y72" s="114"/>
      <c r="Z72" s="112"/>
      <c r="AA72" s="23"/>
    </row>
    <row r="73" spans="1:27" x14ac:dyDescent="0.3">
      <c r="C73" s="248"/>
      <c r="D73" s="5" t="s">
        <v>106</v>
      </c>
      <c r="E73" s="111" t="e">
        <f>+F73-E72-E71-E70</f>
        <v>#VALUE!</v>
      </c>
      <c r="F73" s="111">
        <f>+$I$21</f>
        <v>16000</v>
      </c>
      <c r="H73" s="248"/>
      <c r="I73" s="5"/>
      <c r="J73" s="111"/>
      <c r="K73" s="111"/>
      <c r="M73" s="248"/>
      <c r="N73" s="5"/>
      <c r="O73" s="111"/>
      <c r="P73" s="111"/>
      <c r="R73" s="248"/>
      <c r="S73" s="5"/>
      <c r="T73" s="111"/>
      <c r="U73" s="111"/>
      <c r="V73" s="23"/>
      <c r="W73" s="248"/>
      <c r="X73" s="5"/>
      <c r="Y73" s="111"/>
      <c r="Z73" s="111"/>
      <c r="AA73" s="23"/>
    </row>
    <row r="74" spans="1:27" x14ac:dyDescent="0.3">
      <c r="C74" s="248" t="str">
        <f>+'Ingreso de Datos'!$B$58</f>
        <v>Fase VII</v>
      </c>
      <c r="D74" s="116" t="s">
        <v>104</v>
      </c>
      <c r="E74" s="63" t="e">
        <f>+F78-F77-E77</f>
        <v>#VALUE!</v>
      </c>
      <c r="F74" s="120"/>
      <c r="H74" s="248" t="str">
        <f>+'Ingreso de Datos'!$B$58</f>
        <v>Fase VII</v>
      </c>
      <c r="I74" s="116"/>
      <c r="J74" s="63"/>
      <c r="K74" s="120"/>
      <c r="M74" s="248" t="str">
        <f>+'Ingreso de Datos'!$B$58</f>
        <v>Fase VII</v>
      </c>
      <c r="N74" s="116"/>
      <c r="O74" s="63"/>
      <c r="P74" s="120"/>
      <c r="R74" s="248" t="str">
        <f>+'Ingreso de Datos'!$B$58</f>
        <v>Fase VII</v>
      </c>
      <c r="S74" s="116"/>
      <c r="T74" s="63"/>
      <c r="U74" s="120"/>
      <c r="V74" s="23"/>
      <c r="W74" s="248" t="str">
        <f>+'Ingreso de Datos'!$B$58</f>
        <v>Fase VII</v>
      </c>
      <c r="X74" s="116"/>
      <c r="Y74" s="63"/>
      <c r="Z74" s="120"/>
      <c r="AA74" s="23"/>
    </row>
    <row r="75" spans="1:27" x14ac:dyDescent="0.3">
      <c r="C75" s="248"/>
      <c r="D75" s="119" t="s">
        <v>105</v>
      </c>
      <c r="E75" s="114" t="e">
        <f>IF(C74&gt;0,IFERROR(VLOOKUP(C74,'Ingreso de Datos'!$B$50:$D$58,'Ingreso de Datos'!$D$47,FALSE),""),"")-E77-E76</f>
        <v>#VALUE!</v>
      </c>
      <c r="F75" s="121"/>
      <c r="H75" s="248"/>
      <c r="I75" s="119"/>
      <c r="J75" s="114"/>
      <c r="K75" s="121"/>
      <c r="M75" s="248"/>
      <c r="N75" s="119"/>
      <c r="O75" s="114"/>
      <c r="P75" s="121"/>
      <c r="R75" s="248"/>
      <c r="S75" s="119"/>
      <c r="T75" s="114"/>
      <c r="U75" s="121"/>
      <c r="V75" s="23"/>
      <c r="W75" s="248"/>
      <c r="X75" s="119"/>
      <c r="Y75" s="114"/>
      <c r="Z75" s="121"/>
      <c r="AA75" s="23"/>
    </row>
    <row r="76" spans="1:27" x14ac:dyDescent="0.3">
      <c r="C76" s="248"/>
      <c r="D76" s="6" t="s">
        <v>6</v>
      </c>
      <c r="E76" s="114" t="str">
        <f>IF(C74&gt;0,IFERROR(VLOOKUP(C74,'Ingreso de Datos'!$B$50:$R$58,'Ingreso de Datos'!$R$47,FALSE),""),"")</f>
        <v/>
      </c>
      <c r="F76" s="66" t="str">
        <f>+'Ingreso de Datos'!$O$58</f>
        <v/>
      </c>
      <c r="H76" s="248"/>
      <c r="I76" s="6"/>
      <c r="J76" s="114"/>
      <c r="K76" s="66"/>
      <c r="M76" s="248"/>
      <c r="N76" s="6"/>
      <c r="O76" s="114"/>
      <c r="P76" s="66"/>
      <c r="R76" s="248"/>
      <c r="S76" s="6"/>
      <c r="T76" s="114"/>
      <c r="U76" s="66"/>
      <c r="V76" s="23"/>
      <c r="W76" s="248"/>
      <c r="X76" s="6"/>
      <c r="Y76" s="114"/>
      <c r="Z76" s="66"/>
      <c r="AA76" s="23"/>
    </row>
    <row r="77" spans="1:27" x14ac:dyDescent="0.3">
      <c r="C77" s="248"/>
      <c r="D77" s="6" t="s">
        <v>7</v>
      </c>
      <c r="E77" s="114" t="str">
        <f>IF(C74&gt;0,IFERROR(VLOOKUP(C74,'Ingreso de Datos'!$B$50:$R$58,'Ingreso de Datos'!$N$47,FALSE),""),"")</f>
        <v/>
      </c>
      <c r="F77" s="112" t="str">
        <f>+'Ingreso de Datos'!$K$58</f>
        <v/>
      </c>
      <c r="H77" s="248"/>
      <c r="I77" s="6"/>
      <c r="J77" s="114"/>
      <c r="K77" s="112"/>
      <c r="M77" s="248"/>
      <c r="N77" s="6"/>
      <c r="O77" s="114"/>
      <c r="P77" s="112"/>
      <c r="R77" s="248"/>
      <c r="S77" s="6"/>
      <c r="T77" s="114"/>
      <c r="U77" s="112"/>
      <c r="V77" s="23"/>
      <c r="W77" s="248"/>
      <c r="X77" s="6"/>
      <c r="Y77" s="114"/>
      <c r="Z77" s="112"/>
      <c r="AA77" s="23"/>
    </row>
    <row r="78" spans="1:27" x14ac:dyDescent="0.3">
      <c r="A78" s="23"/>
      <c r="C78" s="248"/>
      <c r="D78" s="5" t="s">
        <v>106</v>
      </c>
      <c r="E78" s="111" t="e">
        <f>+F78-E77-E76-E75</f>
        <v>#VALUE!</v>
      </c>
      <c r="F78" s="111">
        <f>+$I$21</f>
        <v>16000</v>
      </c>
      <c r="H78" s="248"/>
      <c r="I78" s="5"/>
      <c r="J78" s="111"/>
      <c r="K78" s="111"/>
      <c r="M78" s="248"/>
      <c r="N78" s="5"/>
      <c r="O78" s="111"/>
      <c r="P78" s="111"/>
      <c r="R78" s="248"/>
      <c r="S78" s="5"/>
      <c r="T78" s="111"/>
      <c r="U78" s="111"/>
      <c r="V78" s="23"/>
      <c r="W78" s="248"/>
      <c r="X78" s="5"/>
      <c r="Y78" s="111"/>
      <c r="Z78" s="111"/>
      <c r="AA78" s="23"/>
    </row>
    <row r="79" spans="1:27" x14ac:dyDescent="0.3">
      <c r="A79" s="23"/>
      <c r="B79" s="23"/>
      <c r="C79" s="64"/>
      <c r="D79" s="64"/>
      <c r="E79" s="64"/>
      <c r="F79" s="64"/>
      <c r="G79" s="23"/>
      <c r="H79" s="64"/>
      <c r="I79" s="64"/>
      <c r="J79" s="64"/>
      <c r="K79" s="64"/>
      <c r="L79" s="23"/>
      <c r="M79" s="64"/>
      <c r="N79" s="64"/>
      <c r="O79" s="64"/>
      <c r="P79" s="64"/>
      <c r="Q79" s="23"/>
      <c r="R79" s="64"/>
      <c r="S79" s="64"/>
      <c r="T79" s="64"/>
      <c r="U79" s="64"/>
      <c r="V79" s="23"/>
      <c r="W79" s="64"/>
      <c r="X79" s="64"/>
      <c r="Y79" s="64"/>
      <c r="Z79" s="64"/>
      <c r="AA79" s="23"/>
    </row>
    <row r="80" spans="1:27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U80" s="23"/>
      <c r="V80" s="23"/>
      <c r="W80" s="23"/>
      <c r="X80" s="23"/>
    </row>
    <row r="81" spans="1:24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U81" s="23"/>
      <c r="V81" s="23"/>
      <c r="W81" s="23"/>
      <c r="X81" s="23"/>
    </row>
    <row r="82" spans="1:24" x14ac:dyDescent="0.3">
      <c r="N82" s="23"/>
      <c r="O82" s="23"/>
      <c r="P82" s="23"/>
      <c r="Q82" s="23"/>
      <c r="U82" s="23"/>
      <c r="V82" s="23"/>
      <c r="W82" s="23"/>
      <c r="X82" s="23"/>
    </row>
    <row r="83" spans="1:24" ht="16.2" thickBot="1" x14ac:dyDescent="0.35">
      <c r="C83" s="8" t="s">
        <v>12</v>
      </c>
      <c r="N83" s="23"/>
      <c r="O83" s="23"/>
      <c r="P83" s="23"/>
      <c r="Q83" s="23"/>
      <c r="U83" s="23"/>
      <c r="V83" s="23"/>
      <c r="W83" s="23"/>
      <c r="X83" s="23"/>
    </row>
    <row r="84" spans="1:24" x14ac:dyDescent="0.3">
      <c r="C84" s="19" t="s">
        <v>0</v>
      </c>
      <c r="D84" s="202"/>
      <c r="E84" s="20" t="s">
        <v>16</v>
      </c>
      <c r="F84" s="255" t="s">
        <v>1</v>
      </c>
      <c r="G84" s="254"/>
    </row>
    <row r="85" spans="1:24" ht="15" thickBot="1" x14ac:dyDescent="0.35">
      <c r="B85" s="122" t="s">
        <v>78</v>
      </c>
      <c r="C85" s="221" t="s">
        <v>90</v>
      </c>
      <c r="D85" s="203">
        <f>IF(C85&gt;0,IFERROR(VLOOKUP(C85,Formaciones!$A$4:$B$20,2,FALSE),""),"")</f>
        <v>0</v>
      </c>
      <c r="E85" s="21">
        <v>8.6</v>
      </c>
      <c r="F85" s="15" t="s">
        <v>2</v>
      </c>
      <c r="G85" s="4" t="s">
        <v>3</v>
      </c>
      <c r="H85" s="4" t="s">
        <v>5</v>
      </c>
    </row>
    <row r="86" spans="1:24" x14ac:dyDescent="0.3">
      <c r="B86" s="251" t="s">
        <v>14</v>
      </c>
      <c r="C86" s="217" t="s">
        <v>25</v>
      </c>
      <c r="D86" s="203">
        <f>IF(C86&gt;0,IFERROR(VLOOKUP(C86,Formaciones!$A$4:$B$20,2,FALSE),""),"")</f>
        <v>29</v>
      </c>
      <c r="E86" s="22">
        <f>+E85</f>
        <v>8.6</v>
      </c>
      <c r="F86" s="18">
        <v>0</v>
      </c>
      <c r="G86" s="123">
        <f>+I15</f>
        <v>1195</v>
      </c>
      <c r="H86" s="187">
        <f>+G86-F86</f>
        <v>1195</v>
      </c>
    </row>
    <row r="87" spans="1:24" ht="15" thickBot="1" x14ac:dyDescent="0.35">
      <c r="B87" s="252"/>
      <c r="C87" s="222" t="s">
        <v>119</v>
      </c>
      <c r="D87" s="204">
        <f>+'Ingreso de Datos'!D52</f>
        <v>1200</v>
      </c>
      <c r="E87" s="208">
        <v>9.1999999999999993</v>
      </c>
      <c r="F87" s="17">
        <f>+G86</f>
        <v>1195</v>
      </c>
      <c r="G87" s="17">
        <f>+G86</f>
        <v>1195</v>
      </c>
      <c r="H87" s="16">
        <f>+G87-F87</f>
        <v>0</v>
      </c>
    </row>
    <row r="88" spans="1:24" x14ac:dyDescent="0.3">
      <c r="B88" s="251" t="s">
        <v>15</v>
      </c>
      <c r="C88" s="217" t="s">
        <v>25</v>
      </c>
      <c r="D88" s="205">
        <f>+D87</f>
        <v>1200</v>
      </c>
      <c r="E88" s="22">
        <v>8.6</v>
      </c>
      <c r="F88" s="188">
        <f t="shared" ref="F88:G101" si="3">+E8</f>
        <v>0</v>
      </c>
      <c r="G88" s="189">
        <f t="shared" si="3"/>
        <v>3000</v>
      </c>
      <c r="H88" s="190">
        <f t="shared" ref="H88:H101" si="4">+G88-F88</f>
        <v>3000</v>
      </c>
    </row>
    <row r="89" spans="1:24" x14ac:dyDescent="0.3">
      <c r="B89" s="253"/>
      <c r="C89" s="218" t="s">
        <v>25</v>
      </c>
      <c r="D89" s="203">
        <f>+G89</f>
        <v>6310</v>
      </c>
      <c r="E89" s="22">
        <v>9.1999999999999993</v>
      </c>
      <c r="F89" s="163">
        <f t="shared" si="3"/>
        <v>3000</v>
      </c>
      <c r="G89" s="164">
        <f t="shared" si="3"/>
        <v>6310</v>
      </c>
      <c r="H89" s="165">
        <f t="shared" si="4"/>
        <v>3310</v>
      </c>
    </row>
    <row r="90" spans="1:24" x14ac:dyDescent="0.3">
      <c r="B90" s="253"/>
      <c r="C90" s="218" t="s">
        <v>26</v>
      </c>
      <c r="D90" s="203">
        <f>IF(C90&gt;0,IFERROR(VLOOKUP(C90,Formaciones!$A$4:$B$20,2,FALSE),""),"")</f>
        <v>6310</v>
      </c>
      <c r="E90" s="22">
        <v>9.1999999999999993</v>
      </c>
      <c r="F90" s="163">
        <f t="shared" si="3"/>
        <v>6310</v>
      </c>
      <c r="G90" s="164">
        <f t="shared" si="3"/>
        <v>7381</v>
      </c>
      <c r="H90" s="165">
        <f t="shared" si="4"/>
        <v>1071</v>
      </c>
    </row>
    <row r="91" spans="1:24" x14ac:dyDescent="0.3">
      <c r="B91" s="253"/>
      <c r="C91" s="218" t="s">
        <v>34</v>
      </c>
      <c r="D91" s="203">
        <f>IF(C91&gt;0,IFERROR(VLOOKUP(C91,Formaciones!$A$4:$B$20,2,FALSE),""),"")</f>
        <v>7381</v>
      </c>
      <c r="E91" s="22">
        <v>9.3000000000000007</v>
      </c>
      <c r="F91" s="163">
        <f t="shared" si="3"/>
        <v>7381</v>
      </c>
      <c r="G91" s="164">
        <f t="shared" si="3"/>
        <v>7875</v>
      </c>
      <c r="H91" s="165">
        <f t="shared" si="4"/>
        <v>494</v>
      </c>
    </row>
    <row r="92" spans="1:24" x14ac:dyDescent="0.3">
      <c r="B92" s="253"/>
      <c r="C92" s="218" t="s">
        <v>35</v>
      </c>
      <c r="D92" s="203">
        <f>IF(C92&gt;0,IFERROR(VLOOKUP(C92,Formaciones!$A$4:$B$20,2,FALSE),""),"")</f>
        <v>7875</v>
      </c>
      <c r="E92" s="22">
        <v>9.3000000000000007</v>
      </c>
      <c r="F92" s="163">
        <f t="shared" si="3"/>
        <v>7875</v>
      </c>
      <c r="G92" s="164">
        <f t="shared" si="3"/>
        <v>7910</v>
      </c>
      <c r="H92" s="165">
        <f t="shared" si="4"/>
        <v>35</v>
      </c>
    </row>
    <row r="93" spans="1:24" x14ac:dyDescent="0.3">
      <c r="B93" s="253"/>
      <c r="C93" s="218" t="s">
        <v>36</v>
      </c>
      <c r="D93" s="203">
        <f>IF(C93&gt;0,IFERROR(VLOOKUP(C93,Formaciones!$A$4:$B$20,2,FALSE),""),"")</f>
        <v>7910</v>
      </c>
      <c r="E93" s="22">
        <v>9.3000000000000007</v>
      </c>
      <c r="F93" s="163">
        <f t="shared" si="3"/>
        <v>7910</v>
      </c>
      <c r="G93" s="164">
        <f t="shared" si="3"/>
        <v>8010</v>
      </c>
      <c r="H93" s="165">
        <f t="shared" si="4"/>
        <v>100</v>
      </c>
    </row>
    <row r="94" spans="1:24" x14ac:dyDescent="0.3">
      <c r="B94" s="253"/>
      <c r="C94" s="218" t="s">
        <v>37</v>
      </c>
      <c r="D94" s="203">
        <f>IF(C94&gt;0,IFERROR(VLOOKUP(C94,Formaciones!$A$4:$B$20,2,FALSE),""),"")</f>
        <v>8010</v>
      </c>
      <c r="E94" s="22">
        <v>9.3000000000000007</v>
      </c>
      <c r="F94" s="163">
        <f t="shared" si="3"/>
        <v>8010</v>
      </c>
      <c r="G94" s="164">
        <f t="shared" si="3"/>
        <v>8077</v>
      </c>
      <c r="H94" s="165">
        <f t="shared" si="4"/>
        <v>67</v>
      </c>
    </row>
    <row r="95" spans="1:24" x14ac:dyDescent="0.3">
      <c r="B95" s="253"/>
      <c r="C95" s="218" t="s">
        <v>41</v>
      </c>
      <c r="D95" s="203">
        <f>IF(C95&gt;0,IFERROR(VLOOKUP(C95,Formaciones!$A$4:$B$20,2,FALSE),""),"")</f>
        <v>8077</v>
      </c>
      <c r="E95" s="22">
        <v>9.3000000000000007</v>
      </c>
      <c r="F95" s="163">
        <f t="shared" si="3"/>
        <v>8077</v>
      </c>
      <c r="G95" s="164">
        <f t="shared" si="3"/>
        <v>8295</v>
      </c>
      <c r="H95" s="165">
        <f t="shared" si="4"/>
        <v>218</v>
      </c>
    </row>
    <row r="96" spans="1:24" x14ac:dyDescent="0.3">
      <c r="B96" s="253"/>
      <c r="C96" s="218" t="s">
        <v>38</v>
      </c>
      <c r="D96" s="203">
        <f>IF(C96&gt;0,IFERROR(VLOOKUP(C96,Formaciones!$A$4:$B$20,2,FALSE),""),"")</f>
        <v>8295</v>
      </c>
      <c r="E96" s="22">
        <v>9.3000000000000007</v>
      </c>
      <c r="F96" s="163">
        <f t="shared" si="3"/>
        <v>8295</v>
      </c>
      <c r="G96" s="164">
        <f t="shared" si="3"/>
        <v>8459</v>
      </c>
      <c r="H96" s="165">
        <f t="shared" si="4"/>
        <v>164</v>
      </c>
    </row>
    <row r="97" spans="2:8" x14ac:dyDescent="0.3">
      <c r="B97" s="253"/>
      <c r="C97" s="218" t="s">
        <v>39</v>
      </c>
      <c r="D97" s="206">
        <f>IF(C97&gt;0,IFERROR(VLOOKUP(C97,Formaciones!$A$4:$B$20,2,FALSE),""),"")</f>
        <v>8459</v>
      </c>
      <c r="E97" s="22">
        <v>9.3000000000000007</v>
      </c>
      <c r="F97" s="163">
        <f t="shared" si="3"/>
        <v>8459</v>
      </c>
      <c r="G97" s="164">
        <f t="shared" si="3"/>
        <v>8725</v>
      </c>
      <c r="H97" s="165">
        <f t="shared" si="4"/>
        <v>266</v>
      </c>
    </row>
    <row r="98" spans="2:8" x14ac:dyDescent="0.3">
      <c r="B98" s="253"/>
      <c r="C98" s="218" t="s">
        <v>40</v>
      </c>
      <c r="D98" s="203">
        <f>IF(C98&gt;0,IFERROR(VLOOKUP(C98,Formaciones!$A$4:$B$20,2,FALSE),""),"")</f>
        <v>8725</v>
      </c>
      <c r="E98" s="22">
        <v>9.3000000000000007</v>
      </c>
      <c r="F98" s="163">
        <f t="shared" si="3"/>
        <v>8725</v>
      </c>
      <c r="G98" s="164">
        <f t="shared" si="3"/>
        <v>8779</v>
      </c>
      <c r="H98" s="165">
        <f t="shared" si="4"/>
        <v>54</v>
      </c>
    </row>
    <row r="99" spans="2:8" x14ac:dyDescent="0.3">
      <c r="B99" s="253"/>
      <c r="C99" s="218" t="s">
        <v>27</v>
      </c>
      <c r="D99" s="203">
        <f>IF(C99&gt;0,IFERROR(VLOOKUP(C99,Formaciones!$A$4:$B$20,2,FALSE),""),"")</f>
        <v>8779</v>
      </c>
      <c r="E99" s="22">
        <v>9.3000000000000007</v>
      </c>
      <c r="F99" s="163">
        <f t="shared" si="3"/>
        <v>8779</v>
      </c>
      <c r="G99" s="164">
        <f t="shared" si="3"/>
        <v>9208</v>
      </c>
      <c r="H99" s="165">
        <f t="shared" si="4"/>
        <v>429</v>
      </c>
    </row>
    <row r="100" spans="2:8" x14ac:dyDescent="0.3">
      <c r="B100" s="253"/>
      <c r="C100" s="218" t="s">
        <v>28</v>
      </c>
      <c r="D100" s="203">
        <f>IF(C100&gt;0,IFERROR(VLOOKUP(C100,Formaciones!$A$4:$B$20,2,FALSE),""),"")</f>
        <v>9208</v>
      </c>
      <c r="E100" s="22">
        <v>9.35</v>
      </c>
      <c r="F100" s="163">
        <f t="shared" si="3"/>
        <v>9208</v>
      </c>
      <c r="G100" s="164">
        <f t="shared" si="3"/>
        <v>10152</v>
      </c>
      <c r="H100" s="165">
        <f t="shared" si="4"/>
        <v>944</v>
      </c>
    </row>
    <row r="101" spans="2:8" x14ac:dyDescent="0.3">
      <c r="B101" s="253"/>
      <c r="C101" s="218" t="s">
        <v>29</v>
      </c>
      <c r="D101" s="203">
        <f>IF(C101&gt;0,IFERROR(VLOOKUP(C101,Formaciones!$A$4:$B$20,2,FALSE),""),"")</f>
        <v>10152</v>
      </c>
      <c r="E101" s="22">
        <v>9.5</v>
      </c>
      <c r="F101" s="163">
        <f t="shared" si="3"/>
        <v>10152</v>
      </c>
      <c r="G101" s="164">
        <f t="shared" si="3"/>
        <v>13174</v>
      </c>
      <c r="H101" s="165">
        <f t="shared" si="4"/>
        <v>3022</v>
      </c>
    </row>
    <row r="102" spans="2:8" x14ac:dyDescent="0.3">
      <c r="B102" s="253"/>
      <c r="C102" s="219" t="s">
        <v>119</v>
      </c>
      <c r="D102" s="200">
        <f>+'Ingreso de Datos'!D53</f>
        <v>10504</v>
      </c>
      <c r="E102" s="22">
        <v>9.5</v>
      </c>
      <c r="F102" s="166">
        <f>+G102</f>
        <v>10504</v>
      </c>
      <c r="G102" s="212">
        <f>+I11+5</f>
        <v>10504</v>
      </c>
      <c r="H102" s="167">
        <f t="shared" ref="H102:H104" si="5">+G102-F102</f>
        <v>0</v>
      </c>
    </row>
    <row r="103" spans="2:8" ht="15" thickBot="1" x14ac:dyDescent="0.35">
      <c r="B103" s="252"/>
      <c r="C103" s="220"/>
      <c r="D103" s="162">
        <f>+G103</f>
        <v>10504</v>
      </c>
      <c r="E103" s="209">
        <v>9.8000000000000007</v>
      </c>
      <c r="F103" s="166">
        <f>+F102</f>
        <v>10504</v>
      </c>
      <c r="G103" s="212">
        <f>+G102</f>
        <v>10504</v>
      </c>
      <c r="H103" s="167">
        <f t="shared" ref="H103" si="6">+G103-F103</f>
        <v>0</v>
      </c>
    </row>
    <row r="104" spans="2:8" x14ac:dyDescent="0.3">
      <c r="B104" s="251" t="s">
        <v>120</v>
      </c>
      <c r="C104" s="215"/>
      <c r="D104" s="201">
        <f>+G104</f>
        <v>10504</v>
      </c>
      <c r="E104" s="21">
        <v>8.4</v>
      </c>
      <c r="F104" s="168">
        <f>+G102</f>
        <v>10504</v>
      </c>
      <c r="G104" s="213">
        <f>+G102</f>
        <v>10504</v>
      </c>
      <c r="H104" s="167">
        <f t="shared" si="5"/>
        <v>0</v>
      </c>
    </row>
    <row r="105" spans="2:8" ht="15" thickBot="1" x14ac:dyDescent="0.35">
      <c r="B105" s="252"/>
      <c r="C105" s="216" t="s">
        <v>4</v>
      </c>
      <c r="D105" s="207">
        <f>IF(C105&gt;0,IFERROR(VLOOKUP(C105,Formaciones!$A$4:$B$20,2,FALSE),""),"")</f>
        <v>13174</v>
      </c>
      <c r="E105" s="210">
        <v>8.6</v>
      </c>
      <c r="F105" s="211">
        <f>+E23</f>
        <v>0</v>
      </c>
      <c r="G105" s="164">
        <f>+F23</f>
        <v>0</v>
      </c>
      <c r="H105" s="165"/>
    </row>
  </sheetData>
  <mergeCells count="56">
    <mergeCell ref="O17:P17"/>
    <mergeCell ref="I37:I38"/>
    <mergeCell ref="H39:H43"/>
    <mergeCell ref="H44:H48"/>
    <mergeCell ref="H49:H53"/>
    <mergeCell ref="M49:M53"/>
    <mergeCell ref="J37:K37"/>
    <mergeCell ref="N37:N38"/>
    <mergeCell ref="O37:P37"/>
    <mergeCell ref="M39:M43"/>
    <mergeCell ref="M44:M48"/>
    <mergeCell ref="B104:B105"/>
    <mergeCell ref="B88:B103"/>
    <mergeCell ref="E6:F6"/>
    <mergeCell ref="H64:H68"/>
    <mergeCell ref="C39:C43"/>
    <mergeCell ref="C44:C48"/>
    <mergeCell ref="C49:C53"/>
    <mergeCell ref="C64:C68"/>
    <mergeCell ref="H59:H63"/>
    <mergeCell ref="C59:C63"/>
    <mergeCell ref="E37:F37"/>
    <mergeCell ref="C54:C58"/>
    <mergeCell ref="H54:H58"/>
    <mergeCell ref="D37:D38"/>
    <mergeCell ref="F84:G84"/>
    <mergeCell ref="B86:B87"/>
    <mergeCell ref="C69:C73"/>
    <mergeCell ref="C74:C78"/>
    <mergeCell ref="H69:H73"/>
    <mergeCell ref="H74:H78"/>
    <mergeCell ref="W69:W73"/>
    <mergeCell ref="W74:W78"/>
    <mergeCell ref="Y37:Z37"/>
    <mergeCell ref="W59:W63"/>
    <mergeCell ref="W64:W68"/>
    <mergeCell ref="X37:X38"/>
    <mergeCell ref="R39:R43"/>
    <mergeCell ref="R44:R48"/>
    <mergeCell ref="R49:R53"/>
    <mergeCell ref="R54:R58"/>
    <mergeCell ref="W39:W43"/>
    <mergeCell ref="W44:W48"/>
    <mergeCell ref="W49:W53"/>
    <mergeCell ref="W54:W58"/>
    <mergeCell ref="M59:M63"/>
    <mergeCell ref="T37:U37"/>
    <mergeCell ref="M64:M68"/>
    <mergeCell ref="M69:M73"/>
    <mergeCell ref="M74:M78"/>
    <mergeCell ref="R69:R73"/>
    <mergeCell ref="R74:R78"/>
    <mergeCell ref="S37:S38"/>
    <mergeCell ref="M54:M58"/>
    <mergeCell ref="R59:R63"/>
    <mergeCell ref="R64:R6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'Ingreso de Datos'!$B$26:$B$42</xm:f>
          </x14:formula1>
          <xm:sqref>C88:C101 C85:C86 C105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50"/>
  <sheetViews>
    <sheetView showGridLines="0" tabSelected="1" zoomScale="78" zoomScaleNormal="78" workbookViewId="0">
      <selection activeCell="R22" sqref="R22"/>
    </sheetView>
  </sheetViews>
  <sheetFormatPr baseColWidth="10" defaultColWidth="0" defaultRowHeight="13.2" x14ac:dyDescent="0.25"/>
  <cols>
    <col min="1" max="1" width="5.88671875" style="126" customWidth="1"/>
    <col min="2" max="2" width="9.109375" style="126" customWidth="1"/>
    <col min="3" max="3" width="16.5546875" style="124" customWidth="1"/>
    <col min="4" max="4" width="17.6640625" style="125" customWidth="1"/>
    <col min="5" max="5" width="28.5546875" style="126" customWidth="1"/>
    <col min="6" max="6" width="14.109375" style="126" customWidth="1"/>
    <col min="7" max="7" width="16.88671875" style="126" customWidth="1"/>
    <col min="8" max="8" width="21.88671875" style="126" customWidth="1"/>
    <col min="9" max="9" width="15.5546875" style="126" customWidth="1"/>
    <col min="10" max="10" width="27.5546875" style="126" customWidth="1"/>
    <col min="11" max="11" width="33.33203125" style="126" customWidth="1"/>
    <col min="12" max="12" width="29" style="126" customWidth="1"/>
    <col min="13" max="13" width="31" style="126" customWidth="1"/>
    <col min="14" max="14" width="2" style="126" customWidth="1"/>
    <col min="15" max="20" width="9.109375" style="126" customWidth="1"/>
    <col min="21" max="21" width="0.5546875" style="126" customWidth="1"/>
    <col min="22" max="16384" width="0" style="126" hidden="1"/>
  </cols>
  <sheetData>
    <row r="1" spans="3:16" x14ac:dyDescent="0.25">
      <c r="C1" s="170" t="str">
        <f>IF(D1&gt;0,IFERROR(VLOOKUP(D1,$D$132:$H$147,5,FALSE),""),"")</f>
        <v/>
      </c>
      <c r="D1" s="169"/>
    </row>
    <row r="2" spans="3:16" ht="25.5" hidden="1" customHeight="1" x14ac:dyDescent="0.25">
      <c r="E2" s="127"/>
      <c r="F2" s="127"/>
      <c r="G2" s="127"/>
      <c r="H2" s="127"/>
      <c r="I2" s="127"/>
      <c r="J2" s="127"/>
      <c r="K2" s="127"/>
      <c r="L2" s="127"/>
      <c r="M2" s="127"/>
    </row>
    <row r="3" spans="3:16" ht="42.75" customHeight="1" x14ac:dyDescent="0.25">
      <c r="C3" s="265" t="str">
        <f>+'Ingreso de Datos'!F6</f>
        <v>POZO Alberta HZ-5 // HORIZONTAL</v>
      </c>
      <c r="D3" s="266"/>
      <c r="E3" s="266"/>
      <c r="F3" s="266"/>
      <c r="G3" s="266"/>
      <c r="H3" s="266"/>
      <c r="I3" s="266"/>
      <c r="J3" s="266"/>
      <c r="K3" s="266"/>
      <c r="L3" s="266"/>
      <c r="M3" s="267"/>
    </row>
    <row r="4" spans="3:16" ht="12" customHeight="1" thickBot="1" x14ac:dyDescent="0.35">
      <c r="E4" s="128"/>
      <c r="F4" s="128"/>
      <c r="G4" s="128"/>
      <c r="H4" s="128"/>
      <c r="I4" s="128"/>
      <c r="J4" s="128"/>
      <c r="K4" s="128"/>
      <c r="L4" s="128"/>
      <c r="M4" s="128"/>
    </row>
    <row r="5" spans="3:16" ht="42" customHeight="1" thickBot="1" x14ac:dyDescent="0.3">
      <c r="C5" s="268" t="s">
        <v>109</v>
      </c>
      <c r="D5" s="269"/>
      <c r="E5" s="151"/>
      <c r="F5" s="152" t="s">
        <v>110</v>
      </c>
      <c r="G5" s="235" t="s">
        <v>111</v>
      </c>
      <c r="H5" s="235" t="s">
        <v>112</v>
      </c>
      <c r="I5" s="235" t="s">
        <v>113</v>
      </c>
      <c r="J5" s="235" t="s">
        <v>114</v>
      </c>
      <c r="K5" s="235" t="s">
        <v>115</v>
      </c>
      <c r="L5" s="235" t="s">
        <v>116</v>
      </c>
      <c r="M5" s="236" t="s">
        <v>82</v>
      </c>
    </row>
    <row r="6" spans="3:16" ht="18" customHeight="1" x14ac:dyDescent="0.25">
      <c r="C6" s="225">
        <f t="shared" ref="C6:C28" si="0">IF(D6&gt;0,IFERROR(VLOOKUP(D6,$D$132:$H$147,2,FALSE),""),"")</f>
        <v>29</v>
      </c>
      <c r="D6" s="195" t="s">
        <v>25</v>
      </c>
      <c r="E6" s="229"/>
      <c r="F6" s="228"/>
      <c r="G6" s="263" t="s">
        <v>127</v>
      </c>
      <c r="H6" s="270">
        <f>900</f>
        <v>900</v>
      </c>
      <c r="I6" s="257" t="s">
        <v>117</v>
      </c>
      <c r="J6" s="272" t="s">
        <v>128</v>
      </c>
      <c r="K6" s="263" t="s">
        <v>129</v>
      </c>
      <c r="L6" s="257" t="s">
        <v>130</v>
      </c>
      <c r="M6" s="257" t="s">
        <v>118</v>
      </c>
      <c r="P6" s="126" t="s">
        <v>24</v>
      </c>
    </row>
    <row r="7" spans="3:16" ht="18" customHeight="1" x14ac:dyDescent="0.25">
      <c r="C7" s="226" t="str">
        <f t="shared" si="0"/>
        <v/>
      </c>
      <c r="D7" s="155"/>
      <c r="E7" s="230"/>
      <c r="F7" s="231"/>
      <c r="G7" s="264"/>
      <c r="H7" s="271"/>
      <c r="I7" s="258"/>
      <c r="J7" s="273"/>
      <c r="K7" s="264"/>
      <c r="L7" s="258"/>
      <c r="M7" s="258"/>
    </row>
    <row r="8" spans="3:16" ht="18" customHeight="1" x14ac:dyDescent="0.25">
      <c r="C8" s="226" t="str">
        <f t="shared" si="0"/>
        <v/>
      </c>
      <c r="D8" s="155"/>
      <c r="E8" s="230"/>
      <c r="F8" s="231"/>
      <c r="G8" s="264"/>
      <c r="H8" s="271"/>
      <c r="I8" s="258"/>
      <c r="J8" s="273"/>
      <c r="K8" s="264"/>
      <c r="L8" s="258"/>
      <c r="M8" s="258"/>
    </row>
    <row r="9" spans="3:16" ht="18" customHeight="1" x14ac:dyDescent="0.25">
      <c r="C9" s="226" t="str">
        <f t="shared" si="0"/>
        <v/>
      </c>
      <c r="D9" s="155"/>
      <c r="E9" s="230"/>
      <c r="F9" s="231"/>
      <c r="G9" s="264"/>
      <c r="H9" s="271"/>
      <c r="I9" s="258"/>
      <c r="J9" s="273"/>
      <c r="K9" s="264"/>
      <c r="L9" s="258"/>
      <c r="M9" s="258"/>
    </row>
    <row r="10" spans="3:16" ht="18" customHeight="1" x14ac:dyDescent="0.25">
      <c r="C10" s="226" t="str">
        <f t="shared" si="0"/>
        <v/>
      </c>
      <c r="D10" s="155"/>
      <c r="E10" s="230"/>
      <c r="F10" s="231"/>
      <c r="G10" s="264"/>
      <c r="H10" s="271"/>
      <c r="I10" s="258"/>
      <c r="J10" s="273"/>
      <c r="K10" s="264"/>
      <c r="L10" s="258"/>
      <c r="M10" s="258"/>
    </row>
    <row r="11" spans="3:16" ht="18" customHeight="1" x14ac:dyDescent="0.25">
      <c r="C11" s="226" t="str">
        <f t="shared" si="0"/>
        <v/>
      </c>
      <c r="D11" s="155"/>
      <c r="E11" s="230"/>
      <c r="F11" s="231"/>
      <c r="G11" s="264"/>
      <c r="H11" s="271"/>
      <c r="I11" s="258"/>
      <c r="J11" s="273"/>
      <c r="K11" s="264"/>
      <c r="L11" s="258"/>
      <c r="M11" s="258"/>
    </row>
    <row r="12" spans="3:16" ht="18" customHeight="1" x14ac:dyDescent="0.25">
      <c r="C12" s="226" t="str">
        <f t="shared" si="0"/>
        <v/>
      </c>
      <c r="D12" s="155"/>
      <c r="E12" s="230"/>
      <c r="F12" s="231"/>
      <c r="G12" s="264"/>
      <c r="H12" s="271"/>
      <c r="I12" s="258"/>
      <c r="J12" s="273"/>
      <c r="K12" s="264"/>
      <c r="L12" s="258"/>
      <c r="M12" s="258"/>
    </row>
    <row r="13" spans="3:16" ht="18" customHeight="1" x14ac:dyDescent="0.25">
      <c r="C13" s="226" t="str">
        <f t="shared" si="0"/>
        <v/>
      </c>
      <c r="D13" s="155"/>
      <c r="E13" s="230"/>
      <c r="F13" s="231"/>
      <c r="G13" s="264"/>
      <c r="H13" s="271"/>
      <c r="I13" s="258"/>
      <c r="J13" s="273"/>
      <c r="K13" s="264"/>
      <c r="L13" s="258"/>
      <c r="M13" s="258"/>
    </row>
    <row r="14" spans="3:16" ht="18" customHeight="1" x14ac:dyDescent="0.25">
      <c r="C14" s="226" t="str">
        <f t="shared" si="0"/>
        <v/>
      </c>
      <c r="D14" s="155"/>
      <c r="E14" s="230"/>
      <c r="F14" s="231"/>
      <c r="G14" s="264"/>
      <c r="H14" s="271"/>
      <c r="I14" s="258"/>
      <c r="J14" s="273"/>
      <c r="K14" s="264"/>
      <c r="L14" s="258"/>
      <c r="M14" s="258"/>
    </row>
    <row r="15" spans="3:16" ht="18" customHeight="1" x14ac:dyDescent="0.25">
      <c r="C15" s="226" t="str">
        <f t="shared" si="0"/>
        <v/>
      </c>
      <c r="D15" s="155"/>
      <c r="E15" s="230"/>
      <c r="F15" s="231"/>
      <c r="G15" s="264"/>
      <c r="H15" s="271"/>
      <c r="I15" s="258"/>
      <c r="J15" s="273"/>
      <c r="K15" s="264"/>
      <c r="L15" s="258"/>
      <c r="M15" s="258"/>
    </row>
    <row r="16" spans="3:16" ht="18" customHeight="1" x14ac:dyDescent="0.25">
      <c r="C16" s="226" t="str">
        <f t="shared" si="0"/>
        <v/>
      </c>
      <c r="D16" s="155"/>
      <c r="E16" s="230"/>
      <c r="F16" s="231"/>
      <c r="G16" s="264"/>
      <c r="H16" s="271"/>
      <c r="I16" s="258"/>
      <c r="J16" s="273"/>
      <c r="K16" s="264"/>
      <c r="L16" s="258"/>
      <c r="M16" s="258"/>
    </row>
    <row r="17" spans="3:13" ht="18" customHeight="1" x14ac:dyDescent="0.25">
      <c r="C17" s="226" t="str">
        <f t="shared" si="0"/>
        <v/>
      </c>
      <c r="D17" s="155"/>
      <c r="E17" s="230"/>
      <c r="F17" s="231"/>
      <c r="G17" s="264"/>
      <c r="H17" s="271"/>
      <c r="I17" s="258"/>
      <c r="J17" s="273"/>
      <c r="K17" s="264"/>
      <c r="L17" s="258"/>
      <c r="M17" s="258"/>
    </row>
    <row r="18" spans="3:13" ht="18" customHeight="1" x14ac:dyDescent="0.25">
      <c r="C18" s="226" t="str">
        <f t="shared" si="0"/>
        <v/>
      </c>
      <c r="D18" s="155"/>
      <c r="E18" s="230"/>
      <c r="F18" s="231"/>
      <c r="G18" s="264"/>
      <c r="H18" s="271"/>
      <c r="I18" s="258"/>
      <c r="J18" s="273"/>
      <c r="K18" s="264"/>
      <c r="L18" s="258"/>
      <c r="M18" s="258"/>
    </row>
    <row r="19" spans="3:13" ht="18" customHeight="1" x14ac:dyDescent="0.25">
      <c r="C19" s="226" t="str">
        <f t="shared" si="0"/>
        <v/>
      </c>
      <c r="D19" s="155"/>
      <c r="E19" s="230"/>
      <c r="F19" s="231"/>
      <c r="G19" s="264"/>
      <c r="H19" s="271"/>
      <c r="I19" s="258"/>
      <c r="J19" s="273"/>
      <c r="K19" s="264"/>
      <c r="L19" s="258"/>
      <c r="M19" s="258"/>
    </row>
    <row r="20" spans="3:13" ht="18" customHeight="1" x14ac:dyDescent="0.25">
      <c r="C20" s="226" t="str">
        <f t="shared" si="0"/>
        <v/>
      </c>
      <c r="D20" s="155"/>
      <c r="E20" s="230"/>
      <c r="F20" s="231"/>
      <c r="G20" s="264"/>
      <c r="H20" s="271"/>
      <c r="I20" s="258"/>
      <c r="J20" s="273"/>
      <c r="K20" s="264"/>
      <c r="L20" s="258"/>
      <c r="M20" s="258"/>
    </row>
    <row r="21" spans="3:13" ht="18" customHeight="1" x14ac:dyDescent="0.25">
      <c r="C21" s="226" t="str">
        <f t="shared" si="0"/>
        <v/>
      </c>
      <c r="D21" s="155"/>
      <c r="E21" s="230"/>
      <c r="F21" s="231"/>
      <c r="G21" s="264"/>
      <c r="H21" s="271"/>
      <c r="I21" s="258"/>
      <c r="J21" s="273"/>
      <c r="K21" s="264"/>
      <c r="L21" s="258"/>
      <c r="M21" s="258"/>
    </row>
    <row r="22" spans="3:13" ht="18" customHeight="1" x14ac:dyDescent="0.25">
      <c r="C22" s="226" t="str">
        <f t="shared" si="0"/>
        <v/>
      </c>
      <c r="D22" s="155"/>
      <c r="E22" s="230"/>
      <c r="F22" s="231"/>
      <c r="G22" s="264"/>
      <c r="H22" s="271"/>
      <c r="I22" s="258"/>
      <c r="J22" s="273"/>
      <c r="K22" s="264"/>
      <c r="L22" s="258"/>
      <c r="M22" s="258"/>
    </row>
    <row r="23" spans="3:13" ht="18" customHeight="1" x14ac:dyDescent="0.25">
      <c r="C23" s="226" t="str">
        <f t="shared" si="0"/>
        <v/>
      </c>
      <c r="D23" s="155"/>
      <c r="E23" s="230"/>
      <c r="F23" s="231"/>
      <c r="G23" s="264"/>
      <c r="H23" s="271"/>
      <c r="I23" s="258"/>
      <c r="J23" s="273"/>
      <c r="K23" s="264"/>
      <c r="L23" s="258"/>
      <c r="M23" s="258"/>
    </row>
    <row r="24" spans="3:13" ht="18" customHeight="1" x14ac:dyDescent="0.25">
      <c r="C24" s="226" t="str">
        <f t="shared" si="0"/>
        <v/>
      </c>
      <c r="D24" s="155"/>
      <c r="E24" s="230"/>
      <c r="F24" s="231"/>
      <c r="G24" s="264"/>
      <c r="H24" s="271"/>
      <c r="I24" s="258"/>
      <c r="J24" s="273"/>
      <c r="K24" s="264"/>
      <c r="L24" s="258"/>
      <c r="M24" s="258"/>
    </row>
    <row r="25" spans="3:13" ht="18" customHeight="1" x14ac:dyDescent="0.25">
      <c r="C25" s="226" t="str">
        <f t="shared" si="0"/>
        <v/>
      </c>
      <c r="D25" s="155"/>
      <c r="E25" s="230"/>
      <c r="F25" s="231"/>
      <c r="G25" s="264"/>
      <c r="H25" s="271"/>
      <c r="I25" s="258"/>
      <c r="J25" s="273"/>
      <c r="K25" s="264"/>
      <c r="L25" s="258"/>
      <c r="M25" s="258"/>
    </row>
    <row r="26" spans="3:13" ht="18" customHeight="1" x14ac:dyDescent="0.25">
      <c r="C26" s="226" t="str">
        <f t="shared" si="0"/>
        <v/>
      </c>
      <c r="D26" s="155"/>
      <c r="E26" s="230"/>
      <c r="F26" s="231"/>
      <c r="G26" s="264"/>
      <c r="H26" s="271"/>
      <c r="I26" s="258"/>
      <c r="J26" s="273"/>
      <c r="K26" s="264"/>
      <c r="L26" s="258"/>
      <c r="M26" s="258"/>
    </row>
    <row r="27" spans="3:13" ht="18" customHeight="1" x14ac:dyDescent="0.25">
      <c r="C27" s="226" t="str">
        <f t="shared" si="0"/>
        <v/>
      </c>
      <c r="D27" s="155"/>
      <c r="E27" s="230"/>
      <c r="F27" s="231"/>
      <c r="G27" s="264"/>
      <c r="H27" s="271"/>
      <c r="I27" s="258"/>
      <c r="J27" s="273"/>
      <c r="K27" s="264"/>
      <c r="L27" s="258"/>
      <c r="M27" s="258"/>
    </row>
    <row r="28" spans="3:13" ht="18" customHeight="1" x14ac:dyDescent="0.25">
      <c r="C28" s="226" t="str">
        <f t="shared" si="0"/>
        <v/>
      </c>
      <c r="D28" s="155"/>
      <c r="E28" s="230"/>
      <c r="F28" s="231"/>
      <c r="G28" s="264"/>
      <c r="H28" s="271"/>
      <c r="I28" s="258"/>
      <c r="J28" s="273"/>
      <c r="K28" s="264"/>
      <c r="L28" s="258"/>
      <c r="M28" s="258"/>
    </row>
    <row r="29" spans="3:13" ht="18" customHeight="1" x14ac:dyDescent="0.25">
      <c r="C29" s="225">
        <v>0</v>
      </c>
      <c r="D29" s="156" t="s">
        <v>25</v>
      </c>
      <c r="E29" s="230"/>
      <c r="F29" s="231"/>
      <c r="G29" s="264"/>
      <c r="H29" s="271"/>
      <c r="I29" s="258"/>
      <c r="J29" s="273"/>
      <c r="K29" s="264"/>
      <c r="L29" s="258"/>
      <c r="M29" s="258"/>
    </row>
    <row r="30" spans="3:13" ht="18" customHeight="1" x14ac:dyDescent="0.25">
      <c r="C30" s="226" t="str">
        <f t="shared" ref="C30:C61" si="1">IF(D30&gt;0,IFERROR(VLOOKUP(D30,$D$132:$H$147,2,FALSE),""),"")</f>
        <v/>
      </c>
      <c r="D30" s="155"/>
      <c r="E30" s="230"/>
      <c r="F30" s="231"/>
      <c r="G30" s="264"/>
      <c r="H30" s="271"/>
      <c r="I30" s="258"/>
      <c r="J30" s="273"/>
      <c r="K30" s="264"/>
      <c r="L30" s="258"/>
      <c r="M30" s="258"/>
    </row>
    <row r="31" spans="3:13" ht="18" customHeight="1" thickBot="1" x14ac:dyDescent="0.3">
      <c r="C31" s="226" t="str">
        <f t="shared" si="1"/>
        <v/>
      </c>
      <c r="D31" s="156"/>
      <c r="E31" s="230"/>
      <c r="F31" s="231"/>
      <c r="G31" s="264"/>
      <c r="H31" s="271"/>
      <c r="I31" s="258"/>
      <c r="J31" s="273"/>
      <c r="K31" s="264"/>
      <c r="L31" s="258"/>
      <c r="M31" s="258"/>
    </row>
    <row r="32" spans="3:13" ht="18" customHeight="1" x14ac:dyDescent="0.25">
      <c r="C32" s="226" t="str">
        <f t="shared" si="1"/>
        <v/>
      </c>
      <c r="D32" s="157"/>
      <c r="E32" s="230"/>
      <c r="F32" s="232"/>
      <c r="G32" s="263" t="s">
        <v>125</v>
      </c>
      <c r="H32" s="270">
        <f>10412-900</f>
        <v>9512</v>
      </c>
      <c r="I32" s="257" t="s">
        <v>131</v>
      </c>
      <c r="J32" s="272" t="s">
        <v>132</v>
      </c>
      <c r="K32" s="274" t="s">
        <v>133</v>
      </c>
      <c r="L32" s="257" t="s">
        <v>136</v>
      </c>
      <c r="M32" s="257" t="s">
        <v>118</v>
      </c>
    </row>
    <row r="33" spans="3:13" ht="18" customHeight="1" x14ac:dyDescent="0.25">
      <c r="C33" s="226" t="str">
        <f t="shared" si="1"/>
        <v/>
      </c>
      <c r="D33" s="155"/>
      <c r="E33" s="230"/>
      <c r="F33" s="230"/>
      <c r="G33" s="264"/>
      <c r="H33" s="271"/>
      <c r="I33" s="258"/>
      <c r="J33" s="273"/>
      <c r="K33" s="275"/>
      <c r="L33" s="258"/>
      <c r="M33" s="258"/>
    </row>
    <row r="34" spans="3:13" ht="18" customHeight="1" x14ac:dyDescent="0.25">
      <c r="C34" s="226" t="str">
        <f t="shared" si="1"/>
        <v/>
      </c>
      <c r="D34" s="155"/>
      <c r="E34" s="230"/>
      <c r="F34" s="230"/>
      <c r="G34" s="264"/>
      <c r="H34" s="271"/>
      <c r="I34" s="258"/>
      <c r="J34" s="273"/>
      <c r="K34" s="275"/>
      <c r="L34" s="258"/>
      <c r="M34" s="258"/>
    </row>
    <row r="35" spans="3:13" ht="18" customHeight="1" x14ac:dyDescent="0.25">
      <c r="C35" s="226" t="str">
        <f t="shared" si="1"/>
        <v/>
      </c>
      <c r="D35" s="155"/>
      <c r="E35" s="230"/>
      <c r="F35" s="230"/>
      <c r="G35" s="264"/>
      <c r="H35" s="271"/>
      <c r="I35" s="258"/>
      <c r="J35" s="273"/>
      <c r="K35" s="275"/>
      <c r="L35" s="258"/>
      <c r="M35" s="258"/>
    </row>
    <row r="36" spans="3:13" ht="18" customHeight="1" x14ac:dyDescent="0.25">
      <c r="C36" s="226" t="str">
        <f t="shared" si="1"/>
        <v/>
      </c>
      <c r="D36" s="155"/>
      <c r="E36" s="230"/>
      <c r="F36" s="230"/>
      <c r="G36" s="264"/>
      <c r="H36" s="271"/>
      <c r="I36" s="258"/>
      <c r="J36" s="273"/>
      <c r="K36" s="275"/>
      <c r="L36" s="258"/>
      <c r="M36" s="258"/>
    </row>
    <row r="37" spans="3:13" ht="18" customHeight="1" x14ac:dyDescent="0.25">
      <c r="C37" s="226" t="str">
        <f t="shared" si="1"/>
        <v/>
      </c>
      <c r="D37" s="155"/>
      <c r="E37" s="230"/>
      <c r="F37" s="230"/>
      <c r="G37" s="264"/>
      <c r="H37" s="271"/>
      <c r="I37" s="258"/>
      <c r="J37" s="273"/>
      <c r="K37" s="275"/>
      <c r="L37" s="258"/>
      <c r="M37" s="258"/>
    </row>
    <row r="38" spans="3:13" ht="18" customHeight="1" x14ac:dyDescent="0.25">
      <c r="C38" s="226" t="str">
        <f t="shared" si="1"/>
        <v/>
      </c>
      <c r="D38" s="155"/>
      <c r="E38" s="230"/>
      <c r="F38" s="230"/>
      <c r="G38" s="264"/>
      <c r="H38" s="271"/>
      <c r="I38" s="258"/>
      <c r="J38" s="273"/>
      <c r="K38" s="275"/>
      <c r="L38" s="258"/>
      <c r="M38" s="258"/>
    </row>
    <row r="39" spans="3:13" ht="18" customHeight="1" x14ac:dyDescent="0.25">
      <c r="C39" s="226" t="str">
        <f t="shared" si="1"/>
        <v/>
      </c>
      <c r="D39" s="155"/>
      <c r="E39" s="230"/>
      <c r="F39" s="230"/>
      <c r="G39" s="264"/>
      <c r="H39" s="271"/>
      <c r="I39" s="258"/>
      <c r="J39" s="273"/>
      <c r="K39" s="275"/>
      <c r="L39" s="258"/>
      <c r="M39" s="258"/>
    </row>
    <row r="40" spans="3:13" ht="18" customHeight="1" x14ac:dyDescent="0.25">
      <c r="C40" s="226" t="str">
        <f t="shared" si="1"/>
        <v/>
      </c>
      <c r="D40" s="155"/>
      <c r="E40" s="230"/>
      <c r="F40" s="230"/>
      <c r="G40" s="264"/>
      <c r="H40" s="271"/>
      <c r="I40" s="258"/>
      <c r="J40" s="273"/>
      <c r="K40" s="275"/>
      <c r="L40" s="258"/>
      <c r="M40" s="258"/>
    </row>
    <row r="41" spans="3:13" ht="18" customHeight="1" x14ac:dyDescent="0.25">
      <c r="C41" s="226" t="str">
        <f t="shared" si="1"/>
        <v/>
      </c>
      <c r="D41" s="155"/>
      <c r="E41" s="230"/>
      <c r="F41" s="230"/>
      <c r="G41" s="264"/>
      <c r="H41" s="271"/>
      <c r="I41" s="258"/>
      <c r="J41" s="273"/>
      <c r="K41" s="275"/>
      <c r="L41" s="258"/>
      <c r="M41" s="258"/>
    </row>
    <row r="42" spans="3:13" ht="18" customHeight="1" x14ac:dyDescent="0.25">
      <c r="C42" s="226" t="str">
        <f t="shared" si="1"/>
        <v/>
      </c>
      <c r="D42" s="155"/>
      <c r="E42" s="230"/>
      <c r="F42" s="230"/>
      <c r="G42" s="264"/>
      <c r="H42" s="271"/>
      <c r="I42" s="258"/>
      <c r="J42" s="273"/>
      <c r="K42" s="275"/>
      <c r="L42" s="258"/>
      <c r="M42" s="258"/>
    </row>
    <row r="43" spans="3:13" ht="18" customHeight="1" x14ac:dyDescent="0.25">
      <c r="C43" s="226" t="str">
        <f t="shared" si="1"/>
        <v/>
      </c>
      <c r="D43" s="155"/>
      <c r="E43" s="230"/>
      <c r="F43" s="230"/>
      <c r="G43" s="264"/>
      <c r="H43" s="271"/>
      <c r="I43" s="258"/>
      <c r="J43" s="273"/>
      <c r="K43" s="275"/>
      <c r="L43" s="258"/>
      <c r="M43" s="258"/>
    </row>
    <row r="44" spans="3:13" ht="18" customHeight="1" x14ac:dyDescent="0.25">
      <c r="C44" s="226" t="str">
        <f t="shared" si="1"/>
        <v/>
      </c>
      <c r="D44" s="155"/>
      <c r="E44" s="230"/>
      <c r="F44" s="230"/>
      <c r="G44" s="264"/>
      <c r="H44" s="271"/>
      <c r="I44" s="258"/>
      <c r="J44" s="273"/>
      <c r="K44" s="275"/>
      <c r="L44" s="258"/>
      <c r="M44" s="258"/>
    </row>
    <row r="45" spans="3:13" ht="18" customHeight="1" x14ac:dyDescent="0.25">
      <c r="C45" s="226" t="str">
        <f t="shared" si="1"/>
        <v/>
      </c>
      <c r="D45" s="155"/>
      <c r="E45" s="230"/>
      <c r="F45" s="230"/>
      <c r="G45" s="264"/>
      <c r="H45" s="271"/>
      <c r="I45" s="258"/>
      <c r="J45" s="273"/>
      <c r="K45" s="275"/>
      <c r="L45" s="258"/>
      <c r="M45" s="258"/>
    </row>
    <row r="46" spans="3:13" ht="18" customHeight="1" x14ac:dyDescent="0.25">
      <c r="C46" s="226" t="str">
        <f t="shared" si="1"/>
        <v/>
      </c>
      <c r="D46" s="155"/>
      <c r="E46" s="230"/>
      <c r="F46" s="230"/>
      <c r="G46" s="264"/>
      <c r="H46" s="271"/>
      <c r="I46" s="258"/>
      <c r="J46" s="273"/>
      <c r="K46" s="275"/>
      <c r="L46" s="258"/>
      <c r="M46" s="258"/>
    </row>
    <row r="47" spans="3:13" ht="18" customHeight="1" x14ac:dyDescent="0.25">
      <c r="C47" s="226" t="str">
        <f t="shared" si="1"/>
        <v/>
      </c>
      <c r="D47" s="155"/>
      <c r="E47" s="230"/>
      <c r="F47" s="230"/>
      <c r="G47" s="264"/>
      <c r="H47" s="271"/>
      <c r="I47" s="258"/>
      <c r="J47" s="273"/>
      <c r="K47" s="275"/>
      <c r="L47" s="258"/>
      <c r="M47" s="258"/>
    </row>
    <row r="48" spans="3:13" ht="18" customHeight="1" x14ac:dyDescent="0.25">
      <c r="C48" s="226" t="str">
        <f t="shared" si="1"/>
        <v/>
      </c>
      <c r="D48" s="157"/>
      <c r="E48" s="230"/>
      <c r="F48" s="230"/>
      <c r="G48" s="264"/>
      <c r="H48" s="271"/>
      <c r="I48" s="258"/>
      <c r="J48" s="273"/>
      <c r="K48" s="275"/>
      <c r="L48" s="258"/>
      <c r="M48" s="258"/>
    </row>
    <row r="49" spans="3:13" ht="18" customHeight="1" x14ac:dyDescent="0.25">
      <c r="C49" s="226" t="str">
        <f t="shared" si="1"/>
        <v/>
      </c>
      <c r="D49" s="155"/>
      <c r="E49" s="230"/>
      <c r="F49" s="230"/>
      <c r="G49" s="264"/>
      <c r="H49" s="271"/>
      <c r="I49" s="258"/>
      <c r="J49" s="273"/>
      <c r="K49" s="275"/>
      <c r="L49" s="258"/>
      <c r="M49" s="258"/>
    </row>
    <row r="50" spans="3:13" ht="18" customHeight="1" x14ac:dyDescent="0.25">
      <c r="C50" s="226" t="str">
        <f t="shared" si="1"/>
        <v/>
      </c>
      <c r="D50" s="155"/>
      <c r="E50" s="230"/>
      <c r="F50" s="230"/>
      <c r="G50" s="264"/>
      <c r="H50" s="271"/>
      <c r="I50" s="258"/>
      <c r="J50" s="273"/>
      <c r="K50" s="275"/>
      <c r="L50" s="258"/>
      <c r="M50" s="258"/>
    </row>
    <row r="51" spans="3:13" ht="18" customHeight="1" x14ac:dyDescent="0.25">
      <c r="C51" s="226" t="str">
        <f t="shared" si="1"/>
        <v/>
      </c>
      <c r="D51" s="155"/>
      <c r="E51" s="230"/>
      <c r="F51" s="230"/>
      <c r="G51" s="264"/>
      <c r="H51" s="271"/>
      <c r="I51" s="258"/>
      <c r="J51" s="273"/>
      <c r="K51" s="275"/>
      <c r="L51" s="258"/>
      <c r="M51" s="258"/>
    </row>
    <row r="52" spans="3:13" ht="18" customHeight="1" x14ac:dyDescent="0.25">
      <c r="C52" s="226" t="str">
        <f t="shared" si="1"/>
        <v/>
      </c>
      <c r="D52" s="155"/>
      <c r="E52" s="230"/>
      <c r="F52" s="230"/>
      <c r="G52" s="264"/>
      <c r="H52" s="271"/>
      <c r="I52" s="258"/>
      <c r="J52" s="273"/>
      <c r="K52" s="275"/>
      <c r="L52" s="258"/>
      <c r="M52" s="258"/>
    </row>
    <row r="53" spans="3:13" ht="18" customHeight="1" x14ac:dyDescent="0.25">
      <c r="C53" s="226" t="str">
        <f t="shared" si="1"/>
        <v/>
      </c>
      <c r="D53" s="155"/>
      <c r="E53" s="230"/>
      <c r="F53" s="230"/>
      <c r="G53" s="264"/>
      <c r="H53" s="271"/>
      <c r="I53" s="258"/>
      <c r="J53" s="273"/>
      <c r="K53" s="275"/>
      <c r="L53" s="258"/>
      <c r="M53" s="258"/>
    </row>
    <row r="54" spans="3:13" ht="18" customHeight="1" x14ac:dyDescent="0.25">
      <c r="C54" s="226">
        <v>6028</v>
      </c>
      <c r="D54" s="157" t="s">
        <v>26</v>
      </c>
      <c r="E54" s="230"/>
      <c r="F54" s="230"/>
      <c r="G54" s="264"/>
      <c r="H54" s="271"/>
      <c r="I54" s="258"/>
      <c r="J54" s="273"/>
      <c r="K54" s="275"/>
      <c r="L54" s="258"/>
      <c r="M54" s="258"/>
    </row>
    <row r="55" spans="3:13" ht="18" customHeight="1" x14ac:dyDescent="0.25">
      <c r="C55" s="226" t="str">
        <f t="shared" si="1"/>
        <v/>
      </c>
      <c r="D55" s="155"/>
      <c r="E55" s="230"/>
      <c r="F55" s="230"/>
      <c r="G55" s="264"/>
      <c r="H55" s="271"/>
      <c r="I55" s="258"/>
      <c r="J55" s="273"/>
      <c r="K55" s="275"/>
      <c r="L55" s="258"/>
      <c r="M55" s="258"/>
    </row>
    <row r="56" spans="3:13" ht="18" customHeight="1" x14ac:dyDescent="0.25">
      <c r="C56" s="227" t="str">
        <f t="shared" si="1"/>
        <v/>
      </c>
      <c r="D56" s="155"/>
      <c r="E56" s="230"/>
      <c r="F56" s="230"/>
      <c r="G56" s="264"/>
      <c r="H56" s="271"/>
      <c r="I56" s="258"/>
      <c r="J56" s="273"/>
      <c r="K56" s="275"/>
      <c r="L56" s="258"/>
      <c r="M56" s="258"/>
    </row>
    <row r="57" spans="3:13" ht="18" customHeight="1" x14ac:dyDescent="0.25">
      <c r="C57" s="226" t="str">
        <f t="shared" si="1"/>
        <v/>
      </c>
      <c r="D57" s="157"/>
      <c r="E57" s="230"/>
      <c r="F57" s="230"/>
      <c r="G57" s="264"/>
      <c r="H57" s="271"/>
      <c r="I57" s="258"/>
      <c r="J57" s="273"/>
      <c r="K57" s="275"/>
      <c r="L57" s="258"/>
      <c r="M57" s="258"/>
    </row>
    <row r="58" spans="3:13" ht="18" customHeight="1" x14ac:dyDescent="0.25">
      <c r="C58" s="226" t="str">
        <f t="shared" si="1"/>
        <v/>
      </c>
      <c r="D58" s="155"/>
      <c r="E58" s="233"/>
      <c r="F58" s="233"/>
      <c r="G58" s="264"/>
      <c r="H58" s="271"/>
      <c r="I58" s="258"/>
      <c r="J58" s="273"/>
      <c r="K58" s="275"/>
      <c r="L58" s="258"/>
      <c r="M58" s="258"/>
    </row>
    <row r="59" spans="3:13" ht="18" customHeight="1" x14ac:dyDescent="0.25">
      <c r="C59" s="225" t="str">
        <f t="shared" si="1"/>
        <v/>
      </c>
      <c r="D59" s="156"/>
      <c r="E59" s="230"/>
      <c r="F59" s="230"/>
      <c r="G59" s="264"/>
      <c r="H59" s="271"/>
      <c r="I59" s="258"/>
      <c r="J59" s="273"/>
      <c r="K59" s="275"/>
      <c r="L59" s="258"/>
      <c r="M59" s="258"/>
    </row>
    <row r="60" spans="3:13" ht="18" customHeight="1" x14ac:dyDescent="0.25">
      <c r="C60" s="226" t="str">
        <f t="shared" si="1"/>
        <v/>
      </c>
      <c r="D60" s="157"/>
      <c r="E60" s="230"/>
      <c r="F60" s="230"/>
      <c r="G60" s="264"/>
      <c r="H60" s="271"/>
      <c r="I60" s="258"/>
      <c r="J60" s="273"/>
      <c r="K60" s="275"/>
      <c r="L60" s="258"/>
      <c r="M60" s="258"/>
    </row>
    <row r="61" spans="3:13" ht="18" customHeight="1" x14ac:dyDescent="0.25">
      <c r="C61" s="225" t="str">
        <f t="shared" si="1"/>
        <v/>
      </c>
      <c r="D61" s="156"/>
      <c r="E61" s="230"/>
      <c r="F61" s="230"/>
      <c r="G61" s="264"/>
      <c r="H61" s="271"/>
      <c r="I61" s="258"/>
      <c r="J61" s="273"/>
      <c r="K61" s="275"/>
      <c r="L61" s="258"/>
      <c r="M61" s="258"/>
    </row>
    <row r="62" spans="3:13" ht="18" customHeight="1" x14ac:dyDescent="0.25">
      <c r="C62" s="225">
        <v>7048</v>
      </c>
      <c r="D62" s="156" t="s">
        <v>34</v>
      </c>
      <c r="E62" s="234"/>
      <c r="F62" s="234"/>
      <c r="G62" s="264"/>
      <c r="H62" s="271"/>
      <c r="I62" s="258"/>
      <c r="J62" s="273"/>
      <c r="K62" s="275"/>
      <c r="L62" s="258"/>
      <c r="M62" s="258"/>
    </row>
    <row r="63" spans="3:13" ht="18" customHeight="1" x14ac:dyDescent="0.25">
      <c r="C63" s="226" t="str">
        <f t="shared" ref="C63:C93" si="2">IF(D63&gt;0,IFERROR(VLOOKUP(D63,$D$132:$H$147,2,FALSE),""),"")</f>
        <v/>
      </c>
      <c r="D63" s="157"/>
      <c r="E63" s="234"/>
      <c r="F63" s="234"/>
      <c r="G63" s="264"/>
      <c r="H63" s="271"/>
      <c r="I63" s="258"/>
      <c r="J63" s="273"/>
      <c r="K63" s="275"/>
      <c r="L63" s="258"/>
      <c r="M63" s="258"/>
    </row>
    <row r="64" spans="3:13" ht="18" customHeight="1" x14ac:dyDescent="0.25">
      <c r="C64" s="226" t="str">
        <f t="shared" si="2"/>
        <v/>
      </c>
      <c r="D64" s="155"/>
      <c r="E64" s="234"/>
      <c r="F64" s="234"/>
      <c r="G64" s="264"/>
      <c r="H64" s="271"/>
      <c r="I64" s="258"/>
      <c r="J64" s="273"/>
      <c r="K64" s="275"/>
      <c r="L64" s="258"/>
      <c r="M64" s="258"/>
    </row>
    <row r="65" spans="3:16" ht="18" customHeight="1" x14ac:dyDescent="0.25">
      <c r="C65" s="226" t="str">
        <f t="shared" si="2"/>
        <v/>
      </c>
      <c r="D65" s="157"/>
      <c r="E65" s="234"/>
      <c r="F65" s="234"/>
      <c r="G65" s="264"/>
      <c r="H65" s="271"/>
      <c r="I65" s="258"/>
      <c r="J65" s="273"/>
      <c r="K65" s="275"/>
      <c r="L65" s="258"/>
      <c r="M65" s="258"/>
    </row>
    <row r="66" spans="3:16" ht="18" customHeight="1" x14ac:dyDescent="0.25">
      <c r="C66" s="226">
        <v>7502</v>
      </c>
      <c r="D66" s="157" t="s">
        <v>35</v>
      </c>
      <c r="E66" s="234"/>
      <c r="F66" s="234"/>
      <c r="G66" s="264"/>
      <c r="H66" s="271"/>
      <c r="I66" s="258"/>
      <c r="J66" s="273"/>
      <c r="K66" s="275"/>
      <c r="L66" s="258"/>
      <c r="M66" s="258"/>
    </row>
    <row r="67" spans="3:16" ht="18" customHeight="1" x14ac:dyDescent="0.25">
      <c r="C67" s="225">
        <v>7662</v>
      </c>
      <c r="D67" s="156" t="s">
        <v>36</v>
      </c>
      <c r="E67" s="234"/>
      <c r="F67" s="234"/>
      <c r="G67" s="264"/>
      <c r="H67" s="271"/>
      <c r="I67" s="258"/>
      <c r="J67" s="273"/>
      <c r="K67" s="275"/>
      <c r="L67" s="258"/>
      <c r="M67" s="258"/>
    </row>
    <row r="68" spans="3:16" ht="18" customHeight="1" x14ac:dyDescent="0.25">
      <c r="C68" s="225">
        <v>7662</v>
      </c>
      <c r="D68" s="156" t="s">
        <v>37</v>
      </c>
      <c r="E68" s="233"/>
      <c r="F68" s="233"/>
      <c r="G68" s="264"/>
      <c r="H68" s="271"/>
      <c r="I68" s="258"/>
      <c r="J68" s="273"/>
      <c r="K68" s="275"/>
      <c r="L68" s="258"/>
      <c r="M68" s="258"/>
    </row>
    <row r="69" spans="3:16" ht="18" customHeight="1" x14ac:dyDescent="0.25">
      <c r="C69" s="225">
        <v>7709</v>
      </c>
      <c r="D69" s="156" t="s">
        <v>41</v>
      </c>
      <c r="E69" s="234"/>
      <c r="F69" s="234"/>
      <c r="G69" s="264"/>
      <c r="H69" s="271"/>
      <c r="I69" s="258"/>
      <c r="J69" s="273"/>
      <c r="K69" s="275"/>
      <c r="L69" s="258"/>
      <c r="M69" s="258"/>
    </row>
    <row r="70" spans="3:16" ht="18" customHeight="1" x14ac:dyDescent="0.25">
      <c r="C70" s="225">
        <v>8126</v>
      </c>
      <c r="D70" s="156" t="s">
        <v>38</v>
      </c>
      <c r="E70" s="234"/>
      <c r="F70" s="234"/>
      <c r="G70" s="264"/>
      <c r="H70" s="271"/>
      <c r="I70" s="258"/>
      <c r="J70" s="273"/>
      <c r="K70" s="275"/>
      <c r="L70" s="258"/>
      <c r="M70" s="258"/>
    </row>
    <row r="71" spans="3:16" ht="18" customHeight="1" x14ac:dyDescent="0.25">
      <c r="C71" s="227">
        <v>8299</v>
      </c>
      <c r="D71" s="155" t="s">
        <v>39</v>
      </c>
      <c r="E71" s="234"/>
      <c r="F71" s="234"/>
      <c r="G71" s="264"/>
      <c r="H71" s="271"/>
      <c r="I71" s="258"/>
      <c r="J71" s="273"/>
      <c r="K71" s="275"/>
      <c r="L71" s="258"/>
      <c r="M71" s="258"/>
    </row>
    <row r="72" spans="3:16" ht="18" customHeight="1" x14ac:dyDescent="0.25">
      <c r="C72" s="226" t="str">
        <f t="shared" si="2"/>
        <v/>
      </c>
      <c r="D72" s="157"/>
      <c r="E72" s="234"/>
      <c r="F72" s="234"/>
      <c r="G72" s="264"/>
      <c r="H72" s="271"/>
      <c r="I72" s="258"/>
      <c r="J72" s="273"/>
      <c r="K72" s="275"/>
      <c r="L72" s="258"/>
      <c r="M72" s="258"/>
      <c r="P72" s="143"/>
    </row>
    <row r="73" spans="3:16" ht="18" customHeight="1" x14ac:dyDescent="0.25">
      <c r="C73" s="225">
        <v>8585</v>
      </c>
      <c r="D73" s="156" t="s">
        <v>40</v>
      </c>
      <c r="E73" s="234"/>
      <c r="F73" s="234"/>
      <c r="G73" s="264"/>
      <c r="H73" s="271"/>
      <c r="I73" s="258"/>
      <c r="J73" s="273"/>
      <c r="K73" s="275"/>
      <c r="L73" s="258"/>
      <c r="M73" s="258"/>
    </row>
    <row r="74" spans="3:16" ht="18" customHeight="1" x14ac:dyDescent="0.25">
      <c r="C74" s="225">
        <v>8642</v>
      </c>
      <c r="D74" s="156" t="s">
        <v>27</v>
      </c>
      <c r="E74" s="234"/>
      <c r="F74" s="234"/>
      <c r="G74" s="264"/>
      <c r="H74" s="271"/>
      <c r="I74" s="258"/>
      <c r="J74" s="273"/>
      <c r="K74" s="275"/>
      <c r="L74" s="258"/>
      <c r="M74" s="258"/>
    </row>
    <row r="75" spans="3:16" ht="18" customHeight="1" x14ac:dyDescent="0.25">
      <c r="C75" s="226" t="str">
        <f t="shared" si="2"/>
        <v/>
      </c>
      <c r="D75" s="155"/>
      <c r="E75" s="234"/>
      <c r="F75" s="234"/>
      <c r="G75" s="264"/>
      <c r="H75" s="271"/>
      <c r="I75" s="258"/>
      <c r="J75" s="273"/>
      <c r="K75" s="275"/>
      <c r="L75" s="258"/>
      <c r="M75" s="258"/>
    </row>
    <row r="76" spans="3:16" ht="18" customHeight="1" x14ac:dyDescent="0.25">
      <c r="C76" s="226" t="str">
        <f t="shared" si="2"/>
        <v/>
      </c>
      <c r="D76" s="157"/>
      <c r="E76" s="234"/>
      <c r="F76" s="234"/>
      <c r="G76" s="264"/>
      <c r="H76" s="271"/>
      <c r="I76" s="258"/>
      <c r="J76" s="273"/>
      <c r="K76" s="275"/>
      <c r="L76" s="258"/>
      <c r="M76" s="258"/>
    </row>
    <row r="77" spans="3:16" ht="18" customHeight="1" thickBot="1" x14ac:dyDescent="0.3">
      <c r="C77" s="227">
        <v>9065</v>
      </c>
      <c r="D77" s="155" t="s">
        <v>28</v>
      </c>
      <c r="E77" s="233"/>
      <c r="F77" s="233"/>
      <c r="G77" s="277"/>
      <c r="H77" s="278"/>
      <c r="I77" s="259"/>
      <c r="J77" s="279"/>
      <c r="K77" s="276"/>
      <c r="L77" s="259"/>
      <c r="M77" s="259"/>
    </row>
    <row r="78" spans="3:16" ht="18" customHeight="1" x14ac:dyDescent="0.25">
      <c r="C78" s="225" t="str">
        <f t="shared" si="2"/>
        <v/>
      </c>
      <c r="D78" s="156"/>
      <c r="E78" s="234"/>
      <c r="F78" s="234"/>
      <c r="G78" s="257" t="s">
        <v>126</v>
      </c>
      <c r="H78" s="260">
        <f>12138-10412</f>
        <v>1726</v>
      </c>
      <c r="I78" s="280" t="s">
        <v>121</v>
      </c>
      <c r="J78" s="257" t="s">
        <v>134</v>
      </c>
      <c r="K78" s="257" t="s">
        <v>30</v>
      </c>
      <c r="L78" s="257" t="s">
        <v>135</v>
      </c>
      <c r="M78" s="257" t="s">
        <v>118</v>
      </c>
    </row>
    <row r="79" spans="3:16" ht="18" customHeight="1" x14ac:dyDescent="0.25">
      <c r="C79" s="226" t="str">
        <f t="shared" si="2"/>
        <v/>
      </c>
      <c r="D79" s="155"/>
      <c r="E79" s="234"/>
      <c r="F79" s="234"/>
      <c r="G79" s="258"/>
      <c r="H79" s="261"/>
      <c r="I79" s="281"/>
      <c r="J79" s="258"/>
      <c r="K79" s="258"/>
      <c r="L79" s="258"/>
      <c r="M79" s="258"/>
    </row>
    <row r="80" spans="3:16" ht="18" customHeight="1" x14ac:dyDescent="0.25">
      <c r="C80" s="226" t="str">
        <f t="shared" si="2"/>
        <v/>
      </c>
      <c r="D80" s="157"/>
      <c r="E80" s="234"/>
      <c r="F80" s="234"/>
      <c r="G80" s="258"/>
      <c r="H80" s="261"/>
      <c r="I80" s="281"/>
      <c r="J80" s="258"/>
      <c r="K80" s="258"/>
      <c r="L80" s="258"/>
      <c r="M80" s="258"/>
    </row>
    <row r="81" spans="3:13" ht="18" customHeight="1" x14ac:dyDescent="0.25">
      <c r="C81" s="226" t="str">
        <f t="shared" si="2"/>
        <v/>
      </c>
      <c r="D81" s="155"/>
      <c r="E81" s="230"/>
      <c r="F81" s="230"/>
      <c r="G81" s="258"/>
      <c r="H81" s="261"/>
      <c r="I81" s="281"/>
      <c r="J81" s="258"/>
      <c r="K81" s="258"/>
      <c r="L81" s="258"/>
      <c r="M81" s="258"/>
    </row>
    <row r="82" spans="3:13" ht="18" customHeight="1" x14ac:dyDescent="0.25">
      <c r="C82" s="225" t="str">
        <f t="shared" si="2"/>
        <v/>
      </c>
      <c r="D82" s="156"/>
      <c r="E82" s="230"/>
      <c r="F82" s="230"/>
      <c r="G82" s="258"/>
      <c r="H82" s="261"/>
      <c r="I82" s="281"/>
      <c r="J82" s="258"/>
      <c r="K82" s="258"/>
      <c r="L82" s="258"/>
      <c r="M82" s="258"/>
    </row>
    <row r="83" spans="3:13" ht="18" customHeight="1" x14ac:dyDescent="0.25">
      <c r="C83" s="225" t="str">
        <f t="shared" si="2"/>
        <v/>
      </c>
      <c r="D83" s="156"/>
      <c r="E83" s="230"/>
      <c r="F83" s="230"/>
      <c r="G83" s="258"/>
      <c r="H83" s="261"/>
      <c r="I83" s="281"/>
      <c r="J83" s="258"/>
      <c r="K83" s="258"/>
      <c r="L83" s="258"/>
      <c r="M83" s="258"/>
    </row>
    <row r="84" spans="3:13" ht="18" customHeight="1" x14ac:dyDescent="0.25">
      <c r="C84" s="226">
        <v>10072</v>
      </c>
      <c r="D84" s="157" t="s">
        <v>29</v>
      </c>
      <c r="E84" s="230"/>
      <c r="F84" s="230"/>
      <c r="G84" s="258"/>
      <c r="H84" s="261"/>
      <c r="I84" s="281"/>
      <c r="J84" s="258"/>
      <c r="K84" s="258"/>
      <c r="L84" s="258"/>
      <c r="M84" s="258"/>
    </row>
    <row r="85" spans="3:13" ht="18" customHeight="1" x14ac:dyDescent="0.25">
      <c r="C85" s="226" t="str">
        <f t="shared" si="2"/>
        <v/>
      </c>
      <c r="D85" s="155"/>
      <c r="E85" s="230"/>
      <c r="F85" s="230"/>
      <c r="G85" s="258"/>
      <c r="H85" s="261"/>
      <c r="I85" s="281"/>
      <c r="J85" s="258"/>
      <c r="K85" s="258"/>
      <c r="L85" s="258"/>
      <c r="M85" s="258"/>
    </row>
    <row r="86" spans="3:13" ht="18" customHeight="1" x14ac:dyDescent="0.25">
      <c r="C86" s="226" t="str">
        <f t="shared" si="2"/>
        <v/>
      </c>
      <c r="D86" s="155"/>
      <c r="E86" s="230"/>
      <c r="F86" s="230"/>
      <c r="G86" s="258"/>
      <c r="H86" s="261"/>
      <c r="I86" s="281"/>
      <c r="J86" s="258"/>
      <c r="K86" s="258"/>
      <c r="L86" s="258"/>
      <c r="M86" s="258"/>
    </row>
    <row r="87" spans="3:13" ht="18" customHeight="1" x14ac:dyDescent="0.25">
      <c r="C87" s="225" t="str">
        <f t="shared" si="2"/>
        <v/>
      </c>
      <c r="D87" s="156"/>
      <c r="E87" s="230"/>
      <c r="F87" s="230"/>
      <c r="G87" s="258"/>
      <c r="H87" s="261"/>
      <c r="I87" s="281"/>
      <c r="J87" s="258"/>
      <c r="K87" s="258"/>
      <c r="L87" s="258"/>
      <c r="M87" s="258"/>
    </row>
    <row r="88" spans="3:13" ht="18" customHeight="1" x14ac:dyDescent="0.25">
      <c r="C88" s="226" t="str">
        <f t="shared" si="2"/>
        <v/>
      </c>
      <c r="D88" s="157"/>
      <c r="E88" s="196"/>
      <c r="F88" s="196"/>
      <c r="G88" s="258"/>
      <c r="H88" s="261"/>
      <c r="I88" s="281"/>
      <c r="J88" s="258"/>
      <c r="K88" s="258"/>
      <c r="L88" s="258"/>
      <c r="M88" s="258"/>
    </row>
    <row r="89" spans="3:13" ht="18" customHeight="1" x14ac:dyDescent="0.25">
      <c r="C89" s="226" t="str">
        <f t="shared" si="2"/>
        <v/>
      </c>
      <c r="D89" s="155"/>
      <c r="E89" s="196"/>
      <c r="F89" s="196"/>
      <c r="G89" s="258"/>
      <c r="H89" s="261"/>
      <c r="I89" s="281"/>
      <c r="J89" s="258"/>
      <c r="K89" s="258"/>
      <c r="L89" s="258"/>
      <c r="M89" s="258"/>
    </row>
    <row r="90" spans="3:13" ht="18" customHeight="1" x14ac:dyDescent="0.25">
      <c r="C90" s="226" t="str">
        <f t="shared" si="2"/>
        <v/>
      </c>
      <c r="D90" s="155"/>
      <c r="E90" s="196"/>
      <c r="F90" s="196"/>
      <c r="G90" s="258"/>
      <c r="H90" s="261"/>
      <c r="I90" s="281"/>
      <c r="J90" s="258"/>
      <c r="K90" s="258"/>
      <c r="L90" s="258"/>
      <c r="M90" s="258"/>
    </row>
    <row r="91" spans="3:13" ht="18" customHeight="1" x14ac:dyDescent="0.25">
      <c r="C91" s="226" t="str">
        <f t="shared" si="2"/>
        <v/>
      </c>
      <c r="D91" s="155"/>
      <c r="E91" s="196"/>
      <c r="F91" s="196"/>
      <c r="G91" s="258"/>
      <c r="H91" s="261"/>
      <c r="I91" s="281"/>
      <c r="J91" s="258"/>
      <c r="K91" s="258"/>
      <c r="L91" s="258"/>
      <c r="M91" s="258"/>
    </row>
    <row r="92" spans="3:13" ht="18" customHeight="1" x14ac:dyDescent="0.25">
      <c r="C92" s="226" t="str">
        <f t="shared" si="2"/>
        <v/>
      </c>
      <c r="D92" s="156"/>
      <c r="E92" s="196"/>
      <c r="F92" s="196"/>
      <c r="G92" s="258"/>
      <c r="H92" s="261"/>
      <c r="I92" s="281"/>
      <c r="J92" s="258"/>
      <c r="K92" s="258"/>
      <c r="L92" s="258"/>
      <c r="M92" s="258"/>
    </row>
    <row r="93" spans="3:13" ht="18" customHeight="1" x14ac:dyDescent="0.25">
      <c r="C93" s="226" t="str">
        <f t="shared" si="2"/>
        <v/>
      </c>
      <c r="D93" s="155"/>
      <c r="E93" s="196"/>
      <c r="F93" s="196"/>
      <c r="G93" s="258"/>
      <c r="H93" s="261"/>
      <c r="I93" s="281"/>
      <c r="J93" s="258"/>
      <c r="K93" s="258"/>
      <c r="L93" s="258"/>
      <c r="M93" s="258"/>
    </row>
    <row r="94" spans="3:13" ht="18" customHeight="1" x14ac:dyDescent="0.25">
      <c r="C94" s="226" t="str">
        <f t="shared" ref="C94:C114" si="3">IF(D94&gt;0,IFERROR(VLOOKUP(D94,$D$132:$H$147,2,FALSE),""),"")</f>
        <v/>
      </c>
      <c r="D94" s="157"/>
      <c r="E94" s="196"/>
      <c r="F94" s="196"/>
      <c r="G94" s="258"/>
      <c r="H94" s="261"/>
      <c r="I94" s="281"/>
      <c r="J94" s="258"/>
      <c r="K94" s="258"/>
      <c r="L94" s="258"/>
      <c r="M94" s="258"/>
    </row>
    <row r="95" spans="3:13" ht="18" customHeight="1" x14ac:dyDescent="0.25">
      <c r="C95" s="226" t="str">
        <f t="shared" si="3"/>
        <v/>
      </c>
      <c r="D95" s="155"/>
      <c r="E95" s="196"/>
      <c r="F95" s="196"/>
      <c r="G95" s="258"/>
      <c r="H95" s="261"/>
      <c r="I95" s="281"/>
      <c r="J95" s="258"/>
      <c r="K95" s="258"/>
      <c r="L95" s="258"/>
      <c r="M95" s="258"/>
    </row>
    <row r="96" spans="3:13" ht="18" customHeight="1" x14ac:dyDescent="0.25">
      <c r="C96" s="226" t="str">
        <f t="shared" si="3"/>
        <v/>
      </c>
      <c r="D96" s="157"/>
      <c r="E96" s="196"/>
      <c r="F96" s="196"/>
      <c r="G96" s="258"/>
      <c r="H96" s="261"/>
      <c r="I96" s="281"/>
      <c r="J96" s="258"/>
      <c r="K96" s="258"/>
      <c r="L96" s="258"/>
      <c r="M96" s="258"/>
    </row>
    <row r="97" spans="3:13" ht="18" customHeight="1" x14ac:dyDescent="0.25">
      <c r="C97" s="226" t="str">
        <f t="shared" si="3"/>
        <v/>
      </c>
      <c r="D97" s="155"/>
      <c r="E97" s="196"/>
      <c r="F97" s="196"/>
      <c r="G97" s="258"/>
      <c r="H97" s="261"/>
      <c r="I97" s="281"/>
      <c r="J97" s="258"/>
      <c r="K97" s="258"/>
      <c r="L97" s="258"/>
      <c r="M97" s="258"/>
    </row>
    <row r="98" spans="3:13" ht="18" customHeight="1" x14ac:dyDescent="0.25">
      <c r="C98" s="226" t="str">
        <f t="shared" si="3"/>
        <v/>
      </c>
      <c r="D98" s="155"/>
      <c r="E98" s="196"/>
      <c r="F98" s="196"/>
      <c r="G98" s="258"/>
      <c r="H98" s="261"/>
      <c r="I98" s="281"/>
      <c r="J98" s="258"/>
      <c r="K98" s="258"/>
      <c r="L98" s="258"/>
      <c r="M98" s="258"/>
    </row>
    <row r="99" spans="3:13" ht="18" customHeight="1" x14ac:dyDescent="0.25">
      <c r="C99" s="226" t="str">
        <f t="shared" si="3"/>
        <v/>
      </c>
      <c r="D99" s="155"/>
      <c r="E99" s="196"/>
      <c r="F99" s="196"/>
      <c r="G99" s="258"/>
      <c r="H99" s="261"/>
      <c r="I99" s="281"/>
      <c r="J99" s="258"/>
      <c r="K99" s="258"/>
      <c r="L99" s="258"/>
      <c r="M99" s="258"/>
    </row>
    <row r="100" spans="3:13" ht="18" customHeight="1" x14ac:dyDescent="0.25">
      <c r="C100" s="226" t="str">
        <f t="shared" si="3"/>
        <v/>
      </c>
      <c r="D100" s="155"/>
      <c r="E100" s="196"/>
      <c r="F100" s="196"/>
      <c r="G100" s="258"/>
      <c r="H100" s="261"/>
      <c r="I100" s="281"/>
      <c r="J100" s="258"/>
      <c r="K100" s="258"/>
      <c r="L100" s="258"/>
      <c r="M100" s="258"/>
    </row>
    <row r="101" spans="3:13" ht="18" customHeight="1" x14ac:dyDescent="0.25">
      <c r="C101" s="226" t="str">
        <f t="shared" si="3"/>
        <v/>
      </c>
      <c r="D101" s="155"/>
      <c r="E101" s="196"/>
      <c r="F101" s="196"/>
      <c r="G101" s="258"/>
      <c r="H101" s="261"/>
      <c r="I101" s="281"/>
      <c r="J101" s="258"/>
      <c r="K101" s="258"/>
      <c r="L101" s="258"/>
      <c r="M101" s="258"/>
    </row>
    <row r="102" spans="3:13" ht="18" customHeight="1" x14ac:dyDescent="0.25">
      <c r="C102" s="226" t="str">
        <f t="shared" si="3"/>
        <v/>
      </c>
      <c r="D102" s="157"/>
      <c r="E102" s="196"/>
      <c r="F102" s="196"/>
      <c r="G102" s="258"/>
      <c r="H102" s="261"/>
      <c r="I102" s="281"/>
      <c r="J102" s="258"/>
      <c r="K102" s="258"/>
      <c r="L102" s="258"/>
      <c r="M102" s="258"/>
    </row>
    <row r="103" spans="3:13" ht="18" customHeight="1" x14ac:dyDescent="0.25">
      <c r="C103" s="226" t="str">
        <f t="shared" si="3"/>
        <v/>
      </c>
      <c r="D103" s="157"/>
      <c r="E103" s="196"/>
      <c r="F103" s="196"/>
      <c r="G103" s="258"/>
      <c r="H103" s="261"/>
      <c r="I103" s="281"/>
      <c r="J103" s="258"/>
      <c r="K103" s="258"/>
      <c r="L103" s="258"/>
      <c r="M103" s="258"/>
    </row>
    <row r="104" spans="3:13" ht="18" customHeight="1" x14ac:dyDescent="0.25">
      <c r="C104" s="226" t="str">
        <f t="shared" si="3"/>
        <v/>
      </c>
      <c r="D104" s="157"/>
      <c r="E104" s="196"/>
      <c r="F104" s="196"/>
      <c r="G104" s="258"/>
      <c r="H104" s="261"/>
      <c r="I104" s="281"/>
      <c r="J104" s="258"/>
      <c r="K104" s="258"/>
      <c r="L104" s="258"/>
      <c r="M104" s="258"/>
    </row>
    <row r="105" spans="3:13" ht="18" customHeight="1" x14ac:dyDescent="0.25">
      <c r="C105" s="226" t="str">
        <f t="shared" si="3"/>
        <v/>
      </c>
      <c r="D105" s="157"/>
      <c r="E105" s="196"/>
      <c r="F105" s="196"/>
      <c r="G105" s="258"/>
      <c r="H105" s="261"/>
      <c r="I105" s="281"/>
      <c r="J105" s="258"/>
      <c r="K105" s="258"/>
      <c r="L105" s="258"/>
      <c r="M105" s="258"/>
    </row>
    <row r="106" spans="3:13" ht="18" customHeight="1" x14ac:dyDescent="0.25">
      <c r="C106" s="226" t="str">
        <f t="shared" si="3"/>
        <v/>
      </c>
      <c r="D106" s="157"/>
      <c r="E106" s="196"/>
      <c r="F106" s="196"/>
      <c r="G106" s="258"/>
      <c r="H106" s="261"/>
      <c r="I106" s="281"/>
      <c r="J106" s="258"/>
      <c r="K106" s="258"/>
      <c r="L106" s="258"/>
      <c r="M106" s="258"/>
    </row>
    <row r="107" spans="3:13" ht="18" customHeight="1" x14ac:dyDescent="0.25">
      <c r="C107" s="226">
        <v>12138</v>
      </c>
      <c r="D107" s="157" t="s">
        <v>4</v>
      </c>
      <c r="E107" s="196"/>
      <c r="F107" s="196"/>
      <c r="G107" s="258"/>
      <c r="H107" s="261"/>
      <c r="I107" s="281"/>
      <c r="J107" s="258"/>
      <c r="K107" s="258"/>
      <c r="L107" s="258"/>
      <c r="M107" s="258"/>
    </row>
    <row r="108" spans="3:13" ht="18" customHeight="1" x14ac:dyDescent="0.25">
      <c r="C108" s="227" t="str">
        <f t="shared" si="3"/>
        <v/>
      </c>
      <c r="D108" s="155"/>
      <c r="E108" s="196"/>
      <c r="F108" s="196"/>
      <c r="G108" s="258"/>
      <c r="H108" s="261"/>
      <c r="I108" s="281"/>
      <c r="J108" s="258"/>
      <c r="K108" s="258"/>
      <c r="L108" s="258"/>
      <c r="M108" s="258"/>
    </row>
    <row r="109" spans="3:13" ht="18" customHeight="1" x14ac:dyDescent="0.25">
      <c r="C109" s="226" t="str">
        <f t="shared" si="3"/>
        <v/>
      </c>
      <c r="D109" s="157"/>
      <c r="E109" s="196"/>
      <c r="F109" s="196"/>
      <c r="G109" s="258"/>
      <c r="H109" s="261"/>
      <c r="I109" s="281"/>
      <c r="J109" s="258"/>
      <c r="K109" s="258"/>
      <c r="L109" s="258"/>
      <c r="M109" s="258"/>
    </row>
    <row r="110" spans="3:13" ht="18" customHeight="1" x14ac:dyDescent="0.25">
      <c r="C110" s="226" t="str">
        <f t="shared" si="3"/>
        <v/>
      </c>
      <c r="D110" s="155"/>
      <c r="E110" s="196"/>
      <c r="F110" s="196"/>
      <c r="G110" s="258"/>
      <c r="H110" s="261"/>
      <c r="I110" s="281"/>
      <c r="J110" s="258"/>
      <c r="K110" s="258"/>
      <c r="L110" s="258"/>
      <c r="M110" s="258"/>
    </row>
    <row r="111" spans="3:13" ht="18" customHeight="1" x14ac:dyDescent="0.25">
      <c r="C111" s="226" t="str">
        <f t="shared" si="3"/>
        <v/>
      </c>
      <c r="D111" s="155"/>
      <c r="E111" s="196"/>
      <c r="F111" s="196"/>
      <c r="G111" s="258"/>
      <c r="H111" s="261"/>
      <c r="I111" s="281"/>
      <c r="J111" s="258"/>
      <c r="K111" s="258"/>
      <c r="L111" s="258"/>
      <c r="M111" s="258"/>
    </row>
    <row r="112" spans="3:13" ht="18" customHeight="1" x14ac:dyDescent="0.25">
      <c r="C112" s="225" t="str">
        <f t="shared" si="3"/>
        <v/>
      </c>
      <c r="D112" s="156"/>
      <c r="E112" s="196"/>
      <c r="F112" s="196"/>
      <c r="G112" s="258"/>
      <c r="H112" s="261"/>
      <c r="I112" s="281"/>
      <c r="J112" s="258"/>
      <c r="K112" s="258"/>
      <c r="L112" s="258"/>
      <c r="M112" s="258"/>
    </row>
    <row r="113" spans="3:13" ht="18" customHeight="1" x14ac:dyDescent="0.25">
      <c r="C113" s="226" t="str">
        <f t="shared" si="3"/>
        <v/>
      </c>
      <c r="D113" s="155"/>
      <c r="E113" s="197"/>
      <c r="F113" s="196"/>
      <c r="G113" s="258"/>
      <c r="H113" s="261"/>
      <c r="I113" s="281"/>
      <c r="J113" s="258"/>
      <c r="K113" s="258"/>
      <c r="L113" s="258"/>
      <c r="M113" s="258"/>
    </row>
    <row r="114" spans="3:13" ht="18" customHeight="1" x14ac:dyDescent="0.25">
      <c r="C114" s="173" t="str">
        <f t="shared" si="3"/>
        <v/>
      </c>
      <c r="D114" s="156"/>
      <c r="E114" s="196"/>
      <c r="F114" s="196"/>
      <c r="G114" s="258"/>
      <c r="H114" s="261"/>
      <c r="I114" s="281"/>
      <c r="J114" s="258"/>
      <c r="K114" s="258"/>
      <c r="L114" s="258"/>
      <c r="M114" s="258"/>
    </row>
    <row r="115" spans="3:13" ht="18" customHeight="1" x14ac:dyDescent="0.25">
      <c r="C115" s="174" t="str">
        <f t="shared" ref="C115:C121" si="4">IF(D115&gt;0,IFERROR(VLOOKUP(D115,$D$132:$H$147,5,FALSE),""),"")</f>
        <v/>
      </c>
      <c r="D115" s="155"/>
      <c r="E115" s="196"/>
      <c r="F115" s="196"/>
      <c r="G115" s="258"/>
      <c r="H115" s="261"/>
      <c r="I115" s="281"/>
      <c r="J115" s="258"/>
      <c r="K115" s="258"/>
      <c r="L115" s="258"/>
      <c r="M115" s="258"/>
    </row>
    <row r="116" spans="3:13" ht="18" customHeight="1" thickBot="1" x14ac:dyDescent="0.3">
      <c r="C116" s="174" t="str">
        <f t="shared" si="4"/>
        <v/>
      </c>
      <c r="D116" s="155"/>
      <c r="E116" s="198"/>
      <c r="F116" s="198"/>
      <c r="G116" s="259"/>
      <c r="H116" s="262"/>
      <c r="I116" s="282"/>
      <c r="J116" s="259"/>
      <c r="K116" s="259"/>
      <c r="L116" s="259"/>
      <c r="M116" s="259"/>
    </row>
    <row r="117" spans="3:13" ht="18" customHeight="1" x14ac:dyDescent="0.25">
      <c r="C117" s="174" t="str">
        <f t="shared" si="4"/>
        <v/>
      </c>
      <c r="D117" s="155"/>
      <c r="E117" s="171"/>
      <c r="F117" s="171"/>
      <c r="H117" s="126" t="s">
        <v>124</v>
      </c>
      <c r="I117" s="129"/>
      <c r="K117" s="129"/>
      <c r="L117" s="129"/>
      <c r="M117" s="175"/>
    </row>
    <row r="118" spans="3:13" ht="18" customHeight="1" x14ac:dyDescent="0.25">
      <c r="C118" s="174" t="str">
        <f t="shared" si="4"/>
        <v/>
      </c>
      <c r="D118" s="157"/>
      <c r="E118" s="172"/>
      <c r="F118" s="172"/>
      <c r="I118" s="129"/>
      <c r="K118" s="129"/>
      <c r="L118" s="129"/>
      <c r="M118" s="175"/>
    </row>
    <row r="119" spans="3:13" ht="18" customHeight="1" x14ac:dyDescent="0.25">
      <c r="C119" s="174" t="str">
        <f t="shared" si="4"/>
        <v/>
      </c>
      <c r="D119" s="157"/>
      <c r="E119" s="172"/>
      <c r="F119" s="172"/>
      <c r="I119" s="129"/>
      <c r="K119" s="129"/>
      <c r="L119" s="129"/>
      <c r="M119" s="175"/>
    </row>
    <row r="120" spans="3:13" ht="18" customHeight="1" x14ac:dyDescent="0.25">
      <c r="C120" s="174" t="str">
        <f t="shared" si="4"/>
        <v/>
      </c>
      <c r="D120" s="157"/>
      <c r="E120" s="172"/>
      <c r="F120" s="172"/>
      <c r="I120" s="129"/>
      <c r="K120" s="129"/>
      <c r="L120" s="129"/>
      <c r="M120" s="175"/>
    </row>
    <row r="121" spans="3:13" ht="18" customHeight="1" thickBot="1" x14ac:dyDescent="0.3">
      <c r="C121" s="176" t="str">
        <f t="shared" si="4"/>
        <v/>
      </c>
      <c r="D121" s="177"/>
      <c r="E121" s="150"/>
      <c r="F121" s="150"/>
      <c r="G121" s="178"/>
      <c r="H121" s="178"/>
      <c r="I121" s="179"/>
      <c r="J121" s="178"/>
      <c r="K121" s="179"/>
      <c r="L121" s="179"/>
      <c r="M121" s="180"/>
    </row>
    <row r="122" spans="3:13" ht="18" customHeight="1" x14ac:dyDescent="0.25">
      <c r="C122" s="145"/>
      <c r="D122" s="131"/>
      <c r="E122" s="127"/>
      <c r="F122" s="127"/>
      <c r="I122" s="129"/>
      <c r="K122" s="129"/>
      <c r="L122" s="129"/>
      <c r="M122" s="130"/>
    </row>
    <row r="123" spans="3:13" ht="8.25" customHeight="1" x14ac:dyDescent="0.25">
      <c r="C123" s="145"/>
      <c r="D123" s="131"/>
      <c r="E123" s="127"/>
      <c r="F123" s="127"/>
      <c r="I123" s="129"/>
      <c r="K123" s="129"/>
      <c r="L123" s="129"/>
      <c r="M123" s="130"/>
    </row>
    <row r="124" spans="3:13" ht="18" customHeight="1" x14ac:dyDescent="0.25">
      <c r="D124" s="131"/>
      <c r="I124" s="129"/>
      <c r="K124" s="129"/>
      <c r="L124" s="129"/>
      <c r="M124" s="132"/>
    </row>
    <row r="125" spans="3:13" ht="18" customHeight="1" x14ac:dyDescent="0.25">
      <c r="D125" s="133"/>
      <c r="I125" s="129"/>
      <c r="K125" s="129"/>
      <c r="L125" s="129"/>
      <c r="M125" s="132"/>
    </row>
    <row r="126" spans="3:13" ht="15" customHeight="1" x14ac:dyDescent="0.25">
      <c r="I126" s="129"/>
      <c r="K126" s="129"/>
      <c r="L126" s="129"/>
      <c r="M126" s="132"/>
    </row>
    <row r="127" spans="3:13" ht="15" customHeight="1" x14ac:dyDescent="0.25">
      <c r="I127" s="129"/>
      <c r="K127" s="129"/>
      <c r="L127" s="129"/>
      <c r="M127" s="132"/>
    </row>
    <row r="128" spans="3:13" ht="15" customHeight="1" x14ac:dyDescent="0.25">
      <c r="I128" s="129"/>
      <c r="K128" s="129"/>
      <c r="L128" s="129"/>
      <c r="M128" s="132"/>
    </row>
    <row r="129" spans="4:13" ht="15" customHeight="1" x14ac:dyDescent="0.25">
      <c r="I129" s="129"/>
      <c r="K129" s="129"/>
      <c r="L129" s="129"/>
      <c r="M129" s="132"/>
    </row>
    <row r="130" spans="4:13" ht="15" hidden="1" customHeight="1" x14ac:dyDescent="0.25">
      <c r="I130" s="129"/>
      <c r="K130" s="129"/>
      <c r="L130" s="129"/>
      <c r="M130" s="132"/>
    </row>
    <row r="131" spans="4:13" ht="12.75" hidden="1" customHeight="1" x14ac:dyDescent="0.3">
      <c r="D131" s="134"/>
      <c r="H131" s="135"/>
      <c r="I131" s="136"/>
      <c r="K131" s="129"/>
      <c r="L131" s="129"/>
      <c r="M131" s="132"/>
    </row>
    <row r="132" spans="4:13" ht="12.75" hidden="1" customHeight="1" x14ac:dyDescent="0.25">
      <c r="D132" s="137" t="s">
        <v>0</v>
      </c>
      <c r="E132" s="138" t="s">
        <v>108</v>
      </c>
      <c r="I132" s="138"/>
      <c r="K132" s="129"/>
      <c r="L132" s="129"/>
      <c r="M132" s="132"/>
    </row>
    <row r="133" spans="4:13" ht="12.75" hidden="1" customHeight="1" x14ac:dyDescent="0.25">
      <c r="D133" s="139" t="str">
        <f>'Ingreso de Datos'!B27</f>
        <v>Fm. Guayabo</v>
      </c>
      <c r="E133" s="144">
        <f>+Formaciones!B5</f>
        <v>29</v>
      </c>
      <c r="I133" s="141"/>
      <c r="K133" s="129"/>
      <c r="L133" s="129"/>
      <c r="M133" s="132"/>
    </row>
    <row r="134" spans="4:13" ht="12.75" hidden="1" customHeight="1" x14ac:dyDescent="0.3">
      <c r="D134" s="139" t="str">
        <f>'Ingreso de Datos'!B28</f>
        <v>Fm. León</v>
      </c>
      <c r="E134" s="144">
        <f>+Formaciones!B6</f>
        <v>6310</v>
      </c>
      <c r="F134" s="140"/>
      <c r="G134" s="140"/>
      <c r="I134" s="142"/>
      <c r="K134" s="129"/>
      <c r="L134" s="129"/>
      <c r="M134" s="132"/>
    </row>
    <row r="135" spans="4:13" ht="12.75" hidden="1" customHeight="1" x14ac:dyDescent="0.3">
      <c r="D135" s="139" t="str">
        <f>'Ingreso de Datos'!B29</f>
        <v>Fm. Carbonera C1</v>
      </c>
      <c r="E135" s="144">
        <f>+Formaciones!B7</f>
        <v>7381</v>
      </c>
      <c r="F135" s="140"/>
      <c r="G135" s="140"/>
      <c r="I135" s="142"/>
      <c r="K135" s="129"/>
      <c r="L135" s="129"/>
      <c r="M135" s="132"/>
    </row>
    <row r="136" spans="4:13" ht="12.75" hidden="1" customHeight="1" x14ac:dyDescent="0.3">
      <c r="D136" s="139" t="str">
        <f>'Ingreso de Datos'!B30</f>
        <v>Fm. Carbonera C2</v>
      </c>
      <c r="E136" s="144">
        <f>+Formaciones!B8</f>
        <v>7875</v>
      </c>
      <c r="F136" s="140"/>
      <c r="G136" s="140"/>
      <c r="I136" s="142"/>
      <c r="K136" s="129"/>
      <c r="L136" s="129"/>
      <c r="M136" s="132"/>
    </row>
    <row r="137" spans="4:13" ht="12.75" hidden="1" customHeight="1" x14ac:dyDescent="0.3">
      <c r="D137" s="139" t="str">
        <f>'Ingreso de Datos'!B31</f>
        <v>Fm. Carbonera C3</v>
      </c>
      <c r="E137" s="144">
        <f>+Formaciones!B9</f>
        <v>7910</v>
      </c>
      <c r="F137" s="140"/>
      <c r="G137" s="140"/>
      <c r="I137" s="142"/>
      <c r="K137" s="129"/>
      <c r="L137" s="129"/>
      <c r="M137" s="132"/>
    </row>
    <row r="138" spans="4:13" ht="12.75" hidden="1" customHeight="1" x14ac:dyDescent="0.3">
      <c r="D138" s="139" t="str">
        <f>'Ingreso de Datos'!B32</f>
        <v>Fm. Carbonera C4</v>
      </c>
      <c r="E138" s="144">
        <f>+Formaciones!B10</f>
        <v>8010</v>
      </c>
      <c r="F138" s="140"/>
      <c r="G138" s="140"/>
      <c r="I138" s="142"/>
      <c r="K138" s="129"/>
      <c r="L138" s="129"/>
      <c r="M138" s="132"/>
    </row>
    <row r="139" spans="4:13" ht="12.75" hidden="1" customHeight="1" x14ac:dyDescent="0.3">
      <c r="D139" s="139" t="str">
        <f>'Ingreso de Datos'!B33</f>
        <v>Fm. Carbonera C5</v>
      </c>
      <c r="E139" s="144">
        <f>+Formaciones!B11</f>
        <v>8077</v>
      </c>
      <c r="F139" s="140"/>
      <c r="G139" s="140"/>
      <c r="I139" s="142"/>
      <c r="K139" s="129"/>
      <c r="L139" s="129"/>
      <c r="M139" s="132"/>
    </row>
    <row r="140" spans="4:13" ht="13.5" hidden="1" customHeight="1" x14ac:dyDescent="0.3">
      <c r="D140" s="139" t="str">
        <f>'Ingreso de Datos'!B34</f>
        <v>Fm. Carbonera C6</v>
      </c>
      <c r="E140" s="144">
        <f>+Formaciones!B12</f>
        <v>8295</v>
      </c>
      <c r="F140" s="140"/>
      <c r="G140" s="140"/>
      <c r="I140" s="142"/>
      <c r="K140" s="129"/>
      <c r="L140" s="129"/>
      <c r="M140" s="132"/>
    </row>
    <row r="141" spans="4:13" ht="13.8" hidden="1" x14ac:dyDescent="0.3">
      <c r="D141" s="139" t="str">
        <f>'Ingreso de Datos'!B35</f>
        <v>Fm. Carbonera C7</v>
      </c>
      <c r="E141" s="144">
        <f>+Formaciones!B13</f>
        <v>8459</v>
      </c>
      <c r="F141" s="140"/>
      <c r="G141" s="140"/>
      <c r="I141" s="142"/>
      <c r="K141" s="129"/>
      <c r="L141" s="129"/>
      <c r="M141" s="132"/>
    </row>
    <row r="142" spans="4:13" ht="13.8" hidden="1" x14ac:dyDescent="0.3">
      <c r="D142" s="139" t="str">
        <f>'Ingreso de Datos'!B36</f>
        <v>Fm. Carbonera C8</v>
      </c>
      <c r="E142" s="144">
        <f>+Formaciones!B14</f>
        <v>8725</v>
      </c>
      <c r="F142" s="140"/>
      <c r="G142" s="140"/>
      <c r="I142" s="142"/>
      <c r="K142" s="129"/>
      <c r="L142" s="129"/>
      <c r="M142" s="132"/>
    </row>
    <row r="143" spans="4:13" ht="13.8" hidden="1" x14ac:dyDescent="0.3">
      <c r="D143" s="139" t="str">
        <f>'Ingreso de Datos'!B37</f>
        <v>Fm. Guadalupe</v>
      </c>
      <c r="E143" s="144">
        <f>+Formaciones!B15</f>
        <v>8779</v>
      </c>
      <c r="F143" s="140"/>
      <c r="G143" s="140"/>
      <c r="I143" s="142"/>
      <c r="K143" s="129"/>
      <c r="L143" s="129"/>
      <c r="M143" s="132"/>
    </row>
    <row r="144" spans="4:13" ht="13.8" hidden="1" x14ac:dyDescent="0.3">
      <c r="D144" s="139" t="str">
        <f>'Ingreso de Datos'!B38</f>
        <v>Fm. Gacheta</v>
      </c>
      <c r="E144" s="144">
        <f>+Formaciones!B16</f>
        <v>9208</v>
      </c>
      <c r="F144" s="140"/>
      <c r="G144" s="140"/>
      <c r="I144" s="142"/>
      <c r="K144" s="129"/>
      <c r="L144" s="129"/>
      <c r="M144" s="132"/>
    </row>
    <row r="145" spans="4:13" ht="13.8" hidden="1" x14ac:dyDescent="0.3">
      <c r="D145" s="139" t="str">
        <f>'Ingreso de Datos'!B39</f>
        <v>Fm. Ubaque</v>
      </c>
      <c r="E145" s="144">
        <f>+Formaciones!B17</f>
        <v>10152</v>
      </c>
      <c r="F145" s="140"/>
      <c r="G145" s="140"/>
      <c r="I145" s="142"/>
      <c r="K145" s="129"/>
      <c r="L145" s="129"/>
      <c r="M145" s="132"/>
    </row>
    <row r="146" spans="4:13" ht="13.8" hidden="1" x14ac:dyDescent="0.3">
      <c r="D146" s="139" t="str">
        <f>'Ingreso de Datos'!B40</f>
        <v>TD</v>
      </c>
      <c r="E146" s="144">
        <f>+Formaciones!B18</f>
        <v>13174</v>
      </c>
      <c r="F146" s="140"/>
      <c r="G146" s="140"/>
      <c r="I146" s="142"/>
      <c r="K146" s="129"/>
      <c r="L146" s="129"/>
      <c r="M146" s="132"/>
    </row>
    <row r="147" spans="4:13" ht="13.8" hidden="1" x14ac:dyDescent="0.3">
      <c r="D147" s="139">
        <f>'Ingreso de Datos'!B41</f>
        <v>0</v>
      </c>
      <c r="E147" s="140"/>
      <c r="F147" s="140"/>
      <c r="G147" s="140"/>
      <c r="H147" s="144" t="str">
        <f>+Formaciones!B19</f>
        <v/>
      </c>
      <c r="I147" s="142"/>
      <c r="K147" s="129"/>
      <c r="L147" s="129"/>
      <c r="M147" s="132"/>
    </row>
    <row r="148" spans="4:13" ht="13.8" x14ac:dyDescent="0.25">
      <c r="K148" s="129"/>
      <c r="L148" s="129"/>
      <c r="M148" s="132"/>
    </row>
    <row r="149" spans="4:13" ht="13.8" x14ac:dyDescent="0.25">
      <c r="K149" s="129"/>
      <c r="L149" s="129"/>
      <c r="M149" s="132"/>
    </row>
    <row r="150" spans="4:13" ht="13.8" x14ac:dyDescent="0.25">
      <c r="K150" s="129"/>
      <c r="L150" s="129"/>
      <c r="M150" s="132"/>
    </row>
  </sheetData>
  <mergeCells count="23">
    <mergeCell ref="L78:L116"/>
    <mergeCell ref="M78:M116"/>
    <mergeCell ref="I32:I77"/>
    <mergeCell ref="J32:J77"/>
    <mergeCell ref="I78:I116"/>
    <mergeCell ref="J78:J116"/>
    <mergeCell ref="K78:K116"/>
    <mergeCell ref="G78:G116"/>
    <mergeCell ref="H78:H116"/>
    <mergeCell ref="G6:G31"/>
    <mergeCell ref="C3:M3"/>
    <mergeCell ref="C5:D5"/>
    <mergeCell ref="H6:H31"/>
    <mergeCell ref="I6:I31"/>
    <mergeCell ref="J6:J31"/>
    <mergeCell ref="K6:K31"/>
    <mergeCell ref="L6:L31"/>
    <mergeCell ref="M6:M31"/>
    <mergeCell ref="K32:K77"/>
    <mergeCell ref="L32:L77"/>
    <mergeCell ref="M32:M77"/>
    <mergeCell ref="G32:G77"/>
    <mergeCell ref="H32:H77"/>
  </mergeCells>
  <dataValidations count="1">
    <dataValidation type="list" allowBlank="1" showInputMessage="1" showErrorMessage="1" sqref="D1 D6:D121" xr:uid="{0752EDC6-19B4-45F7-8AB8-E2F54005C3CF}">
      <formula1>$D$133:$D$147</formula1>
    </dataValidation>
  </dataValidations>
  <printOptions horizontalCentered="1" verticalCentered="1"/>
  <pageMargins left="0" right="0" top="0" bottom="0" header="0" footer="0"/>
  <pageSetup paperSize="8" scale="5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2 0 A 8 D 6 B 2 - 8 0 C B - 4 1 B 7 - B 1 B 7 - 8 F 9 E 9 5 3 A 9 D F 7 } "   T o u r I d = " f 0 4 7 7 3 f 3 - 9 1 4 f - 4 6 c e - 9 d 3 b - f a 6 5 8 a 2 4 2 5 7 5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g Y A A A I G A f 5 9 l 3 g A A C Q U S U R B V H h e 7 X 1 Z d y N H d u b N H R s J g m v t R d U m q a W W 3 a t t z d g e 9 / G c 4 w e f 4 z f / x X m Y B 5 + Z s d 3 H P X a 3 u 2 X 3 J r X k t q S S S i X V x p 3 E v i Z y 9 f 0 i k S w Q B A i A T I I A m Z + E A p K 5 R 9 w v 7 h I 3 I q T / 8 / N f + x Q j R o x I I H e + Y 8 S I E Q G k / / u L 3 8 Q a K k a M i B B r q B g x I k R M q B g x I g S b f L + N T b 4 Y M S K C 9 P 8 + i A k V I 0 Z U i E 2 + G D E i B G u o D 2 M N F S N G R J D + / t 9 i Q s W I E R V i k y 9 G j A g R E y p G j A g h / f 2 / f x S b f D F i R A T p H 2 J C x Y g R G W K T L 0 a M C M E a 6 n e x h o o R I y J I / / D L m F A x Y k Q F 6 R 9 j Q l 0 c J L X z I 4 A k 8 Q f f x F X S + a 3 I s v g W w A / U V u c b P / H x P F f 8 8 n 1 x J k P q / C 3 G p M G E + j i o g 0 s G C d L J k G W J s q k E G V o g v P M p g 2 4 s Z 8 l z P B Z A I t P i D 2 m 0 9 7 x O + 3 6 K f M m n n O v Q c s I m S b E p l d V J 8 z 1 S J Y W M B V 0 I v c 8 n e r Z P j u m Q P q e J e 3 m 2 x 8 f z T u z 3 e L 8 L A f f I d V 1 S N I U k f g 7 L 5 p v x f k 0 L z g H w j e v h I z N 5 F E U R 5 w D Y D o 9 z v D a p s g H a 8 C W C v 4 V o O x I l t M 5 z + Q 6 5 n k 2 u 5 T G p H H J 8 m 4 i f R Z Y V P o C P U + f J b Q X X N 3 2 T 2 m 6 N J E f j Z 0 q K 5 5 V 1 m X R d 4 + f H s 3 t k J A y S F X a 1 + Z 1 c x 6 V q u U p + s i G e w P c k m k 9 e I y O p k c P 7 w G a F 7 1 O q e Z S 3 J S 5 b n a p t j Z 9 l W 9 x P A C f a p e D 3 J Y T 0 j 7 + a D k L J E E o W i K W 5 F C 1 l E p R M J G i O h Z 9 r l j R V J 5 8 J g M r 2 W T i E 4 D I c r t C D u k x 7 N Z m a l i Q + v Y C Q n R W K 7 N O f r L f J O K p Q D o V 9 E E 5 z b 9 t t k c U f 2 + M P f 8 u + T i p l S F M M 0 j V D E M 6 p u 2 R V L U o s 8 7 b B R D k B e I b u 5 / T a 3 J B w G Y J w Z s k i z 3 Q p f S N J S k o l h c t 3 F I B 4 H h P M t p m s D F 3 X B f l x X X x A G j Q q P n j L l 5 Q 7 9 Q X C N X d N S i z q q H B S k 4 p o I N B E 2 F y / D n 8 U J q / O 5 Y z r t f j y p u l T w 7 K p w Y 1 M 2 z T J k F X S 0 g 7 v q 1 O x t E T c p J F s v R K y M w 2 Q f h w R o W C a A G / e z F E u P U 8 6 V z Q q 8 + n G f 5 I x 7 9 K t + f d E K 4 n W 1 W m 6 o s D V B G 9 3 W v U Q L b t C p f Y G F 3 B L F L W u p i m j r V B a W + Q 6 k M m 0 q 7 T f f C r 2 m d Y c V V o 3 q d Z a E p U y G D 6 l d C Z r 2 q O F h E 8 L S Z e P d s l l g X A c m 5 K p V E f o U B S S q M z T w v O g + V h T 8 L f J A q A y A T Q W O F X t Y e M Y c J o O m d U 2 W R W b t V G b p C Z r r o x P m a U M G a x B I c R q Q h V a c B q A u m m 5 Z d Z + d V a O A e n C M r F Y O 1 7 P P h B a + i w I y x d k R t m i o Y D V w R V J G j c O o T j g W e y a I + R M W A x 8 j J Y O y q q 4 X S d j 0 a C P N x M k t 5 + x Z u f z z w g m 1 C e C U L i / y q 1 D 0 t B p I Z 2 g 9 W u L e D Z S W I h R G H h 4 V 7 K o X D 1 g N X 5 A K 0 s r N G 9 c J 1 1 J 4 X R R q W i 1 n J Z D G p t B a D B 4 U y A U 1 e B v L L C 4 L r f 6 J 9 U / 7 n k S Q s F t t 9 u i U G G i q G z W j U q G p l X m Z 3 I p p e X 4 P Y N z U P g w l 2 B e t Z w K t 4 w F 8 V s 8 d 0 c Y t I R M T p s J m k o z Q e + y G c Y m o Z w 4 o g W O g M 8 V 5 h e b h B 5 / u 2 1 u T E A A r n Q 9 9 9 r 0 m x a g T L v L P h R c l C v K G c + L 3 + F z j / r 8 o v w s i 2 W M h Z 8 F 2 3 E c 0 U D C n A y v 1 / 0 Z F b 3 H h s + P + 1 U q F c p m s + I Y a P Z + Q J 2 j k a 9 + X a O 5 e 5 m A e J B l N u l l j a / d u b x r B W a y y u q z 0 j j g h r 1 M m r N K X x X 2 W T n o 3 N A F + 6 V P v / q 5 X 6 k X K D W n k 2 O z + k 8 s U E J e o H r Z o p W V J T I M g 8 y W R S 9 e v K R 7 9 9 b J 2 5 Y o 9 1 a W a h a I R p R N v i 7 8 3 a p M 8 6 w B k t p x p o f C D x s b B Y q X x N 9 Q m B 6 r c / y 2 u Z B R P o l E 8 s R C A H D 8 W V E 1 9 6 n U 2 j x s R b s B D c o i R O t L 3 z l S a V Y N x / I + F g S Q A g D p L K / O f l a S C c a t X Y e g o w A V e p G w G 0 G Z A 7 L K w j 2 i 2 d c N s 2 X y v 6 g v L h N u 1 H q F f B h Q 1 u K b 6 x T + Y 6 v V E n J s s N k P G Y C M d J M 4 r P v w 2 2 F L A y Y f N B W I C j J B A 3 Y f h + t C l v v J 1 E n P a x b a V C 0 4 V P I N S q 0 Z d J 2 t L S i D E E f O 5 T 9 L r U b l c G + z 2 a R C o U A f / e 4 T e v f d d 2 h p k V t v d n j n s / P 8 U M E x N p M u v 1 t n 4 m i U u Z E S L 9 o P N p s p g D D r e l Q R X r j R q v I x F m U S W R Z M V v 9 8 y L g V c R q g c F F h e G 4 U c P c 9 2 + W 2 I A r 8 i Z A T L R c O N I 7 h B o F J 4 z H 5 P O E c D I Y m s w n J / 1 l e g x J K l j L q a m f P U V w 0 m U 4 C N L 7 l s J C y / C G w E z Y S C M S w Y i c 1 E 5 h V e M 9 R g b L H d S F n O A u E A U T w g y 2 j q E 1 W m 3 3 s m i k L U 7 8 f 8 D x C H p o t S i a D R n y Q P I e A h V F 7 0 R B K B e i t Q 6 l Z L 4 u / o J F o s V P v 8 g 3 s R o F q t T r d v n 1 L M B o t S P V 5 n Z I r C d K 4 I H t f X L Q A b M P C 1 k f U y 6 p Z r G Y 8 2 j U f M 2 G W a S l 5 V 7 Q c Q d Q r a D 3 C F g f k Q u u B / X B y E 1 z I M C 3 G A c 6 H 9 s M 1 Q p u 6 u y W C C s c 7 t F n r G g t G o M q H w P H b 1 H A K b A K a x E / Y + e t 4 W N D W W W M F v g K C D B V 7 k 9 9 X p h c H D + h 7 t w O T Z 5 J A P a F B r L O j v 5 F 3 W J v o t J i R a G W O z e U x f D w H U U I u T 5 V 9 k V G B 8 k d d K 2 A o A x H D v a r E v q 1 H 8 6 m j G u i i M e g 5 b I s b 0 4 6 8 J k T 0 s 0 v b M X + E t v / 8 8 0 9 9 n H 5 t b U U I s 1 W 3 R V R G Y c 3 S D d d k J 5 7 Z a S c a L G h 5 a g 4 I f c I f u Z v 9 f m c L l U h s V s m 0 m B r s 8 I F I 0 B p o J c K K x Y O D J P g G A f H 3 3 t b D 5 m f 1 u B X V 5 9 k X i b h 1 O 0 8 M 0 0 w Q P j j I h Z p H r b Y j h A 6 x m 4 U 5 9 t U 6 7 w n N E D r R M L U u S h j 3 f n l A a + + v d L b O B t S l y z 4 4 f E 5 Z 5 f f h 1 4 N f j u g j z O s w u t s P / d 4 f D Y j 4 5 m u g E W i Z l v D b E b S Q 2 J c r 1 7 k B 1 i D n P p m O Q l k m d r m t s F / N 5 G d W W K y M 4 c J w e 0 w J N d D W 6 O n j y / H 9 8 D t A 9 7 2 l R r X k g 1 l 4 a F R 0 i 8 p 8 8 Q o Z S p p 9 o Q W 2 F 9 n h 9 3 h / p 6 U d B e G L D A I Y H n 5 A E h w P j Q K H F R E Z m A V 4 R O G j 8 I 9 h o e G o M e z 5 x w W u B + 1 5 U G 7 S 4 p z B 7 6 S w J g 3 e C Z X d 4 o b K 0 N j U 5 B q 7 I F 6 c C a F A i X f Z N 0 U 4 3 / Q U l h k 2 6 1 g Q B 6 H N 7 q h X M k X j j U b x o t C P j A g i H Y o B / 2 D j K u h r 5 G N h W C g p 1 F X n P B z H P 9 H 4 S 4 1 a a S T p O Y u Q 1 T c a l L r B N m q n d Y V G g o A h C o N n W l x c E s Q K z b R + L z g K w m d E 0 M P y a m S 6 N T b d W u J v U Q B a Y c l 4 0 N n q D z Q S K F j L 8 e j 5 g U s P V l X 2 D 1 5 H 8 4 Z p p 1 k C T G m E 8 i 0 2 p a E 9 M n f S Q r B O A + G L n f L c S W K Y b E r 7 T 7 d 8 R H d E p x 7 / 3 2 6 y Y 5 6 W y D T b l E o F Q Q d c A 5 2 o O q t h h b V I N y D E + P T e K D T Z Q B J 8 w 2 S D s G E b H 5 g r t m W J e w D l L 6 u U u p c Q x + F 6 r h c I J q K C + F t o C n b f D 8 / m s v Y s W S / 4 T U 4 Q V N 4 F Q R 6 F q L g 2 A F P D 4 3 d W Z Z V y + p 3 A R 4 O F x d o l Z c D 0 D K 6 F d + k 1 R Q d h W s h k 1 2 x + T 3 5 2 r n N E 9 R D O b + V N 9 o 8 1 k Q 0 y L i A b V X b + y 2 z a 3 1 p g M 0 r x 6 V V J p d 2 q S j + 4 Y w r 5 O S + M U q f D E C Y E M A 2 o 5 U i U r y u 0 m m G f n + s Y G l b n z y h 3 g W k o l Y q 7 v u g P Q K f r k I c T t i N / I 3 r V d E p 8 4 z T N 6 0 u 0 k H C p z W S B s M 0 b x 6 8 R C u k w I E Q J / 0 3 l i h U 2 N K O + 2 R A V D / s 6 d e 2 1 l u t F 9 z 3 C 9 4 C K R i A C p k h i E c E I E B C C L d o O F g I W L t 7 W + Z 4 p i W 3 3 J p u b U P X 8 N 1 x B 0 r j d x L X 4 f 9 H b z x 8 9 H U Q k B w H X h 6 n T D 8 c I x Z v I 9 F h I c s P B N x X 9 H / y e n o V O Z 4 9 S a 8 n O g Q H w j u Z B E K I W r 8 h l I b 7 5 g y u L N i X c 5 u t g p z a H D I j J m s w h I C / 7 N Y W u z f c P 6 t T b M r s V b O 5 3 h a E B V C V I i v N V J q d o v v B e H X y T 1 w R x T z I n T 0 I U J B w E q V 4 t 9 n 0 q + F E N N 8 8 V h W b 5 O E Y l y S D 4 P l e y r 1 G x v k L r u W T f w o F w u l y w + Y Z M C S 7 4 3 s D G 0 w O V 1 h c d E n 7 l B H C W d 5 4 W 7 X R q s A w K s 2 z C A L F 2 K g o 1 L J n r O u g v h C y c B g c N h V b S o 0 d s T 0 M 8 a W P / 9 7 4 r o d V 7 j f E E J y x m t J a s 6 V h L K R L y z w z + N k Q m g c R / O 6 / K w L O i B x 5 9 G z A p m 8 0 W b W 1 t s f q V q V q t 0 s J 8 W k T K N N Y u 1 6 5 f p 4 X s n C i o w J Q N O p f z + T x 9 8 d U r m s v m u L K g o V h b 8 f m Z l E G 5 b J b + 9 d 9 + S 3 / z 1 / 8 z O E e f o 3 w L g R q Z G 5 1 A G 4 H Q y C e 8 v + R w q 8 t a j L e R h 1 Z n I b B d b m n 5 O a F Y E S F C n 8 i 1 O V e Y R S h l J L a i 0 Z B Z v S R 1 b q 3 5 W x z b U 1 w b b E I 9 K 2 j 0 Y N m m N T 4 f L X c / 4 F r f 5 F U q N h W 6 w 4 2 N w c e F Z o s G T c D X x T E f b x i H H f C 4 H 8 y d t O H x O 7 F W 4 3 N u L 7 h C g 5 S b s n i n L D d m 2 Y R H B W 7 c 5 g y f h V O m N / j 6 i H w h S Q C R X A j 9 M g v s H F 9 n k C y G Q g r t 0 7 K R i 6 l 0 r o l n C b T S W 2 v H O 9 q n G d 3 E k y r l A 3 4 F 9 l l Y G O G 3 4 L f a 6 S s I t Z M m J 4 U / A + G z b f Q X W S K r A R K B a + G C Z Y t 9 I a 8 t z L 9 6 y 6 J S s U w W H 5 t K G p S e W 6 C D g z 2 u W A g Y K l c i q 2 0 S H 0 a 1 W p V r M 0 3 f + d Z t 4 S e h H y m T y Y j 7 A r g v g h f 7 Z Z O 2 d o q k u D X S 2 R R 7 5 1 t v 8 / E a J Z N B 5 + A R B C G Z z k Z Q U a T 0 O W 5 M o I z C h F A 8 q 8 l + V a 1 a o 0 a j L s j h W D Y t L i / R 0 u L i o c / X C w R j 0 E V Q L J Y 6 K T 1 s 4 v K x o l L 4 4 / P 7 4 p 2 X l 5 e F f 4 n G 4 v n z F 5 R O p + j G j R u i M / o q A d n / F 6 E Z T w t p f 3 f T R z 8 P n H C t K 2 0 E w h P + 7 u d 0 l 7 j l Q s u H p N M Q 6 B g u c k u F l h C c T P M + t H Y A H D / Y y 3 D c 2 J U R A o i W E T i t K e X b d X b b W M D G C O n P O q C J 9 / b 2 R f 3 c u H H 9 M K h z 3 o D m E D 7 N c V G I F N B a k J O z o F t j n C d g Y 6 B L q W U r V L M 2 y H T 3 S K p V C m d 7 + h M w i C j P C i r d Y / N o X P j t I k n G Y m c r B t B o N K h a q b L Z 5 d L S 0 u L E C H Z R 2 G J / C p 2 u M H v R z s M k h Z m J K C M a 8 I 2 y Q t k k u i 0 k W s 1 4 t F 1 V a J 5 N V Z j W O C 7 E S a S r s F J A Z z q U A h c r 7 b F Z C r P 3 0 a r N 1 3 9 J l s e W k t z f L D 0 T o Q 4 J 4 7 H t J k J j / J D s M w l z S 2 z z E w 3 R H h t l l e 3 1 L n I x 4 0 n u m E t u m y / T x o 3 Y d 8 m y X 3 B y x k U M F r B y m Z 4 9 e y 7 S x n K 5 3 E D T M 8 Z x f L 6 r 0 + r 8 Y / Z 9 C 2 J 7 u K a D v 5 y k j L b E P u A a W 1 x K f 0 I d E s U 1 e Y M p K o j B R A F J Z P h X g 2 9 k t 5 u C A I M g q z o p 7 P u c h C I 7 q T A N V 7 i F A e D 0 N t k U A J A K M o s 4 r V l 7 F s D f K 5 c r t L 2 9 T e v r d w + H M s S I D r 3 l K V X L + d c 1 z Z W + U 1 N Z n S L 1 B x 2 h n b 8 z o F p d V r X w i W B L I + K T b y h C 0 B 3 H p 7 T K D j a f k 9 Z d 2 m 0 Y t J i w R P 7 Z i 0 q S H i w 2 R P R q s 5 a k X M I m 0 5 E p o X q U 1 l h t i 8 6 T A F o i 3 f k 1 G J 9 u a y I K d N 6 h 8 o s g w H k D w R 1 E N J P J F J N r n t L p 4 e U 9 D D F B j 0 K q 7 D z 2 p W T / 4 Q W T A m Q X 9 Y L + J i Q m I s Q 7 q v O L v i q E c K 9 x I z A I l 5 E c Z w U i i T A P H z / + k t 5 + + 0 1 h H o 6 a 8 X F W X G Y S H t V Q U 4 g 2 u 1 T o N 0 H 0 B w / a 5 m + Y g 9 C Q 2 M Y 3 n F S m z W H U M M b 4 Q H D j 4 C A v v m / e v E E L C w u d P R e L W S P f W I T C g R i w h V T 2 M E A g s c m G D k C M E M 4 Y v v B 3 M v B z + H 9 0 a i K t p N s 8 g 7 k I h M L / r K C I j k I A + 5 b E N Y O O U t z j n W u j d f I h i g P N B t M 0 F w c u z g R o d G i v j V e b t H Z t V Z i G 3 X 2 D 0 4 h p I V 5 k G g q a Z L M c B C z W M m 5 A q j 4 I z S / 8 i y L A Z p U J W e M P 3 K m b 3 R G / E Q D S p Z m Q y A h A Z k J G j 8 k U N Z A Y D M 3 1 m 9 9 + R H / 0 w + / T / P z 8 z E U P J 0 W 4 E w k F Y Y d 5 B X 8 G k b f F A U O J u z H M X 8 H e z d 5 Q + Q U C G d L 5 e v B u 6 G t A I O X m A q v Z G A M h M l f 2 D 0 Q W B z q X Y R 7 O s l 8 U 5 b M f E g r / j G I u j e L g Y w b T N s s k h D P M l J g l I A v E 5 u d f P S H Q E S M A U q m Q M / n Z 5 4 / p 7 b f e F K O u p 9 0 8 H B f j E G 6 g h o o j Y 0 S f b G r 0 9 h r G x Z B I h 0 G R j F q 2 I O V V 9 O W g v W A i P n 7 8 B b 3 3 3 r e F 9 p p U 9 P A i 0 E s 2 q V J C c m y M Q U B 4 O c x r h G A E w o E i G 7 3 V + n R H o 3 e v 2 2 O c c T m A c g P B f v / 7 T + n R o 4 e U S q c o N y X R w / P C Q E L B t 8 D A t y g B H 8 X g l h 7 J s R O D y D o P 3 w M i H b 4 u / 0 b r I m E k c T D x 4 i d f V + g P 7 m d J k T E U J R D / 7 h G 5 I B c A Q W l a 7 H M 1 W u T 5 6 P D G w E W J V r M Y p u J R p e F S L q N S w 0 Y e G a 4 h B 1 N y y d B y P j 3 b t U Q n + c P r G p / n k d G Z 5 Q n 3 i d K e n z b A 5 3 r 1 a o M W F 3 P 8 O f + c T N P G n O + T 1 R d S Z f 8 p S 3 h W C J 5 t m 1 y r C d K 0 o I I l z y Q f K 0 Q g 9 Q g p S D 4 m u 8 c + F r C e K b D Q w f r B c 4 P + x / 1 2 5 y + v A S H C B w I J g Y G Q H s L B 8 I 3 5 z s Y g c K G I f E E E C 1 j g k A Y V E k K Q J K g s A E K J + y A D Q y K H F C 0 t 7 o 0 0 H M / F M Q r t 8 i 1 v L W n i O a Z J g G E q A V d l i E a h U K S d n W 2 6 f / + + 8 L 0 u A 6 R i f l d Q W M z z w C 0 v W u p f P W n Q n 7 y J t B S 0 v G z y e M E Y J o x V M i 3 M S h R E w a B x F l J B r h 0 y c 7 / Y q J P M A r w 8 p x x O L t g t H B B s C H 6 x z j 5 G p U q 3 V 1 M k K 6 q I I u 7 V c A 5 S k Y j + c 1 u l P 7 z p U K 3 l 0 8 u S R L m 0 Q j e z w T 1 N y 6 W E H s w z A a I p m I R F n R P 7 u h E K J 4 4 7 Q u A Z A e r i 2 Q G R 5 p b p 2 l K G 3 y N 8 5 8 s J y F 2 x W B S 5 h 4 g c z m p g Q 5 h 8 6 I C F h k H n a F L 3 q G X L N H / C q M s L R 5 i w e 8 m A B q e f x k T j U G 1 i 0 h q X s m k s P Y N G 4 n J n k Y N g m 5 u b Y q 7 I 1 d X V Q 7 N 7 k s D w e + T n 9 M 4 R A p 5 g z F / 4 S G 3 m D / p B P 9 r Q Z y Q o Y Z d Z 1 X C L d W S B M n 5 s Z M M f D g 9 h Q R T D R m C W M t n Y d J 0 G 0 o E k o 8 I 2 G 5 1 f R 2 G z C b B b V e j G Y m C i b l e I 1 j K Y 7 T X w 7 1 7 l b T F + J 5 f G l G W j m Y u z 5 K u h D D F F O E z E u 3 f v C J J N G / 7 / E 4 O + s 7 w z 5 Y S C 3 w S E P p z w n Y b A Y x N Q j t Y e H 4 c U Z 8 E g Q g 0 D n u 9 Z X i W z U a S 8 u 0 r 3 F y 1 a T V t k S w m 2 O A J T P U o C X T Q Z 0 e / 1 9 d f f 0 B t v r I u k 3 l E g V o 9 h M z q K D P t + + L s P G 1 T 6 9 H 9 P h l C F Z j C x R 6 U V q F A M 3 7 j V l Y 2 w X e H W t + M j n Q i r y G R h c q n B R O 1 n x a h E q Z i y S M I F M B L 0 W V G h N x Z d k W r 1 x p J D z 4 u a m E 0 H k 7 N g 8 h S Y z z C j M T 0 A g i M v S y o l V X 5 v / t t t f s / g r j 6 1 2 b T G p D C 4 D v 6 W Z 9 / y n e U a 1 W 2 V 5 v X R c h i H A a Y T I r Y H F Z N S m R z d y i G q O J l l d C Z x D / j k M A 1 R l b n c A h M m I + b 4 q N V q Y v w X / G e U A e o a 2 z 4 3 z u 1 W g / b 3 9 1 n D a 7 S 8 v H S q g M i / f J U Q I 4 D X M 3 k q s u b U W W u m k o l o C Y V 5 I y B E S H J F U Z 5 U n h i q g Q A E j o c A 4 l w k 2 C L 5 F k m 2 y x m X E s Q S p v D L d p l u e N g q E 7 N 7 G Z 3 j C D p h x w G E G o M X s W I D w t s h g S a J Q R r K d D H s m 6 h s 6 r S S a r P 9 f v p n + 2 x X o 4 d L F i W 4 8 h H k Q D G d v 9 g P R h S k A 1 m + O S B 6 u s 9 O D f / W N J n + 8 q 3 R y w j n I y D y Y m O H 3 n n r w Y k m J S L I + P z s 6 x S 9 t 1 q h U q 3 F x P L E 1 A P 4 n J p Q k V a E w 4 I E X 2 g U k 6 4 D F M L T P A v H s i 0 I 6 X r o w w k c x S B k H h 5 3 l N i Y e 6 A B 8 r K m u c F a U k y t N S U Y 1 + T b q C U D b T 9 n s q P M W t S w D 9 + 1 0 N L 5 3 S V 6 X k n S t 1 d r Z L I 2 t L i M y i 2 V 7 m R K 9 O F 2 l u 7 m X L p / 7 e j o a e R u I m U M Q B l D A + y w / 1 Z h w b F 4 Z 9 V O U T q h 0 P f v B L M A n 6 c W 6 n d t P B O 6 Q C p s 2 T / Z b N D D 6 z o 3 O D o 9 3 t N F o A Y r Y i D d 7 c / 7 d N + M A l y / V C r R y 5 e b d O / e X Z E I 3 P s c I N + P P 6 7 S 3 / 7 5 T d E o d e 8 / Q i g I 3 / O i S j e z W P h Y o l o 7 m O g C s 6 u i k K F V M J p 3 N P D F b P a e Y Z 4 N K 3 S r R K T 3 t 4 X x g r M K z K N 3 g 8 s S w 1 0 A m I 6 D o q d 4 T w f T B 0 w Y l o V p m d n 8 d N k s b B m 0 O s c + l + x 0 B O X k b g e c B 7 8 E n x B Y d M 8 x y 7 T V W q Z m m x s 2 N t F / c L P K R o Z O + 4 U K 2 X 6 C F u c N t j A c b v x Y Q 3 p 8 P q m U r 2 I i U 4 e K N Y u e l h d I s / b o w S 0 2 4 R S s y p K g Q r F M y 0 s 5 + n z X E C 5 E i n 1 D d K Q / W n F o p 6 a I E Q 6 D Z u y N A o i 0 w g + D d s J 7 Y 6 a w u b n j 3 T X S z l 7 e 7 5 4 K L B J 4 Q Q c x Y W V A 6 e T 5 I w Q w D b H Q e V 0 l g m u I T m W u W K d G P q J 8 3 T r R d 4 L 9 l w Q Q L M f i d 5 4 Q 9 p s G J R T 4 f R 7 t N w y 6 k 2 3 R R 7 u L 9 N 3 r 1 c O l h S b V w e z a F n n u U Z 9 x l O k Q + i F S j Q m f X R 8 v o y P 6 o A Q m c m E C 8 I + A V C K E H Z C q V 9 t I 1 g H 5 e p + 1 h U A W n D 8 K G a c Q M E F h e s K s R P 2 K G V j Z 7 4 O t D f 8 w n E c D / + 6 x O Y W 5 v 0 E m k O o 8 U W l r l N J g 5 h 6 3 M k z W U H P p p G i J L Q v r F h v n Q i j P Z e v H H m 6 O q T r W w u q v G c e F 5 J T J x 6 q S i s F l b J I U T o K q p H g b K 4 d E F x U + t y h f L 3 m G A 5 V 8 s s 6 W z E 3 y E 7 c 6 W 9 M L E G p c 8 8 N u s 1 O A x q g D m / 2 d J 8 U 5 e n e Z z e Y I 8 K y U o n u 5 w S b l z 1 8 t k S G 1 u C 3 c o v f f W T k 3 7 T S O n 6 g l M M f g c I 0 j u W z B K M f N r 2 E I l F m E G o 0 R C a H G J 0 8 P h C D x N U 7 q i I X 5 C M 0 V c R / T q M C E i R j C k e u T M I w g B y Z Z P A u G C V q x p d F i 8 n g o H Q m 4 m D 0 K 2 K k n R L i d v T T a r e u 0 k r Z p w b D p y 0 K G 3 l q q i 2 O 6 I f w n N c n a s U W a k R L R T f h L 8 J v O E 2 O R i p + r I / k T w 1 n M x r E J d W b y z A i i m B J 4 H I w b 4 Q N e V F K 0 n j 1 d I G O n b t D j H R J 5 k j 9 Y R 3 T 0 H D 3 6 H o T + I v I 4 F W 1 0 T T j Q R Z g A R i X Z i Y S 6 K u S Z B o x C q C e s a e 4 t N E T / X e + a S q N g q 5 Y g Q / X o s x 2 N 3 r / b E J p o U o G H M 4 G t E 8 l r s 1 k 3 X Q m z / U h 2 2 C y B P L 2 f i 8 b H m z N Q 2 R N C z V L o T T b b 0 M d y G j I h a v a q p N B C w q E / u 9 8 W K T h T R S Y x N G c A J G 3 q y A T 0 4 4 v c v T F t + O 6 t 0 3 X O z T o Q k E B Y G 3 2 B T f a R k P U 8 p 4 8 W A W w 5 C l l u l / k m y a Q a a f r J Y 4 n u J T e E a T d d R O r K 1 5 x x g E d S u b g / n W y 6 Q k B F v M h 7 d H P O j C 7 m x O Y I B o e + L C p U q F n 0 3 s 0 g 4 D B V Z H J K R O p o y a 2 z g s l 5 o j G O w f O I f r e p U b P t i f S h y M j E V / J I o Q 8 + r 9 C d n E M / u K e L P L O L J 5 N D k l 3 s / G Z c M j I B M a E m C K R y d Q O B t e / d s s m Q o 5 u j U F F 1 q n u B v / H u r c C M w p w W F w 4 X q 7 L I 5 G u X e 3 2 v m F A T R D j l d C + w p m 8 U Q O B B V j X 6 Z C N Y m M w X c 2 g A o + k + y c r j Y T p b D K d O E s y y c e H W W f 3 y v d F 3 G E J B f 9 L l F 7 f Y h 5 o C n K Y P q h t h R s F P n y b o / T u V I / Q Z y c w b N S / S r T E x B m Q k g E Q y 3 2 t G 0 8 W i Q q y h Z h D I c V P 1 p N B I + C D j A T l 4 M p t V v 3 g a E G O 0 P i Y 3 0 E i j J h l 3 y C R Z e 0 H y s s h G 7 A B h 7 S t O J i D W U F O A Y R p K N V J 9 O x H D m Z 0 w r A C D 4 n A M h r s P g 2 Q f s C 9 z M R k H l x 0 x o W Y Q G G D 3 T V 6 m R l s S M 9 I C w 7 Q R t I q v r 3 W 2 Y p w X Y p N v h g C N 9 E + f u V T I F + h 5 Q R X L + A C 6 P t j U k s x X / K 8 f k 2 l C i D X U j A A T j f z 8 q U a K W 6 U W z Q u N 9 K O H f Q Y k i l m f M C d C d L 1 a M U Z H r K F m B B h m 7 v k + J Z I Z + v 5 t 6 5 B M W O X j N b h t F M N b Y j J d F G I N N a X A N G Q Y Q v I f W x o 5 7 D O 9 u d I W U 1 V v l D U x e + y R t a v Q a Y p + n h g X j l h D T S m Q U T 6 f 8 E R m O E Y z L 2 e C h R Y w z V k 3 m S R r P y b T F C E m 1 J T g i z 1 N T E g Z J v 5 j Q t B / f U L 0 4 8 8 k u p U 8 C P 7 I + N a N s M r 4 Q L t I v r 7 a 2 Y 4 x D Y h N v i k A J m p Z m w + G Z y A c / p V Y E M W n H 9 4 o U S Y d a J 9 j Y f F R Z 5 S K M V H E G u q C g Z w 7 k A n z v U E b g U x 6 e 4 t + 9 L A t y A Q i a f r x P i Z M W B N j + h B r q A s E l j 9 B x A 7 9 S 7 9 9 q d P t 5 A 5 d X 1 0 S + 7 B k j d w 7 j Z Z T I s m p c 6 0 p 5 B s 3 O n + M M U 0 Q h P o 6 j 9 l i 3 Y l O S n L V g b n K f / q l R I + W b U p p N s 0 l A 2 O h 7 0 o Z G E N 0 y Y c 9 X B b 0 1 V C Y 2 n Y h 4 R 0 S b L O s 0 q 2 F 6 M b s X H U 8 2 Z O p U H N p L u H T g 6 W 2 G J a O D 6 b 3 P Q Z r h 1 l 2 v b M R Y 9 r R 1 4 f K 1 2 V B p l e l T h Z y 3 E 9 4 Z m C Y u 2 1 b 9 M F T o r R m Y Y Q 6 Z R T z Z D J 5 7 Z h M M w Y p n 9 / 3 s Q S o W C 6 l J d P d X K C J n u x r 9 O Z q k H i J U G 6 f Z O c Y A w D y I M i A d K E Q P 3 s i 0 6 q y T Z q u U q F l 0 F L S o U d 3 c v 0 z x M U C 4 X w u x h f F m C k M D U o g C h U u G B 3 j Z I i V 5 j F R B A O k a r V M S q W C m W 6 j X k U w x n R i K K E w T 3 e x K Z P B 1 h 9 6 7 i 8 b X h R V W l 8 c z z 8 8 Y J P 4 9 9 t 6 M P G 9 6 1 L G 2 a I f v h 1 E 5 0 5 a / u V E X L L V R K 4 q D g k 1 y K y r t y X a r S n 0 Y N m h b w o q 3 V 8 a T / i i B l p + L A I G c w r C e x 4 t / + 8 2 d L r H 7 5 l L e U L j Q P N g 3 a P H 2 1 x G s k T / b b 3 F 2 q d J 2 e y C 8 H 3 g A 8 W I A Y y k o T B p D v p M 7 u R c W s 1 c j P k H T V B r O f S r F w a p m s H b D i V V l x R 2 3 P / 4 w e k n u M d k k l 8 d q G K 6 L V w b + N N 7 L f r g q U Q / v F W n f 3 8 5 R 2 9 f c 2 l 9 + b x J g 2 q I T c J Z x 1 B C h c A w A b T Y p z G R z g J o o p 9 9 p b D G c O n + W k C a X 7 7 Q q W n J w Z A G J h a 5 L X p 4 T a U H n f 1 b Z U U s 9 4 m F h f / y 0 e s x Q / / c t Y 3 f 3 Y D m c 5 1 g N T 8 M j f h w I 0 k P V i W x d t N E E J t 8 l w I j E y p E 2 5 H E q u a P V m x q W R I l o 1 7 9 k O F 4 P v 3 z F z J p X o P + + 6 N g t t P Q b 8 G S K 5 i a u B u 2 1 W a B Z M H H t F l q k j R 2 Y e 6 z i X p n S W b t e v R Y E O a D Z x o 1 z W B p R 3 F e Z x p g L E n z v T s e p R M T N O H E J C m x y X h Z M D a h E F 7 v k V H 6 N W u M P 1 4 P 5 4 A b D w j V / + a F z J r G p a V E k 4 n q U j I R L P v f G 0 6 2 X E n 4 d L r i U 0 L D S o B H n w U E g U Y L 1 k E l e n F g 0 3 b B J N P 2 S E 0 t 0 6 0 s a 7 m V 1 4 G V v i H r G D H O g L E J 1 Q t M F O L 4 k j A J Y Q q O u q 4 S z L W f f M E m j l 0 j I 5 m h v 3 j T j z y 4 M N 1 A G V 2 l 9 7 0 a O D O h Q s A U N F S f P t n S 6 D s 3 j 6 + 0 F 2 K v 4 t D H z 3 m / m i J V 0 9 n M I n r / j S u 2 y o Z d I N K C M H u M y 4 V I j H e Y g e g A B v q R C S b Y P 3 0 u 0 Q e P G 1 R p S q S l c m J I w l 8 8 t F i 7 d Q 6 6 M u A X j s l 0 a X E m D b V T V e j 6 v E s V 9 o O y S Y 9 c v t K H r w z h 5 z i I m D G R v r t W o I X 5 Y I l 8 B B f g 2 y C t a b N D w O 4 o 3 K U E o n d O l U m E l S Z i E + + y Y y i h s H O Q G D w v q v R N P g j 1 + k 6 b 3 l 6 z a H d 3 l 7 7 9 I B i W f W y U 6 V W B 2 y K K c K n + G L O D g Y T 6 f F e j R 6 s O a V 3 L T 1 Z M m T X Q 6 6 i Y 6 p u 0 P l + j 6 4 v B 3 6 Y m a w D z b o u 5 6 Y C T m o Q Y M a L F S C b f f 2 z p l G 8 E R P n R g y b 9 5 A u F 1 t N 5 e u N 6 J l o t B N M I U O e D 7 2 6 g v 8 j r W v F c 9 D u 1 W Q 2 u s Z N f Y g K x p h y 0 M k Q I X F 9 c o 0 N 6 f f n 1 7 6 i A V S i m c D 3 Y G J P B M U L 9 + q V B l i N R w 8 T 6 P q 9 3 I X v g 6 U a J H t 7 O D R 6 / M w 4 8 B C 8 8 l u c p M A u t b S b X C U P K M R s r h p 6 L 5 V q Y g I M I 0 9 5 h g s f j l 6 4 y D g m F D t F f P l P o e 7 f a t M U N / t 3 l o 2 b S W U n k u 0 2 W R Q j k K T K x I 8 U J J m A 4 1 F y Y j C D 6 g O M w 8 K + 3 I Y j J F I M h 7 e 1 u + j / 9 U q G 1 L F Z y c K L N H B D z b F 9 S 5 9 w u M / k W 2 M T r M 2 s r I n t i P 5 M z T i u 6 U p D + 1 y 8 O / L 9 6 J 5 i V N C q 0 L Z c 0 b 5 / k x C V r s d v 7 r I X O M L E k N B + 0 Y D x j 0 a X F S E G J U Q B 3 y 7 J d / t E m w 7 g E U w M j a R U Z D R J r b C 3 b + W O U Q E 5 h r L 0 u G y I j V I A Z F p K L m q o r z j a / P G h v R y P 9 v s U t u c C M C U b 3 K u U X N e 8 d y G S 9 n r s 8 x o y g 9 a z z o w t s y k e s o W Y A b o O F W G P u R x h 8 i X E F 0 T 9 a f H q V g s 7 U a Y P b c f p Z 9 f r e g P F Z S n o 6 y Y Q O 4 R g z h P 5 B v F M S i t k p k j 2 n A H a + 8 4 O h J A L T D a p 3 1 j R Q n F 0 x O 0 C f 4 w C M R y i n 3 P k R X Y j 9 1 G h v B d 8 a 0 o c u E a Z R 8 8 c I 0 H o e f J / Q g T + b P p S 1 S 6 R f 6 2 z E i D E h j B C R H a 6 h 4 M R P E z z n 0 p N J O r Q E Y k w N r L 3 O j 5 N x M q H g n 8 C J n w Z g L V k A W e W X H D 4 S c W N M D + A z 6 W t D t R P Q / w j k o g G T 8 E + G R b c w T A O 4 S m v J I k c w x s U A f p K I E M M T Q q I C Y 4 y k 5 / 6 E m s i E i x 3 X b V B 0 C x n d e L E L z 0 6 / A M Q R v 4 s D G m 4 R I U b g b b h G 6 s X r M 7 r D z x P B k E g h h k d c 2 c 7 X T s s Y F Z C U 2 w u z E y W 9 6 m h 9 E w S 5 0 I A j c + a M L k 4 Q 5 Y M m m I T w X u b h H J G D S Y V B m L 3 j r s a E 1 P i U / P S 3 O 1 v 9 w J Y C z G 6 n F m f B n x l E / w U 2 I 0 o u F 0 j P R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5 4 0 e b 5 4 - 5 e 2 b - 4 a e f - b e 0 5 - 7 3 d 8 5 c 9 e 7 4 f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 5 . 9 7 4 3 6 6 7 1 6 8 0 0 9 7 7 5 < / L a t i t u d e > < L o n g i t u d e > - 7 0 . 0 5 3 0 5 7 0 2 8 7 8 6 0 5 7 < / L o n g i t u d e > < R o t a t i o n > 0 < / R o t a t i o n > < P i v o t A n g l e > - 1 . 1 8 7 2 9 5 3 7 0 1 8 4 8 2 4 1 < / P i v o t A n g l e > < D i s t a n c e > 0 . 0 1 8 4 3 1 9 9 9 9 9 9 9 9 9 9 9 7 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Q U S U R B V H h e 7 X 1 Z d y N H d u b N H R s J g m v t R d U m q a W W 3 a t t z d g e 9 / G c 4 w e f 4 z f / x X m Y B 5 + Z s d 3 H P X a 3 u 2 X 3 J r X k t q S S S i X V x p 3 E v i Z y 9 f 0 i k S w Q B A i A T I I A m Z + E A p K 5 R 9 w v 7 h I 3 I q T / 8 / N f + x Q j R o x I I H e + Y 8 S I E Q G k / / u L 3 8 Q a K k a M i B B r q B g x I k R M q B g x I g S b f L + N T b 4 Y M S K C 9 P 8 + i A k V I 0 Z U i E 2 + G D E i B G u o D 2 M N F S N G R J D + / t 9 i Q s W I E R V i k y 9 G j A g R E y p G j A g h / f 2 / f x S b f D F i R A T p H 2 J C x Y g R G W K T L 0 a M C M E a 6 n e x h o o R I y J I / / D L m F A x Y k Q F 6 R 9 j Q l 0 c J L X z I 4 A k 8 Q f f x F X S + a 3 I s v g W w A / U V u c b P / H x P F f 8 8 n 1 x J k P q / C 3 G p M G E + j i o g 0 s G C d L J k G W J s q k E G V o g v P M p g 2 4 s Z 8 l z P B Z A I t P i D 2 m 0 9 7 x O + 3 6 K f M m n n O v Q c s I m S b E p l d V J 8 z 1 S J Y W M B V 0 I v c 8 n e r Z P j u m Q P q e J e 3 m 2 x 8 f z T u z 3 e L 8 L A f f I d V 1 S N I U k f g 7 L 5 p v x f k 0 L z g H w j e v h I z N 5 F E U R 5 w D Y D o 9 z v D a p s g H a 8 C W C v 4 V o O x I l t M 5 z + Q 6 5 n k 2 u 5 T G p H H J 8 m 4 i f R Z Y V P o C P U + f J b Q X X N 3 2 T 2 m 6 N J E f j Z 0 q K 5 5 V 1 m X R d 4 + f H s 3 t k J A y S F X a 1 + Z 1 c x 6 V q u U p + s i G e w P c k m k 9 e I y O p k c P 7 w G a F 7 1 O q e Z S 3 J S 5 b n a p t j Z 9 l W 9 x P A C f a p e D 3 J Y T 0 j 7 + a D k L J E E o W i K W 5 F C 1 l E p R M J G i O h Z 9 r l j R V J 5 8 J g M r 2 W T i E 4 D I c r t C D u k x 7 N Z m a l i Q + v Y C Q n R W K 7 N O f r L f J O K p Q D o V 9 E E 5 z b 9 t t k c U f 2 + M P f 8 u + T i p l S F M M 0 j V D E M 6 p u 2 R V L U o s 8 7 b B R D k B e I b u 5 / T a 3 J B w G Y J w Z s k i z 3 Q p f S N J S k o l h c t 3 F I B 4 H h P M t p m s D F 3 X B f l x X X x A G j Q q P n j L l 5 Q 7 9 Q X C N X d N S i z q q H B S k 4 p o I N B E 2 F y / D n 8 U J q / O 5 Y z r t f j y p u l T w 7 K p w Y 1 M 2 z T J k F X S 0 g 7 v q 1 O x t E T c p J F s v R K y M w 2 Q f h w R o W C a A G / e z F E u P U 8 6 V z Q q 8 + n G f 5 I x 7 9 K t + f d E K 4 n W 1 W m 6 o s D V B G 9 3 W v U Q L b t C p f Y G F 3 B L F L W u p i m j r V B a W + Q 6 k M m 0 q 7 T f f C r 2 m d Y c V V o 3 q d Z a E p U y G D 6 l d C Z r 2 q O F h E 8 L S Z e P d s l l g X A c m 5 K p V E f o U B S S q M z T w v O g + V h T 8 L f J A q A y A T Q W O F X t Y e M Y c J o O m d U 2 W R W b t V G b p C Z r r o x P m a U M G a x B I c R q Q h V a c B q A u m m 5 Z d Z + d V a O A e n C M r F Y O 1 7 P P h B a + i w I y x d k R t m i o Y D V w R V J G j c O o T j g W e y a I + R M W A x 8 j J Y O y q q 4 X S d j 0 a C P N x M k t 5 + x Z u f z z w g m 1 C e C U L i / y q 1 D 0 t B p I Z 2 g 9 W u L e D Z S W I h R G H h 4 V 7 K o X D 1 g N X 5 A K 0 s r N G 9 c J 1 1 J 4 X R R q W i 1 n J Z D G p t B a D B 4 U y A U 1 e B v L L C 4 L r f 6 J 9 U / 7 n k S Q s F t t 9 u i U G G i q G z W j U q G p l X m Z 3 I p p e X 4 P Y N z U P g w l 2 B e t Z w K t 4 w F 8 V s 8 d 0 c Y t I R M T p s J m k o z Q e + y G c Y m o Z w 4 o g W O g M 8 V 5 h e b h B 5 / u 2 1 u T E A A r n Q 9 9 9 r 0 m x a g T L v L P h R c l C v K G c + L 3 + F z j / r 8 o v w s i 2 W M h Z 8 F 2 3 E c 0 U D C n A y v 1 / 0 Z F b 3 H h s + P + 1 U q F c p m s + I Y a P Z + Q J 2 j k a 9 + X a O 5 e 5 m A e J B l N u l l j a / d u b x r B W a y y u q z 0 j j g h r 1 M m r N K X x X 2 W T n o 3 N A F + 6 V P v / q 5 X 6 k X K D W n k 2 O z + k 8 s U E J e o H r Z o p W V J T I M g 8 y W R S 9 e v K R 7 9 9 b J 2 5 Y o 9 1 a W a h a I R p R N v i 7 8 3 a p M 8 6 w B k t p x p o f C D x s b B Y q X x N 9 Q m B 6 r c / y 2 u Z B R P o l E 8 s R C A H D 8 W V E 1 9 6 n U 2 j x s R b s B D c o i R O t L 3 z l S a V Y N x / I + F g S Q A g D p L K / O f l a S C c a t X Y e g o w A V e p G w G 0 G Z A 7 L K w j 2 i 2 d c N s 2 X y v 6 g v L h N u 1 H q F f B h Q 1 u K b 6 x T + Y 6 v V E n J s s N k P G Y C M d J M 4 r P v w 2 2 F L A y Y f N B W I C j J B A 3 Y f h + t C l v v J 1 E n P a x b a V C 0 4 V P I N S q 0 Z d J 2 t L S i D E E f O 5 T 9 L r U b l c G + z 2 a R C o U A f / e 4 T e v f d d 2 h p k V t v d n j n s / P 8 U M E x N p M u v 1 t n 4 m i U u Z E S L 9 o P N p s p g D D r e l Q R X r j R q v I x F m U S W R Z M V v 9 8 y L g V c R q g c F F h e G 4 U c P c 9 2 + W 2 I A r 8 i Z A T L R c O N I 7 h B o F J 4 z H 5 P O E c D I Y m s w n J / 1 l e g x J K l j L q a m f P U V w 0 m U 4 C N L 7 l s J C y / C G w E z Y S C M S w Y i c 1 E 5 h V e M 9 R g b L H d S F n O A u E A U T w g y 2 j q E 1 W m 3 3 s m i k L U 7 8 f 8 D x C H p o t S i a D R n y Q P I e A h V F 7 0 R B K B e i t Q 6 l Z L 4 u / o J F o s V P v 8 g 3 s R o F q t T r d v n 1 L M B o t S P V 5 n Z I r C d K 4 I H t f X L Q A b M P C 1 k f U y 6 p Z r G Y 8 2 j U f M 2 G W a S l 5 V 7 Q c Q d Q r a D 3 C F g f k Q u u B / X B y E 1 z I M C 3 G A c 6 H 9 s M 1 Q p u 6 u y W C C s c 7 t F n r G g t G o M q H w P H b 1 H A K b A K a x E / Y + e t 4 W N D W W W M F v g K C D B V 7 k 9 9 X p h c H D + h 7 t w O T Z 5 J A P a F B r L O j v 5 F 3 W J v o t J i R a G W O z e U x f D w H U U I u T 5 V 9 k V G B 8 k d d K 2 A o A x H D v a r E v q 1 H 8 6 m j G u i i M e g 5 b I s b 0 4 6 8 J k T 0 s 0 v b M X + E t v / 8 8 0 9 9 n H 5 t b U U I s 1 W 3 R V R G Y c 3 S D d d k J 5 7 Z a S c a L G h 5 a g 4 I f c I f u Z v 9 f m c L l U h s V s m 0 m B r s 8 I F I 0 B p o J c K K x Y O D J P g G A f H 3 3 t b D 5 m f 1 u B X V 5 9 k X i b h 1 O 0 8 M 0 0 w Q P j j I h Z p H r b Y j h A 6 x m 4 U 5 9 t U 6 7 w n N E D r R M L U u S h j 3 f n l A a + + v d L b O B t S l y z 4 4 f E 5 Z 5 f f h 1 4 N f j u g j z O s w u t s P / d 4 f D Y j 4 5 m u g E W i Z l v D b E b S Q 2 J c r 1 7 k B 1 i D n P p m O Q l k m d r m t s F / N 5 G d W W K y M 4 c J w e 0 w J N d D W 6 O n j y / H 9 8 D t A 9 7 2 l R r X k g 1 l 4 a F R 0 i 8 p 8 8 Q o Z S p p 9 o Q W 2 F 9 n h 9 3 h / p 6 U d B e G L D A I Y H n 5 A E h w P j Q K H F R E Z m A V 4 R O G j 8 I 9 h o e G o M e z 5 x w W u B + 1 5 U G 7 S 4 p z B 7 6 S w J g 3 e C Z X d 4 o b K 0 N j U 5 B q 7 I F 6 c C a F A i X f Z N 0 U 4 3 / Q U l h k 2 6 1 g Q B 6 H N 7 q h X M k X j j U b x o t C P j A g i H Y o B / 2 D j K u h r 5 G N h W C g p 1 F X n P B z H P 9 H 4 S 4 1 a a S T p O Y u Q 1 T c a l L r B N m q n d Y V G g o A h C o N n W l x c E s Q K z b R + L z g K w m d E 0 M P y a m S 6 N T b d W u J v U Q B a Y c l 4 0 N n q D z Q S K F j L 8 e j 5 g U s P V l X 2 D 1 5 H 8 4 Z p p 1 k C T G m E 8 i 0 2 p a E 9 M n f S Q r B O A + G L n f L c S W K Y b E r 7 T 7 d 8 R H d E p x 7 / 3 2 6 y Y 5 6 W y D T b l E o F Q Q d c A 5 2 o O q t h h b V I N y D E + P T e K D T Z Q B J 8 w 2 S D s G E b H 5 g r t m W J e w D l L 6 u U u p c Q x + F 6 r h c I J q K C + F t o C n b f D 8 / m s v Y s W S / 4 T U 4 Q V N 4 F Q R 6 F q L g 2 A F P D 4 3 d W Z Z V y + p 3 A R 4 O F x d o l Z c D 0 D K 6 F d + k 1 R Q d h W s h k 1 2 x + T 3 5 2 r n N E 9 R D O b + V N 9 o 8 1 k Q 0 y L i A b V X b + y 2 z a 3 1 p g M 0 r x 6 V V J p d 2 q S j + 4 Y w r 5 O S + M U q f D E C Y E M A 2 o 5 U i U r y u 0 m m G f n + s Y G l b n z y h 3 g W k o l Y q 7 v u g P Q K f r k I c T t i N / I 3 r V d E p 8 4 z T N 6 0 u 0 k H C p z W S B s M 0 b x 6 8 R C u k w I E Q J / 0 3 l i h U 2 N K O + 2 R A V D / s 6 d e 2 1 l u t F 9 z 3 C 9 4 C K R i A C p k h i E c E I E B C C L d o O F g I W L t 7 W + Z 4 p i W 3 3 J p u b U P X 8 N 1 x B 0 r j d x L X 4 f 9 H b z x 8 9 H U Q k B w H X h 6 n T D 8 c I x Z v I 9 F h I c s P B N x X 9 H / y e n o V O Z 4 9 S a 8 n O g Q H w j u Z B E K I W r 8 h l I b 7 5 g y u L N i X c 5 u t g p z a H D I j J m s w h I C / 7 N Y W u z f c P 6 t T b M r s V b O 5 3 h a E B V C V I i v N V J q d o v v B e H X y T 1 w R x T z I n T 0 I U J B w E q V 4 t 9 n 0 q + F E N N 8 8 V h W b 5 O E Y l y S D 4 P l e y r 1 G x v k L r u W T f w o F w u l y w + Y Z M C S 7 4 3 s D G 0 w O V 1 h c d E n 7 l B H C W d 5 4 W 7 X R q s A w K s 2 z C A L F 2 K g o 1 L J n r O u g v h C y c B g c N h V b S o 0 d s T 0 M 8 a W P / 9 7 4 r o d V 7 j f E E J y x m t J a s 6 V h L K R L y z w z + N k Q m g c R / O 6 / K w L O i B x 5 9 G z A p m 8 0 W b W 1 t s f q V q V q t 0 s J 8 W k T K N N Y u 1 6 5 f p 4 X s n C i o w J Q N O p f z + T x 9 8 d U r m s v m u L K g o V h b 8 f m Z l E G 5 b J b + 9 d 9 + S 3 / z 1 / 8 z O E e f o 3 w L g R q Z G 5 1 A G 4 H Q y C e 8 v + R w q 8 t a j L e R h 1 Z n I b B d b m n 5 O a F Y E S F C n 8 i 1 O V e Y R S h l J L a i 0 Z B Z v S R 1 b q 3 5 W x z b U 1 w b b E I 9 K 2 j 0 Y N m m N T 4 f L X c / 4 F r f 5 F U q N h W 6 w 4 2 N w c e F Z o s G T c D X x T E f b x i H H f C 4 H 8 y d t O H x O 7 F W 4 3 N u L 7 h C g 5 S b s n i n L D d m 2 Y R H B W 7 c 5 g y f h V O m N / j 6 i H w h S Q C R X A j 9 M g v s H F 9 n k C y G Q g r t 0 7 K R i 6 l 0 r o l n C b T S W 2 v H O 9 q n G d 3 E k y r l A 3 4 F 9 l l Y G O G 3 4 L f a 6 S s I t Z M m J 4 U / A + G z b f Q X W S K r A R K B a + G C Z Y t 9 I a 8 t z L 9 6 y 6 J S s U w W H 5 t K G p S e W 6 C D g z 2 u W A g Y K l c i q 2 0 S H 0 a 1 W p V r M 0 3 f + d Z t 4 S e h H y m T y Y j 7 A r g v g h f 7 Z Z O 2 d o q k u D X S 2 R R 7 5 1 t v 8 / E a J Z N B 5 + A R B C G Z z k Z Q U a T 0 O W 5 M o I z C h F A 8 q 8 l + V a 1 a o 0 a j L s j h W D Y t L i / R 0 u L i o c / X C w R j 0 E V Q L J Y 6 K T 1 s 4 v K x o l L 4 4 / P 7 4 p 2 X l 5 e F f 4 n G 4 v n z F 5 R O p + j G j R u i M / o q A d n / F 6 E Z T w t p f 3 f T R z 8 P n H C t K 2 0 E w h P + 7 u d 0 l 7 j l Q s u H p N M Q 6 B g u c k u F l h C c T P M + t H Y A H D / Y y 3 D c 2 J U R A o i W E T i t K e X b d X b b W M D G C O n P O q C J 9 / b 2 R f 3 c u H H 9 M K h z 3 o D m E D 7 N c V G I F N B a k J O z o F t j n C d g Y 6 B L q W U r V L M 2 y H T 3 S K p V C m d 7 + h M w i C j P C i r d Y / N o X P j t I k n G Y m c r B t B o N K h a q b L Z 5 d L S 0 u L E C H Z R 2 G J / C p 2 u M H v R z s M k h Z m J K C M a 8 I 2 y Q t k k u i 0 k W s 1 4 t F 1 V a J 5 N V Z j W O C 7 E S a S r s F J A Z z q U A h c r 7 b F Z C r P 3 0 a r N 1 3 9 J l s e W k t z f L D 0 T o Q 4 J 4 7 H t J k J j / J D s M w l z S 2 z z E w 3 R H h t l l e 3 1 L n I x 4 0 n u m E t u m y / T x o 3 Y d 8 m y X 3 B y x k U M F r B y m Z 4 9 e y 7 S x n K 5 3 E D T M 8 Z x f L 6 r 0 + r 8 Y / Z 9 C 2 J 7 u K a D v 5 y k j L b E P u A a W 1 x K f 0 I d E s U 1 e Y M p K o j B R A F J Z P h X g 2 9 k t 5 u C A I M g q z o p 7 P u c h C I 7 q T A N V 7 i F A e D 0 N t k U A J A K M o s 4 r V l 7 F s D f K 5 c r t L 2 9 T e v r d w + H M s S I D r 3 l K V X L + d c 1 z Z W + U 1 N Z n S L 1 B x 2 h n b 8 z o F p d V r X w i W B L I + K T b y h C 0 B 3 H p 7 T K D j a f k 9 Z d 2 m 0 Y t J i w R P 7 Z i 0 q S H i w 2 R P R q s 5 a k X M I m 0 5 E p o X q U 1 l h t i 8 6 T A F o i 3 f k 1 G J 9 u a y I K d N 6 h 8 o s g w H k D w R 1 E N J P J F J N r n t L p 4 e U 9 D D F B j 0 K q 7 D z 2 p W T / 4 Q W T A m Q X 9 Y L + J i Q m I s Q 7 q v O L v i q E c K 9 x I z A I l 5 E c Z w U i i T A P H z / + k t 5 + + 0 1 h H o 6 a 8 X F W X G Y S H t V Q U 4 g 2 u 1 T o N 0 H 0 B w / a 5 m + Y g 9 C Q 2 M Y 3 n F S m z W H U M M b 4 Q H D j 4 C A v v m / e v E E L C w u d P R e L W S P f W I T C g R i w h V T 2 M E A g s c m G D k C M E M 4 Y v v B 3 M v B z + H 9 0 a i K t p N s 8 g 7 k I h M L / r K C I j k I A + 5 b E N Y O O U t z j n W u j d f I h i g P N B t M 0 F w c u z g R o d G i v j V e b t H Z t V Z i G 3 X 2 D 0 4 h p I V 5 k G g q a Z L M c B C z W M m 5 A q j 4 I z S / 8 i y L A Z p U J W e M P 3 K m b 3 R G / E Q D S p Z m Q y A h A Z k J G j 8 k U N Z A Y D M 3 1 m 9 9 + R H / 0 w + / T / P z 8 z E U P J 0 W 4 E w k F Y Y d 5 B X 8 G k b f F A U O J u z H M X 8 H e z d 5 Q + Q U C G d L 5 e v B u 6 G t A I O X m A q v Z G A M h M l f 2 D 0 Q W B z q X Y R 7 O s l 8 U 5 b M f E g r / j G I u j e L g Y w b T N s s k h D P M l J g l I A v E 5 u d f P S H Q E S M A U q m Q M / n Z 5 4 / p 7 b f e F K O u p 9 0 8 H B f j E G 6 g h o o j Y 0 S f b G r 0 9 h r G x Z B I h 0 G R j F q 2 I O V V 9 O W g v W A i P n 7 8 B b 3 3 3 r e F 9 p p U 9 P A i 0 E s 2 q V J C c m y M Q U B 4 O c x r h G A E w o E i G 7 3 V + n R H o 3 e v 2 2 O c c T m A c g P B f v / 7 T + n R o 4 e U S q c o N y X R w / P C Q E L B t 8 D A t y g B H 8 X g l h 7 J s R O D y D o P 3 w M i H b 4 u / 0 b r I m E k c T D x 4 i d f V + g P 7 m d J k T E U J R D / 7 h G 5 I B c A Q W l a 7 H M 1 W u T 5 6 P D G w E W J V r M Y p u J R p e F S L q N S w 0 Y e G a 4 h B 1 N y y d B y P j 3 b t U Q n + c P r G p / n k d G Z 5 Q n 3 i d K e n z b A 5 3 r 1 a o M W F 3 P 8 O f + c T N P G n O + T 1 R d S Z f 8 p S 3 h W C J 5 t m 1 y r C d K 0 o I I l z y Q f K 0 Q g 9 Q g p S D 4 m u 8 c + F r C e K b D Q w f r B c 4 P + x / 1 2 5 y + v A S H C B w I J g Y G Q H s L B 8 I 3 5 z s Y g c K G I f E E E C 1 j g k A Y V E k K Q J K g s A E K J + y A D Q y K H F C 0 t 7 o 0 0 H M / F M Q r t 8 i 1 v L W n i O a Z J g G E q A V d l i E a h U K S d n W 2 6 f / + + 8 L 0 u A 6 R i f l d Q W M z z w C 0 v W u p f P W n Q n 7 y J t B S 0 v G z y e M E Y J o x V M i 3 M S h R E w a B x F l J B r h 0 y c 7 / Y q J P M A r w 8 p x x O L t g t H B B s C H 6 x z j 5 G p U q 3 V 1 M k K 6 q I I u 7 V c A 5 S k Y j + c 1 u l P 7 z p U K 3 l 0 8 u S R L m 0 Q j e z w T 1 N y 6 W E H s w z A a I p m I R F n R P 7 u h E K J 4 4 7 Q u A Z A e r i 2 Q G R 5 p b p 2 l K G 3 y N 8 5 8 s J y F 2 x W B S 5 h 4 g c z m p g Q 5 h 8 6 I C F h k H n a F L 3 q G X L N H / C q M s L R 5 i w e 8 m A B q e f x k T j U G 1 i 0 h q X s m k s P Y N G 4 n J n k Y N g m 5 u b Y q 7 I 1 d X V Q 7 N 7 k s D w e + T n 9 M 4 R A p 5 g z F / 4 S G 3 m D / p B P 9 r Q Z y Q o Y Z d Z 1 X C L d W S B M n 5 s Z M M f D g 9 h Q R T D R m C W M t n Y d J 0 G 0 o E k o 8 I 2 G 5 1 f R 2 G z C b B b V e j G Y m C i b l e I 1 j K Y 7 T X w 7 1 7 l b T F + J 5 f G l G W j m Y u z 5 K u h D D F F O E z E u 3 f v C J J N G / 7 / E 4 O + s 7 w z 5 Y S C 3 w S E P p z w n Y b A Y x N Q j t Y e H 4 c U Z 8 E g Q g 0 D n u 9 Z X i W z U a S 8 u 0 r 3 F y 1 a T V t k S w m 2 O A J T P U o C X T Q Z 0 e / 1 9 d f f 0 B t v r I u k 3 l E g V o 9 h M z q K D P t + + L s P G 1 T 6 9 H 9 P h l C F Z j C x R 6 U V q F A M 3 7 j V l Y 2 w X e H W t + M j n Q i r y G R h c q n B R O 1 n x a h E q Z i y S M I F M B L 0 W V G h N x Z d k W r 1 x p J D z 4 u a m E 0 H k 7 N g 8 h S Y z z C j M T 0 A g i M v S y o l V X 5 v / t t t f s / g r j 6 1 2 b T G p D C 4 D v 6 W Z 9 / y n e U a 1 W 2 V 5 v X R c h i H A a Y T I r Y H F Z N S m R z d y i G q O J l l d C Z x D / j k M A 1 R l b n c A h M m I + b 4 q N V q Y v w X / G e U A e o a 2 z 4 3 z u 1 W g / b 3 9 1 n D a 7 S 8 v H S q g M i / f J U Q I 4 D X M 3 k q s u b U W W u m k o l o C Y V 5 I y B E S H J F U Z 5 U n h i q g Q A E j o c A 4 l w k 2 C L 5 F k m 2 y x m X E s Q S p v D L d p l u e N g q E 7 N 7 G Z 3 j C D p h x w G E G o M X s W I D w t s h g S a J Q R r K d D H s m 6 h s 6 r S S a r P 9 f v p n + 2 x X o 4 d L F i W 4 8 h H k Q D G d v 9 g P R h S k A 1 m + O S B 6 u s 9 O D f / W N J n + 8 q 3 R y w j n I y D y Y m O H 3 n n r w Y k m J S L I + P z s 6 x S 9 t 1 q h U q 3 F x P L E 1 A P 4 n J p Q k V a E w 4 I E X 2 g U k 6 4 D F M L T P A v H s i 0 I 6 X r o w w k c x S B k H h 5 3 l N i Y e 6 A B 8 r K m u c F a U k y t N S U Y 1 + T b q C U D b T 9 n s q P M W t S w D 9 + 1 0 N L 5 3 S V 6 X k n S t 1 d r Z L I 2 t L i M y i 2 V 7 m R K 9 O F 2 l u 7 m X L p / 7 e j o a e R u I m U M Q B l D A + y w / 1 Z h w b F 4 Z 9 V O U T q h 0 P f v B L M A n 6 c W 6 n d t P B O 6 Q C p s 2 T / Z b N D D 6 z o 3 O D o 9 3 t N F o A Y r Y i D d 7 c / 7 d N + M A l y / V C r R y 5 e b d O / e X Z E I 3 P s c I N + P P 6 7 S 3 / 7 5 T d E o d e 8 / Q i g I 3 / O i S j e z W P h Y o l o 7 m O g C s 6 u i k K F V M J p 3 N P D F b P a e Y Z 4 N K 3 S r R K T 3 t 4 X x g r M K z K N 3 g 8 s S w 1 0 A m I 6 D o q d 4 T w f T B 0 w Y l o V p m d n 8 d N k s b B m 0 O s c + l + x 0 B O X k b g e c B 7 8 E n x B Y d M 8 x y 7 T V W q Z m m x s 2 N t F / c L P K R o Z O + 4 U K 2 X 6 C F u c N t j A c b v x Y Q 3 p 8 P q m U r 2 I i U 4 e K N Y u e l h d I s / b o w S 0 2 4 R S s y p K g Q r F M y 0 s 5 + n z X E C 5 E i n 1 D d K Q / W n F o p 6 a I E Q 6 D Z u y N A o i 0 w g + D d s J 7 Y 6 a w u b n j 3 T X S z l 7 e 7 5 4 K L B J 4 Q Q c x Y W V A 6 e T 5 I w Q w D b H Q e V 0 l g m u I T m W u W K d G P q J 8 3 T r R d 4 L 9 l w Q Q L M f i d 5 4 Q 9 p s G J R T 4 f R 7 t N w y 6 k 2 3 R R 7 u L 9 N 3 r 1 c O l h S b V w e z a F n n u U Z 9 x l O k Q + i F S j Q m f X R 8 v o y P 6 o A Q m c m E C 8 I + A V C K E H Z C q V 9 t I 1 g H 5 e p + 1 h U A W n D 8 K G a c Q M E F h e s K s R P 2 K G V j Z 7 4 O t D f 8 w n E c D / + 6 x O Y W 5 v 0 E m k O o 8 U W l r l N J g 5 h 6 3 M k z W U H P p p G i J L Q v r F h v n Q i j P Z e v H H m 6 O q T r W w u q v G c e F 5 J T J x 6 q S i s F l b J I U T o K q p H g b K 4 d E F x U + t y h f L 3 m G A 5 V 8 s s 6 W z E 3 y E 7 c 6 W 9 M L E G p c 8 8 N u s 1 O A x q g D m / 2 d J 8 U 5 e n e Z z e Y I 8 K y U o n u 5 w S b l z 1 8 t k S G 1 u C 3 c o v f f W T k 3 7 T S O n 6 g l M M f g c I 0 j u W z B K M f N r 2 E I l F m E G o 0 R C a H G J 0 8 P h C D x N U 7 q i I X 5 C M 0 V c R / T q M C E i R j C k e u T M I w g B y Z Z P A u G C V q x p d F i 8 n g o H Q m 4 m D 0 K 2 K k n R L i d v T T a r e u 0 k r Z p w b D p y 0 K G 3 l q q i 2 O 6 I f w n N c n a s U W a k R L R T f h L 8 J v O E 2 O R i p + r I / k T w 1 n M x r E J d W b y z A i i m B J 4 H I w b 4 Q N e V F K 0 n j 1 d I G O n b t D j H R J 5 k j 9 Y R 3 T 0 H D 3 6 H o T + I v I 4 F W 1 0 T T j Q R Z g A R i X Z i Y S 6 K u S Z B o x C q C e s a e 4 t N E T / X e + a S q N g q 5 Y g Q / X o s x 2 N 3 r / b E J p o U o G H M 4 G t E 8 l r s 1 k 3 X Q m z / U h 2 2 C y B P L 2 f i 8 b H m z N Q 2 R N C z V L o T T b b 0 M d y G j I h a v a q p N B C w q E / u 9 8 W K T h T R S Y x N G c A J G 3 q y A T 0 4 4 v c v T F t + O 6 t 0 3 X O z T o Q k E B Y G 3 2 B T f a R k P U 8 p 4 8 W A W w 5 C l l u l / k m y a Q a a f r J Y 4 n u J T e E a T d d R O r K 1 5 x x g E d S u b g / n W y 6 Q k B F v M h 7 d H P O j C 7 m x O Y I B o e + L C p U q F n 0 3 s 0 g 4 D B V Z H J K R O p o y a 2 z g s l 5 o j G O w f O I f r e p U b P t i f S h y M j E V / J I o Q 8 + r 9 C d n E M / u K e L P L O L J 5 N D k l 3 s / G Z c M j I B M a E m C K R y d Q O B t e / d s s m Q o 5 u j U F F 1 q n u B v / H u r c C M w p w W F w 4 X q 7 L I 5 G u X e 3 2 v m F A T R D j l d C + w p m 8 U Q O B B V j X 6 Z C N Y m M w X c 2 g A o + k + y c r j Y T p b D K d O E s y y c e H W W f 3 y v d F 3 G E J B f 9 L l F 7 f Y h 5 o C n K Y P q h t h R s F P n y b o / T u V I / Q Z y c w b N S / S r T E x B m Q k g E Q y 3 2 t G 0 8 W i Q q y h Z h D I c V P 1 p N B I + C D j A T l 4 M p t V v 3 g a E G O 0 P i Y 3 0 E i j J h l 3 y C R Z e 0 H y s s h G 7 A B h 7 S t O J i D W U F O A Y R p K N V J 9 O x H D m Z 0 w r A C D 4 n A M h r s P g 2 Q f s C 9 z M R k H l x 0 x o W Y Q G G D 3 T V 6 m R l s S M 9 I C w 7 Q R t I q v r 3 W 2 Y p w X Y p N v h g C N 9 E + f u V T I F + h 5 Q R X L + A C 6 P t j U k s x X / K 8 f k 2 l C i D X U j A A T j f z 8 q U a K W 6 U W z Q u N 9 K O H f Q Y k i l m f M C d C d L 1 a M U Z H r K F m B B h m 7 v k + J Z I Z + v 5 t 6 5 B M W O X j N b h t F M N b Y j J d F G I N N a X A N G Q Y Q v I f W x o 5 7 D O 9 u d I W U 1 V v l D U x e + y R t a v Q a Y p + n h g X j l h D T S m Q U T 6 f 8 E R m O E Y z L 2 e C h R Y w z V k 3 m S R r P y b T F C E m 1 J T g i z 1 N T E g Z J v 5 j Q t B / f U L 0 4 8 8 k u p U 8 C P 7 I + N a N s M r 4 Q L t I v r 7 a 2 Y 4 x D Y h N v i k A J m p Z m w + G Z y A c / p V Y E M W n H 9 4 o U S Y d a J 9 j Y f F R Z 5 S K M V H E G u q C g Z w 7 k A n z v U E b g U x 6 e 4 t + 9 L A t y A Q i a f r x P i Z M W B N j + h B r q A s E l j 9 B x A 7 9 S 7 9 9 q d P t 5 A 5 d X 1 0 S + 7 B k j d w 7 j Z Z T I s m p c 6 0 p 5 B s 3 O n + M M U 0 Q h P o 6 j 9 l i 3 Y l O S n L V g b n K f / q l R I + W b U p p N s 0 l A 2 O h 7 0 o Z G E N 0 y Y c 9 X B b 0 1 V C Y 2 n Y h 4 R 0 S b L O s 0 q 2 F 6 M b s X H U 8 2 Z O p U H N p L u H T g 6 W 2 G J a O D 6 b 3 P Q Z r h 1 l 2 v b M R Y 9 r R 1 4 f K 1 2 V B p l e l T h Z y 3 E 9 4 Z m C Y u 2 1 b 9 M F T o r R m Y Y Q 6 Z R T z Z D J 5 7 Z h M M w Y p n 9 / 3 s Q S o W C 6 l J d P d X K C J n u x r 9 O Z q k H i J U G 6 f Z O c Y A w D y I M i A d K E Q P 3 s i 0 6 q y T Z q u U q F l 0 F L S o U d 3 c v 0 z x M U C 4 X w u x h f F m C k M D U o g C h U u G B 3 j Z I i V 5 j F R B A O k a r V M S q W C m W 6 j X k U w x n R i K K E w T 3 e x K Z P B 1 h 9 6 7 i 8 b X h R V W l 8 c z z 8 8 Y J P 4 9 9 t 6 M P G 9 6 1 L G 2 a I f v h 1 E 5 0 5 a / u V E X L L V R K 4 q D g k 1 y K y r t y X a r S n 0 Y N m h b w o q 3 V 8 a T / i i B l p + L A I G c w r C e x 4 t / + 8 2 d L r H 7 5 l L e U L j Q P N g 3 a P H 2 1 x G s k T / b b 3 F 2 q d J 2 e y C 8 H 3 g A 8 W I A Y y k o T B p D v p M 7 u R c W s 1 c j P k H T V B r O f S r F w a p m s H b D i V V l x R 2 3 P / 4 w e k n u M d k k l 8 d q G K 6 L V w b + N N 7 L f r g q U Q / v F W n f 3 8 5 R 2 9 f c 2 l 9 + b x J g 2 q I T c J Z x 1 B C h c A w A b T Y p z G R z g J o o p 9 9 p b D G c O n + W k C a X 7 7 Q q W n J w Z A G J h a 5 L X p 4 T a U H n f 1 b Z U U s 9 4 m F h f / y 0 e s x Q / / c t Y 3 f 3 Y D m c 5 1 g N T 8 M j f h w I 0 k P V i W x d t N E E J t 8 l w I j E y p E 2 5 H E q u a P V m x q W R I l o 1 7 9 k O F 4 P v 3 z F z J p X o P + + 6 N g t t P Q b 8 G S K 5 i a u B u 2 1 W a B Z M H H t F l q k j R 2 Y e 6 z i X p n S W b t e v R Y E O a D Z x o 1 z W B p R 3 F e Z x p g L E n z v T s e p R M T N O H E J C m x y X h Z M D a h E F 7 v k V H 6 N W u M P 1 4 P 5 4 A b D w j V / + a F z J r G p a V E k 4 n q U j I R L P v f G 0 6 2 X E n 4 d L r i U 0 L D S o B H n w U E g U Y L 1 k E l e n F g 0 3 b B J N P 2 S E 0 t 0 6 0 s a 7 m V 1 4 G V v i H r G D H O g L E J 1 Q t M F O L 4 k j A J Y Q q O u q 4 S z L W f f M E m j l 0 j I 5 m h v 3 j T j z y 4 M N 1 A G V 2 l 9 7 0 a O D O h Q s A U N F S f P t n S 6 D s 3 j 6 + 0 F 2 K v 4 t D H z 3 m / m i J V 0 9 n M I n r / j S u 2 y o Z d I N K C M H u M y 4 V I j H e Y g e g A B v q R C S b Y P 3 0 u 0 Q e P G 1 R p S q S l c m J I w l 8 8 t F i 7 d Q 6 6 M u A X j s l 0 a X E m D b V T V e j 6 v E s V 9 o O y S Y 9 c v t K H r w z h 5 z i I m D G R v r t W o I X 5 Y I l 8 B B f g 2 y C t a b N D w O 4 o 3 K U E o n d O l U m E l S Z i E + + y Y y i h s H O Q G D w v q v R N P g j 1 + k 6 b 3 l 6 z a H d 3 l 7 7 9 I B i W f W y U 6 V W B 2 y K K c K n + G L O D g Y T 6 f F e j R 6 s O a V 3 L T 1 Z M m T X Q 6 6 i Y 6 p u 0 P l + j 6 4 v B 3 6 Y m a w D z b o u 5 6 Y C T m o Q Y M a L F S C b f f 2 z p l G 8 E R P n R g y b 9 5 A u F 1 t N 5 e u N 6 J l o t B N M I U O e D 7 2 6 g v 8 j r W v F c 9 D u 1 W Q 2 u s Z N f Y g K x p h y 0 M k Q I X F 9 c o 0 N 6 f f n 1 7 6 i A V S i m c D 3 Y G J P B M U L 9 + q V B l i N R w 8 T 6 P q 9 3 I X v g 6 U a J H t 7 O D R 6 / M w 4 8 B C 8 8 l u c p M A u t b S b X C U P K M R s r h p 6 L 5 V q Y g I M I 0 9 5 h g s f j l 6 4 y D g m F D t F f P l P o e 7 f a t M U N / t 3 l o 2 b S W U n k u 0 2 W R Q j k K T K x I 8 U J J m A 4 1 F y Y j C D 6 g O M w 8 K + 3 I Y j J F I M h 7 e 1 u + j / 9 U q G 1 L F Z y c K L N H B D z b F 9 S 5 9 w u M / k W 2 M T r M 2 s r I n t i P 5 M z T i u 6 U p D + 1 y 8 O / L 9 6 J 5 i V N C q 0 L Z c 0 b 5 / k x C V r s d v 7 r I X O M L E k N B + 0 Y D x j 0 a X F S E G J U Q B 3 y 7 J d / t E m w 7 g E U w M j a R U Z D R J r b C 3 b + W O U Q E 5 h r L 0 u G y I j V I A Z F p K L m q o r z j a / P G h v R y P 9 v s U t u c C M C U b 3 K u U X N e 8 d y G S 9 n r s 8 x o y g 9 a z z o w t s y k e s o W Y A b o O F W G P u R x h 8 i X E F 0 T 9 a f H q V g s 7 U a Y P b c f p Z 9 f r e g P F Z S n o 6 y Y Q O 4 R g z h P 5 B v F M S i t k p k j 2 n A H a + 8 4 O h J A L T D a p 3 1 j R Q n F 0 x O 0 C f 4 w C M R y i n 3 P k R X Y j 9 1 G h v B d 8 a 0 o c u E a Z R 8 8 c I 0 H o e f J / Q g T + b P p S 1 S 6 R f 6 2 z E i D E h j B C R H a 6 h 4 M R P E z z n 0 p N J O r Q E Y k w N r L 3 O j 5 N x M q H g n 8 C J n w Z g L V k A W e W X H D 4 S c W N M D + A z 6 W t D t R P Q / w j k o g G T 8 E + G R b c w T A O 4 S m v J I k c w x s U A f p K I E M M T Q q I C Y 4 y k 5 / 6 E m s i E i x 3 X b V B 0 C x n d e L E L z 0 6 / A M Q R v 4 s D G m 4 R I U b g b b h G 6 s X r M 7 r D z x P B k E g h h k d c 2 c 7 X T s s Y F Z C U 2 w u z E y W 9 6 m h 9 E w S 5 0 I A j c + a M L k 4 Q 5 Y M m m I T w X u b h H J G D S Y V B m L 3 j r s a E 1 P i U / P S 3 O 1 v 9 w J Y C z G 6 n F m f B n x l E / w U 2 I 0 o u F 0 j P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 G u i d = " b 6 9 6 e b 6 0 - 5 8 1 e - 4 6 5 2 - a c b 3 - 8 3 8 3 c 5 a 4 0 4 6 0 "   R e v = " 1 "   R e v G u i d = " 4 6 1 e c 2 c 8 - f 2 8 3 - 4 5 c a - 9 7 b d - a 8 c 8 9 a 0 b f d 3 f " 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K w D A A B Q S w M E F A A C A A g A Q F l K W i 1 U k / 2 l A A A A 9 w A A A B I A H A B D b 2 5 m a W c v U G F j a 2 F n Z S 5 4 b W w g o h g A K K A U A A A A A A A A A A A A A A A A A A A A A A A A A A A A h Y 8 x D o I w G I W v Q r r T F h g E 8 l M G V o k m J s a 1 K R U a o R h a L H d z 8 E h e Q Y y i b o 7 v e 9 / w 3 v 1 6 g 3 z q W u 8 i B 6 N 6 n a E A U + R J L f p K 6 T p D o z 3 6 M c o Z b L k 4 8 V p 6 s 6 x N O p k q Q 4 2 1 5 5 Q Q 5 x x 2 E e 6 H m o S U B u R Q r n e i k R 1 H H 1 n 9 l 3 2 l j e V a S M R g / x r D Q h x E C Q 7 i V Y I p k I V C q f T X C O f B z / Y H Q j G 2 d h w k k 8 Y v N k C W C O R 9 g j 0 A U E s D B B Q A A g A I A E B Z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W U p a m 2 Y N j q U A A A D a A A A A E w A c A E Z v c m 1 1 b G F z L 1 N l Y 3 R p b 2 4 x L m 0 g o h g A K K A U A A A A A A A A A A A A A A A A A A A A A A A A A A A A b Y 2 x C o M w E I Z 3 w X c 4 0 k V B B G d x k q 5 1 a K C D O E S 9 t q l J T p J Y L O K 7 N 8 W 1 / 3 J w 9 9 3 3 O x y 8 J A P X Y x Z l H M W R e w q L I 3 D R K 1 F A B Q p 9 H E F I Y + U D T d i c 1 w F V X i / W o v E 3 s l N P N C X p 1 l 6 E x o o d n 6 z b 2 5 q M D 0 i X H Y I T 4 3 I m G I T u p R i J B d W P x Z x b Y d y d r K 5 J L d r w z 4 w u O e q y b W N N / 0 I v 3 + R Y B j 7 c w O P q 9 z 2 N I 2 n + m 8 s v U E s B A i 0 A F A A C A A g A Q F l K W i 1 U k / 2 l A A A A 9 w A A A B I A A A A A A A A A A A A A A A A A A A A A A E N v b m Z p Z y 9 Q Y W N r Y W d l L n h t b F B L A Q I t A B Q A A g A I A E B Z S l o P y u m r p A A A A O k A A A A T A A A A A A A A A A A A A A A A A P E A A A B b Q 2 9 u d G V u d F 9 U e X B l c 1 0 u e G 1 s U E s B A i 0 A F A A C A A g A Q F l K W p t m D Y 6 l A A A A 2 g A A A B M A A A A A A A A A A A A A A A A A 4 g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A t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Z m N 2 E 3 Z D M t M W U 4 M i 0 0 M 2 I 2 L T g 2 Y j U t M W R k N m U y N j M z Y T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N j o w O T o 0 M S 4 x N T Y 2 M j A 5 W i I g L z 4 8 R W 5 0 c n k g V H l w Z T 0 i R m l s b E N v b H V t b l R 5 c G V z I i B W Y W x 1 Z T 0 i c 0 J n P T 0 i I C 8 + P E V u d H J 5 I F R 5 c G U 9 I k Z p b G x D b 2 x 1 b W 5 O Y W 1 l c y I g V m F s d W U 9 I n N b J n F 1 b 3 Q 7 T 2 J q Z X R p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9 i a m V 0 a X Z v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E v Q X V 0 b 1 J l b W 9 2 Z W R D b 2 x 1 b W 5 z M S 5 7 T 2 J q Z X R p d m 9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t a Z T 9 5 G m Q I m U z i x D x J j v A A A A A A I A A A A A A B B m A A A A A Q A A I A A A A D A J P C R I W v l K Y r r 0 Q 6 m e z D 9 S Z 1 v u m a 5 m s t h k 9 F Z 7 / e o y A A A A A A 6 A A A A A A g A A I A A A A L x s i G S B 9 i S G 1 v N 9 R J E I 0 8 1 s O 3 W d Z Z i 0 d i h g T 9 0 D a Y T M U A A A A B b x n b s f H 6 M w 6 2 v 3 M A T t k q E z t V R I 1 l s N A Z K 5 s N R J n k 9 I o S / 4 F A t k 4 N T c J 2 3 D X J E h R 1 Z B j l U K i o X 1 k E u Q u W 6 9 Y A 0 s S 2 J s 2 4 k 9 b j 6 L 5 z T T 8 0 5 s Q A A A A M D C q v s C x w b s 3 b q m + 4 + y c O 7 g V K 4 r N y G 6 g 3 g X R h + c s M U 2 c 4 w Q n O s t r + t p J 3 q V u f f j 6 m j b 6 o Q I + X F 0 A w 4 D V K X B R f 8 = < / D a t a M a s h u p > 
</file>

<file path=customXml/itemProps1.xml><?xml version="1.0" encoding="utf-8"?>
<ds:datastoreItem xmlns:ds="http://schemas.openxmlformats.org/officeDocument/2006/customXml" ds:itemID="{FAF90D5A-FD92-4145-AE43-B5351598BA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0A8D6B2-80CB-41B7-B1B7-8F9E953A9DF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9875A68-F4CC-41AA-8A89-894D747E6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Ingreso de Datos</vt:lpstr>
      <vt:lpstr>Formaciones</vt:lpstr>
      <vt:lpstr>DATOS DE GRAFICOS</vt:lpstr>
      <vt:lpstr>Estado Mecanico</vt:lpstr>
      <vt:lpstr>'Estado Mecanico'!Área_de_impresión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Jara</dc:creator>
  <cp:lastModifiedBy>CBR CBR YITA</cp:lastModifiedBy>
  <cp:lastPrinted>2025-04-23T21:05:54Z</cp:lastPrinted>
  <dcterms:created xsi:type="dcterms:W3CDTF">2021-02-12T14:41:58Z</dcterms:created>
  <dcterms:modified xsi:type="dcterms:W3CDTF">2025-10-01T02:06:05Z</dcterms:modified>
</cp:coreProperties>
</file>