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jonkopinguniversity-my.sharepoint.com/personal/gary_linneusson_ju_se/Documents/SUES-DIGIT_Formas 2022-2025/Modeller/Vensim/"/>
    </mc:Choice>
  </mc:AlternateContent>
  <xr:revisionPtr revIDLastSave="254" documentId="11_F25DC773A252ABDACC1048B9F1DC72D65ADE58F3" xr6:coauthVersionLast="47" xr6:coauthVersionMax="47" xr10:uidLastSave="{CFB40B26-3E59-4427-A90E-CDB03235DCA1}"/>
  <bookViews>
    <workbookView xWindow="-120" yWindow="-120" windowWidth="38640" windowHeight="21390" activeTab="1" xr2:uid="{00000000-000D-0000-FFFF-FFFF00000000}"/>
  </bookViews>
  <sheets>
    <sheet name="Sheet1" sheetId="1" r:id="rId1"/>
    <sheet name="Skara" sheetId="2" r:id="rId2"/>
    <sheet name="Lidköping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3" l="1"/>
  <c r="J31" i="2" l="1"/>
  <c r="I31" i="2"/>
  <c r="G31" i="2"/>
  <c r="F31" i="2"/>
  <c r="J28" i="2"/>
  <c r="I28" i="2"/>
  <c r="M27" i="2"/>
  <c r="L27" i="2"/>
  <c r="I27" i="2"/>
  <c r="G27" i="2"/>
  <c r="F27" i="2"/>
  <c r="J31" i="3"/>
  <c r="I31" i="3"/>
  <c r="G31" i="3"/>
  <c r="F31" i="3"/>
  <c r="I28" i="3"/>
  <c r="M27" i="3"/>
  <c r="L27" i="3"/>
  <c r="G27" i="3"/>
  <c r="F27" i="3"/>
  <c r="J25" i="3"/>
  <c r="I25" i="3"/>
  <c r="G25" i="3"/>
  <c r="F25" i="3"/>
  <c r="J23" i="3"/>
  <c r="I23" i="3"/>
  <c r="G23" i="3"/>
  <c r="F23" i="3"/>
  <c r="L7" i="3"/>
  <c r="M7" i="3" s="1"/>
  <c r="B7" i="3"/>
  <c r="A7" i="3"/>
  <c r="D7" i="3" s="1"/>
  <c r="L6" i="3"/>
  <c r="M6" i="3" s="1"/>
  <c r="B6" i="3"/>
  <c r="A6" i="3"/>
  <c r="D6" i="3" s="1"/>
  <c r="J28" i="3"/>
  <c r="A20" i="3"/>
  <c r="A18" i="3"/>
  <c r="A16" i="3"/>
  <c r="A15" i="3"/>
  <c r="A14" i="3"/>
  <c r="A13" i="3"/>
  <c r="F7" i="3"/>
  <c r="P7" i="3" s="1"/>
  <c r="R7" i="3" s="1"/>
  <c r="F6" i="3"/>
  <c r="P6" i="3" s="1"/>
  <c r="R6" i="3" s="1"/>
  <c r="I25" i="2"/>
  <c r="J25" i="2"/>
  <c r="F25" i="2"/>
  <c r="G25" i="2"/>
  <c r="I23" i="2"/>
  <c r="J23" i="2"/>
  <c r="F23" i="2"/>
  <c r="G23" i="2"/>
  <c r="A20" i="2"/>
  <c r="A18" i="2"/>
  <c r="A16" i="2"/>
  <c r="A15" i="2"/>
  <c r="A14" i="2"/>
  <c r="A13" i="2"/>
  <c r="L7" i="2"/>
  <c r="M7" i="2" s="1"/>
  <c r="H7" i="2" s="1"/>
  <c r="A17" i="2" s="1"/>
  <c r="F7" i="2"/>
  <c r="S7" i="2" s="1"/>
  <c r="A7" i="2"/>
  <c r="D7" i="2" s="1"/>
  <c r="B7" i="2"/>
  <c r="L6" i="2"/>
  <c r="M6" i="2" s="1"/>
  <c r="H6" i="2" s="1"/>
  <c r="A19" i="2" s="1"/>
  <c r="F6" i="2"/>
  <c r="S6" i="2" s="1"/>
  <c r="A6" i="2"/>
  <c r="D6" i="2" s="1"/>
  <c r="B6" i="2"/>
  <c r="C31" i="2" l="1"/>
  <c r="A31" i="2" s="1"/>
  <c r="S6" i="3"/>
  <c r="S7" i="3"/>
  <c r="C25" i="2"/>
  <c r="A25" i="2" s="1"/>
  <c r="C23" i="3"/>
  <c r="A23" i="3" s="1"/>
  <c r="C23" i="2"/>
  <c r="A23" i="2" s="1"/>
  <c r="C31" i="3"/>
  <c r="A31" i="3"/>
  <c r="F28" i="3"/>
  <c r="F29" i="3" s="1"/>
  <c r="C25" i="3"/>
  <c r="A25" i="3" s="1"/>
  <c r="F28" i="2"/>
  <c r="F29" i="2" s="1"/>
  <c r="H7" i="3"/>
  <c r="A11" i="3"/>
  <c r="A12" i="3"/>
  <c r="H6" i="3"/>
  <c r="A11" i="2"/>
  <c r="A12" i="2"/>
  <c r="E6" i="2"/>
  <c r="P6" i="2"/>
  <c r="R6" i="2" s="1"/>
  <c r="E7" i="2"/>
  <c r="J6" i="2"/>
  <c r="J7" i="2"/>
  <c r="P7" i="2"/>
  <c r="R7" i="2" s="1"/>
  <c r="C27" i="3" l="1"/>
  <c r="A27" i="3" s="1"/>
  <c r="I29" i="3"/>
  <c r="C29" i="3" s="1"/>
  <c r="A29" i="3" s="1"/>
  <c r="C27" i="2"/>
  <c r="A27" i="2" s="1"/>
  <c r="I29" i="2"/>
  <c r="C29" i="2" s="1"/>
  <c r="A29" i="2" s="1"/>
  <c r="J7" i="3"/>
  <c r="A17" i="3"/>
  <c r="E7" i="3"/>
  <c r="E6" i="3"/>
  <c r="A19" i="3"/>
  <c r="J6" i="3"/>
</calcChain>
</file>

<file path=xl/sharedStrings.xml><?xml version="1.0" encoding="utf-8"?>
<sst xmlns="http://schemas.openxmlformats.org/spreadsheetml/2006/main" count="114" uniqueCount="48">
  <si>
    <t>El (MWh)</t>
  </si>
  <si>
    <t>Antal hus</t>
  </si>
  <si>
    <t>Hus utan fjärrv.</t>
  </si>
  <si>
    <t>Hus m fjärrv.</t>
  </si>
  <si>
    <t>Ratio DHP users starting value</t>
  </si>
  <si>
    <t>Goal value DHP users</t>
  </si>
  <si>
    <t>Potential in no units to DHP transit</t>
  </si>
  <si>
    <t>No DHP units Goal value</t>
  </si>
  <si>
    <t>Beräkningar husanvändning elektricitet mm (enheter i MWh)</t>
  </si>
  <si>
    <t>Fjärrvärme per hus</t>
  </si>
  <si>
    <t>El per hus</t>
  </si>
  <si>
    <t>Input</t>
  </si>
  <si>
    <t>Beräkning</t>
  </si>
  <si>
    <t>Kontrollvärde</t>
  </si>
  <si>
    <t>Från "Energibalans"</t>
  </si>
  <si>
    <t>Justerat Input som bör vara samma oavsett kommun</t>
  </si>
  <si>
    <t>Justerat Målvärde som bör vara samma oavsett kommun</t>
  </si>
  <si>
    <t xml:space="preserve"> från "Energibalans" databas (MWh)</t>
  </si>
  <si>
    <t>usage DHP energy per apartment building</t>
  </si>
  <si>
    <t>usage DHP energy per small house</t>
  </si>
  <si>
    <t>init no apartment buildings</t>
  </si>
  <si>
    <t>init no apartment buildings DHP users</t>
  </si>
  <si>
    <t>init no small houses</t>
  </si>
  <si>
    <t>init small houses DHP users</t>
  </si>
  <si>
    <t>with EH electric usage per apartment building</t>
  </si>
  <si>
    <t>with DHP electric usage per apartment building</t>
  </si>
  <si>
    <t>with EH electric usage per small house</t>
  </si>
  <si>
    <t>with DHP electric usage per small house</t>
  </si>
  <si>
    <t>endast El uppvärmt</t>
  </si>
  <si>
    <t>El förbrukning vid fjärrvärme</t>
  </si>
  <si>
    <t>init import energy</t>
  </si>
  <si>
    <t>importerad El</t>
  </si>
  <si>
    <t>factor distribution loss from EEP</t>
  </si>
  <si>
    <t>Output values to inputDataSankeyInfo_toVensim (MWh, units, dmnl)</t>
  </si>
  <si>
    <t>faktor</t>
  </si>
  <si>
    <t>factor internal losses DHP</t>
  </si>
  <si>
    <t>brutto fjärrv.</t>
  </si>
  <si>
    <t>distributionsförluster</t>
  </si>
  <si>
    <t>input -&gt;</t>
  </si>
  <si>
    <t>&lt;- output</t>
  </si>
  <si>
    <t>interna förluster</t>
  </si>
  <si>
    <t>factor internal losses CGP</t>
  </si>
  <si>
    <t>factor distribution losses on gross production at CGP</t>
  </si>
  <si>
    <t>Testvärden mot modell</t>
  </si>
  <si>
    <t xml:space="preserve">Kontrollvärde </t>
  </si>
  <si>
    <t>sum El</t>
  </si>
  <si>
    <t>Fjärrvärme (MWh)</t>
  </si>
  <si>
    <t>brutto leveranskapacitet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</si>
</sst>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onkopinguniversity-my.sharepoint.com/personal/gary_linneusson_ju_se/Documents/SUES-DIGIT_Formas%202022-2025/Modeller/Energibalans-Vastra-Gotaland-2020.xlsx" TargetMode="External"/><Relationship Id="rId1" Type="http://schemas.openxmlformats.org/officeDocument/2006/relationships/externalLinkPath" Target="/personal/gary_linneusson_ju_se/Documents/SUES-DIGIT_Formas%202022-2025/Modeller/Energibalans-Vastra-Gotaland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KTIONER"/>
      <sheetName val="FV imp-exp"/>
      <sheetName val="Vgötalands län"/>
      <sheetName val="Skara"/>
      <sheetName val="Lidköping"/>
      <sheetName val="Ale"/>
      <sheetName val="Alingsås"/>
      <sheetName val="Bengtsfors"/>
      <sheetName val="Bollebygd"/>
      <sheetName val="Borås"/>
      <sheetName val="Dals-Ed"/>
      <sheetName val="Essunga"/>
      <sheetName val="Falköping"/>
      <sheetName val="Färgelanda"/>
      <sheetName val="Grästorp"/>
      <sheetName val="Gullspång"/>
      <sheetName val="Göteborg"/>
      <sheetName val="Götene"/>
      <sheetName val="Herrljunga"/>
      <sheetName val="Hjo"/>
      <sheetName val="Härryda"/>
      <sheetName val="Karlsborg"/>
      <sheetName val="Kungälv"/>
      <sheetName val="Lerum"/>
      <sheetName val="Lilla Edet"/>
      <sheetName val="Lysekil"/>
      <sheetName val="Mariestad"/>
      <sheetName val="Mark"/>
      <sheetName val="Mellerud"/>
      <sheetName val="Munkedal"/>
      <sheetName val="Mölndal"/>
      <sheetName val="Orust"/>
      <sheetName val="Partille"/>
      <sheetName val="Skövde"/>
      <sheetName val="Sotenäs"/>
      <sheetName val="Stenungsund"/>
      <sheetName val="Strömstad"/>
      <sheetName val="Svenljunga"/>
      <sheetName val="Tanum"/>
      <sheetName val="Tibro"/>
      <sheetName val="Tidaholm"/>
      <sheetName val="Tjörn"/>
      <sheetName val="Tranemo"/>
      <sheetName val="Trollhättan"/>
      <sheetName val="Töreboda"/>
      <sheetName val="Uddevalla"/>
      <sheetName val="Ulricehamn"/>
      <sheetName val="Vara"/>
      <sheetName val="Vårgårda"/>
      <sheetName val="Vänersborg"/>
      <sheetName val="Åmål"/>
      <sheetName val="Öckerö"/>
    </sheetNames>
    <sheetDataSet>
      <sheetData sheetId="0"/>
      <sheetData sheetId="1"/>
      <sheetData sheetId="2"/>
      <sheetData sheetId="3">
        <row r="5">
          <cell r="C5">
            <v>3410.5</v>
          </cell>
        </row>
        <row r="7">
          <cell r="A7" t="str">
            <v>kraftvärmeverk + industriellt mottryck</v>
          </cell>
          <cell r="C7">
            <v>0</v>
          </cell>
        </row>
        <row r="11">
          <cell r="A11" t="str">
            <v>summa bränsletyp</v>
          </cell>
          <cell r="C11">
            <v>186706.5</v>
          </cell>
        </row>
        <row r="18">
          <cell r="A18" t="str">
            <v>kraftvärmeverk</v>
          </cell>
          <cell r="B18">
            <v>0</v>
          </cell>
          <cell r="P18">
            <v>0</v>
          </cell>
        </row>
        <row r="19">
          <cell r="A19" t="str">
            <v>fristående värmeverk</v>
          </cell>
          <cell r="B19">
            <v>95433</v>
          </cell>
          <cell r="P19">
            <v>98937</v>
          </cell>
        </row>
        <row r="37">
          <cell r="A37" t="str">
            <v>slutanv. småhus</v>
          </cell>
          <cell r="B37">
            <v>5646</v>
          </cell>
          <cell r="C37">
            <v>48311</v>
          </cell>
        </row>
        <row r="38">
          <cell r="A38" t="str">
            <v>slutanv. flerbostadshus</v>
          </cell>
          <cell r="B38">
            <v>40847</v>
          </cell>
          <cell r="C38">
            <v>10387</v>
          </cell>
        </row>
        <row r="43">
          <cell r="A43" t="str">
            <v>Total energitillförsel</v>
          </cell>
          <cell r="C43">
            <v>216044.28</v>
          </cell>
        </row>
        <row r="46">
          <cell r="A46" t="str">
            <v>Distributionsförluster el och fjärrvärme</v>
          </cell>
          <cell r="B46">
            <v>14731</v>
          </cell>
          <cell r="C46">
            <v>16003.28</v>
          </cell>
        </row>
      </sheetData>
      <sheetData sheetId="4">
        <row r="5">
          <cell r="C5">
            <v>7486</v>
          </cell>
        </row>
        <row r="7">
          <cell r="A7" t="str">
            <v>kraftvärmeverk + industriellt mottryck</v>
          </cell>
          <cell r="C7">
            <v>10476</v>
          </cell>
        </row>
        <row r="11">
          <cell r="A11" t="str">
            <v>summa bränsletyp</v>
          </cell>
          <cell r="C11">
            <v>112556</v>
          </cell>
        </row>
        <row r="18">
          <cell r="A18" t="str">
            <v>kraftvärmeverk</v>
          </cell>
          <cell r="B18">
            <v>383000</v>
          </cell>
          <cell r="P18">
            <v>475717</v>
          </cell>
        </row>
        <row r="19">
          <cell r="A19" t="str">
            <v>fristående värmeverk</v>
          </cell>
          <cell r="B19">
            <v>0</v>
          </cell>
          <cell r="P19">
            <v>0</v>
          </cell>
        </row>
        <row r="37">
          <cell r="A37" t="str">
            <v>slutanv. småhus</v>
          </cell>
          <cell r="B37">
            <v>52000</v>
          </cell>
          <cell r="C37">
            <v>98200</v>
          </cell>
        </row>
        <row r="38">
          <cell r="A38" t="str">
            <v>slutanv. flerbostadshus</v>
          </cell>
          <cell r="B38">
            <v>85000</v>
          </cell>
          <cell r="C38">
            <v>18198</v>
          </cell>
        </row>
        <row r="43">
          <cell r="A43" t="str">
            <v>Total energitillförsel</v>
          </cell>
          <cell r="C43">
            <v>470562.48</v>
          </cell>
        </row>
        <row r="46">
          <cell r="A46" t="str">
            <v>Distributionsförluster el och fjärrvärme</v>
          </cell>
          <cell r="B46">
            <v>59800</v>
          </cell>
          <cell r="C46">
            <v>35632.480000000003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867D-2AB1-46E6-9B13-AE5AF5140694}">
  <dimension ref="A3:S31"/>
  <sheetViews>
    <sheetView tabSelected="1" workbookViewId="0">
      <selection activeCell="B37" sqref="B37"/>
    </sheetView>
  </sheetViews>
  <sheetFormatPr defaultRowHeight="15" x14ac:dyDescent="0.25"/>
  <cols>
    <col min="2" max="2" width="47.140625" customWidth="1"/>
    <col min="3" max="7" width="13.85546875" customWidth="1"/>
    <col min="8" max="9" width="16.85546875" customWidth="1"/>
    <col min="10" max="10" width="13.28515625" bestFit="1" customWidth="1"/>
    <col min="12" max="12" width="18.5703125" bestFit="1" customWidth="1"/>
    <col min="13" max="13" width="12.28515625" customWidth="1"/>
    <col min="14" max="14" width="16.85546875" customWidth="1"/>
    <col min="16" max="16" width="14.85546875" customWidth="1"/>
    <col min="17" max="17" width="14" customWidth="1"/>
    <col min="18" max="18" width="20.85546875" customWidth="1"/>
    <col min="19" max="19" width="17.140625" customWidth="1"/>
  </cols>
  <sheetData>
    <row r="3" spans="1:19" x14ac:dyDescent="0.25">
      <c r="A3" s="16" t="s">
        <v>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9" ht="63.75" customHeight="1" x14ac:dyDescent="0.25">
      <c r="A4" s="8" t="s">
        <v>17</v>
      </c>
      <c r="B4" s="8"/>
      <c r="C4" s="10" t="s">
        <v>11</v>
      </c>
      <c r="D4" s="11" t="s">
        <v>12</v>
      </c>
      <c r="E4" s="12" t="s">
        <v>44</v>
      </c>
      <c r="F4" s="11"/>
      <c r="G4" s="10" t="s">
        <v>11</v>
      </c>
      <c r="H4" s="12" t="s">
        <v>15</v>
      </c>
      <c r="I4" s="12" t="s">
        <v>15</v>
      </c>
      <c r="J4" s="12" t="s">
        <v>13</v>
      </c>
      <c r="K4" s="8"/>
      <c r="L4" s="11" t="s">
        <v>14</v>
      </c>
      <c r="M4" s="11" t="s">
        <v>12</v>
      </c>
      <c r="N4" s="12" t="s">
        <v>16</v>
      </c>
      <c r="O4" s="8"/>
      <c r="P4" s="15" t="s">
        <v>43</v>
      </c>
      <c r="Q4" s="15"/>
      <c r="R4" s="15"/>
      <c r="S4" s="15"/>
    </row>
    <row r="5" spans="1:19" ht="30.75" customHeight="1" x14ac:dyDescent="0.25">
      <c r="A5" t="s">
        <v>0</v>
      </c>
      <c r="C5" s="4" t="s">
        <v>1</v>
      </c>
      <c r="D5" s="4" t="s">
        <v>10</v>
      </c>
      <c r="E5" s="4" t="s">
        <v>10</v>
      </c>
      <c r="F5" s="13" t="s">
        <v>2</v>
      </c>
      <c r="G5" s="13" t="s">
        <v>3</v>
      </c>
      <c r="H5" s="13" t="s">
        <v>28</v>
      </c>
      <c r="I5" s="13" t="s">
        <v>29</v>
      </c>
      <c r="J5" s="4" t="s">
        <v>45</v>
      </c>
      <c r="L5" s="4" t="s">
        <v>46</v>
      </c>
      <c r="M5" s="13" t="s">
        <v>9</v>
      </c>
      <c r="N5" s="4"/>
      <c r="P5" s="1" t="s">
        <v>4</v>
      </c>
      <c r="Q5" s="1" t="s">
        <v>5</v>
      </c>
      <c r="R5" s="1" t="s">
        <v>6</v>
      </c>
      <c r="S5" s="1" t="s">
        <v>7</v>
      </c>
    </row>
    <row r="6" spans="1:19" x14ac:dyDescent="0.25">
      <c r="A6" s="2">
        <f>[1]Skara!$C$37</f>
        <v>48311</v>
      </c>
      <c r="B6" t="str">
        <f>[1]Skara!$A$37</f>
        <v>slutanv. småhus</v>
      </c>
      <c r="C6" s="5">
        <v>3000</v>
      </c>
      <c r="D6">
        <f>A6/C6</f>
        <v>16.103666666666665</v>
      </c>
      <c r="E6">
        <f>(H6*F6+I6*G6)/C6</f>
        <v>16.109818181818184</v>
      </c>
      <c r="F6">
        <f>C6-G6</f>
        <v>2560</v>
      </c>
      <c r="G6" s="5">
        <v>440</v>
      </c>
      <c r="H6" s="6">
        <f>I6+M6</f>
        <v>17.991818181818182</v>
      </c>
      <c r="I6">
        <v>5.16</v>
      </c>
      <c r="J6">
        <f>F6*H6+G6*I6</f>
        <v>48329.454545454551</v>
      </c>
      <c r="L6" s="2">
        <f>[1]Skara!$B$37</f>
        <v>5646</v>
      </c>
      <c r="M6">
        <f>L6/G6</f>
        <v>12.831818181818182</v>
      </c>
      <c r="N6">
        <v>12.83</v>
      </c>
      <c r="P6">
        <f>G6/(F6+G6)</f>
        <v>0.14666666666666667</v>
      </c>
      <c r="Q6" s="3">
        <v>0.3</v>
      </c>
      <c r="R6">
        <f>(Q6-P6)*(G6+F6)</f>
        <v>459.99999999999994</v>
      </c>
      <c r="S6">
        <f>(F6+G6)*Q6</f>
        <v>900</v>
      </c>
    </row>
    <row r="7" spans="1:19" x14ac:dyDescent="0.25">
      <c r="A7" s="2">
        <f>[1]Skara!$C$38</f>
        <v>10387</v>
      </c>
      <c r="B7" t="str">
        <f>[1]Skara!$A$38</f>
        <v>slutanv. flerbostadshus</v>
      </c>
      <c r="C7" s="5">
        <v>291</v>
      </c>
      <c r="D7">
        <f>A7/C7</f>
        <v>35.694158075601372</v>
      </c>
      <c r="E7">
        <f>(H7*F7+I7*G7)/C7</f>
        <v>36.014445262641139</v>
      </c>
      <c r="F7">
        <f>C7-G7</f>
        <v>11</v>
      </c>
      <c r="G7" s="5">
        <v>280</v>
      </c>
      <c r="H7" s="6">
        <f>I7+M7</f>
        <v>176.38214285714287</v>
      </c>
      <c r="I7">
        <v>30.5</v>
      </c>
      <c r="J7">
        <f>F7*H7+G7*I7</f>
        <v>10480.203571428572</v>
      </c>
      <c r="L7" s="2">
        <f>[1]Skara!$B$38</f>
        <v>40847</v>
      </c>
      <c r="M7">
        <f>L7/G7</f>
        <v>145.88214285714287</v>
      </c>
      <c r="N7">
        <v>145.80000000000001</v>
      </c>
      <c r="P7">
        <f>G7/(F7+G7)</f>
        <v>0.96219931271477666</v>
      </c>
      <c r="Q7" s="3">
        <v>1</v>
      </c>
      <c r="R7">
        <f>(Q7-P7)*(G7+F7)</f>
        <v>10.999999999999993</v>
      </c>
      <c r="S7">
        <f>(F7+G7)*Q7</f>
        <v>291</v>
      </c>
    </row>
    <row r="10" spans="1:19" x14ac:dyDescent="0.25">
      <c r="A10" s="7" t="s">
        <v>33</v>
      </c>
      <c r="B10" s="7"/>
    </row>
    <row r="11" spans="1:19" x14ac:dyDescent="0.25">
      <c r="A11">
        <f>M7</f>
        <v>145.88214285714287</v>
      </c>
      <c r="B11" t="s">
        <v>18</v>
      </c>
    </row>
    <row r="12" spans="1:19" x14ac:dyDescent="0.25">
      <c r="A12">
        <f>M6</f>
        <v>12.831818181818182</v>
      </c>
      <c r="B12" t="s">
        <v>19</v>
      </c>
    </row>
    <row r="13" spans="1:19" x14ac:dyDescent="0.25">
      <c r="A13">
        <f>C7</f>
        <v>291</v>
      </c>
      <c r="B13" t="s">
        <v>20</v>
      </c>
    </row>
    <row r="14" spans="1:19" x14ac:dyDescent="0.25">
      <c r="A14">
        <f>G7</f>
        <v>280</v>
      </c>
      <c r="B14" t="s">
        <v>21</v>
      </c>
    </row>
    <row r="15" spans="1:19" x14ac:dyDescent="0.25">
      <c r="A15">
        <f>C6</f>
        <v>3000</v>
      </c>
      <c r="B15" t="s">
        <v>22</v>
      </c>
    </row>
    <row r="16" spans="1:19" x14ac:dyDescent="0.25">
      <c r="A16">
        <f>G6</f>
        <v>440</v>
      </c>
      <c r="B16" t="s">
        <v>23</v>
      </c>
    </row>
    <row r="17" spans="1:13" x14ac:dyDescent="0.25">
      <c r="A17" s="6">
        <f>H7</f>
        <v>176.38214285714287</v>
      </c>
      <c r="B17" t="s">
        <v>24</v>
      </c>
    </row>
    <row r="18" spans="1:13" x14ac:dyDescent="0.25">
      <c r="A18">
        <f>I7</f>
        <v>30.5</v>
      </c>
      <c r="B18" t="s">
        <v>25</v>
      </c>
    </row>
    <row r="19" spans="1:13" x14ac:dyDescent="0.25">
      <c r="A19" s="6">
        <f>H6</f>
        <v>17.991818181818182</v>
      </c>
      <c r="B19" t="s">
        <v>26</v>
      </c>
    </row>
    <row r="20" spans="1:13" x14ac:dyDescent="0.25">
      <c r="A20">
        <f>I6</f>
        <v>5.16</v>
      </c>
      <c r="B20" t="s">
        <v>27</v>
      </c>
    </row>
    <row r="23" spans="1:13" x14ac:dyDescent="0.25">
      <c r="A23">
        <f>C23</f>
        <v>29337.78</v>
      </c>
      <c r="B23" t="s">
        <v>30</v>
      </c>
      <c r="C23" s="2">
        <f>F23-I23</f>
        <v>29337.78</v>
      </c>
      <c r="D23" t="s">
        <v>31</v>
      </c>
      <c r="F23" s="2">
        <f>[1]Skara!$C$43</f>
        <v>216044.28</v>
      </c>
      <c r="G23" s="2" t="str">
        <f>[1]Skara!$A$43</f>
        <v>Total energitillförsel</v>
      </c>
      <c r="I23" s="2">
        <f>[1]Skara!$C$11</f>
        <v>186706.5</v>
      </c>
      <c r="J23" t="str">
        <f>[1]Skara!$A$11</f>
        <v>summa bränsletyp</v>
      </c>
    </row>
    <row r="25" spans="1:13" x14ac:dyDescent="0.25">
      <c r="A25">
        <f>C25</f>
        <v>7.4074074074074084E-2</v>
      </c>
      <c r="B25" t="s">
        <v>32</v>
      </c>
      <c r="C25">
        <f>F25/I25</f>
        <v>7.4074074074074084E-2</v>
      </c>
      <c r="D25" t="s">
        <v>34</v>
      </c>
      <c r="F25" s="2">
        <f>[1]Skara!$C$46</f>
        <v>16003.28</v>
      </c>
      <c r="G25" s="2" t="str">
        <f>[1]Skara!$A$46</f>
        <v>Distributionsförluster el och fjärrvärme</v>
      </c>
      <c r="I25" s="2">
        <f>[1]Skara!$C$43</f>
        <v>216044.28</v>
      </c>
      <c r="J25" s="2" t="str">
        <f>[1]Skara!$A$43</f>
        <v>Total energitillförsel</v>
      </c>
    </row>
    <row r="27" spans="1:13" x14ac:dyDescent="0.25">
      <c r="A27" s="14">
        <f>IF(F27&gt;0, C27,0)</f>
        <v>0</v>
      </c>
      <c r="B27" t="s">
        <v>41</v>
      </c>
      <c r="C27" t="e">
        <f>F29/F27</f>
        <v>#DIV/0!</v>
      </c>
      <c r="D27" t="s">
        <v>34</v>
      </c>
      <c r="E27" s="9" t="s">
        <v>38</v>
      </c>
      <c r="F27" s="2">
        <f>[1]Skara!$P$18</f>
        <v>0</v>
      </c>
      <c r="G27" t="str">
        <f>[1]Skara!$A$18</f>
        <v>kraftvärmeverk</v>
      </c>
      <c r="I27" s="2">
        <f>[1]Skara!$B$46</f>
        <v>14731</v>
      </c>
      <c r="J27" t="s">
        <v>37</v>
      </c>
      <c r="L27" s="2">
        <f>[1]Skara!$C$7</f>
        <v>0</v>
      </c>
      <c r="M27" t="str">
        <f>[1]Skara!$A$7</f>
        <v>kraftvärmeverk + industriellt mottryck</v>
      </c>
    </row>
    <row r="28" spans="1:13" x14ac:dyDescent="0.25">
      <c r="F28" s="2">
        <f>F27-I27-L27</f>
        <v>-14731</v>
      </c>
      <c r="G28" t="s">
        <v>36</v>
      </c>
      <c r="I28" s="2">
        <f>[1]Skara!$B$18</f>
        <v>0</v>
      </c>
      <c r="J28" t="str">
        <f>[1]Skara!$A$18</f>
        <v>kraftvärmeverk</v>
      </c>
      <c r="L28" t="s">
        <v>39</v>
      </c>
    </row>
    <row r="29" spans="1:13" x14ac:dyDescent="0.25">
      <c r="A29" s="14">
        <f>IF(F27&gt;0, C29,0)</f>
        <v>0</v>
      </c>
      <c r="B29" t="s">
        <v>42</v>
      </c>
      <c r="C29">
        <f>I27/(I29-L27)</f>
        <v>1</v>
      </c>
      <c r="D29" t="s">
        <v>34</v>
      </c>
      <c r="F29" s="2">
        <f>F28-I28</f>
        <v>-14731</v>
      </c>
      <c r="G29" t="s">
        <v>40</v>
      </c>
      <c r="I29" s="2">
        <f>F27-F29</f>
        <v>14731</v>
      </c>
      <c r="J29" t="s">
        <v>47</v>
      </c>
    </row>
    <row r="31" spans="1:13" x14ac:dyDescent="0.25">
      <c r="A31" s="14">
        <f>IF(F31&gt;0, C31,0)</f>
        <v>3.5416477152127111E-2</v>
      </c>
      <c r="B31" t="s">
        <v>35</v>
      </c>
      <c r="C31">
        <f>(F31-I31)/F31</f>
        <v>3.5416477152127111E-2</v>
      </c>
      <c r="D31" t="s">
        <v>34</v>
      </c>
      <c r="E31" s="9" t="s">
        <v>38</v>
      </c>
      <c r="F31" s="2">
        <f>[1]Skara!$P$19</f>
        <v>98937</v>
      </c>
      <c r="G31" t="str">
        <f>[1]Skara!$A$19</f>
        <v>fristående värmeverk</v>
      </c>
      <c r="I31" s="2">
        <f>[1]Skara!$B$19</f>
        <v>95433</v>
      </c>
      <c r="J31" t="str">
        <f>[1]Skara!$A$19</f>
        <v>fristående värmeverk</v>
      </c>
      <c r="L31" t="s">
        <v>39</v>
      </c>
    </row>
  </sheetData>
  <mergeCells count="2">
    <mergeCell ref="P4:S4"/>
    <mergeCell ref="A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95ED-D790-4B4B-86F5-1787B3CD003D}">
  <dimension ref="A3:S31"/>
  <sheetViews>
    <sheetView workbookViewId="0">
      <selection activeCell="R12" sqref="R12"/>
    </sheetView>
  </sheetViews>
  <sheetFormatPr defaultRowHeight="15" x14ac:dyDescent="0.25"/>
  <cols>
    <col min="2" max="2" width="47.140625" customWidth="1"/>
    <col min="3" max="7" width="13.85546875" customWidth="1"/>
    <col min="8" max="9" width="16.85546875" customWidth="1"/>
    <col min="10" max="10" width="13.28515625" bestFit="1" customWidth="1"/>
    <col min="12" max="12" width="18.5703125" bestFit="1" customWidth="1"/>
    <col min="13" max="13" width="12.28515625" customWidth="1"/>
    <col min="14" max="14" width="16.85546875" customWidth="1"/>
    <col min="16" max="16" width="14.85546875" customWidth="1"/>
    <col min="17" max="17" width="14" customWidth="1"/>
    <col min="18" max="18" width="20.85546875" customWidth="1"/>
    <col min="19" max="19" width="17.140625" customWidth="1"/>
  </cols>
  <sheetData>
    <row r="3" spans="1:19" x14ac:dyDescent="0.25">
      <c r="A3" s="16" t="s">
        <v>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9" ht="63.75" customHeight="1" x14ac:dyDescent="0.25">
      <c r="A4" s="8" t="s">
        <v>17</v>
      </c>
      <c r="B4" s="8"/>
      <c r="C4" s="10" t="s">
        <v>11</v>
      </c>
      <c r="D4" s="11" t="s">
        <v>12</v>
      </c>
      <c r="E4" s="12" t="s">
        <v>44</v>
      </c>
      <c r="F4" s="11"/>
      <c r="G4" s="10" t="s">
        <v>11</v>
      </c>
      <c r="H4" s="12" t="s">
        <v>15</v>
      </c>
      <c r="I4" s="12" t="s">
        <v>15</v>
      </c>
      <c r="J4" s="12" t="s">
        <v>13</v>
      </c>
      <c r="K4" s="8"/>
      <c r="L4" s="11" t="s">
        <v>14</v>
      </c>
      <c r="M4" s="11" t="s">
        <v>12</v>
      </c>
      <c r="N4" s="12" t="s">
        <v>16</v>
      </c>
      <c r="O4" s="8"/>
      <c r="P4" s="15" t="s">
        <v>43</v>
      </c>
      <c r="Q4" s="15"/>
      <c r="R4" s="15"/>
      <c r="S4" s="15"/>
    </row>
    <row r="5" spans="1:19" ht="30.75" customHeight="1" x14ac:dyDescent="0.25">
      <c r="A5" t="s">
        <v>0</v>
      </c>
      <c r="C5" s="4" t="s">
        <v>1</v>
      </c>
      <c r="D5" s="4" t="s">
        <v>10</v>
      </c>
      <c r="E5" s="4" t="s">
        <v>10</v>
      </c>
      <c r="F5" s="13" t="s">
        <v>2</v>
      </c>
      <c r="G5" s="13" t="s">
        <v>3</v>
      </c>
      <c r="H5" s="13" t="s">
        <v>28</v>
      </c>
      <c r="I5" s="13" t="s">
        <v>29</v>
      </c>
      <c r="J5" s="4" t="s">
        <v>45</v>
      </c>
      <c r="L5" s="4" t="s">
        <v>46</v>
      </c>
      <c r="M5" s="13" t="s">
        <v>9</v>
      </c>
      <c r="N5" s="4"/>
      <c r="P5" s="1" t="s">
        <v>4</v>
      </c>
      <c r="Q5" s="1" t="s">
        <v>5</v>
      </c>
      <c r="R5" s="1" t="s">
        <v>6</v>
      </c>
      <c r="S5" s="1" t="s">
        <v>7</v>
      </c>
    </row>
    <row r="6" spans="1:19" x14ac:dyDescent="0.25">
      <c r="A6" s="2">
        <f>[1]Lidköping!$C$37</f>
        <v>98200</v>
      </c>
      <c r="B6" t="str">
        <f>[1]Lidköping!$A$37</f>
        <v>slutanv. småhus</v>
      </c>
      <c r="C6" s="5">
        <v>8347</v>
      </c>
      <c r="D6">
        <f>A6/C6</f>
        <v>11.764705882352942</v>
      </c>
      <c r="E6">
        <f>(H6*F6+I6*G6)/C6</f>
        <v>11.763385649903361</v>
      </c>
      <c r="F6">
        <f>C6-G6</f>
        <v>4295</v>
      </c>
      <c r="G6" s="5">
        <v>4052</v>
      </c>
      <c r="H6" s="6">
        <f>I6+M6</f>
        <v>17.993168805528136</v>
      </c>
      <c r="I6">
        <v>5.16</v>
      </c>
      <c r="J6">
        <f>F6*H6+G6*I6</f>
        <v>98188.980019743351</v>
      </c>
      <c r="L6" s="2">
        <f>[1]Lidköping!$B$37</f>
        <v>52000</v>
      </c>
      <c r="M6">
        <f>L6/G6</f>
        <v>12.833168805528134</v>
      </c>
      <c r="N6">
        <v>12.83</v>
      </c>
      <c r="P6">
        <f>G6/(F6+G6)</f>
        <v>0.48544387204983824</v>
      </c>
      <c r="Q6" s="3">
        <v>0.7</v>
      </c>
      <c r="R6">
        <f>(Q6-P6)*(G6+F6)</f>
        <v>1790.8999999999999</v>
      </c>
      <c r="S6">
        <f>(F6+G6)*Q6</f>
        <v>5842.9</v>
      </c>
    </row>
    <row r="7" spans="1:19" x14ac:dyDescent="0.25">
      <c r="A7" s="2">
        <f>[1]Lidköping!$C$38</f>
        <v>18198</v>
      </c>
      <c r="B7" t="str">
        <f>[1]Lidköping!$A$38</f>
        <v>slutanv. flerbostadshus</v>
      </c>
      <c r="C7" s="5">
        <v>586</v>
      </c>
      <c r="D7">
        <f>A7/C7</f>
        <v>31.054607508532424</v>
      </c>
      <c r="E7">
        <f>(H7*F7+I7*G7)/C7</f>
        <v>31.246404088538164</v>
      </c>
      <c r="F7">
        <f>C7-G7</f>
        <v>3</v>
      </c>
      <c r="G7" s="5">
        <v>583</v>
      </c>
      <c r="H7" s="6">
        <f>I7+M7</f>
        <v>176.29759862778729</v>
      </c>
      <c r="I7">
        <v>30.5</v>
      </c>
      <c r="J7">
        <f>F7*H7+G7*I7</f>
        <v>18310.392795883363</v>
      </c>
      <c r="L7" s="2">
        <f>[1]Lidköping!$B$38</f>
        <v>85000</v>
      </c>
      <c r="M7">
        <f>L7/G7</f>
        <v>145.79759862778729</v>
      </c>
      <c r="N7">
        <v>145.80000000000001</v>
      </c>
      <c r="P7">
        <f>G7/(F7+G7)</f>
        <v>0.99488054607508536</v>
      </c>
      <c r="Q7" s="3">
        <v>1</v>
      </c>
      <c r="R7">
        <f>(Q7-P7)*(G7+F7)</f>
        <v>2.9999999999999796</v>
      </c>
      <c r="S7">
        <f>(F7+G7)*Q7</f>
        <v>586</v>
      </c>
    </row>
    <row r="10" spans="1:19" x14ac:dyDescent="0.25">
      <c r="A10" s="7" t="s">
        <v>33</v>
      </c>
      <c r="B10" s="7"/>
    </row>
    <row r="11" spans="1:19" x14ac:dyDescent="0.25">
      <c r="A11">
        <f>M7</f>
        <v>145.79759862778729</v>
      </c>
      <c r="B11" t="s">
        <v>18</v>
      </c>
    </row>
    <row r="12" spans="1:19" x14ac:dyDescent="0.25">
      <c r="A12">
        <f>M6</f>
        <v>12.833168805528134</v>
      </c>
      <c r="B12" t="s">
        <v>19</v>
      </c>
    </row>
    <row r="13" spans="1:19" x14ac:dyDescent="0.25">
      <c r="A13">
        <f>C7</f>
        <v>586</v>
      </c>
      <c r="B13" t="s">
        <v>20</v>
      </c>
    </row>
    <row r="14" spans="1:19" x14ac:dyDescent="0.25">
      <c r="A14">
        <f>G7</f>
        <v>583</v>
      </c>
      <c r="B14" t="s">
        <v>21</v>
      </c>
    </row>
    <row r="15" spans="1:19" x14ac:dyDescent="0.25">
      <c r="A15">
        <f>C6</f>
        <v>8347</v>
      </c>
      <c r="B15" t="s">
        <v>22</v>
      </c>
    </row>
    <row r="16" spans="1:19" x14ac:dyDescent="0.25">
      <c r="A16">
        <f>G6</f>
        <v>4052</v>
      </c>
      <c r="B16" t="s">
        <v>23</v>
      </c>
    </row>
    <row r="17" spans="1:13" x14ac:dyDescent="0.25">
      <c r="A17" s="6">
        <f>H7</f>
        <v>176.29759862778729</v>
      </c>
      <c r="B17" t="s">
        <v>24</v>
      </c>
    </row>
    <row r="18" spans="1:13" x14ac:dyDescent="0.25">
      <c r="A18">
        <f>I7</f>
        <v>30.5</v>
      </c>
      <c r="B18" t="s">
        <v>25</v>
      </c>
    </row>
    <row r="19" spans="1:13" x14ac:dyDescent="0.25">
      <c r="A19" s="6">
        <f>H6</f>
        <v>17.993168805528136</v>
      </c>
      <c r="B19" t="s">
        <v>26</v>
      </c>
    </row>
    <row r="20" spans="1:13" x14ac:dyDescent="0.25">
      <c r="A20">
        <f>I6</f>
        <v>5.16</v>
      </c>
      <c r="B20" t="s">
        <v>27</v>
      </c>
    </row>
    <row r="23" spans="1:13" x14ac:dyDescent="0.25">
      <c r="A23">
        <f>C23</f>
        <v>358006.48</v>
      </c>
      <c r="B23" t="s">
        <v>30</v>
      </c>
      <c r="C23" s="2">
        <f>F23-I23</f>
        <v>358006.48</v>
      </c>
      <c r="D23" t="s">
        <v>31</v>
      </c>
      <c r="F23" s="2">
        <f>[1]Lidköping!$C$43</f>
        <v>470562.48</v>
      </c>
      <c r="G23" s="2" t="str">
        <f>[1]Lidköping!$A$43</f>
        <v>Total energitillförsel</v>
      </c>
      <c r="I23" s="2">
        <f>[1]Lidköping!$C$11</f>
        <v>112556</v>
      </c>
      <c r="J23" t="str">
        <f>[1]Lidköping!$A$11</f>
        <v>summa bränsletyp</v>
      </c>
    </row>
    <row r="25" spans="1:13" x14ac:dyDescent="0.25">
      <c r="A25">
        <f>C25</f>
        <v>7.5723164328783718E-2</v>
      </c>
      <c r="B25" t="s">
        <v>32</v>
      </c>
      <c r="C25">
        <f>F25/I25</f>
        <v>7.5723164328783718E-2</v>
      </c>
      <c r="D25" t="s">
        <v>34</v>
      </c>
      <c r="F25" s="2">
        <f>[1]Lidköping!$C$46</f>
        <v>35632.480000000003</v>
      </c>
      <c r="G25" s="2" t="str">
        <f>[1]Lidköping!$A$46</f>
        <v>Distributionsförluster el och fjärrvärme</v>
      </c>
      <c r="I25" s="2">
        <f>[1]Lidköping!$C$43</f>
        <v>470562.48</v>
      </c>
      <c r="J25" s="2" t="str">
        <f>[1]Lidköping!$A$43</f>
        <v>Total energitillförsel</v>
      </c>
    </row>
    <row r="27" spans="1:13" x14ac:dyDescent="0.25">
      <c r="A27" s="14">
        <f>IF(F27&gt;0, C27,0)</f>
        <v>4.7173004117994521E-2</v>
      </c>
      <c r="B27" t="s">
        <v>41</v>
      </c>
      <c r="C27">
        <f>F29/F27</f>
        <v>4.7173004117994521E-2</v>
      </c>
      <c r="D27" t="s">
        <v>34</v>
      </c>
      <c r="E27" s="9" t="s">
        <v>38</v>
      </c>
      <c r="F27" s="2">
        <f>[1]Lidköping!$P$18</f>
        <v>475717</v>
      </c>
      <c r="G27" t="str">
        <f>[1]Lidköping!$A$18</f>
        <v>kraftvärmeverk</v>
      </c>
      <c r="I27" s="2">
        <f>[1]Lidköping!$B$46</f>
        <v>59800</v>
      </c>
      <c r="J27" t="s">
        <v>37</v>
      </c>
      <c r="L27" s="2">
        <f>[1]Lidköping!$C$7</f>
        <v>10476</v>
      </c>
      <c r="M27" t="str">
        <f>[1]Lidköping!$A$7</f>
        <v>kraftvärmeverk + industriellt mottryck</v>
      </c>
    </row>
    <row r="28" spans="1:13" x14ac:dyDescent="0.25">
      <c r="F28" s="2">
        <f>F27-I27-L27</f>
        <v>405441</v>
      </c>
      <c r="G28" t="s">
        <v>36</v>
      </c>
      <c r="I28" s="2">
        <f>[1]Lidköping!$B$18</f>
        <v>383000</v>
      </c>
      <c r="J28" t="str">
        <f>[1]Lidköping!$A$18</f>
        <v>kraftvärmeverk</v>
      </c>
      <c r="L28" t="s">
        <v>39</v>
      </c>
    </row>
    <row r="29" spans="1:13" x14ac:dyDescent="0.25">
      <c r="A29" s="14">
        <f>IF(F27&gt;0, C29,0)</f>
        <v>0.13504968383017163</v>
      </c>
      <c r="B29" t="s">
        <v>42</v>
      </c>
      <c r="C29">
        <f>I27/(I29-L27)</f>
        <v>0.13504968383017163</v>
      </c>
      <c r="D29" t="s">
        <v>34</v>
      </c>
      <c r="F29" s="2">
        <f>F28-I28</f>
        <v>22441</v>
      </c>
      <c r="G29" t="s">
        <v>40</v>
      </c>
      <c r="I29" s="2">
        <f>F27-F29</f>
        <v>453276</v>
      </c>
      <c r="J29" t="s">
        <v>47</v>
      </c>
    </row>
    <row r="31" spans="1:13" x14ac:dyDescent="0.25">
      <c r="A31" s="14">
        <f>IF(F31&gt;0, C31,0)</f>
        <v>0</v>
      </c>
      <c r="B31" t="s">
        <v>35</v>
      </c>
      <c r="C31" t="e">
        <f>(F31-I31)/F31</f>
        <v>#DIV/0!</v>
      </c>
      <c r="D31" t="s">
        <v>34</v>
      </c>
      <c r="E31" s="9" t="s">
        <v>38</v>
      </c>
      <c r="F31" s="2">
        <f>[1]Lidköping!$P$19</f>
        <v>0</v>
      </c>
      <c r="G31" t="str">
        <f>[1]Lidköping!$A$19</f>
        <v>fristående värmeverk</v>
      </c>
      <c r="I31" s="2">
        <f>[1]Lidköping!$B$19</f>
        <v>0</v>
      </c>
      <c r="J31" t="str">
        <f>[1]Lidköping!$A$19</f>
        <v>fristående värmeverk</v>
      </c>
      <c r="L31" t="s">
        <v>39</v>
      </c>
    </row>
  </sheetData>
  <mergeCells count="2">
    <mergeCell ref="A3:N3"/>
    <mergeCell ref="P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Skara</vt:lpstr>
      <vt:lpstr>Lidköping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Linnéusson</dc:creator>
  <cp:lastModifiedBy>Gary Linnéusson</cp:lastModifiedBy>
  <dcterms:created xsi:type="dcterms:W3CDTF">2015-06-05T18:17:20Z</dcterms:created>
  <dcterms:modified xsi:type="dcterms:W3CDTF">2023-08-09T06:13:04Z</dcterms:modified>
</cp:coreProperties>
</file>