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eom\Desktop\ESTRUCTURAS\TERCERO\PROBLEMAS_TIPO\09_JUNIO_22_PESCANTE\"/>
    </mc:Choice>
  </mc:AlternateContent>
  <bookViews>
    <workbookView minimized="1" xWindow="0" yWindow="0" windowWidth="19200" windowHeight="9372"/>
  </bookViews>
  <sheets>
    <sheet name="Sheet1" sheetId="1" r:id="rId1"/>
  </sheets>
  <definedNames>
    <definedName name="A">Sheet1!$E$14</definedName>
    <definedName name="A2_">Sheet1!$E$18</definedName>
    <definedName name="b">Sheet1!$Z$72</definedName>
    <definedName name="Barra">Sheet1!$H$72</definedName>
    <definedName name="E1_">Sheet1!$E$15</definedName>
    <definedName name="E1__A">Sheet1!$E$16</definedName>
    <definedName name="E2_">Sheet1!$E$20</definedName>
    <definedName name="E2__A2_">Sheet1!$E$22</definedName>
    <definedName name="E2__I">Sheet1!$E$21</definedName>
    <definedName name="I">Sheet1!$E$19</definedName>
    <definedName name="L">Sheet1!$E$12</definedName>
    <definedName name="m">Sheet1!$Y$72</definedName>
    <definedName name="M0_INI">Sheet1!$I$72</definedName>
    <definedName name="M1_FIN">Sheet1!$J$72</definedName>
    <definedName name="P">Sheet1!$I$19</definedName>
    <definedName name="χ">Sheet1!$E$24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N78" i="1" s="1"/>
  <c r="Q78" i="1"/>
  <c r="P78" i="1"/>
  <c r="R78" i="1" s="1"/>
  <c r="W78" i="1"/>
  <c r="Z78" i="1" s="1"/>
  <c r="N77" i="1"/>
  <c r="I77" i="1"/>
  <c r="T77" i="1" s="1"/>
  <c r="AG77" i="1" s="1"/>
  <c r="K94" i="1"/>
  <c r="K85" i="1"/>
  <c r="E22" i="1"/>
  <c r="E16" i="1"/>
  <c r="K82" i="1" s="1"/>
  <c r="I85" i="1"/>
  <c r="I84" i="1"/>
  <c r="K84" i="1" s="1"/>
  <c r="I83" i="1"/>
  <c r="K83" i="1" s="1"/>
  <c r="I82" i="1"/>
  <c r="I81" i="1"/>
  <c r="K81" i="1" s="1"/>
  <c r="T78" i="1" l="1"/>
  <c r="P77" i="1"/>
  <c r="R77" i="1" s="1"/>
  <c r="W77" i="1"/>
  <c r="Z77" i="1" s="1"/>
  <c r="Q77" i="1"/>
  <c r="AC77" i="1"/>
  <c r="AF77" i="1"/>
  <c r="V77" i="1"/>
  <c r="AB77" i="1" s="1"/>
  <c r="AD77" i="1"/>
  <c r="U77" i="1"/>
  <c r="AE77" i="1"/>
  <c r="X77" i="1"/>
  <c r="J74" i="1"/>
  <c r="J73" i="1"/>
  <c r="J72" i="1"/>
  <c r="E21" i="1"/>
  <c r="E12" i="1"/>
  <c r="I74" i="1"/>
  <c r="Q74" i="1" s="1"/>
  <c r="I73" i="1"/>
  <c r="W73" i="1" s="1"/>
  <c r="Z73" i="1" s="1"/>
  <c r="I72" i="1"/>
  <c r="Q72" i="1" s="1"/>
  <c r="AF78" i="1" l="1"/>
  <c r="X78" i="1"/>
  <c r="AD78" i="1"/>
  <c r="V78" i="1"/>
  <c r="AB78" i="1" s="1"/>
  <c r="AC78" i="1"/>
  <c r="U78" i="1"/>
  <c r="AE78" i="1"/>
  <c r="AG78" i="1"/>
  <c r="Y77" i="1"/>
  <c r="AA77" i="1" s="1"/>
  <c r="AH77" i="1" s="1"/>
  <c r="K77" i="1" s="1"/>
  <c r="N76" i="1" s="1"/>
  <c r="W74" i="1"/>
  <c r="Z74" i="1" s="1"/>
  <c r="P72" i="1"/>
  <c r="R72" i="1" s="1"/>
  <c r="T73" i="1"/>
  <c r="Q73" i="1"/>
  <c r="W72" i="1"/>
  <c r="Z72" i="1" s="1"/>
  <c r="P73" i="1"/>
  <c r="P74" i="1"/>
  <c r="R74" i="1" s="1"/>
  <c r="T74" i="1"/>
  <c r="T72" i="1"/>
  <c r="Y78" i="1" l="1"/>
  <c r="AA78" i="1" s="1"/>
  <c r="AH78" i="1" s="1"/>
  <c r="K78" i="1" s="1"/>
  <c r="K86" i="1"/>
  <c r="AF73" i="1"/>
  <c r="U73" i="1"/>
  <c r="AE73" i="1"/>
  <c r="AD73" i="1"/>
  <c r="AC73" i="1"/>
  <c r="X73" i="1"/>
  <c r="V73" i="1"/>
  <c r="AB73" i="1" s="1"/>
  <c r="AG73" i="1"/>
  <c r="AF72" i="1"/>
  <c r="AE72" i="1"/>
  <c r="AD72" i="1"/>
  <c r="AC72" i="1"/>
  <c r="X72" i="1"/>
  <c r="U72" i="1"/>
  <c r="V72" i="1"/>
  <c r="AB72" i="1" s="1"/>
  <c r="AG72" i="1"/>
  <c r="AF74" i="1"/>
  <c r="AE74" i="1"/>
  <c r="U74" i="1"/>
  <c r="AD74" i="1"/>
  <c r="AG74" i="1"/>
  <c r="AC74" i="1"/>
  <c r="X74" i="1"/>
  <c r="V74" i="1"/>
  <c r="AB74" i="1" s="1"/>
  <c r="R73" i="1"/>
  <c r="E24" i="1"/>
  <c r="E26" i="1" s="1"/>
  <c r="Y72" i="1" l="1"/>
  <c r="AA72" i="1" s="1"/>
  <c r="AH72" i="1" s="1"/>
  <c r="K72" i="1" s="1"/>
  <c r="Y73" i="1"/>
  <c r="AA73" i="1" s="1"/>
  <c r="AH73" i="1" s="1"/>
  <c r="K73" i="1" s="1"/>
  <c r="Y74" i="1"/>
  <c r="AA74" i="1" s="1"/>
  <c r="AH74" i="1" s="1"/>
  <c r="K74" i="1" s="1"/>
  <c r="K75" i="1" l="1"/>
  <c r="K90" i="1" s="1"/>
</calcChain>
</file>

<file path=xl/sharedStrings.xml><?xml version="1.0" encoding="utf-8"?>
<sst xmlns="http://schemas.openxmlformats.org/spreadsheetml/2006/main" count="93" uniqueCount="74">
  <si>
    <t>A</t>
  </si>
  <si>
    <t>I</t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</si>
  <si>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</si>
  <si>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</si>
  <si>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t>Pa</t>
  </si>
  <si>
    <t>m2</t>
  </si>
  <si>
    <t>χ</t>
  </si>
  <si>
    <t>L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</si>
  <si>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</si>
  <si>
    <t>F</t>
  </si>
  <si>
    <t>N</t>
  </si>
  <si>
    <t>P</t>
  </si>
  <si>
    <t>δ</t>
  </si>
  <si>
    <t>TITULO 09_JUNIO_22_PESCANTE</t>
  </si>
  <si>
    <t>PARÁMETROS</t>
  </si>
  <si>
    <t xml:space="preserve">$par  </t>
  </si>
  <si>
    <t>val</t>
  </si>
  <si>
    <t>pun</t>
  </si>
  <si>
    <t xml:space="preserve">↓            DATOS: </t>
  </si>
  <si>
    <r>
      <t xml:space="preserve">"IMPORTACIÓN" DESDE </t>
    </r>
    <r>
      <rPr>
        <b/>
        <i/>
        <sz val="14"/>
        <color theme="1"/>
        <rFont val="Calibri"/>
        <family val="2"/>
        <scheme val="minor"/>
      </rPr>
      <t>MEFI</t>
    </r>
  </si>
  <si>
    <t>↓            RESULTADOS:</t>
  </si>
  <si>
    <t>----------</t>
  </si>
  <si>
    <t>estado 1</t>
  </si>
  <si>
    <t>----------------------------------------------------------------------------</t>
  </si>
  <si>
    <t>desX</t>
  </si>
  <si>
    <t>desY</t>
  </si>
  <si>
    <t>girZ</t>
  </si>
  <si>
    <t>reaX</t>
  </si>
  <si>
    <t>reaY</t>
  </si>
  <si>
    <t>momZ</t>
  </si>
  <si>
    <t>------------------------------------------</t>
  </si>
  <si>
    <t>lín</t>
  </si>
  <si>
    <t>punIni</t>
  </si>
  <si>
    <t>punFin</t>
  </si>
  <si>
    <t>axiIni</t>
  </si>
  <si>
    <t>axiFin</t>
  </si>
  <si>
    <t>corIni</t>
  </si>
  <si>
    <t>corFin</t>
  </si>
  <si>
    <t>fleIni</t>
  </si>
  <si>
    <t>fleFin</t>
  </si>
  <si>
    <t>desIni</t>
  </si>
  <si>
    <t>desFin</t>
  </si>
  <si>
    <t>-------------------------------------</t>
  </si>
  <si>
    <t>tensión equivalente von Mises máxima</t>
  </si>
  <si>
    <t>ANÁLISIS ENERGÉTICO</t>
  </si>
  <si>
    <t>ANÁLISIS</t>
  </si>
  <si>
    <t>Barra</t>
  </si>
  <si>
    <t>1.- Flexión</t>
  </si>
  <si>
    <r>
      <t>M</t>
    </r>
    <r>
      <rPr>
        <vertAlign val="subscript"/>
        <sz val="11"/>
        <color theme="1"/>
        <rFont val="Calibri"/>
        <family val="2"/>
        <scheme val="minor"/>
      </rPr>
      <t>0</t>
    </r>
  </si>
  <si>
    <r>
      <t>M</t>
    </r>
    <r>
      <rPr>
        <vertAlign val="subscript"/>
        <sz val="11"/>
        <color theme="1"/>
        <rFont val="Calibri"/>
        <family val="2"/>
        <scheme val="minor"/>
      </rPr>
      <t>1</t>
    </r>
  </si>
  <si>
    <r>
      <t>M</t>
    </r>
    <r>
      <rPr>
        <vertAlign val="subscript"/>
        <sz val="11"/>
        <color theme="1"/>
        <rFont val="Calibri"/>
        <family val="2"/>
        <scheme val="minor"/>
      </rPr>
      <t>0(INI)</t>
    </r>
  </si>
  <si>
    <r>
      <t>M</t>
    </r>
    <r>
      <rPr>
        <vertAlign val="subscript"/>
        <sz val="11"/>
        <color theme="1"/>
        <rFont val="Calibri"/>
        <family val="2"/>
        <scheme val="minor"/>
      </rPr>
      <t>1(FIN)</t>
    </r>
  </si>
  <si>
    <t>b</t>
  </si>
  <si>
    <t>E2_*I</t>
  </si>
  <si>
    <t>m</t>
  </si>
  <si>
    <t>U</t>
  </si>
  <si>
    <t>DOS_C</t>
  </si>
  <si>
    <t>M=0</t>
  </si>
  <si>
    <t>L_Efect</t>
  </si>
  <si>
    <t>Primer tramo (curvatura)</t>
  </si>
  <si>
    <t>Segundo tramo (curvatura)</t>
  </si>
  <si>
    <t>¡OJO!: Comprobar este cálculo mejor.</t>
  </si>
  <si>
    <t>Cálculo "directo"</t>
  </si>
  <si>
    <t>2.- Tracción/compresión</t>
  </si>
  <si>
    <t>m4</t>
  </si>
  <si>
    <t>E1_*A</t>
  </si>
  <si>
    <t>Energía Total almacenada por el sistema</t>
  </si>
  <si>
    <t>A2</t>
  </si>
  <si>
    <t>E2_*A2_</t>
  </si>
  <si>
    <t>¡OJO!: "1" y "2" cambiados respecto a MEFI</t>
  </si>
  <si>
    <r>
      <t>Material</t>
    </r>
    <r>
      <rPr>
        <i/>
        <vertAlign val="superscript"/>
        <sz val="11"/>
        <color theme="1"/>
        <rFont val="Calibri"/>
        <family val="2"/>
        <scheme val="minor"/>
      </rPr>
      <t>(*)</t>
    </r>
  </si>
  <si>
    <r>
      <rPr>
        <vertAlign val="superscript"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Ver nota junto a las características de los materiales (al revés que MEFI)</t>
    </r>
  </si>
  <si>
    <t>Energía de la carga exterior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</si>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</sst>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2" fillId="0" borderId="0" xfId="0" applyNumberFormat="1" applyFon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11" fontId="0" fillId="0" borderId="0" xfId="0" applyNumberFormat="1" applyFont="1"/>
    <xf numFmtId="11" fontId="4" fillId="0" borderId="0" xfId="0" applyNumberFormat="1" applyFont="1"/>
    <xf numFmtId="1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/>
    <xf numFmtId="0" fontId="12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12" fillId="0" borderId="0" xfId="0" applyNumberFormat="1" applyFont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2" xfId="0" quotePrefix="1" applyFont="1" applyBorder="1" applyAlignment="1">
      <alignment horizontal="center"/>
    </xf>
    <xf numFmtId="0" fontId="9" fillId="0" borderId="3" xfId="0" quotePrefix="1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9" fillId="0" borderId="0" xfId="0" applyNumberFormat="1" applyFont="1"/>
    <xf numFmtId="11" fontId="2" fillId="0" borderId="0" xfId="0" applyNumberFormat="1" applyFont="1"/>
    <xf numFmtId="164" fontId="0" fillId="0" borderId="0" xfId="0" applyNumberFormat="1"/>
    <xf numFmtId="164" fontId="0" fillId="0" borderId="0" xfId="0" quotePrefix="1" applyNumberFormat="1"/>
    <xf numFmtId="0" fontId="14" fillId="0" borderId="8" xfId="0" applyFont="1" applyBorder="1" applyAlignment="1">
      <alignment horizontal="center" vertical="justify" textRotation="180"/>
    </xf>
    <xf numFmtId="0" fontId="14" fillId="0" borderId="9" xfId="0" applyFont="1" applyBorder="1" applyAlignment="1">
      <alignment horizontal="center" vertical="justify" textRotation="180"/>
    </xf>
    <xf numFmtId="0" fontId="14" fillId="0" borderId="10" xfId="0" applyFont="1" applyBorder="1" applyAlignment="1">
      <alignment horizontal="center" vertical="justify" textRotation="180"/>
    </xf>
    <xf numFmtId="0" fontId="15" fillId="0" borderId="0" xfId="0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/>
    <xf numFmtId="11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11</xdr:row>
      <xdr:rowOff>76200</xdr:rowOff>
    </xdr:from>
    <xdr:to>
      <xdr:col>36</xdr:col>
      <xdr:colOff>38100</xdr:colOff>
      <xdr:row>37</xdr:row>
      <xdr:rowOff>160020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82550" y="2286000"/>
          <a:ext cx="10058400" cy="51130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H120"/>
  <sheetViews>
    <sheetView tabSelected="1" topLeftCell="A61" zoomScale="85" zoomScaleNormal="85" workbookViewId="0">
      <selection activeCell="M77" sqref="M77"/>
    </sheetView>
  </sheetViews>
  <sheetFormatPr defaultRowHeight="14.4" x14ac:dyDescent="0.3"/>
  <cols>
    <col min="5" max="5" width="12" bestFit="1" customWidth="1"/>
    <col min="8" max="8" width="9.77734375" bestFit="1" customWidth="1"/>
    <col min="9" max="9" width="12.6640625" customWidth="1"/>
    <col min="10" max="10" width="12" bestFit="1" customWidth="1"/>
    <col min="11" max="11" width="11.33203125" bestFit="1" customWidth="1"/>
    <col min="12" max="12" width="11.44140625" bestFit="1" customWidth="1"/>
    <col min="13" max="13" width="12.44140625" bestFit="1" customWidth="1"/>
    <col min="14" max="14" width="11.44140625" bestFit="1" customWidth="1"/>
    <col min="17" max="17" width="9.44140625" bestFit="1" customWidth="1"/>
    <col min="19" max="19" width="3" customWidth="1"/>
    <col min="20" max="21" width="8.77734375" customWidth="1"/>
    <col min="23" max="24" width="9.44140625" bestFit="1" customWidth="1"/>
    <col min="25" max="26" width="6.109375" bestFit="1" customWidth="1"/>
    <col min="27" max="27" width="10.21875" bestFit="1" customWidth="1"/>
  </cols>
  <sheetData>
    <row r="4" spans="3:14" ht="15" thickBot="1" x14ac:dyDescent="0.35"/>
    <row r="5" spans="3:14" ht="21.6" thickBot="1" x14ac:dyDescent="0.45">
      <c r="D5" s="25" t="s">
        <v>44</v>
      </c>
      <c r="E5" s="26"/>
      <c r="F5" s="26"/>
      <c r="G5" s="26"/>
      <c r="H5" s="26"/>
      <c r="I5" s="26"/>
      <c r="J5" s="26"/>
      <c r="K5" s="26"/>
      <c r="L5" s="26"/>
      <c r="M5" s="26"/>
      <c r="N5" s="27"/>
    </row>
    <row r="10" spans="3:14" ht="15" thickBot="1" x14ac:dyDescent="0.35"/>
    <row r="11" spans="3:14" ht="18.600000000000001" thickBot="1" x14ac:dyDescent="0.4">
      <c r="H11" s="31" t="s">
        <v>19</v>
      </c>
      <c r="I11" s="32"/>
      <c r="J11" s="32"/>
      <c r="K11" s="32"/>
      <c r="L11" s="32"/>
      <c r="M11" s="32"/>
      <c r="N11" s="33"/>
    </row>
    <row r="12" spans="3:14" ht="15" thickBot="1" x14ac:dyDescent="0.35">
      <c r="D12" t="s">
        <v>7</v>
      </c>
      <c r="E12">
        <f>I18</f>
        <v>1</v>
      </c>
    </row>
    <row r="13" spans="3:14" ht="18.600000000000001" thickBot="1" x14ac:dyDescent="0.4">
      <c r="H13" s="34" t="s">
        <v>18</v>
      </c>
      <c r="I13" s="35"/>
      <c r="J13" s="35"/>
      <c r="K13" s="35"/>
      <c r="L13" s="35"/>
      <c r="M13" s="35"/>
      <c r="N13" s="36"/>
    </row>
    <row r="14" spans="3:14" ht="15" thickBot="1" x14ac:dyDescent="0.35">
      <c r="C14" s="44" t="s">
        <v>69</v>
      </c>
      <c r="D14" t="s">
        <v>0</v>
      </c>
      <c r="E14" s="1">
        <v>4.7620000000000001E-5</v>
      </c>
      <c r="F14" s="2" t="s">
        <v>5</v>
      </c>
      <c r="H14" s="13" t="s">
        <v>13</v>
      </c>
    </row>
    <row r="15" spans="3:14" ht="15.6" x14ac:dyDescent="0.35">
      <c r="C15" s="45"/>
      <c r="D15" t="s">
        <v>2</v>
      </c>
      <c r="E15" s="1">
        <v>210000000000</v>
      </c>
      <c r="F15" s="2" t="s">
        <v>4</v>
      </c>
    </row>
    <row r="16" spans="3:14" x14ac:dyDescent="0.3">
      <c r="C16" s="45"/>
      <c r="D16" s="12" t="s">
        <v>65</v>
      </c>
      <c r="E16">
        <f>E1_*A</f>
        <v>10000200</v>
      </c>
      <c r="H16" t="s">
        <v>14</v>
      </c>
    </row>
    <row r="17" spans="3:14" x14ac:dyDescent="0.3">
      <c r="C17" s="45"/>
      <c r="H17" t="s">
        <v>15</v>
      </c>
      <c r="I17" t="s">
        <v>16</v>
      </c>
    </row>
    <row r="18" spans="3:14" x14ac:dyDescent="0.3">
      <c r="C18" s="45"/>
      <c r="D18" t="s">
        <v>67</v>
      </c>
      <c r="E18" s="1">
        <v>4.7619999999999997E-3</v>
      </c>
      <c r="F18" s="2" t="s">
        <v>5</v>
      </c>
      <c r="H18" t="s">
        <v>7</v>
      </c>
      <c r="I18" s="15">
        <v>1</v>
      </c>
    </row>
    <row r="19" spans="3:14" x14ac:dyDescent="0.3">
      <c r="C19" s="45"/>
      <c r="D19" t="s">
        <v>1</v>
      </c>
      <c r="E19" s="1">
        <v>4.7620000000000001E-5</v>
      </c>
      <c r="F19" t="s">
        <v>64</v>
      </c>
      <c r="H19" t="s">
        <v>11</v>
      </c>
      <c r="I19" s="15">
        <v>1000</v>
      </c>
    </row>
    <row r="20" spans="3:14" ht="15.6" x14ac:dyDescent="0.35">
      <c r="C20" s="45"/>
      <c r="D20" t="s">
        <v>3</v>
      </c>
      <c r="E20" s="1">
        <v>210000000000</v>
      </c>
      <c r="F20" s="2" t="s">
        <v>4</v>
      </c>
    </row>
    <row r="21" spans="3:14" x14ac:dyDescent="0.3">
      <c r="C21" s="45"/>
      <c r="D21" s="12" t="s">
        <v>53</v>
      </c>
      <c r="E21">
        <f>E2_*I</f>
        <v>10000200</v>
      </c>
    </row>
    <row r="22" spans="3:14" x14ac:dyDescent="0.3">
      <c r="C22" s="46"/>
      <c r="D22" s="43" t="s">
        <v>68</v>
      </c>
      <c r="E22" s="42">
        <f>E2_*A2_</f>
        <v>1000020000</v>
      </c>
    </row>
    <row r="23" spans="3:14" x14ac:dyDescent="0.3">
      <c r="I23" s="41"/>
      <c r="J23" s="41"/>
    </row>
    <row r="24" spans="3:14" x14ac:dyDescent="0.3">
      <c r="D24" s="3" t="s">
        <v>6</v>
      </c>
      <c r="E24">
        <f>(E1_*A*L^2)/(E2_*I)</f>
        <v>1</v>
      </c>
      <c r="I24" s="41"/>
      <c r="J24" s="15"/>
    </row>
    <row r="26" spans="3:14" ht="15.6" x14ac:dyDescent="0.35">
      <c r="D26" t="s">
        <v>8</v>
      </c>
      <c r="E26">
        <f>(χ-(12*(SQRT(2)+1)))/(4*χ-(12*(SQRT(2)+2)))</f>
        <v>0.75656307800262745</v>
      </c>
      <c r="F26" t="s">
        <v>9</v>
      </c>
    </row>
    <row r="29" spans="3:14" ht="15" thickBot="1" x14ac:dyDescent="0.35"/>
    <row r="30" spans="3:14" ht="18.600000000000001" thickBot="1" x14ac:dyDescent="0.4">
      <c r="H30" s="34" t="s">
        <v>20</v>
      </c>
      <c r="I30" s="35"/>
      <c r="J30" s="35"/>
      <c r="K30" s="35"/>
      <c r="L30" s="35"/>
      <c r="M30" s="35"/>
      <c r="N30" s="36"/>
    </row>
    <row r="31" spans="3:14" x14ac:dyDescent="0.3">
      <c r="H31" t="s">
        <v>21</v>
      </c>
    </row>
    <row r="32" spans="3:14" x14ac:dyDescent="0.3">
      <c r="I32" t="s">
        <v>22</v>
      </c>
    </row>
    <row r="33" spans="8:24" x14ac:dyDescent="0.3">
      <c r="H33" t="s">
        <v>21</v>
      </c>
    </row>
    <row r="34" spans="8:24" x14ac:dyDescent="0.3">
      <c r="H34" t="s">
        <v>23</v>
      </c>
    </row>
    <row r="35" spans="8:24" x14ac:dyDescent="0.3">
      <c r="I35" t="s">
        <v>17</v>
      </c>
      <c r="J35" t="s">
        <v>24</v>
      </c>
      <c r="K35" t="s">
        <v>25</v>
      </c>
      <c r="L35" t="s">
        <v>26</v>
      </c>
      <c r="M35" t="s">
        <v>27</v>
      </c>
      <c r="N35" t="s">
        <v>28</v>
      </c>
      <c r="O35" t="s">
        <v>29</v>
      </c>
    </row>
    <row r="36" spans="8:24" x14ac:dyDescent="0.3">
      <c r="H36" t="s">
        <v>23</v>
      </c>
    </row>
    <row r="37" spans="8:24" x14ac:dyDescent="0.3">
      <c r="I37">
        <v>1</v>
      </c>
      <c r="J37" s="8">
        <v>-1.0863E-4</v>
      </c>
      <c r="K37" s="8">
        <v>-1.6333999999999999E-4</v>
      </c>
      <c r="L37" s="8">
        <v>1.7725999999999999E-4</v>
      </c>
    </row>
    <row r="38" spans="8:24" x14ac:dyDescent="0.3">
      <c r="I38">
        <v>2</v>
      </c>
      <c r="J38" s="8">
        <v>0</v>
      </c>
      <c r="K38" s="8">
        <v>0</v>
      </c>
      <c r="M38" s="8">
        <v>625.64</v>
      </c>
      <c r="N38" s="8">
        <v>-374.36</v>
      </c>
    </row>
    <row r="39" spans="8:24" x14ac:dyDescent="0.3">
      <c r="I39">
        <v>3</v>
      </c>
      <c r="J39" s="8">
        <v>0</v>
      </c>
      <c r="K39" s="8">
        <v>0</v>
      </c>
      <c r="M39" s="8">
        <v>-625.64</v>
      </c>
      <c r="N39" s="8">
        <v>1374.4</v>
      </c>
    </row>
    <row r="40" spans="8:24" x14ac:dyDescent="0.3">
      <c r="I40">
        <v>4</v>
      </c>
      <c r="J40" s="8">
        <v>-1.0863E-4</v>
      </c>
      <c r="K40" s="8">
        <v>-2.7487E-6</v>
      </c>
      <c r="L40" s="8">
        <v>1.2726E-4</v>
      </c>
    </row>
    <row r="41" spans="8:24" x14ac:dyDescent="0.3">
      <c r="I41">
        <v>5</v>
      </c>
      <c r="J41" s="8">
        <v>-2.5128000000000001E-5</v>
      </c>
      <c r="K41" s="8">
        <v>-1.3742999999999999E-6</v>
      </c>
      <c r="L41" s="8">
        <v>4.5982000000000001E-5</v>
      </c>
    </row>
    <row r="42" spans="8:24" x14ac:dyDescent="0.3">
      <c r="H42" t="s">
        <v>30</v>
      </c>
    </row>
    <row r="43" spans="8:24" x14ac:dyDescent="0.3">
      <c r="I43" t="s">
        <v>31</v>
      </c>
      <c r="J43" t="s">
        <v>32</v>
      </c>
      <c r="K43" t="s">
        <v>33</v>
      </c>
      <c r="L43" t="s">
        <v>34</v>
      </c>
      <c r="M43" t="s">
        <v>35</v>
      </c>
    </row>
    <row r="44" spans="8:24" x14ac:dyDescent="0.3">
      <c r="L44" t="s">
        <v>36</v>
      </c>
      <c r="M44" t="s">
        <v>37</v>
      </c>
    </row>
    <row r="45" spans="8:24" x14ac:dyDescent="0.3">
      <c r="L45" t="s">
        <v>38</v>
      </c>
      <c r="M45" t="s">
        <v>39</v>
      </c>
    </row>
    <row r="46" spans="8:24" x14ac:dyDescent="0.3">
      <c r="L46" t="s">
        <v>40</v>
      </c>
      <c r="M46" t="s">
        <v>41</v>
      </c>
      <c r="T46" s="14"/>
      <c r="U46" s="14"/>
      <c r="V46" s="14"/>
      <c r="W46" s="14"/>
      <c r="X46" s="14"/>
    </row>
    <row r="47" spans="8:24" x14ac:dyDescent="0.3">
      <c r="H47" t="s">
        <v>30</v>
      </c>
      <c r="I47" s="8"/>
      <c r="J47" s="8"/>
    </row>
    <row r="48" spans="8:24" x14ac:dyDescent="0.3">
      <c r="I48" s="8">
        <v>1</v>
      </c>
      <c r="J48">
        <v>4</v>
      </c>
      <c r="K48">
        <v>2</v>
      </c>
      <c r="L48" s="8">
        <v>529.41999999999996</v>
      </c>
      <c r="M48" s="8">
        <v>529.41999999999996</v>
      </c>
    </row>
    <row r="49" spans="8:13" x14ac:dyDescent="0.3">
      <c r="I49">
        <v>2</v>
      </c>
      <c r="J49">
        <v>5</v>
      </c>
      <c r="K49">
        <v>2</v>
      </c>
      <c r="L49" s="8">
        <v>251.28</v>
      </c>
      <c r="M49" s="8">
        <v>251.28</v>
      </c>
    </row>
    <row r="50" spans="8:13" x14ac:dyDescent="0.3">
      <c r="I50">
        <v>3</v>
      </c>
      <c r="J50">
        <v>1</v>
      </c>
      <c r="K50">
        <v>4</v>
      </c>
      <c r="L50" s="8">
        <v>0</v>
      </c>
      <c r="M50" s="8">
        <v>0</v>
      </c>
    </row>
    <row r="51" spans="8:13" x14ac:dyDescent="0.3">
      <c r="L51" s="8">
        <v>-1000</v>
      </c>
      <c r="M51" s="8">
        <v>-1000</v>
      </c>
    </row>
    <row r="52" spans="8:13" x14ac:dyDescent="0.3">
      <c r="L52" s="8">
        <v>0</v>
      </c>
      <c r="M52" s="8">
        <v>-1000</v>
      </c>
    </row>
    <row r="53" spans="8:13" x14ac:dyDescent="0.3">
      <c r="L53" s="8">
        <v>-1.6333999999999999E-4</v>
      </c>
      <c r="M53" s="8">
        <v>-2.7487E-6</v>
      </c>
    </row>
    <row r="54" spans="8:13" x14ac:dyDescent="0.3">
      <c r="I54">
        <v>4</v>
      </c>
      <c r="J54">
        <v>4</v>
      </c>
      <c r="K54">
        <v>5</v>
      </c>
      <c r="L54" s="8">
        <v>-1374.4</v>
      </c>
      <c r="M54" s="8">
        <v>-1374.4</v>
      </c>
    </row>
    <row r="55" spans="8:13" x14ac:dyDescent="0.3">
      <c r="L55" s="8">
        <v>374.36</v>
      </c>
      <c r="M55" s="8">
        <v>374.36</v>
      </c>
    </row>
    <row r="56" spans="8:13" x14ac:dyDescent="0.3">
      <c r="L56" s="8">
        <v>-1000</v>
      </c>
      <c r="M56" s="8">
        <v>-625.64</v>
      </c>
    </row>
    <row r="57" spans="8:13" x14ac:dyDescent="0.3">
      <c r="L57" s="8">
        <v>-1.0863E-4</v>
      </c>
      <c r="M57" s="8">
        <v>-2.5128000000000001E-5</v>
      </c>
    </row>
    <row r="58" spans="8:13" x14ac:dyDescent="0.3">
      <c r="I58">
        <v>5</v>
      </c>
      <c r="J58">
        <v>5</v>
      </c>
      <c r="K58">
        <v>3</v>
      </c>
      <c r="L58" s="8">
        <v>-1374.4</v>
      </c>
      <c r="M58" s="8">
        <v>-1374.4</v>
      </c>
    </row>
    <row r="59" spans="8:13" x14ac:dyDescent="0.3">
      <c r="L59" s="8">
        <v>625.64</v>
      </c>
      <c r="M59" s="8">
        <v>625.64</v>
      </c>
    </row>
    <row r="60" spans="8:13" x14ac:dyDescent="0.3">
      <c r="L60" s="8">
        <v>-625.64</v>
      </c>
      <c r="M60" s="8">
        <v>0</v>
      </c>
    </row>
    <row r="61" spans="8:13" x14ac:dyDescent="0.3">
      <c r="L61" s="8">
        <v>-2.5128000000000001E-5</v>
      </c>
      <c r="M61" s="8">
        <v>0</v>
      </c>
    </row>
    <row r="62" spans="8:13" x14ac:dyDescent="0.3">
      <c r="H62" t="s">
        <v>42</v>
      </c>
    </row>
    <row r="63" spans="8:13" x14ac:dyDescent="0.3">
      <c r="I63" t="s">
        <v>43</v>
      </c>
    </row>
    <row r="64" spans="8:13" x14ac:dyDescent="0.3">
      <c r="H64" t="s">
        <v>42</v>
      </c>
    </row>
    <row r="65" spans="8:34" x14ac:dyDescent="0.3">
      <c r="I65" s="8">
        <v>11118000</v>
      </c>
    </row>
    <row r="66" spans="8:34" ht="21" x14ac:dyDescent="0.4">
      <c r="T66" s="22" t="s">
        <v>61</v>
      </c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4"/>
    </row>
    <row r="67" spans="8:34" ht="15" thickBot="1" x14ac:dyDescent="0.35"/>
    <row r="68" spans="8:34" ht="18.600000000000001" thickBot="1" x14ac:dyDescent="0.4">
      <c r="H68" s="28" t="s">
        <v>45</v>
      </c>
      <c r="I68" s="29"/>
      <c r="J68" s="29"/>
      <c r="K68" s="29"/>
      <c r="L68" s="29"/>
      <c r="M68" s="29"/>
      <c r="N68" s="30"/>
    </row>
    <row r="69" spans="8:34" ht="15" thickBot="1" x14ac:dyDescent="0.35">
      <c r="U69" s="19" t="s">
        <v>59</v>
      </c>
      <c r="V69" s="20"/>
      <c r="W69" s="20"/>
      <c r="X69" s="20"/>
      <c r="Y69" s="20"/>
      <c r="Z69" s="20"/>
      <c r="AA69" s="21"/>
      <c r="AB69" s="19" t="s">
        <v>60</v>
      </c>
      <c r="AC69" s="20"/>
      <c r="AD69" s="20"/>
      <c r="AE69" s="20"/>
      <c r="AF69" s="20"/>
      <c r="AG69" s="21"/>
    </row>
    <row r="70" spans="8:34" ht="18.600000000000001" thickBot="1" x14ac:dyDescent="0.4">
      <c r="H70" s="28" t="s">
        <v>47</v>
      </c>
      <c r="I70" s="29"/>
      <c r="J70" s="29"/>
      <c r="K70" s="29"/>
      <c r="L70" s="29"/>
      <c r="M70" s="29"/>
      <c r="N70" s="30"/>
      <c r="P70" s="37" t="s">
        <v>62</v>
      </c>
      <c r="Q70" s="38"/>
      <c r="R70" s="39"/>
      <c r="T70" s="4" t="s">
        <v>56</v>
      </c>
      <c r="U70" s="17" t="s">
        <v>57</v>
      </c>
      <c r="V70" s="17" t="s">
        <v>58</v>
      </c>
      <c r="W70" s="4" t="s">
        <v>48</v>
      </c>
      <c r="X70" s="4" t="s">
        <v>49</v>
      </c>
      <c r="Y70" s="16" t="s">
        <v>54</v>
      </c>
      <c r="Z70" s="16" t="s">
        <v>52</v>
      </c>
      <c r="AA70" t="s">
        <v>55</v>
      </c>
      <c r="AB70" s="17" t="s">
        <v>58</v>
      </c>
      <c r="AC70" s="4" t="s">
        <v>48</v>
      </c>
      <c r="AD70" s="4" t="s">
        <v>49</v>
      </c>
      <c r="AE70" s="16" t="s">
        <v>54</v>
      </c>
      <c r="AF70" s="16" t="s">
        <v>52</v>
      </c>
      <c r="AG70" t="s">
        <v>55</v>
      </c>
    </row>
    <row r="71" spans="8:34" ht="15.6" x14ac:dyDescent="0.35">
      <c r="H71" s="4" t="s">
        <v>46</v>
      </c>
      <c r="I71" s="4" t="s">
        <v>50</v>
      </c>
      <c r="J71" s="4" t="s">
        <v>51</v>
      </c>
      <c r="K71" s="4" t="s">
        <v>55</v>
      </c>
      <c r="P71" s="4" t="s">
        <v>54</v>
      </c>
      <c r="Q71" s="4" t="s">
        <v>52</v>
      </c>
      <c r="R71" s="4" t="s">
        <v>55</v>
      </c>
    </row>
    <row r="72" spans="8:34" x14ac:dyDescent="0.3">
      <c r="H72">
        <v>3</v>
      </c>
      <c r="I72" s="8">
        <f>L52</f>
        <v>0</v>
      </c>
      <c r="J72" s="8">
        <f>M52</f>
        <v>-1000</v>
      </c>
      <c r="K72" s="6">
        <f>AH72</f>
        <v>1.6666333339999867E-2</v>
      </c>
      <c r="P72">
        <f>(J72-I72)/L</f>
        <v>-1000</v>
      </c>
      <c r="Q72" s="8">
        <f>I72</f>
        <v>0</v>
      </c>
      <c r="R72" s="6">
        <f>(1/(2*E2__I)*(((P72^2*L^3)/3)+(P72*Q72*L^2)+(Q72^2*L)))</f>
        <v>1.6666333339999867E-2</v>
      </c>
      <c r="T72" t="b">
        <f>ABS(I72)+ABS(J72)&gt;ABS(I72+J72)</f>
        <v>0</v>
      </c>
      <c r="U72" s="8" t="str">
        <f>IF(NOT(T72),"",(L*I72)/(I72-J72))</f>
        <v/>
      </c>
      <c r="V72" s="8">
        <f t="shared" ref="V72:V74" si="0">IF(NOT(T72),L,(L-U72))</f>
        <v>1</v>
      </c>
      <c r="W72" s="8">
        <f>I72</f>
        <v>0</v>
      </c>
      <c r="X72" s="8">
        <f>IF(NOT(T72),J72,0)</f>
        <v>-1000</v>
      </c>
      <c r="Y72" s="18">
        <f t="shared" ref="Y72:Y74" si="1">(X72-W72)/V72</f>
        <v>-1000</v>
      </c>
      <c r="Z72" s="18">
        <f t="shared" ref="Z72:Z74" si="2">W72</f>
        <v>0</v>
      </c>
      <c r="AA72" s="7">
        <f t="shared" ref="AA72:AA74" si="3">(1/(2*E2__I))*((((Y72^2*V72^3)/3))+(Y72*Z72*V72^2)+(Z72^2*V72))</f>
        <v>1.6666333339999867E-2</v>
      </c>
      <c r="AB72" s="6">
        <f t="shared" ref="AB72:AB74" si="4">L-V72</f>
        <v>0</v>
      </c>
      <c r="AC72" t="str">
        <f t="shared" ref="AC72:AC74" si="5">IF(NOT(T72),"",0)</f>
        <v/>
      </c>
      <c r="AD72" t="str">
        <f>IF(NOT(T72),"",J72)</f>
        <v/>
      </c>
      <c r="AE72" t="str">
        <f t="shared" ref="AE72:AE74" si="6">IF(NOT(T72),"",ABS(AD72-AC72)/ABS(L-V72))</f>
        <v/>
      </c>
      <c r="AF72" t="str">
        <f t="shared" ref="AF72:AF74" si="7">IF(NOT(T72),"",0)</f>
        <v/>
      </c>
      <c r="AG72" s="7">
        <f t="shared" ref="AG72:AG74" si="8">IF(NOT(T72),0,(1/(2*E2__I))*((((AE72^2*AB72^3)/3))+(AE72*AF72*AA72^2)+(AF72^2*AA72)))</f>
        <v>0</v>
      </c>
      <c r="AH72" s="7">
        <f t="shared" ref="AH72:AH74" si="9">AG72+AA72</f>
        <v>1.6666333339999867E-2</v>
      </c>
    </row>
    <row r="73" spans="8:34" x14ac:dyDescent="0.3">
      <c r="H73">
        <v>4</v>
      </c>
      <c r="I73" s="8">
        <f>L56</f>
        <v>-1000</v>
      </c>
      <c r="J73" s="8">
        <f>M56</f>
        <v>-625.64</v>
      </c>
      <c r="K73" s="6">
        <f t="shared" ref="K73:K74" si="10">AH73</f>
        <v>3.3617084484976967E-2</v>
      </c>
      <c r="P73">
        <f>(J73-I73)/L</f>
        <v>374.36</v>
      </c>
      <c r="Q73" s="8">
        <f>I73</f>
        <v>-1000</v>
      </c>
      <c r="R73" s="6">
        <f>(1/(2*E2__I)*(((P73^2*L^3)/3)+(P73*Q73*L^2)+(Q73^2*L)))</f>
        <v>3.3617084484976967E-2</v>
      </c>
      <c r="T73" t="b">
        <f>ABS(I73)+ABS(J73)&gt;ABS(I73+J73)</f>
        <v>0</v>
      </c>
      <c r="U73" s="8" t="str">
        <f>IF(NOT(T73),"",(L*I73)/(I73-J73))</f>
        <v/>
      </c>
      <c r="V73" s="8">
        <f t="shared" si="0"/>
        <v>1</v>
      </c>
      <c r="W73" s="8">
        <f>I73</f>
        <v>-1000</v>
      </c>
      <c r="X73" s="8">
        <f>IF(NOT(T73),J73,0)</f>
        <v>-625.64</v>
      </c>
      <c r="Y73" s="18">
        <f t="shared" si="1"/>
        <v>374.36</v>
      </c>
      <c r="Z73" s="18">
        <f t="shared" si="2"/>
        <v>-1000</v>
      </c>
      <c r="AA73" s="7">
        <f t="shared" si="3"/>
        <v>3.3617084484976967E-2</v>
      </c>
      <c r="AB73" s="6">
        <f t="shared" si="4"/>
        <v>0</v>
      </c>
      <c r="AC73" t="str">
        <f t="shared" si="5"/>
        <v/>
      </c>
      <c r="AD73" t="str">
        <f>IF(NOT(T73),"",J73)</f>
        <v/>
      </c>
      <c r="AE73" t="str">
        <f t="shared" si="6"/>
        <v/>
      </c>
      <c r="AF73" t="str">
        <f t="shared" si="7"/>
        <v/>
      </c>
      <c r="AG73" s="7">
        <f t="shared" si="8"/>
        <v>0</v>
      </c>
      <c r="AH73" s="7">
        <f t="shared" si="9"/>
        <v>3.3617084484976967E-2</v>
      </c>
    </row>
    <row r="74" spans="8:34" x14ac:dyDescent="0.3">
      <c r="H74">
        <v>5</v>
      </c>
      <c r="I74" s="8">
        <f>L60</f>
        <v>-625.64</v>
      </c>
      <c r="J74" s="8">
        <f>M60</f>
        <v>0</v>
      </c>
      <c r="K74" s="6">
        <f t="shared" si="10"/>
        <v>6.5236263541395842E-3</v>
      </c>
      <c r="P74">
        <f>(J74-I74)/L</f>
        <v>625.64</v>
      </c>
      <c r="Q74" s="8">
        <f t="shared" ref="Q74" si="11">I74</f>
        <v>-625.64</v>
      </c>
      <c r="R74" s="6">
        <f>(1/(2*E2__I)*(((P74^2*L^3)/3)+(P74*Q74*L^2)+(Q74^2*L)))</f>
        <v>6.5236263541395842E-3</v>
      </c>
      <c r="T74" t="b">
        <f>ABS(I74)+ABS(J74)&gt;ABS(I74+J74)</f>
        <v>0</v>
      </c>
      <c r="U74" s="8" t="str">
        <f>IF(NOT(T74),"",(L*I74)/(I74-J74))</f>
        <v/>
      </c>
      <c r="V74" s="8">
        <f t="shared" si="0"/>
        <v>1</v>
      </c>
      <c r="W74" s="8">
        <f>I74</f>
        <v>-625.64</v>
      </c>
      <c r="X74" s="8">
        <f>IF(NOT(T74),J74,0)</f>
        <v>0</v>
      </c>
      <c r="Y74" s="18">
        <f t="shared" si="1"/>
        <v>625.64</v>
      </c>
      <c r="Z74" s="18">
        <f t="shared" si="2"/>
        <v>-625.64</v>
      </c>
      <c r="AA74" s="7">
        <f t="shared" si="3"/>
        <v>6.5236263541395842E-3</v>
      </c>
      <c r="AB74" s="6">
        <f t="shared" si="4"/>
        <v>0</v>
      </c>
      <c r="AC74" t="str">
        <f t="shared" si="5"/>
        <v/>
      </c>
      <c r="AD74" t="str">
        <f>IF(NOT(T74),"",J74)</f>
        <v/>
      </c>
      <c r="AE74" t="str">
        <f t="shared" si="6"/>
        <v/>
      </c>
      <c r="AF74" t="str">
        <f t="shared" si="7"/>
        <v/>
      </c>
      <c r="AG74" s="7">
        <f t="shared" si="8"/>
        <v>0</v>
      </c>
      <c r="AH74" s="7">
        <f t="shared" si="9"/>
        <v>6.5236263541395842E-3</v>
      </c>
    </row>
    <row r="75" spans="8:34" x14ac:dyDescent="0.3">
      <c r="I75" s="8"/>
      <c r="J75" s="8"/>
      <c r="K75" s="7">
        <f>SUM(K72:K74)</f>
        <v>5.6807044179116417E-2</v>
      </c>
      <c r="Q75" s="8"/>
      <c r="R75" s="6"/>
      <c r="U75" s="8"/>
      <c r="V75" s="8"/>
      <c r="W75" s="8"/>
      <c r="X75" s="8"/>
      <c r="Y75" s="18"/>
      <c r="Z75" s="18"/>
      <c r="AA75" s="7"/>
      <c r="AB75" s="6"/>
      <c r="AG75" s="7"/>
      <c r="AH75" s="7"/>
    </row>
    <row r="76" spans="8:34" x14ac:dyDescent="0.3">
      <c r="K76" s="6"/>
      <c r="M76" s="49" t="s">
        <v>12</v>
      </c>
      <c r="N76" s="8" t="e">
        <f>N77/K77</f>
        <v>#VALUE!</v>
      </c>
      <c r="Q76" s="8"/>
      <c r="R76" s="6"/>
      <c r="U76" s="8"/>
      <c r="V76" s="8"/>
      <c r="W76" s="8"/>
      <c r="X76" s="8"/>
      <c r="Y76" s="18"/>
      <c r="Z76" s="18"/>
      <c r="AA76" s="7"/>
      <c r="AB76" s="6"/>
      <c r="AG76" s="7"/>
      <c r="AH76" s="7"/>
    </row>
    <row r="77" spans="8:34" x14ac:dyDescent="0.3">
      <c r="H77" s="50"/>
      <c r="I77" s="51">
        <f>P*L</f>
        <v>1000</v>
      </c>
      <c r="J77" s="51">
        <v>1000</v>
      </c>
      <c r="K77" s="51">
        <f t="shared" ref="K77" si="12">AH77</f>
        <v>4.9999000019999601E-2</v>
      </c>
      <c r="L77" s="50"/>
      <c r="M77" s="50" t="s">
        <v>73</v>
      </c>
      <c r="N77" s="50" t="e">
        <f>(1/2)*(P*M77)</f>
        <v>#VALUE!</v>
      </c>
      <c r="P77">
        <f>(J77-I77)/L</f>
        <v>0</v>
      </c>
      <c r="Q77" s="8">
        <f t="shared" ref="Q77" si="13">I77</f>
        <v>1000</v>
      </c>
      <c r="R77" s="6">
        <f>(1/(2*E2__I)*(((P77^2*L^3)/3)+(P77*Q77*L^2)+(Q77^2*L)))</f>
        <v>4.9999000019999601E-2</v>
      </c>
      <c r="T77" t="b">
        <f>ABS(I77)+ABS(J77)&gt;ABS(I77+J77)</f>
        <v>0</v>
      </c>
      <c r="U77" s="8" t="str">
        <f>IF(NOT(T77),"",(L*I77)/(I77-J77))</f>
        <v/>
      </c>
      <c r="V77" s="8">
        <f t="shared" ref="V77" si="14">IF(NOT(T77),L,(L-U77))</f>
        <v>1</v>
      </c>
      <c r="W77" s="8">
        <f>I77</f>
        <v>1000</v>
      </c>
      <c r="X77" s="8">
        <f>IF(NOT(T77),J77,0)</f>
        <v>1000</v>
      </c>
      <c r="Y77" s="18">
        <f t="shared" ref="Y77" si="15">(X77-W77)/V77</f>
        <v>0</v>
      </c>
      <c r="Z77" s="18">
        <f t="shared" ref="Z77" si="16">W77</f>
        <v>1000</v>
      </c>
      <c r="AA77" s="7">
        <f t="shared" ref="AA77" si="17">(1/(2*E2__I))*((((Y77^2*V77^3)/3))+(Y77*Z77*V77^2)+(Z77^2*V77))</f>
        <v>4.9999000019999601E-2</v>
      </c>
      <c r="AB77" s="6">
        <f t="shared" ref="AB77" si="18">L-V77</f>
        <v>0</v>
      </c>
      <c r="AC77" t="str">
        <f t="shared" ref="AC77" si="19">IF(NOT(T77),"",0)</f>
        <v/>
      </c>
      <c r="AD77" t="str">
        <f>IF(NOT(T77),"",J77)</f>
        <v/>
      </c>
      <c r="AE77" t="str">
        <f t="shared" ref="AE77" si="20">IF(NOT(T77),"",ABS(AD77-AC77)/ABS(L-V77))</f>
        <v/>
      </c>
      <c r="AF77" t="str">
        <f t="shared" ref="AF77" si="21">IF(NOT(T77),"",0)</f>
        <v/>
      </c>
      <c r="AG77" s="7">
        <f t="shared" ref="AG77" si="22">IF(NOT(T77),0,(1/(2*E2__I))*((((AE77^2*AB77^3)/3))+(AE77*AF77*AA77^2)+(AF77^2*AA77)))</f>
        <v>0</v>
      </c>
      <c r="AH77" s="7">
        <f t="shared" ref="AH77" si="23">AG77+AA77</f>
        <v>4.9999000019999601E-2</v>
      </c>
    </row>
    <row r="78" spans="8:34" ht="15" thickBot="1" x14ac:dyDescent="0.35">
      <c r="H78" s="50"/>
      <c r="I78" s="51">
        <v>1000</v>
      </c>
      <c r="J78" s="51">
        <v>0</v>
      </c>
      <c r="K78" s="51">
        <f t="shared" ref="K78" si="24">AH78</f>
        <v>1.6666333339999864E-2</v>
      </c>
      <c r="L78" s="50"/>
      <c r="M78" s="50">
        <f>((P*L^3)/(48*E2__I))</f>
        <v>2.0832916674999832E-6</v>
      </c>
      <c r="N78" s="50">
        <f>(1/2)*(P*M78)</f>
        <v>1.0416458337499917E-3</v>
      </c>
      <c r="P78">
        <f>(J78-I78)/L</f>
        <v>-1000</v>
      </c>
      <c r="Q78" s="8">
        <f t="shared" ref="Q78" si="25">I78</f>
        <v>1000</v>
      </c>
      <c r="R78" s="6">
        <f>(1/(2*E2__I)*(((P78^2*L^3)/3)+(P78*Q78*L^2)+(Q78^2*L)))</f>
        <v>1.6666333339999864E-2</v>
      </c>
      <c r="T78" t="b">
        <f>ABS(I78)+ABS(J78)&gt;ABS(I78+J78)</f>
        <v>0</v>
      </c>
      <c r="U78" s="8" t="str">
        <f>IF(NOT(T78),"",(L*I78)/(I78-J78))</f>
        <v/>
      </c>
      <c r="V78" s="8">
        <f t="shared" ref="V78" si="26">IF(NOT(T78),L,(L-U78))</f>
        <v>1</v>
      </c>
      <c r="W78" s="8">
        <f>I78</f>
        <v>1000</v>
      </c>
      <c r="X78" s="8">
        <f>IF(NOT(T78),J78,0)</f>
        <v>0</v>
      </c>
      <c r="Y78" s="18">
        <f t="shared" ref="Y78" si="27">(X78-W78)/V78</f>
        <v>-1000</v>
      </c>
      <c r="Z78" s="18">
        <f t="shared" ref="Z78" si="28">W78</f>
        <v>1000</v>
      </c>
      <c r="AA78" s="7">
        <f t="shared" ref="AA78" si="29">(1/(2*E2__I))*((((Y78^2*V78^3)/3))+(Y78*Z78*V78^2)+(Z78^2*V78))</f>
        <v>1.6666333339999864E-2</v>
      </c>
      <c r="AB78" s="6">
        <f t="shared" ref="AB78" si="30">L-V78</f>
        <v>0</v>
      </c>
      <c r="AC78" t="str">
        <f t="shared" ref="AC78" si="31">IF(NOT(T78),"",0)</f>
        <v/>
      </c>
      <c r="AD78" t="str">
        <f>IF(NOT(T78),"",J78)</f>
        <v/>
      </c>
      <c r="AE78" t="str">
        <f t="shared" ref="AE78" si="32">IF(NOT(T78),"",ABS(AD78-AC78)/ABS(L-V78))</f>
        <v/>
      </c>
      <c r="AF78" t="str">
        <f t="shared" ref="AF78" si="33">IF(NOT(T78),"",0)</f>
        <v/>
      </c>
      <c r="AG78" s="7">
        <f t="shared" ref="AG78" si="34">IF(NOT(T78),0,(1/(2*E2__I))*((((AE78^2*AB78^3)/3))+(AE78*AF78*AA78^2)+(AF78^2*AA78)))</f>
        <v>0</v>
      </c>
      <c r="AH78" s="7">
        <f t="shared" ref="AH78" si="35">AG78+AA78</f>
        <v>1.6666333339999864E-2</v>
      </c>
    </row>
    <row r="79" spans="8:34" ht="18.600000000000001" thickBot="1" x14ac:dyDescent="0.4">
      <c r="H79" s="28" t="s">
        <v>63</v>
      </c>
      <c r="I79" s="29"/>
      <c r="J79" s="29"/>
      <c r="K79" s="29"/>
      <c r="L79" s="29"/>
      <c r="M79" s="29"/>
      <c r="N79" s="30"/>
      <c r="Q79" s="8"/>
      <c r="R79" s="6"/>
      <c r="U79" s="8"/>
      <c r="V79" s="8"/>
      <c r="W79" s="8"/>
      <c r="X79" s="8"/>
      <c r="Y79" s="18"/>
      <c r="Z79" s="18"/>
      <c r="AA79" s="7"/>
      <c r="AB79" s="6"/>
      <c r="AG79" s="7"/>
      <c r="AH79" s="7"/>
    </row>
    <row r="80" spans="8:34" ht="16.2" x14ac:dyDescent="0.3">
      <c r="H80" s="4" t="s">
        <v>46</v>
      </c>
      <c r="I80" s="4" t="s">
        <v>10</v>
      </c>
      <c r="J80" s="47" t="s">
        <v>70</v>
      </c>
      <c r="K80" s="4" t="s">
        <v>55</v>
      </c>
      <c r="Q80" s="8"/>
      <c r="R80" s="6"/>
      <c r="U80" s="8"/>
      <c r="V80" s="8"/>
      <c r="W80" s="8"/>
      <c r="X80" s="8"/>
      <c r="Y80" s="18"/>
      <c r="Z80" s="18"/>
      <c r="AA80" s="7"/>
      <c r="AB80" s="6"/>
      <c r="AG80" s="7"/>
      <c r="AH80" s="7"/>
    </row>
    <row r="81" spans="8:11" x14ac:dyDescent="0.3">
      <c r="H81">
        <v>1</v>
      </c>
      <c r="I81" s="8">
        <f>L48</f>
        <v>529.41999999999996</v>
      </c>
      <c r="J81" s="48">
        <v>1</v>
      </c>
      <c r="K81" s="6">
        <f>(1/2)*(I81^2*L/E1__A)</f>
        <v>1.4013996540069198E-2</v>
      </c>
    </row>
    <row r="82" spans="8:11" x14ac:dyDescent="0.3">
      <c r="H82">
        <v>2</v>
      </c>
      <c r="I82" s="8">
        <f>L49</f>
        <v>251.28</v>
      </c>
      <c r="J82" s="48">
        <v>1</v>
      </c>
      <c r="K82" s="6">
        <f>(1/2)*(I82^2*L/E1__A)</f>
        <v>3.1570187796244077E-3</v>
      </c>
    </row>
    <row r="83" spans="8:11" x14ac:dyDescent="0.3">
      <c r="H83">
        <v>3</v>
      </c>
      <c r="I83" s="8">
        <f>L50</f>
        <v>0</v>
      </c>
      <c r="J83" s="48">
        <v>2</v>
      </c>
      <c r="K83" s="6">
        <f>(1/2)*(I83^2*L/E2__A2_)</f>
        <v>0</v>
      </c>
    </row>
    <row r="84" spans="8:11" x14ac:dyDescent="0.3">
      <c r="H84">
        <v>4</v>
      </c>
      <c r="I84" s="8">
        <f>L54</f>
        <v>-1374.4</v>
      </c>
      <c r="J84" s="48">
        <v>2</v>
      </c>
      <c r="K84" s="6">
        <f>(1/2)*(I84^2*L/E2__A2_)</f>
        <v>9.4446879062418771E-4</v>
      </c>
    </row>
    <row r="85" spans="8:11" x14ac:dyDescent="0.3">
      <c r="H85">
        <v>5</v>
      </c>
      <c r="I85" s="8">
        <f>L58</f>
        <v>-1374.4</v>
      </c>
      <c r="J85" s="48">
        <v>2</v>
      </c>
      <c r="K85" s="6">
        <f>(1/2)*(I85^2*L/E2__A2_)</f>
        <v>9.4446879062418771E-4</v>
      </c>
    </row>
    <row r="86" spans="8:11" x14ac:dyDescent="0.3">
      <c r="K86" s="7">
        <f>SUM(K81:K85)</f>
        <v>1.9059952900941982E-2</v>
      </c>
    </row>
    <row r="88" spans="8:11" ht="16.2" x14ac:dyDescent="0.3">
      <c r="H88" t="s">
        <v>71</v>
      </c>
    </row>
    <row r="90" spans="8:11" ht="18" x14ac:dyDescent="0.35">
      <c r="H90" t="s">
        <v>66</v>
      </c>
      <c r="K90" s="40">
        <f>K86+K75</f>
        <v>7.5866997080058396E-2</v>
      </c>
    </row>
    <row r="94" spans="8:11" x14ac:dyDescent="0.3">
      <c r="H94" t="s">
        <v>72</v>
      </c>
      <c r="K94" s="8">
        <f>(1/2)*P*K37</f>
        <v>-8.1669999999999993E-2</v>
      </c>
    </row>
    <row r="101" spans="8:14" x14ac:dyDescent="0.3">
      <c r="H101" s="10"/>
      <c r="I101" s="10"/>
      <c r="J101" s="10"/>
      <c r="K101" s="10"/>
      <c r="L101" s="10"/>
      <c r="M101" s="10"/>
      <c r="N101" s="10"/>
    </row>
    <row r="102" spans="8:14" x14ac:dyDescent="0.3">
      <c r="H102" s="11"/>
      <c r="I102" s="11"/>
      <c r="J102" s="11"/>
      <c r="K102" s="11"/>
      <c r="L102" s="11"/>
      <c r="M102" s="11"/>
      <c r="N102" s="11"/>
    </row>
    <row r="104" spans="8:14" x14ac:dyDescent="0.3">
      <c r="I104" s="4"/>
    </row>
    <row r="105" spans="8:14" x14ac:dyDescent="0.3">
      <c r="K105" s="6"/>
    </row>
    <row r="106" spans="8:14" x14ac:dyDescent="0.3">
      <c r="J106" s="9"/>
      <c r="K106" s="6"/>
    </row>
    <row r="107" spans="8:14" x14ac:dyDescent="0.3">
      <c r="J107" s="9"/>
      <c r="K107" s="6"/>
    </row>
    <row r="108" spans="8:14" x14ac:dyDescent="0.3">
      <c r="K108" s="6"/>
    </row>
    <row r="109" spans="8:14" x14ac:dyDescent="0.3">
      <c r="H109" s="5"/>
      <c r="K109" s="7"/>
    </row>
    <row r="112" spans="8:14" x14ac:dyDescent="0.3">
      <c r="I112" s="8"/>
      <c r="J112" s="8"/>
    </row>
    <row r="113" spans="8:10" x14ac:dyDescent="0.3">
      <c r="I113" s="8"/>
      <c r="J113" s="8"/>
    </row>
    <row r="114" spans="8:10" x14ac:dyDescent="0.3">
      <c r="J114" s="7"/>
    </row>
    <row r="119" spans="8:10" x14ac:dyDescent="0.3">
      <c r="H119" s="3"/>
      <c r="I119" s="8"/>
    </row>
    <row r="120" spans="8:10" x14ac:dyDescent="0.3">
      <c r="H120" s="3"/>
      <c r="I120" s="8"/>
    </row>
  </sheetData>
  <mergeCells count="12">
    <mergeCell ref="C14:C22"/>
    <mergeCell ref="H68:N68"/>
    <mergeCell ref="H70:N70"/>
    <mergeCell ref="H79:N79"/>
    <mergeCell ref="U69:AA69"/>
    <mergeCell ref="AB69:AG69"/>
    <mergeCell ref="P70:R70"/>
    <mergeCell ref="T66:AH66"/>
    <mergeCell ref="H11:N11"/>
    <mergeCell ref="H13:N13"/>
    <mergeCell ref="H30:N30"/>
    <mergeCell ref="D5:N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Sheet1</vt:lpstr>
      <vt:lpstr>A</vt:lpstr>
      <vt:lpstr>A2_</vt:lpstr>
      <vt:lpstr>b</vt:lpstr>
      <vt:lpstr>Barra</vt:lpstr>
      <vt:lpstr>E1_</vt:lpstr>
      <vt:lpstr>E1__A</vt:lpstr>
      <vt:lpstr>E2_</vt:lpstr>
      <vt:lpstr>E2__A2_</vt:lpstr>
      <vt:lpstr>E2__I</vt:lpstr>
      <vt:lpstr>I</vt:lpstr>
      <vt:lpstr>L</vt:lpstr>
      <vt:lpstr>m</vt:lpstr>
      <vt:lpstr>M0_INI</vt:lpstr>
      <vt:lpstr>M1_FIN</vt:lpstr>
      <vt:lpstr>P</vt:lpstr>
      <vt:lpstr>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matteom</dc:creator>
  <cp:lastModifiedBy>matteom</cp:lastModifiedBy>
  <dcterms:created xsi:type="dcterms:W3CDTF">2023-01-08T12:29:30Z</dcterms:created>
  <dcterms:modified xsi:type="dcterms:W3CDTF">2023-01-18T16:51:53Z</dcterms:modified>
</cp:coreProperties>
</file>