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1__2_3_SQRT_3">Sheet1!$Q$75</definedName>
    <definedName name="_1__2_cos_30___N4__P">Sheet1!$Q$65</definedName>
    <definedName name="_2_3_SQRT_3___N6_">Sheet1!$Q$89</definedName>
    <definedName name="_2_3_SQRT_3___N6___2_SQRT_3__3__2__P">Sheet1!$Q$91</definedName>
    <definedName name="_2_N6__SQRT_3__2__P">Sheet1!$Q$83</definedName>
    <definedName name="_2_SQRT_3__3__2__P">Sheet1!$Q$90</definedName>
    <definedName name="_3_P_2__SQRT_3__N6_">Sheet1!$Q$84</definedName>
    <definedName name="_4_cos_30_2_1___4_cos_30">Sheet1!$Q$68</definedName>
    <definedName name="A">Sheet1!$I$2</definedName>
    <definedName name="A_E">Sheet1!#REF!</definedName>
    <definedName name="AE">Sheet1!$C$14</definedName>
    <definedName name="Brazo">Sheet1!$H$15</definedName>
    <definedName name="cos_30">Sheet1!$L$59</definedName>
    <definedName name="cos_60">Sheet1!$M$59</definedName>
    <definedName name="D_dividido_e_">Sheet1!$N$16</definedName>
    <definedName name="E">Sheet1!$C$9</definedName>
    <definedName name="Iy">Sheet1!$C$11</definedName>
    <definedName name="L">Sheet1!$C$13</definedName>
    <definedName name="MRc">Sheet1!$H$16</definedName>
    <definedName name="N1_">Sheet1!$M$64</definedName>
    <definedName name="N1__cos_30">Sheet1!$Q$64</definedName>
    <definedName name="N2_">Sheet1!$M$65</definedName>
    <definedName name="N3_">Sheet1!$M$66</definedName>
    <definedName name="N4_">Sheet1!$M$67</definedName>
    <definedName name="N4__cos_30">Sheet1!$Q$66</definedName>
    <definedName name="N5_">Sheet1!$M$68</definedName>
    <definedName name="N6_">Sheet1!$M$69</definedName>
    <definedName name="N6___2_3_SQRT_3">Sheet1!$Q$72</definedName>
    <definedName name="N6__SQRT_3__2__P">Sheet1!$Q$79</definedName>
    <definedName name="NR_ΔLΨ2">Sheet1!$AE$64</definedName>
    <definedName name="P">Sheet1!$C$12</definedName>
    <definedName name="P_2__SQRT_3__N6_">Sheet1!$Q$80</definedName>
    <definedName name="q">Sheet1!#REF!</definedName>
    <definedName name="Rc_">Sheet1!$H$14</definedName>
    <definedName name="sin_30">Sheet1!$L$58</definedName>
    <definedName name="sin_60">Sheet1!$M$58</definedName>
    <definedName name="sqrt_3">Sheet1!$G$1</definedName>
    <definedName name="SQRT_3__2__P">Sheet1!$Q$71</definedName>
    <definedName name="SQRT_3__N6_">Sheet1!$Q$70</definedName>
    <definedName name="Δ">Sheet1!$H$18</definedName>
    <definedName name="δ3">Sheet1!$B$29</definedName>
    <definedName name="λ">Sheet1!$H$19</definedName>
    <definedName name="Ω">Sheet1!$H$20</definedName>
  </definedNames>
  <calcPr calcId="152511"/>
</workbook>
</file>

<file path=xl/calcChain.xml><?xml version="1.0" encoding="utf-8"?>
<calcChain xmlns="http://schemas.openxmlformats.org/spreadsheetml/2006/main">
  <c r="AE70" i="1" l="1"/>
  <c r="X69" i="1"/>
  <c r="AE69" i="1" s="1"/>
  <c r="AE65" i="1"/>
  <c r="AE66" i="1"/>
  <c r="AE67" i="1"/>
  <c r="AE68" i="1"/>
  <c r="AE64" i="1"/>
  <c r="AD65" i="1"/>
  <c r="AD66" i="1"/>
  <c r="AD67" i="1"/>
  <c r="AD68" i="1"/>
  <c r="AD69" i="1"/>
  <c r="AC69" i="1"/>
  <c r="AC65" i="1"/>
  <c r="AC66" i="1"/>
  <c r="AC67" i="1"/>
  <c r="AC68" i="1"/>
  <c r="H19" i="1"/>
  <c r="Q76" i="1"/>
  <c r="R76" i="1" s="1"/>
  <c r="Q75" i="1"/>
  <c r="Q90" i="1"/>
  <c r="Q89" i="1"/>
  <c r="W80" i="1"/>
  <c r="W79" i="1"/>
  <c r="W78" i="1"/>
  <c r="Q80" i="1"/>
  <c r="Q84" i="1" s="1"/>
  <c r="Q72" i="1"/>
  <c r="C14" i="1"/>
  <c r="W68" i="1"/>
  <c r="W67" i="1"/>
  <c r="W66" i="1"/>
  <c r="Y68" i="1"/>
  <c r="Y67" i="1"/>
  <c r="Y66" i="1"/>
  <c r="X64" i="1"/>
  <c r="AC64" i="1" s="1"/>
  <c r="Q70" i="1"/>
  <c r="Q77" i="1"/>
  <c r="Q71" i="1"/>
  <c r="Q79" i="1" s="1"/>
  <c r="Q83" i="1" s="1"/>
  <c r="Q67" i="1"/>
  <c r="R67" i="1" s="1"/>
  <c r="Z64" i="1" l="1"/>
  <c r="AA64" i="1" s="1"/>
  <c r="S76" i="1"/>
  <c r="T76" i="1"/>
  <c r="AD64" i="1"/>
  <c r="R77" i="1"/>
  <c r="Q91" i="1"/>
  <c r="Q85" i="1"/>
  <c r="Z68" i="1"/>
  <c r="AA68" i="1" s="1"/>
  <c r="Z66" i="1"/>
  <c r="AA66" i="1" s="1"/>
  <c r="Z65" i="1"/>
  <c r="AA65" i="1" s="1"/>
  <c r="Z67" i="1"/>
  <c r="AA67" i="1" s="1"/>
  <c r="H20" i="1"/>
  <c r="AA69" i="1" l="1"/>
  <c r="H22" i="1"/>
  <c r="M5" i="1"/>
  <c r="K20" i="1" l="1"/>
  <c r="Y25" i="1"/>
  <c r="Y24" i="1"/>
  <c r="V4" i="1"/>
  <c r="V3" i="1"/>
  <c r="N24" i="1" l="1"/>
  <c r="N26" i="1"/>
  <c r="K21" i="1"/>
  <c r="L19" i="1"/>
  <c r="L18" i="1"/>
  <c r="G1" i="1"/>
  <c r="M59" i="1"/>
  <c r="M58" i="1"/>
  <c r="L59" i="1"/>
  <c r="L58" i="1"/>
  <c r="C19" i="1"/>
  <c r="C18" i="1"/>
  <c r="Q64" i="1" l="1"/>
  <c r="Q66" i="1"/>
  <c r="Q65" i="1"/>
  <c r="Q68" i="1"/>
  <c r="I65" i="1"/>
  <c r="I64" i="1"/>
  <c r="I66" i="1"/>
  <c r="I67" i="1"/>
  <c r="I68" i="1"/>
  <c r="J68" i="1"/>
  <c r="J64" i="1"/>
  <c r="J65" i="1"/>
  <c r="J66" i="1"/>
  <c r="J67" i="1"/>
  <c r="N25" i="1"/>
  <c r="M8" i="1"/>
  <c r="N8" i="1" s="1"/>
  <c r="M7" i="1"/>
  <c r="D20" i="1"/>
  <c r="D21" i="1" s="1"/>
  <c r="L21" i="1" s="1"/>
  <c r="M2" i="1"/>
  <c r="M6" i="1"/>
  <c r="M3" i="1"/>
  <c r="K18" i="1"/>
  <c r="K19" i="1"/>
  <c r="C24" i="1"/>
  <c r="C10" i="1"/>
  <c r="Q69" i="1" l="1"/>
  <c r="R68" i="1"/>
  <c r="L20" i="1"/>
  <c r="K25" i="1" s="1"/>
  <c r="C25" i="1"/>
  <c r="C26" i="1"/>
  <c r="M4" i="1"/>
  <c r="K24" i="1"/>
  <c r="L24" i="1" s="1"/>
  <c r="K27" i="1"/>
  <c r="L25" i="1" l="1"/>
  <c r="O25" i="1" s="1"/>
  <c r="P25" i="1" s="1"/>
  <c r="K26" i="1"/>
  <c r="L26" i="1" s="1"/>
  <c r="L27" i="1"/>
  <c r="O24" i="1"/>
  <c r="P24" i="1" s="1"/>
  <c r="K28" i="1" l="1"/>
  <c r="O26" i="1"/>
  <c r="P26" i="1" s="1"/>
</calcChain>
</file>

<file path=xl/sharedStrings.xml><?xml version="1.0" encoding="utf-8"?>
<sst xmlns="http://schemas.openxmlformats.org/spreadsheetml/2006/main" count="135" uniqueCount="103">
  <si>
    <t>L</t>
  </si>
  <si>
    <t>m</t>
  </si>
  <si>
    <t>E</t>
  </si>
  <si>
    <t>Gpa</t>
  </si>
  <si>
    <t>Pa</t>
  </si>
  <si>
    <t>P</t>
  </si>
  <si>
    <t>N</t>
  </si>
  <si>
    <t>Sólamente debido a "P"</t>
  </si>
  <si>
    <t>A</t>
  </si>
  <si>
    <t>m2</t>
  </si>
  <si>
    <t>Estructura sin deformar</t>
  </si>
  <si>
    <t>x</t>
  </si>
  <si>
    <t>y</t>
  </si>
  <si>
    <t>B</t>
  </si>
  <si>
    <t>C</t>
  </si>
  <si>
    <t>D</t>
  </si>
  <si>
    <t>sin</t>
  </si>
  <si>
    <t>cos</t>
  </si>
  <si>
    <t>L_II</t>
  </si>
  <si>
    <t>L_I</t>
  </si>
  <si>
    <t>L_II/L_IV</t>
  </si>
  <si>
    <t>L_III</t>
  </si>
  <si>
    <t>sqrt(3)</t>
  </si>
  <si>
    <t>Desplazamientos</t>
  </si>
  <si>
    <t>δ</t>
  </si>
  <si>
    <t>Δ</t>
  </si>
  <si>
    <t>λ</t>
  </si>
  <si>
    <t>Ω</t>
  </si>
  <si>
    <t>Estructura deformada</t>
  </si>
  <si>
    <t>Equilibrios</t>
  </si>
  <si>
    <t>Nudo "B"</t>
  </si>
  <si>
    <t>F_IIIx</t>
  </si>
  <si>
    <t>F_Ix</t>
  </si>
  <si>
    <t>Nudo "C"</t>
  </si>
  <si>
    <t>Formulación analítica</t>
  </si>
  <si>
    <t>Diferencia</t>
  </si>
  <si>
    <t>L_IV</t>
  </si>
  <si>
    <t>F_IVx</t>
  </si>
  <si>
    <t>0/00</t>
  </si>
  <si>
    <t>L_II - L_IV</t>
  </si>
  <si>
    <t>Desde</t>
  </si>
  <si>
    <t>Hasta</t>
  </si>
  <si>
    <t>λ\Δ</t>
  </si>
  <si>
    <t>Delta</t>
  </si>
  <si>
    <t>Ecuaciones</t>
  </si>
  <si>
    <t xml:space="preserve"> </t>
  </si>
  <si>
    <t>F_IIy</t>
  </si>
  <si>
    <t>2*F_Iy</t>
  </si>
  <si>
    <t>2*Δ</t>
  </si>
  <si>
    <t>----------</t>
  </si>
  <si>
    <t>----------------------------------------------------</t>
  </si>
  <si>
    <t>pun</t>
  </si>
  <si>
    <t>desX</t>
  </si>
  <si>
    <t>desY</t>
  </si>
  <si>
    <t>reaX</t>
  </si>
  <si>
    <t>reaY</t>
  </si>
  <si>
    <t>------------------------------------------</t>
  </si>
  <si>
    <t>lín</t>
  </si>
  <si>
    <t>punIni</t>
  </si>
  <si>
    <t>punFin</t>
  </si>
  <si>
    <t>axi</t>
  </si>
  <si>
    <t>nor</t>
  </si>
  <si>
    <t>-------------------------------------</t>
  </si>
  <si>
    <t>tensión equivalente von Mises máxima</t>
  </si>
  <si>
    <t>estado 1</t>
  </si>
  <si>
    <t>sen 30</t>
  </si>
  <si>
    <t>cos30</t>
  </si>
  <si>
    <t>cos60</t>
  </si>
  <si>
    <t>en60</t>
  </si>
  <si>
    <t>N1</t>
  </si>
  <si>
    <t>N2</t>
  </si>
  <si>
    <t>N3</t>
  </si>
  <si>
    <t>N4</t>
  </si>
  <si>
    <t>N5</t>
  </si>
  <si>
    <t>N6</t>
  </si>
  <si>
    <t>N1_*cos_30</t>
  </si>
  <si>
    <t>-(1/(2*cos_30)*(N4_+P))</t>
  </si>
  <si>
    <t>N4_*cos_30</t>
  </si>
  <si>
    <t>N6_</t>
  </si>
  <si>
    <t>((4*cos_30^2-1)/(4*cos_30))</t>
  </si>
  <si>
    <t>(SQRT(3)/2)*P</t>
  </si>
  <si>
    <t>(2+3*SQRT(3))*N6_</t>
  </si>
  <si>
    <t>((2*SQRT(3)+3)/2)*P</t>
  </si>
  <si>
    <t>SQRT(3)*N6_</t>
  </si>
  <si>
    <r>
      <rPr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R</t>
    </r>
  </si>
  <si>
    <r>
      <t>ΔL</t>
    </r>
    <r>
      <rPr>
        <vertAlign val="superscript"/>
        <sz val="11"/>
        <color theme="1"/>
        <rFont val="Calibri"/>
        <family val="2"/>
      </rPr>
      <t>R</t>
    </r>
  </si>
  <si>
    <t>AE</t>
  </si>
  <si>
    <t>N6_*(2+3*SQRT(3))</t>
  </si>
  <si>
    <t>PTV</t>
  </si>
  <si>
    <t>؅؆</t>
  </si>
  <si>
    <t>(N6_-SQRT_3__2__P)</t>
  </si>
  <si>
    <t>(P/2)-SQRT(3)*N6_</t>
  </si>
  <si>
    <t>2*N6__SQRT_3__2__P</t>
  </si>
  <si>
    <t>3*P_2__SQRT_3__N6_</t>
  </si>
  <si>
    <t>_2_N6__SQRT_3__2__P-_3_P_2__SQRT_3__N6_</t>
  </si>
  <si>
    <t>_2_3_SQRT_3___N6_-_2_SQRT_3__3__2__P</t>
  </si>
  <si>
    <t>1+(2+3*SQRT(3))</t>
  </si>
  <si>
    <t>((2*SQRT(3)+3)/2)</t>
  </si>
  <si>
    <r>
      <t>N</t>
    </r>
    <r>
      <rPr>
        <vertAlign val="superscript"/>
        <sz val="11"/>
        <color theme="1"/>
        <rFont val="Calibri"/>
        <family val="2"/>
      </rPr>
      <t>Ψ1</t>
    </r>
  </si>
  <si>
    <r>
      <t>N</t>
    </r>
    <r>
      <rPr>
        <vertAlign val="superscript"/>
        <sz val="11"/>
        <color theme="1"/>
        <rFont val="Calibri"/>
        <family val="2"/>
      </rPr>
      <t>Ψ1</t>
    </r>
    <r>
      <rPr>
        <sz val="11"/>
        <color theme="1"/>
        <rFont val="Calibri"/>
        <family val="2"/>
      </rPr>
      <t>*ΔL</t>
    </r>
    <r>
      <rPr>
        <vertAlign val="superscript"/>
        <sz val="11"/>
        <color theme="1"/>
        <rFont val="Calibri"/>
        <family val="2"/>
      </rPr>
      <t>R</t>
    </r>
  </si>
  <si>
    <r>
      <t>N</t>
    </r>
    <r>
      <rPr>
        <vertAlign val="superscript"/>
        <sz val="11"/>
        <color theme="1"/>
        <rFont val="Calibri"/>
        <family val="2"/>
      </rPr>
      <t>Ψ2</t>
    </r>
  </si>
  <si>
    <r>
      <t>ΔL</t>
    </r>
    <r>
      <rPr>
        <vertAlign val="superscript"/>
        <sz val="11"/>
        <color theme="1"/>
        <rFont val="Calibri"/>
        <family val="2"/>
      </rPr>
      <t>Ψ2</t>
    </r>
  </si>
  <si>
    <r>
      <t>N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</rPr>
      <t>*ΔL</t>
    </r>
    <r>
      <rPr>
        <vertAlign val="superscript"/>
        <sz val="11"/>
        <color theme="1"/>
        <rFont val="Calibri"/>
        <family val="2"/>
      </rPr>
      <t>Ψ2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</si>
</sst>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_-;\-* #,##0.00_-;_-* &quot;-&quot;??_-;_-@_-"/>
    <numFmt numFmtId="165" formatCode="0.000"/>
    <numFmt numFmtId="166" formatCode="0.000E+00"/>
    <numFmt numFmtId="167" formatCode="0.000000"/>
    <numFmt numFmtId="168" formatCode="0.00000"/>
    <numFmt numFmtId="169" formatCode="0.0000"/>
    <numFmt numFmtId="170" formatCode="0.0000000"/>
    <numFmt numFmtId="171" formatCode="0.00000000000"/>
    <numFmt numFmtId="172" formatCode="0.00000000000000"/>
    <numFmt numFmtId="173" formatCode="0.000000E+00"/>
    <numFmt numFmtId="175" formatCode="0.0000000000"/>
    <numFmt numFmtId="176" formatCode="0.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C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quotePrefix="1"/>
    <xf numFmtId="0" fontId="6" fillId="0" borderId="0" xfId="0" applyFont="1"/>
    <xf numFmtId="165" fontId="0" fillId="0" borderId="0" xfId="0" applyNumberFormat="1"/>
    <xf numFmtId="165" fontId="4" fillId="0" borderId="0" xfId="0" applyNumberFormat="1" applyFon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166" fontId="4" fillId="0" borderId="0" xfId="0" applyNumberFormat="1" applyFont="1"/>
    <xf numFmtId="0" fontId="9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7" fillId="0" borderId="0" xfId="0" applyNumberFormat="1" applyFont="1"/>
    <xf numFmtId="0" fontId="5" fillId="0" borderId="0" xfId="0" applyFont="1" applyAlignment="1">
      <alignment horizontal="right"/>
    </xf>
    <xf numFmtId="11" fontId="0" fillId="0" borderId="0" xfId="0" applyNumberForma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11" fontId="0" fillId="0" borderId="0" xfId="1" applyNumberFormat="1" applyFont="1"/>
    <xf numFmtId="170" fontId="0" fillId="0" borderId="0" xfId="0" applyNumberFormat="1"/>
    <xf numFmtId="49" fontId="0" fillId="0" borderId="0" xfId="0" quotePrefix="1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7" fillId="0" borderId="0" xfId="0" applyNumberFormat="1" applyFont="1"/>
    <xf numFmtId="0" fontId="12" fillId="0" borderId="0" xfId="0" applyFont="1"/>
    <xf numFmtId="0" fontId="0" fillId="0" borderId="0" xfId="0" applyNumberFormat="1"/>
    <xf numFmtId="0" fontId="5" fillId="0" borderId="0" xfId="0" quotePrefix="1" applyFont="1"/>
    <xf numFmtId="175" fontId="0" fillId="0" borderId="0" xfId="1" applyNumberFormat="1" applyFont="1"/>
    <xf numFmtId="11" fontId="8" fillId="0" borderId="0" xfId="0" applyNumberFormat="1" applyFont="1"/>
    <xf numFmtId="2" fontId="0" fillId="0" borderId="0" xfId="0" applyNumberFormat="1" applyFont="1"/>
    <xf numFmtId="11" fontId="0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176" fontId="0" fillId="0" borderId="0" xfId="0" applyNumberFormat="1"/>
    <xf numFmtId="0" fontId="13" fillId="0" borderId="0" xfId="0" applyFont="1"/>
    <xf numFmtId="0" fontId="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6" fontId="0" fillId="0" borderId="0" xfId="0" applyNumberFormat="1"/>
    <xf numFmtId="0" fontId="16" fillId="0" borderId="0" xfId="0" applyFont="1"/>
    <xf numFmtId="11" fontId="17" fillId="0" borderId="0" xfId="0" applyNumberFormat="1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8" fillId="0" borderId="0" xfId="0" applyFont="1"/>
    <xf numFmtId="176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97266</xdr:colOff>
      <xdr:row>31</xdr:row>
      <xdr:rowOff>160381</xdr:rowOff>
    </xdr:from>
    <xdr:to>
      <xdr:col>4</xdr:col>
      <xdr:colOff>308834</xdr:colOff>
      <xdr:row>46</xdr:row>
      <xdr:rowOff>145227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866" y="5682640"/>
          <a:ext cx="3174852" cy="2674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8964</xdr:colOff>
      <xdr:row>16</xdr:row>
      <xdr:rowOff>170329</xdr:rowOff>
    </xdr:from>
    <xdr:to>
      <xdr:col>8</xdr:col>
      <xdr:colOff>582706</xdr:colOff>
      <xdr:row>20</xdr:row>
      <xdr:rowOff>44824</xdr:rowOff>
    </xdr:to>
    <xdr:sp macro="" textlink="">
      <xdr:nvSpPr>
        <xdr:cNvPr id="2" name="Right Arrow 1"/>
        <xdr:cNvSpPr/>
      </xdr:nvSpPr>
      <xdr:spPr>
        <a:xfrm>
          <a:off x="4742329" y="3110753"/>
          <a:ext cx="573742" cy="609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107576</xdr:colOff>
      <xdr:row>21</xdr:row>
      <xdr:rowOff>53788</xdr:rowOff>
    </xdr:from>
    <xdr:to>
      <xdr:col>11</xdr:col>
      <xdr:colOff>242047</xdr:colOff>
      <xdr:row>22</xdr:row>
      <xdr:rowOff>143435</xdr:rowOff>
    </xdr:to>
    <xdr:sp macro="" textlink="">
      <xdr:nvSpPr>
        <xdr:cNvPr id="4" name="Down Arrow 3"/>
        <xdr:cNvSpPr/>
      </xdr:nvSpPr>
      <xdr:spPr>
        <a:xfrm>
          <a:off x="6060141" y="3908612"/>
          <a:ext cx="744071" cy="2689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abSelected="1" topLeftCell="N46" zoomScaleNormal="100" workbookViewId="0">
      <selection activeCell="Z64" sqref="Z64"/>
    </sheetView>
  </sheetViews>
  <sheetFormatPr defaultRowHeight="14.4" x14ac:dyDescent="0.3"/>
  <cols>
    <col min="3" max="3" width="14.5546875" bestFit="1" customWidth="1"/>
    <col min="4" max="4" width="19.77734375" customWidth="1"/>
    <col min="5" max="6" width="9.44140625" bestFit="1" customWidth="1"/>
    <col min="7" max="7" width="5.5546875" bestFit="1" customWidth="1"/>
    <col min="8" max="8" width="18.33203125" customWidth="1"/>
    <col min="9" max="9" width="9.44140625" bestFit="1" customWidth="1"/>
    <col min="10" max="10" width="10" customWidth="1"/>
    <col min="11" max="11" width="9.77734375" bestFit="1" customWidth="1"/>
    <col min="12" max="12" width="8.21875" customWidth="1"/>
    <col min="13" max="13" width="8.5546875" customWidth="1"/>
    <col min="14" max="14" width="8.44140625" bestFit="1" customWidth="1"/>
    <col min="16" max="16" width="24.77734375" bestFit="1" customWidth="1"/>
    <col min="18" max="18" width="12.6640625" bestFit="1" customWidth="1"/>
    <col min="21" max="21" width="8.77734375" bestFit="1" customWidth="1"/>
    <col min="24" max="24" width="10" bestFit="1" customWidth="1"/>
    <col min="25" max="26" width="9.77734375" bestFit="1" customWidth="1"/>
    <col min="27" max="27" width="17.77734375" bestFit="1" customWidth="1"/>
    <col min="28" max="28" width="3.6640625" bestFit="1" customWidth="1"/>
    <col min="29" max="29" width="9.77734375" bestFit="1" customWidth="1"/>
    <col min="30" max="30" width="12.6640625" bestFit="1" customWidth="1"/>
    <col min="31" max="31" width="12" bestFit="1" customWidth="1"/>
    <col min="32" max="35" width="9.77734375" bestFit="1" customWidth="1"/>
  </cols>
  <sheetData>
    <row r="1" spans="2:35" ht="18" x14ac:dyDescent="0.35">
      <c r="F1" s="8" t="s">
        <v>22</v>
      </c>
      <c r="G1" s="8">
        <f>SQRT(3)</f>
        <v>1.7320508075688772</v>
      </c>
      <c r="M1" s="30" t="s">
        <v>44</v>
      </c>
    </row>
    <row r="2" spans="2:35" x14ac:dyDescent="0.3">
      <c r="F2" s="8"/>
      <c r="M2" s="33">
        <f>Ω*cos_30</f>
        <v>5.6281258941143097E-7</v>
      </c>
      <c r="T2" s="22" t="s">
        <v>40</v>
      </c>
      <c r="U2" s="22" t="s">
        <v>41</v>
      </c>
      <c r="V2" s="22" t="s">
        <v>43</v>
      </c>
      <c r="W2" s="22"/>
    </row>
    <row r="3" spans="2:35" x14ac:dyDescent="0.3">
      <c r="F3" s="8"/>
      <c r="M3" s="33">
        <f>Δ*cos_60</f>
        <v>9.1359724865221031E-8</v>
      </c>
      <c r="S3" s="4" t="s">
        <v>25</v>
      </c>
      <c r="T3" s="14">
        <v>1.8150999840752877E-4</v>
      </c>
      <c r="U3" s="14">
        <v>1.8150999849999999E-4</v>
      </c>
      <c r="V3">
        <f>(U3-T3)/10</f>
        <v>9.2471223820528297E-15</v>
      </c>
    </row>
    <row r="4" spans="2:35" x14ac:dyDescent="0.3">
      <c r="C4" s="8"/>
      <c r="D4" s="8"/>
      <c r="F4" s="8"/>
      <c r="M4" s="33">
        <f>M2-M3</f>
        <v>4.7145286454620995E-7</v>
      </c>
      <c r="S4" s="4" t="s">
        <v>26</v>
      </c>
      <c r="T4" s="14">
        <v>8.0144983144406798E-4</v>
      </c>
      <c r="U4" s="14">
        <v>8.0144983144499996E-4</v>
      </c>
      <c r="V4">
        <f>(U4-T4)/10</f>
        <v>9.3198018746853964E-17</v>
      </c>
      <c r="X4" s="4" t="s">
        <v>42</v>
      </c>
    </row>
    <row r="5" spans="2:35" x14ac:dyDescent="0.3">
      <c r="C5" s="8"/>
      <c r="D5" s="8"/>
      <c r="F5" s="8"/>
      <c r="M5" s="33">
        <f>Ω-λ</f>
        <v>1.0427999999999998E-7</v>
      </c>
      <c r="X5" s="19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2:35" x14ac:dyDescent="0.3">
      <c r="C6" s="8"/>
      <c r="D6" s="8"/>
      <c r="F6" s="8"/>
      <c r="M6" s="33">
        <f>λ*cos_60-Δ*cos_30</f>
        <v>1.1456031476792358E-7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</row>
    <row r="7" spans="2:35" ht="18" x14ac:dyDescent="0.35">
      <c r="B7" s="2" t="s">
        <v>7</v>
      </c>
      <c r="C7" s="8"/>
      <c r="D7" s="8"/>
      <c r="F7" s="8"/>
      <c r="M7" s="33">
        <f>sqrt_3*Δ-3*λ+2*Ω</f>
        <v>-2.0560629535847097E-8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</row>
    <row r="8" spans="2:35" x14ac:dyDescent="0.3">
      <c r="C8" s="8"/>
      <c r="D8" s="8"/>
      <c r="M8" s="33">
        <f>(9+3*sqrt_3)*Δ-3*λ-sqrt_3*Ω</f>
        <v>-1.685120198564251E-7</v>
      </c>
      <c r="N8" s="31">
        <f>M8*1000000</f>
        <v>-0.16851201985642511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</row>
    <row r="9" spans="2:35" x14ac:dyDescent="0.3">
      <c r="B9" t="s">
        <v>2</v>
      </c>
      <c r="C9" s="12">
        <v>210000000000</v>
      </c>
      <c r="D9" s="8" t="s">
        <v>4</v>
      </c>
      <c r="M9" s="25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2:35" x14ac:dyDescent="0.3">
      <c r="C10" s="10">
        <f>E/1000000000</f>
        <v>210</v>
      </c>
      <c r="D10" s="8" t="s">
        <v>3</v>
      </c>
      <c r="M10" s="6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2:35" x14ac:dyDescent="0.3">
      <c r="B11" t="s">
        <v>8</v>
      </c>
      <c r="C11" s="12">
        <v>4.7619999999999997E-3</v>
      </c>
      <c r="D11" s="8" t="s">
        <v>9</v>
      </c>
      <c r="M11" s="6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2:35" x14ac:dyDescent="0.3">
      <c r="B12" t="s">
        <v>5</v>
      </c>
      <c r="C12" s="12">
        <v>1000</v>
      </c>
      <c r="D12" s="8" t="s">
        <v>6</v>
      </c>
      <c r="M12" s="6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2:35" x14ac:dyDescent="0.3">
      <c r="B13" t="s">
        <v>0</v>
      </c>
      <c r="C13" s="9">
        <v>1</v>
      </c>
      <c r="D13" s="8" t="s">
        <v>1</v>
      </c>
      <c r="E13" t="s">
        <v>45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2:35" x14ac:dyDescent="0.3">
      <c r="B14" s="4" t="s">
        <v>86</v>
      </c>
      <c r="C14" s="44">
        <f>Iy*E</f>
        <v>1000020000</v>
      </c>
      <c r="D14" s="8"/>
      <c r="H14" s="7"/>
      <c r="J14" s="6"/>
      <c r="M14" s="6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2:35" x14ac:dyDescent="0.3">
      <c r="B15" s="4"/>
      <c r="C15" s="8"/>
      <c r="D15" s="8"/>
      <c r="H15" s="3"/>
      <c r="M15" s="6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2:35" ht="15.6" x14ac:dyDescent="0.3">
      <c r="B16" s="13" t="s">
        <v>10</v>
      </c>
      <c r="C16" s="8"/>
      <c r="D16" s="8"/>
      <c r="G16" s="37" t="s">
        <v>23</v>
      </c>
      <c r="H16" s="37"/>
      <c r="J16" s="13" t="s">
        <v>28</v>
      </c>
      <c r="K16" s="8"/>
      <c r="L16" s="8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2:35" ht="15.6" x14ac:dyDescent="0.3">
      <c r="B17" s="1"/>
      <c r="C17" s="11" t="s">
        <v>11</v>
      </c>
      <c r="D17" s="11" t="s">
        <v>12</v>
      </c>
      <c r="J17" s="1"/>
      <c r="K17" s="11" t="s">
        <v>11</v>
      </c>
      <c r="L17" s="11" t="s">
        <v>12</v>
      </c>
      <c r="M17" s="6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2:35" x14ac:dyDescent="0.3">
      <c r="B18" t="s">
        <v>8</v>
      </c>
      <c r="C18" s="16">
        <f>-L/2</f>
        <v>-0.5</v>
      </c>
      <c r="D18" s="16">
        <v>0</v>
      </c>
      <c r="G18" s="4" t="s">
        <v>25</v>
      </c>
      <c r="H18" s="28">
        <v>1.8271944973044201E-7</v>
      </c>
      <c r="J18" t="s">
        <v>8</v>
      </c>
      <c r="K18" s="15">
        <f>C18-Δ</f>
        <v>-0.50000018271944968</v>
      </c>
      <c r="L18" s="15">
        <f>D18</f>
        <v>0</v>
      </c>
      <c r="M18" s="6"/>
    </row>
    <row r="19" spans="2:35" x14ac:dyDescent="0.3">
      <c r="B19" t="s">
        <v>13</v>
      </c>
      <c r="C19" s="16">
        <f>L/2</f>
        <v>0.5</v>
      </c>
      <c r="D19" s="16">
        <v>0</v>
      </c>
      <c r="G19" s="4" t="s">
        <v>26</v>
      </c>
      <c r="H19" s="28">
        <f>ABS(D60)</f>
        <v>5.4560000000000002E-7</v>
      </c>
      <c r="J19" t="s">
        <v>13</v>
      </c>
      <c r="K19" s="15">
        <f>C19+Δ</f>
        <v>0.50000018271944968</v>
      </c>
      <c r="L19" s="15">
        <f>D19</f>
        <v>0</v>
      </c>
    </row>
    <row r="20" spans="2:35" x14ac:dyDescent="0.3">
      <c r="B20" s="4" t="s">
        <v>14</v>
      </c>
      <c r="C20" s="16">
        <v>0</v>
      </c>
      <c r="D20" s="26">
        <f>L*L59</f>
        <v>0.86602540378443871</v>
      </c>
      <c r="G20" s="4" t="s">
        <v>27</v>
      </c>
      <c r="H20" s="29">
        <f>ABS(D59)</f>
        <v>6.4987999999999999E-7</v>
      </c>
      <c r="J20" s="4" t="s">
        <v>14</v>
      </c>
      <c r="K20" s="15">
        <f>C20</f>
        <v>0</v>
      </c>
      <c r="L20" s="15">
        <f>D20-Ω</f>
        <v>0.86602475390443867</v>
      </c>
      <c r="O20" s="19"/>
      <c r="P20" s="19"/>
    </row>
    <row r="21" spans="2:35" x14ac:dyDescent="0.3">
      <c r="B21" s="4" t="s">
        <v>15</v>
      </c>
      <c r="C21" s="16">
        <v>0</v>
      </c>
      <c r="D21" s="26">
        <f>(1/3)*D20</f>
        <v>0.28867513459481287</v>
      </c>
      <c r="J21" s="4" t="s">
        <v>15</v>
      </c>
      <c r="K21" s="15">
        <f>C21</f>
        <v>0</v>
      </c>
      <c r="L21" s="15">
        <f>D21-λ</f>
        <v>0.28867458899481285</v>
      </c>
      <c r="O21" s="19"/>
      <c r="P21" s="19"/>
    </row>
    <row r="22" spans="2:35" x14ac:dyDescent="0.3">
      <c r="C22" s="8"/>
      <c r="D22" s="8"/>
      <c r="G22" s="32" t="s">
        <v>48</v>
      </c>
      <c r="H22">
        <f>2*Δ</f>
        <v>3.6543889946088402E-7</v>
      </c>
      <c r="K22" s="8"/>
      <c r="L22" s="8"/>
      <c r="M22" s="37" t="s">
        <v>34</v>
      </c>
      <c r="N22" s="37"/>
      <c r="O22" s="37"/>
      <c r="P22" s="37"/>
      <c r="Q22" s="37"/>
    </row>
    <row r="23" spans="2:35" x14ac:dyDescent="0.3">
      <c r="D23" s="8"/>
      <c r="G23" s="4"/>
      <c r="H23" s="5"/>
      <c r="L23" s="18" t="s">
        <v>24</v>
      </c>
      <c r="N23" s="18" t="s">
        <v>24</v>
      </c>
      <c r="O23" s="19" t="s">
        <v>35</v>
      </c>
      <c r="P23" s="19"/>
    </row>
    <row r="24" spans="2:35" ht="15.6" x14ac:dyDescent="0.3">
      <c r="B24" s="1" t="s">
        <v>21</v>
      </c>
      <c r="C24" s="16">
        <f>SQRT((C18-C19)^2+(D18-D19)^2)</f>
        <v>1</v>
      </c>
      <c r="D24" s="8"/>
      <c r="G24" s="4"/>
      <c r="H24" s="5"/>
      <c r="J24" s="1" t="s">
        <v>21</v>
      </c>
      <c r="K24" s="24">
        <f>SQRT((K18-K19)^2+(L18-L19)^2)</f>
        <v>1.0000003654388994</v>
      </c>
      <c r="L24" s="27">
        <f>K24-C24</f>
        <v>3.6543889936346829E-7</v>
      </c>
      <c r="M24" s="1" t="s">
        <v>21</v>
      </c>
      <c r="N24" s="15">
        <f>2*Δ</f>
        <v>3.6543889946088402E-7</v>
      </c>
      <c r="O24" s="19">
        <f>N24-L24</f>
        <v>9.7415724016500184E-17</v>
      </c>
      <c r="P24" s="19">
        <f>(O24/C24)*1000</f>
        <v>9.7415724016500184E-14</v>
      </c>
      <c r="Q24" s="6" t="s">
        <v>38</v>
      </c>
      <c r="Y24" s="19">
        <f>MIN(Y6:AI17)</f>
        <v>0</v>
      </c>
    </row>
    <row r="25" spans="2:35" ht="15.6" x14ac:dyDescent="0.3">
      <c r="B25" s="1" t="s">
        <v>19</v>
      </c>
      <c r="C25" s="16">
        <f>SQRT((C19-C20)^2+(D19-D20)^2)</f>
        <v>1</v>
      </c>
      <c r="D25" s="8"/>
      <c r="J25" s="1" t="s">
        <v>19</v>
      </c>
      <c r="K25" s="24">
        <f>SQRT((K19-K20)^2+(L19-L20)^2)</f>
        <v>0.99999952854725216</v>
      </c>
      <c r="L25" s="27">
        <f t="shared" ref="L25:L26" si="0">K25-C25</f>
        <v>-4.7145274784110569E-7</v>
      </c>
      <c r="M25" s="1" t="s">
        <v>19</v>
      </c>
      <c r="N25" s="15">
        <f>(Δ/2)-(sqrt_3/2)*Ω</f>
        <v>-4.7145286454620995E-7</v>
      </c>
      <c r="O25" s="19">
        <f>N25-L25</f>
        <v>-1.1670510426270385E-13</v>
      </c>
      <c r="P25" s="19">
        <f>(O25/C25)*1000</f>
        <v>-1.1670510426270385E-10</v>
      </c>
      <c r="Q25" s="6" t="s">
        <v>38</v>
      </c>
      <c r="Y25" s="19">
        <f>MAX(Y6:AI17)</f>
        <v>0</v>
      </c>
    </row>
    <row r="26" spans="2:35" x14ac:dyDescent="0.3">
      <c r="B26" t="s">
        <v>20</v>
      </c>
      <c r="C26" s="16">
        <f>SQRT((C20-C21)^2+(D20-D21)^2)</f>
        <v>0.57735026918962584</v>
      </c>
      <c r="D26" s="8"/>
      <c r="J26" t="s">
        <v>18</v>
      </c>
      <c r="K26" s="24">
        <f>SQRT((K20-K21)^2+(L20-L21)^2)</f>
        <v>0.57735016490962576</v>
      </c>
      <c r="L26" s="27">
        <f t="shared" si="0"/>
        <v>-1.042800000794486E-7</v>
      </c>
      <c r="M26" t="s">
        <v>18</v>
      </c>
      <c r="N26" s="15">
        <f>λ-Ω</f>
        <v>-1.0427999999999998E-7</v>
      </c>
      <c r="O26" s="19">
        <f>N26-L26</f>
        <v>7.9448619958019575E-17</v>
      </c>
      <c r="P26" s="19">
        <f>(O26/C26)*1000</f>
        <v>1.3760904635852061E-13</v>
      </c>
      <c r="Q26" s="6" t="s">
        <v>38</v>
      </c>
    </row>
    <row r="27" spans="2:35" x14ac:dyDescent="0.3">
      <c r="C27" s="8"/>
      <c r="D27" s="8"/>
      <c r="J27" t="s">
        <v>36</v>
      </c>
      <c r="K27" s="24">
        <f>SQRT((K19-K21)^2+(L19-L21)^2)</f>
        <v>0.57735015462958628</v>
      </c>
      <c r="L27" s="27">
        <f>K27-C26</f>
        <v>-1.1456003956578087E-7</v>
      </c>
      <c r="N27" s="15"/>
      <c r="O27" s="19"/>
      <c r="P27" s="19"/>
    </row>
    <row r="28" spans="2:35" x14ac:dyDescent="0.3">
      <c r="C28" s="8"/>
      <c r="D28" s="8"/>
      <c r="J28" t="s">
        <v>39</v>
      </c>
      <c r="K28" s="24">
        <f>K26-K27</f>
        <v>1.0280039486332271E-8</v>
      </c>
      <c r="O28" s="19"/>
      <c r="P28" s="19"/>
    </row>
    <row r="29" spans="2:35" ht="15.6" x14ac:dyDescent="0.3">
      <c r="B29" s="4"/>
      <c r="C29" s="8"/>
      <c r="D29" s="8"/>
      <c r="G29" s="4"/>
      <c r="H29" s="16"/>
      <c r="K29" s="20" t="s">
        <v>29</v>
      </c>
      <c r="O29" s="19"/>
      <c r="P29" s="19"/>
    </row>
    <row r="30" spans="2:35" x14ac:dyDescent="0.3">
      <c r="B30" s="4"/>
      <c r="C30" s="8"/>
      <c r="D30" s="8"/>
      <c r="G30" s="4"/>
      <c r="H30" s="16"/>
      <c r="K30" s="21" t="s">
        <v>30</v>
      </c>
    </row>
    <row r="31" spans="2:35" x14ac:dyDescent="0.3">
      <c r="C31" s="8"/>
      <c r="D31" s="8"/>
      <c r="G31" s="4"/>
      <c r="H31" s="17"/>
      <c r="K31" t="s">
        <v>31</v>
      </c>
    </row>
    <row r="32" spans="2:35" x14ac:dyDescent="0.3">
      <c r="C32" s="8"/>
      <c r="D32" s="8"/>
      <c r="H32" s="8"/>
      <c r="K32" t="s">
        <v>32</v>
      </c>
    </row>
    <row r="33" spans="2:11" x14ac:dyDescent="0.3">
      <c r="B33" s="6"/>
      <c r="C33" s="8"/>
      <c r="D33" s="8"/>
      <c r="H33" s="8"/>
      <c r="K33" t="s">
        <v>37</v>
      </c>
    </row>
    <row r="34" spans="2:11" x14ac:dyDescent="0.3">
      <c r="B34" s="4"/>
      <c r="C34" s="8"/>
      <c r="D34" s="8"/>
    </row>
    <row r="35" spans="2:11" x14ac:dyDescent="0.3">
      <c r="B35" s="4"/>
      <c r="C35" s="8"/>
      <c r="H35" s="8"/>
    </row>
    <row r="36" spans="2:11" x14ac:dyDescent="0.3">
      <c r="K36" s="21" t="s">
        <v>33</v>
      </c>
    </row>
    <row r="38" spans="2:11" x14ac:dyDescent="0.3">
      <c r="K38" t="s">
        <v>47</v>
      </c>
    </row>
    <row r="39" spans="2:11" x14ac:dyDescent="0.3">
      <c r="K39" t="s">
        <v>46</v>
      </c>
    </row>
    <row r="51" spans="1:31" x14ac:dyDescent="0.3">
      <c r="A51" t="s">
        <v>49</v>
      </c>
      <c r="N51" s="19"/>
      <c r="O51" s="19"/>
    </row>
    <row r="52" spans="1:31" ht="18" x14ac:dyDescent="0.35">
      <c r="A52" s="30"/>
      <c r="B52" t="s">
        <v>64</v>
      </c>
      <c r="N52" s="19"/>
      <c r="O52" s="19"/>
    </row>
    <row r="53" spans="1:31" x14ac:dyDescent="0.3">
      <c r="A53" t="s">
        <v>49</v>
      </c>
      <c r="N53" s="19"/>
      <c r="O53" s="19"/>
    </row>
    <row r="54" spans="1:31" x14ac:dyDescent="0.3">
      <c r="A54" t="s">
        <v>50</v>
      </c>
      <c r="N54" s="19"/>
      <c r="O54" s="19"/>
    </row>
    <row r="55" spans="1:31" x14ac:dyDescent="0.3">
      <c r="B55" t="s">
        <v>51</v>
      </c>
      <c r="C55" t="s">
        <v>52</v>
      </c>
      <c r="D55" t="s">
        <v>53</v>
      </c>
      <c r="E55" t="s">
        <v>54</v>
      </c>
      <c r="F55" t="s">
        <v>55</v>
      </c>
      <c r="N55" s="19"/>
      <c r="O55" s="19"/>
    </row>
    <row r="56" spans="1:31" x14ac:dyDescent="0.3">
      <c r="A56" t="s">
        <v>50</v>
      </c>
      <c r="N56" s="19"/>
      <c r="O56" s="19"/>
    </row>
    <row r="57" spans="1:31" x14ac:dyDescent="0.3">
      <c r="B57">
        <v>1</v>
      </c>
      <c r="C57" s="19">
        <v>0</v>
      </c>
      <c r="D57" s="19">
        <v>0</v>
      </c>
      <c r="E57" s="19">
        <v>0</v>
      </c>
      <c r="F57" s="19">
        <v>500</v>
      </c>
      <c r="L57">
        <v>30</v>
      </c>
      <c r="M57">
        <v>60</v>
      </c>
    </row>
    <row r="58" spans="1:31" x14ac:dyDescent="0.3">
      <c r="B58">
        <v>2</v>
      </c>
      <c r="C58" s="19">
        <v>3.8917999999999999E-7</v>
      </c>
      <c r="D58" s="19">
        <v>0</v>
      </c>
      <c r="F58" s="19">
        <v>500</v>
      </c>
      <c r="K58" t="s">
        <v>16</v>
      </c>
      <c r="L58" s="8">
        <f>SIN((L57/360)*2*PI())</f>
        <v>0.49999999999999994</v>
      </c>
      <c r="M58" s="8">
        <f>SIN((M57/360)*2*PI())</f>
        <v>0.8660254037844386</v>
      </c>
    </row>
    <row r="59" spans="1:31" x14ac:dyDescent="0.3">
      <c r="B59">
        <v>3</v>
      </c>
      <c r="C59" s="19">
        <v>1.9459E-7</v>
      </c>
      <c r="D59" s="34">
        <v>-6.4987999999999999E-7</v>
      </c>
      <c r="K59" t="s">
        <v>17</v>
      </c>
      <c r="L59" s="8">
        <f>COS((L57/360)*2*PI())</f>
        <v>0.86602540378443871</v>
      </c>
      <c r="M59" s="8">
        <f>COS((M57/360)*2*PI())</f>
        <v>0.50000000000000011</v>
      </c>
    </row>
    <row r="60" spans="1:31" x14ac:dyDescent="0.3">
      <c r="B60">
        <v>4</v>
      </c>
      <c r="C60" s="19">
        <v>1.9459E-7</v>
      </c>
      <c r="D60" s="34">
        <v>-5.4560000000000002E-7</v>
      </c>
    </row>
    <row r="61" spans="1:31" x14ac:dyDescent="0.3">
      <c r="A61" t="s">
        <v>56</v>
      </c>
      <c r="Q61" s="38"/>
    </row>
    <row r="62" spans="1:31" ht="21" x14ac:dyDescent="0.4">
      <c r="B62" t="s">
        <v>57</v>
      </c>
      <c r="C62" t="s">
        <v>58</v>
      </c>
      <c r="D62" t="s">
        <v>59</v>
      </c>
      <c r="E62" t="s">
        <v>60</v>
      </c>
      <c r="F62" t="s">
        <v>61</v>
      </c>
      <c r="I62" t="s">
        <v>67</v>
      </c>
      <c r="J62" t="s">
        <v>68</v>
      </c>
      <c r="Q62" s="38"/>
      <c r="V62" s="47" t="s">
        <v>88</v>
      </c>
      <c r="W62" s="48"/>
      <c r="X62" s="48"/>
      <c r="Y62" s="48"/>
      <c r="Z62" s="48"/>
      <c r="AA62" s="49"/>
    </row>
    <row r="63" spans="1:31" ht="16.2" x14ac:dyDescent="0.3">
      <c r="A63" t="s">
        <v>56</v>
      </c>
      <c r="I63" t="s">
        <v>65</v>
      </c>
      <c r="J63" t="s">
        <v>66</v>
      </c>
      <c r="Q63" s="38"/>
      <c r="V63" s="41"/>
      <c r="W63" s="42" t="s">
        <v>0</v>
      </c>
      <c r="X63" s="43" t="s">
        <v>84</v>
      </c>
      <c r="Y63" s="22" t="s">
        <v>98</v>
      </c>
      <c r="Z63" s="18" t="s">
        <v>85</v>
      </c>
      <c r="AA63" s="22" t="s">
        <v>99</v>
      </c>
      <c r="AC63" s="22" t="s">
        <v>100</v>
      </c>
      <c r="AD63" s="18" t="s">
        <v>101</v>
      </c>
      <c r="AE63" s="22" t="s">
        <v>102</v>
      </c>
    </row>
    <row r="64" spans="1:31" x14ac:dyDescent="0.3">
      <c r="B64">
        <v>1</v>
      </c>
      <c r="C64">
        <v>1</v>
      </c>
      <c r="D64">
        <v>3</v>
      </c>
      <c r="E64" s="38">
        <v>-471.69</v>
      </c>
      <c r="F64" s="38">
        <v>-97759</v>
      </c>
      <c r="H64">
        <v>1</v>
      </c>
      <c r="I64" s="38">
        <f>$E64*sin_30</f>
        <v>-235.84499999999997</v>
      </c>
      <c r="J64" s="38">
        <f>E64*cos_30</f>
        <v>-408.49552271108189</v>
      </c>
      <c r="L64" t="s">
        <v>69</v>
      </c>
      <c r="M64" s="38">
        <v>-471.69</v>
      </c>
      <c r="P64" s="6" t="s">
        <v>75</v>
      </c>
      <c r="Q64" s="38">
        <f>N1_*cos_30</f>
        <v>-408.49552271108189</v>
      </c>
      <c r="V64" t="s">
        <v>69</v>
      </c>
      <c r="W64">
        <v>1</v>
      </c>
      <c r="X64" s="38">
        <f>E64</f>
        <v>-471.69</v>
      </c>
      <c r="Y64">
        <v>1</v>
      </c>
      <c r="Z64">
        <f>(1/AE)*W64*X64</f>
        <v>-4.7168056638867223E-7</v>
      </c>
      <c r="AA64" s="19">
        <f>Z64*Y64</f>
        <v>-4.7168056638867223E-7</v>
      </c>
      <c r="AC64" s="8">
        <f>X64/1000</f>
        <v>-0.47169</v>
      </c>
      <c r="AD64">
        <f>AC64*W64/AE</f>
        <v>-4.7168056638867226E-10</v>
      </c>
      <c r="AE64">
        <f>AD64*X64</f>
        <v>2.2248700635987282E-7</v>
      </c>
    </row>
    <row r="65" spans="1:31" x14ac:dyDescent="0.3">
      <c r="B65">
        <v>2</v>
      </c>
      <c r="C65">
        <v>2</v>
      </c>
      <c r="D65">
        <v>3</v>
      </c>
      <c r="E65" s="38">
        <v>-471.69</v>
      </c>
      <c r="F65" s="38">
        <v>-97759</v>
      </c>
      <c r="H65">
        <v>2</v>
      </c>
      <c r="I65" s="38">
        <f>$E65*sin_30</f>
        <v>-235.84499999999997</v>
      </c>
      <c r="J65" s="38">
        <f>E65*cos_30</f>
        <v>-408.49552271108189</v>
      </c>
      <c r="L65" t="s">
        <v>70</v>
      </c>
      <c r="M65" s="38">
        <v>-471.69</v>
      </c>
      <c r="P65" s="6" t="s">
        <v>76</v>
      </c>
      <c r="Q65" s="38">
        <f>-(1/(2*cos_30)*(N4_+P))</f>
        <v>-471.6893964252323</v>
      </c>
      <c r="V65" t="s">
        <v>70</v>
      </c>
      <c r="W65">
        <v>1</v>
      </c>
      <c r="X65" s="38">
        <v>-471.69</v>
      </c>
      <c r="Y65">
        <v>1</v>
      </c>
      <c r="Z65">
        <f>(1/AE)*W65*X65</f>
        <v>-4.7168056638867223E-7</v>
      </c>
      <c r="AA65" s="19">
        <f t="shared" ref="AA65:AA68" si="1">Z65*Y65</f>
        <v>-4.7168056638867223E-7</v>
      </c>
      <c r="AC65" s="8">
        <f t="shared" ref="AC65:AC68" si="2">X65/1000</f>
        <v>-0.47169</v>
      </c>
      <c r="AD65">
        <f>AC65*W65/AE</f>
        <v>-4.7168056638867226E-10</v>
      </c>
      <c r="AE65">
        <f t="shared" ref="AE65:AE68" si="3">AD65*X65</f>
        <v>2.2248700635987282E-7</v>
      </c>
    </row>
    <row r="66" spans="1:31" x14ac:dyDescent="0.3">
      <c r="B66">
        <v>3</v>
      </c>
      <c r="C66">
        <v>3</v>
      </c>
      <c r="D66">
        <v>4</v>
      </c>
      <c r="E66" s="38">
        <v>-183.01</v>
      </c>
      <c r="F66" s="38">
        <v>-37930</v>
      </c>
      <c r="H66">
        <v>3</v>
      </c>
      <c r="I66" s="38">
        <f>$E66*sin_30</f>
        <v>-91.504999999999981</v>
      </c>
      <c r="J66" s="38">
        <f>E66*cos_30</f>
        <v>-158.49130914659011</v>
      </c>
      <c r="L66" t="s">
        <v>71</v>
      </c>
      <c r="M66" s="38">
        <v>-183.01</v>
      </c>
      <c r="P66" s="39" t="s">
        <v>77</v>
      </c>
      <c r="Q66" s="38">
        <f>N4_*cos_30</f>
        <v>-158.49130914659011</v>
      </c>
      <c r="V66" t="s">
        <v>71</v>
      </c>
      <c r="W66" s="5">
        <f>1/SQRT(3)</f>
        <v>0.57735026918962584</v>
      </c>
      <c r="X66" s="38">
        <v>-183.01</v>
      </c>
      <c r="Y66" s="5">
        <f>-SQRT(3)</f>
        <v>-1.7320508075688772</v>
      </c>
      <c r="Z66">
        <f>(1/AE)*W66*X66</f>
        <v>-1.0565875958920163E-7</v>
      </c>
      <c r="AA66" s="19">
        <f t="shared" si="1"/>
        <v>1.8300633987320254E-7</v>
      </c>
      <c r="AC66" s="8">
        <f t="shared" si="2"/>
        <v>-0.18300999999999998</v>
      </c>
      <c r="AD66">
        <f>AC66*W66/AE</f>
        <v>-1.0565875958920163E-10</v>
      </c>
      <c r="AE66">
        <f t="shared" si="3"/>
        <v>1.9336609592419791E-8</v>
      </c>
    </row>
    <row r="67" spans="1:31" x14ac:dyDescent="0.3">
      <c r="B67">
        <v>4</v>
      </c>
      <c r="C67">
        <v>1</v>
      </c>
      <c r="D67">
        <v>4</v>
      </c>
      <c r="E67" s="38">
        <v>-183.01</v>
      </c>
      <c r="F67" s="38">
        <v>-37930</v>
      </c>
      <c r="H67">
        <v>4</v>
      </c>
      <c r="I67" s="38">
        <f>$E67*sin_30</f>
        <v>-91.504999999999981</v>
      </c>
      <c r="J67" s="38">
        <f>E67*cos_30</f>
        <v>-158.49130914659011</v>
      </c>
      <c r="L67" t="s">
        <v>72</v>
      </c>
      <c r="M67" s="38">
        <v>-183.01</v>
      </c>
      <c r="P67" s="39" t="s">
        <v>78</v>
      </c>
      <c r="Q67" s="38">
        <f>N6_</f>
        <v>394.34</v>
      </c>
      <c r="R67">
        <f>Q67*SQRT(3)</f>
        <v>683.01691545671099</v>
      </c>
      <c r="V67" t="s">
        <v>72</v>
      </c>
      <c r="W67" s="5">
        <f t="shared" ref="W67:W68" si="4">1/SQRT(3)</f>
        <v>0.57735026918962584</v>
      </c>
      <c r="X67" s="38">
        <v>-183.01</v>
      </c>
      <c r="Y67" s="5">
        <f t="shared" ref="Y67:Y68" si="5">-SQRT(3)</f>
        <v>-1.7320508075688772</v>
      </c>
      <c r="Z67">
        <f>(1/AE)*W67*X67</f>
        <v>-1.0565875958920163E-7</v>
      </c>
      <c r="AA67" s="19">
        <f t="shared" si="1"/>
        <v>1.8300633987320254E-7</v>
      </c>
      <c r="AC67" s="8">
        <f t="shared" si="2"/>
        <v>-0.18300999999999998</v>
      </c>
      <c r="AD67">
        <f>AC67*W67/AE</f>
        <v>-1.0565875958920163E-10</v>
      </c>
      <c r="AE67">
        <f t="shared" si="3"/>
        <v>1.9336609592419791E-8</v>
      </c>
    </row>
    <row r="68" spans="1:31" x14ac:dyDescent="0.3">
      <c r="B68">
        <v>5</v>
      </c>
      <c r="C68">
        <v>4</v>
      </c>
      <c r="D68">
        <v>2</v>
      </c>
      <c r="E68" s="38">
        <v>-183.01</v>
      </c>
      <c r="F68" s="38">
        <v>-37930</v>
      </c>
      <c r="H68">
        <v>5</v>
      </c>
      <c r="I68" s="38">
        <f>$E68*sin_30</f>
        <v>-91.504999999999981</v>
      </c>
      <c r="J68" s="38">
        <f>E68*cos_30</f>
        <v>-158.49130914659011</v>
      </c>
      <c r="L68" t="s">
        <v>73</v>
      </c>
      <c r="M68" s="38">
        <v>-183.01</v>
      </c>
      <c r="P68" s="39" t="s">
        <v>79</v>
      </c>
      <c r="Q68" s="5">
        <f>((4*cos_30^2-1)/(4*cos_30))</f>
        <v>0.57735026918962584</v>
      </c>
      <c r="R68">
        <f>Q68*N4_</f>
        <v>-105.66087276439342</v>
      </c>
      <c r="V68" t="s">
        <v>73</v>
      </c>
      <c r="W68" s="5">
        <f t="shared" si="4"/>
        <v>0.57735026918962584</v>
      </c>
      <c r="X68" s="38">
        <v>-183.01</v>
      </c>
      <c r="Y68" s="5">
        <f t="shared" si="5"/>
        <v>-1.7320508075688772</v>
      </c>
      <c r="Z68">
        <f>(1/AE)*W68*X68</f>
        <v>-1.0565875958920163E-7</v>
      </c>
      <c r="AA68" s="19">
        <f t="shared" si="1"/>
        <v>1.8300633987320254E-7</v>
      </c>
      <c r="AC68" s="8">
        <f t="shared" si="2"/>
        <v>-0.18300999999999998</v>
      </c>
      <c r="AD68">
        <f>AC68*W68/AE</f>
        <v>-1.0565875958920163E-10</v>
      </c>
      <c r="AE68">
        <f t="shared" si="3"/>
        <v>1.9336609592419791E-8</v>
      </c>
    </row>
    <row r="69" spans="1:31" ht="28.8" x14ac:dyDescent="0.55000000000000004">
      <c r="B69">
        <v>6</v>
      </c>
      <c r="C69">
        <v>1</v>
      </c>
      <c r="D69">
        <v>2</v>
      </c>
      <c r="E69" s="38">
        <v>394.34</v>
      </c>
      <c r="F69" s="38">
        <v>81728</v>
      </c>
      <c r="H69">
        <v>6</v>
      </c>
      <c r="L69" t="s">
        <v>74</v>
      </c>
      <c r="M69" s="38">
        <v>394.34</v>
      </c>
      <c r="Q69" s="5">
        <f>1/Q68</f>
        <v>1.732050807568877</v>
      </c>
      <c r="W69">
        <v>1</v>
      </c>
      <c r="X69" s="38">
        <f>E69</f>
        <v>394.34</v>
      </c>
      <c r="AA69" s="46">
        <f>SUM(AA64:AA68)</f>
        <v>-3.9434211315773676E-7</v>
      </c>
      <c r="AB69" s="45" t="s">
        <v>89</v>
      </c>
      <c r="AC69" s="8">
        <f>N6_/1000</f>
        <v>0.39433999999999997</v>
      </c>
      <c r="AD69">
        <f>AC69*W69/AE</f>
        <v>3.9433211335773281E-10</v>
      </c>
      <c r="AE69">
        <f>AD69*X69</f>
        <v>1.5550092558148836E-7</v>
      </c>
    </row>
    <row r="70" spans="1:31" x14ac:dyDescent="0.3">
      <c r="A70" t="s">
        <v>62</v>
      </c>
      <c r="L70" s="38"/>
      <c r="P70" s="39" t="s">
        <v>83</v>
      </c>
      <c r="Q70" s="38">
        <f>SQRT(3)*N6_</f>
        <v>683.01691545671099</v>
      </c>
      <c r="AE70">
        <f>SUM(AE64:AE69)</f>
        <v>6.5848476707849342E-7</v>
      </c>
    </row>
    <row r="71" spans="1:31" x14ac:dyDescent="0.3">
      <c r="B71" t="s">
        <v>63</v>
      </c>
      <c r="P71" s="39" t="s">
        <v>80</v>
      </c>
      <c r="Q71" s="38">
        <f>(SQRT(3)/2)*P</f>
        <v>866.02540378443859</v>
      </c>
    </row>
    <row r="72" spans="1:31" x14ac:dyDescent="0.3">
      <c r="A72" t="s">
        <v>62</v>
      </c>
      <c r="P72" s="39" t="s">
        <v>87</v>
      </c>
      <c r="Q72" s="38">
        <f>N6_*(2+3*SQRT(3))</f>
        <v>2837.7307463701331</v>
      </c>
    </row>
    <row r="73" spans="1:31" x14ac:dyDescent="0.3">
      <c r="B73" s="19">
        <v>97759</v>
      </c>
    </row>
    <row r="74" spans="1:31" x14ac:dyDescent="0.3">
      <c r="P74" s="51"/>
      <c r="Q74" s="40"/>
    </row>
    <row r="75" spans="1:31" x14ac:dyDescent="0.3">
      <c r="P75" s="39" t="s">
        <v>96</v>
      </c>
      <c r="Q75" s="40">
        <f>1+(2+3*SQRT(3))</f>
        <v>8.196152422706632</v>
      </c>
    </row>
    <row r="76" spans="1:31" x14ac:dyDescent="0.3">
      <c r="P76" s="6" t="s">
        <v>97</v>
      </c>
      <c r="Q76" s="40">
        <f>((2*SQRT(3)+3)/2)</f>
        <v>3.2320508075688772</v>
      </c>
      <c r="R76">
        <f>Q76/_1__2_3_SQRT_3</f>
        <v>0.39433756729740643</v>
      </c>
      <c r="S76">
        <f>R76-(SQRT(3)/2)</f>
        <v>-0.47168783648703216</v>
      </c>
      <c r="T76">
        <f>(1/2)-(SQRT(3)*R76)</f>
        <v>-0.1830127018922193</v>
      </c>
    </row>
    <row r="77" spans="1:31" ht="18" x14ac:dyDescent="0.35">
      <c r="A77" s="30"/>
      <c r="P77" s="6" t="s">
        <v>82</v>
      </c>
      <c r="Q77" s="38">
        <f>((2*SQRT(3)+3)/2)*P</f>
        <v>3232.0508075688772</v>
      </c>
      <c r="R77" s="38">
        <f>Q77/_1__2_3_SQRT_3</f>
        <v>394.33756729740639</v>
      </c>
    </row>
    <row r="78" spans="1:31" x14ac:dyDescent="0.3">
      <c r="Q78" s="38"/>
      <c r="V78">
        <v>394</v>
      </c>
      <c r="W78">
        <f>V79-V78</f>
        <v>128</v>
      </c>
    </row>
    <row r="79" spans="1:31" ht="18" x14ac:dyDescent="0.35">
      <c r="P79" s="6" t="s">
        <v>90</v>
      </c>
      <c r="Q79">
        <f>(N6_-SQRT_3__2__P)</f>
        <v>-471.68540378443862</v>
      </c>
      <c r="R79" s="50" t="s">
        <v>89</v>
      </c>
      <c r="V79">
        <v>522</v>
      </c>
      <c r="W79">
        <f>V79/V78</f>
        <v>1.3248730964467006</v>
      </c>
    </row>
    <row r="80" spans="1:31" ht="18" x14ac:dyDescent="0.35">
      <c r="P80" s="6" t="s">
        <v>91</v>
      </c>
      <c r="Q80">
        <f>(P/2)-SQRT(3)*N6_</f>
        <v>-183.01691545671099</v>
      </c>
      <c r="R80" s="50" t="s">
        <v>89</v>
      </c>
      <c r="W80">
        <f>V78/V79</f>
        <v>0.75478927203065138</v>
      </c>
    </row>
    <row r="81" spans="3:18" x14ac:dyDescent="0.3">
      <c r="C81" s="19"/>
      <c r="D81" s="19"/>
      <c r="E81" s="19"/>
      <c r="F81" s="19"/>
    </row>
    <row r="82" spans="3:18" x14ac:dyDescent="0.3">
      <c r="C82" s="19"/>
      <c r="D82" s="19"/>
      <c r="F82" s="19"/>
    </row>
    <row r="83" spans="3:18" x14ac:dyDescent="0.3">
      <c r="C83" s="19"/>
      <c r="D83" s="19"/>
      <c r="P83" s="6" t="s">
        <v>92</v>
      </c>
      <c r="Q83">
        <f>2*N6__SQRT_3__2__P</f>
        <v>-943.37080756887724</v>
      </c>
    </row>
    <row r="84" spans="3:18" x14ac:dyDescent="0.3">
      <c r="C84" s="19"/>
      <c r="D84" s="19"/>
      <c r="P84" s="6" t="s">
        <v>93</v>
      </c>
      <c r="Q84">
        <f>3*P_2__SQRT_3__N6_</f>
        <v>-549.05074637013297</v>
      </c>
    </row>
    <row r="85" spans="3:18" ht="18" x14ac:dyDescent="0.35">
      <c r="P85" s="6" t="s">
        <v>94</v>
      </c>
      <c r="Q85">
        <f>_2_N6__SQRT_3__2__P-_3_P_2__SQRT_3__N6_</f>
        <v>-394.32006119874427</v>
      </c>
      <c r="R85" s="50" t="s">
        <v>89</v>
      </c>
    </row>
    <row r="86" spans="3:18" ht="18" x14ac:dyDescent="0.35">
      <c r="P86" s="6"/>
      <c r="R86" s="50"/>
    </row>
    <row r="87" spans="3:18" ht="18" x14ac:dyDescent="0.35">
      <c r="P87" s="6"/>
      <c r="R87" s="50"/>
    </row>
    <row r="89" spans="3:18" x14ac:dyDescent="0.3">
      <c r="P89" s="6" t="s">
        <v>81</v>
      </c>
      <c r="Q89">
        <f>(2+3*SQRT(3))*N6_</f>
        <v>2837.7307463701331</v>
      </c>
    </row>
    <row r="90" spans="3:18" x14ac:dyDescent="0.3">
      <c r="E90" s="19"/>
      <c r="F90" s="19"/>
      <c r="H90" s="19"/>
      <c r="I90" s="35"/>
      <c r="J90" s="36"/>
      <c r="P90" s="6" t="s">
        <v>82</v>
      </c>
      <c r="Q90">
        <f>((2*SQRT(3)+3)/2)*P</f>
        <v>3232.0508075688772</v>
      </c>
    </row>
    <row r="91" spans="3:18" ht="18" x14ac:dyDescent="0.35">
      <c r="E91" s="19"/>
      <c r="F91" s="19"/>
      <c r="H91" s="19"/>
      <c r="I91" s="35"/>
      <c r="J91" s="36"/>
      <c r="P91" s="6" t="s">
        <v>95</v>
      </c>
      <c r="Q91">
        <f>_2_3_SQRT_3___N6_-_2_SQRT_3__3__2__P</f>
        <v>-394.32006119874404</v>
      </c>
      <c r="R91" s="50" t="s">
        <v>89</v>
      </c>
    </row>
    <row r="92" spans="3:18" x14ac:dyDescent="0.3">
      <c r="E92" s="19"/>
      <c r="F92" s="19"/>
      <c r="H92" s="19"/>
      <c r="I92" s="35"/>
      <c r="J92" s="36"/>
    </row>
    <row r="93" spans="3:18" x14ac:dyDescent="0.3">
      <c r="E93" s="19"/>
      <c r="F93" s="19"/>
      <c r="H93" s="19"/>
      <c r="I93" s="35"/>
      <c r="J93" s="36"/>
    </row>
    <row r="94" spans="3:18" x14ac:dyDescent="0.3">
      <c r="E94" s="19"/>
      <c r="F94" s="19"/>
      <c r="H94" s="19"/>
      <c r="I94" s="35"/>
      <c r="J94" s="36"/>
    </row>
    <row r="95" spans="3:18" x14ac:dyDescent="0.3">
      <c r="E95" s="19"/>
      <c r="F95" s="19"/>
      <c r="H95" s="19"/>
      <c r="I95" s="35"/>
      <c r="J95" s="36"/>
    </row>
    <row r="96" spans="3:18" x14ac:dyDescent="0.3">
      <c r="H96" s="34"/>
      <c r="I96" s="35"/>
      <c r="J96" s="34"/>
    </row>
    <row r="99" spans="2:2" x14ac:dyDescent="0.3">
      <c r="B99" s="19"/>
    </row>
  </sheetData>
  <mergeCells count="3">
    <mergeCell ref="G16:H16"/>
    <mergeCell ref="M22:Q22"/>
    <mergeCell ref="V62:AA62"/>
  </mergeCells>
  <conditionalFormatting sqref="Y6:AI17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_1__2_3_SQRT_3</vt:lpstr>
      <vt:lpstr>_1__2_cos_30___N4__P</vt:lpstr>
      <vt:lpstr>_2_3_SQRT_3___N6_</vt:lpstr>
      <vt:lpstr>_2_3_SQRT_3___N6___2_SQRT_3__3__2__P</vt:lpstr>
      <vt:lpstr>_2_N6__SQRT_3__2__P</vt:lpstr>
      <vt:lpstr>_2_SQRT_3__3__2__P</vt:lpstr>
      <vt:lpstr>_3_P_2__SQRT_3__N6_</vt:lpstr>
      <vt:lpstr>_4_cos_30_2_1___4_cos_30</vt:lpstr>
      <vt:lpstr>A</vt:lpstr>
      <vt:lpstr>AE</vt:lpstr>
      <vt:lpstr>Brazo</vt:lpstr>
      <vt:lpstr>cos_30</vt:lpstr>
      <vt:lpstr>cos_60</vt:lpstr>
      <vt:lpstr>D_dividido_e_</vt:lpstr>
      <vt:lpstr>E</vt:lpstr>
      <vt:lpstr>Iy</vt:lpstr>
      <vt:lpstr>L</vt:lpstr>
      <vt:lpstr>MRc</vt:lpstr>
      <vt:lpstr>N1_</vt:lpstr>
      <vt:lpstr>N1__cos_30</vt:lpstr>
      <vt:lpstr>N2_</vt:lpstr>
      <vt:lpstr>N3_</vt:lpstr>
      <vt:lpstr>N4_</vt:lpstr>
      <vt:lpstr>N4__cos_30</vt:lpstr>
      <vt:lpstr>N5_</vt:lpstr>
      <vt:lpstr>N6_</vt:lpstr>
      <vt:lpstr>N6___2_3_SQRT_3</vt:lpstr>
      <vt:lpstr>N6__SQRT_3__2__P</vt:lpstr>
      <vt:lpstr>NR_ΔLΨ2</vt:lpstr>
      <vt:lpstr>P</vt:lpstr>
      <vt:lpstr>P_2__SQRT_3__N6_</vt:lpstr>
      <vt:lpstr>Rc_</vt:lpstr>
      <vt:lpstr>sin_30</vt:lpstr>
      <vt:lpstr>sin_60</vt:lpstr>
      <vt:lpstr>sqrt_3</vt:lpstr>
      <vt:lpstr>SQRT_3__2__P</vt:lpstr>
      <vt:lpstr>SQRT_3__N6_</vt:lpstr>
      <vt:lpstr>Δ</vt:lpstr>
      <vt:lpstr>δ3</vt:lpstr>
      <vt:lpstr>λ</vt:lpstr>
      <vt:lpstr>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2022-12-31T19:27:30Z</dcterms:modified>
</cp:coreProperties>
</file>