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2" tabRatio="781" firstSheet="3" activeTab="12"/>
  </bookViews>
  <sheets>
    <sheet name="Modules" sheetId="1" r:id="rId1"/>
    <sheet name="Steam" sheetId="2" r:id="rId2"/>
    <sheet name="Solar Panels" sheetId="8" r:id="rId3"/>
    <sheet name="Solar (Magic)" sheetId="18" r:id="rId4"/>
    <sheet name="Accumulators (Magic)" sheetId="20" r:id="rId5"/>
    <sheet name="Nuclear Fuel" sheetId="11" r:id="rId6"/>
    <sheet name="Membranes" sheetId="16" r:id="rId7"/>
    <sheet name="Laser Turrets" sheetId="3" r:id="rId8"/>
    <sheet name="Empty Sheet" sheetId="9" r:id="rId9"/>
    <sheet name="Msc2" sheetId="7" r:id="rId10"/>
    <sheet name="Enemies Spawn Chance" sheetId="19" r:id="rId11"/>
    <sheet name="Gems" sheetId="10" r:id="rId12"/>
    <sheet name="Spawners" sheetId="21" r:id="rId13"/>
    <sheet name="Msc" sheetId="5" r:id="rId14"/>
    <sheet name="Dytech Balance" sheetId="6" state="hidden" r:id="rId15"/>
  </sheets>
  <calcPr calcId="152511"/>
</workbook>
</file>

<file path=xl/calcChain.xml><?xml version="1.0" encoding="utf-8"?>
<calcChain xmlns="http://schemas.openxmlformats.org/spreadsheetml/2006/main">
  <c r="B8" i="21" l="1"/>
  <c r="B9" i="21" s="1"/>
  <c r="B10" i="21" s="1"/>
  <c r="B7" i="21"/>
  <c r="H21" i="21"/>
  <c r="I11" i="21"/>
  <c r="H20" i="21"/>
  <c r="J6" i="21"/>
  <c r="I6" i="21"/>
  <c r="I7" i="21"/>
  <c r="I8" i="21"/>
  <c r="I9" i="21"/>
  <c r="I10" i="21"/>
  <c r="I5" i="21"/>
  <c r="H16" i="21"/>
  <c r="H17" i="21"/>
  <c r="I17" i="21" s="1"/>
  <c r="H18" i="21"/>
  <c r="H19" i="21"/>
  <c r="H15" i="21"/>
  <c r="J11" i="21" l="1"/>
  <c r="J10" i="21"/>
  <c r="J9" i="21"/>
  <c r="J5" i="21"/>
  <c r="J8" i="21"/>
  <c r="J7" i="21"/>
  <c r="K8" i="21"/>
  <c r="K7" i="21"/>
  <c r="K9" i="21"/>
  <c r="K10" i="21"/>
  <c r="K11" i="21"/>
  <c r="K5" i="21"/>
  <c r="L11" i="21"/>
  <c r="K6" i="21"/>
  <c r="K19" i="21"/>
  <c r="I20" i="21"/>
  <c r="J20" i="21"/>
  <c r="K20" i="21"/>
  <c r="L20" i="21"/>
  <c r="L8" i="21"/>
  <c r="L9" i="21"/>
  <c r="L5" i="21"/>
  <c r="L10" i="21"/>
  <c r="L7" i="21"/>
  <c r="L19" i="21"/>
  <c r="L6" i="21"/>
  <c r="M6" i="21"/>
  <c r="M18" i="21"/>
  <c r="I19" i="21"/>
  <c r="J18" i="21"/>
  <c r="K15" i="21"/>
  <c r="I15" i="21"/>
  <c r="L15" i="21"/>
  <c r="J15" i="21"/>
  <c r="K21" i="21"/>
  <c r="M16" i="21"/>
  <c r="J21" i="21"/>
  <c r="K16" i="21"/>
  <c r="I16" i="21"/>
  <c r="J19" i="21"/>
  <c r="L21" i="21"/>
  <c r="K18" i="21"/>
  <c r="L18" i="21"/>
  <c r="I18" i="21"/>
  <c r="I21" i="21"/>
  <c r="L17" i="21"/>
  <c r="J17" i="21"/>
  <c r="K17" i="21"/>
  <c r="L16" i="21"/>
  <c r="J16" i="21"/>
  <c r="H4" i="2"/>
  <c r="C6" i="2"/>
  <c r="D6" i="2"/>
  <c r="F5" i="2"/>
  <c r="G5" i="2"/>
  <c r="N5" i="2"/>
  <c r="G6" i="2"/>
  <c r="F6" i="2"/>
  <c r="G8" i="2"/>
  <c r="G4" i="2"/>
  <c r="AH70" i="20"/>
  <c r="V70" i="20"/>
  <c r="AJ70" i="20" s="1"/>
  <c r="AK70" i="20" s="1"/>
  <c r="T70" i="20"/>
  <c r="F70" i="20"/>
  <c r="AH68" i="20"/>
  <c r="V68" i="20"/>
  <c r="AJ68" i="20" s="1"/>
  <c r="AK68" i="20" s="1"/>
  <c r="T68" i="20"/>
  <c r="F68" i="20"/>
  <c r="AH66" i="20"/>
  <c r="V66" i="20"/>
  <c r="AJ66" i="20" s="1"/>
  <c r="AK66" i="20" s="1"/>
  <c r="T66" i="20"/>
  <c r="F66" i="20"/>
  <c r="AH64" i="20"/>
  <c r="V64" i="20"/>
  <c r="AJ64" i="20" s="1"/>
  <c r="AK64" i="20" s="1"/>
  <c r="T64" i="20"/>
  <c r="F64" i="20"/>
  <c r="AH62" i="20"/>
  <c r="V62" i="20"/>
  <c r="AJ62" i="20" s="1"/>
  <c r="AK62" i="20" s="1"/>
  <c r="T62" i="20"/>
  <c r="F62" i="20"/>
  <c r="AH60" i="20"/>
  <c r="V60" i="20"/>
  <c r="AJ60" i="20" s="1"/>
  <c r="AK60" i="20" s="1"/>
  <c r="T60" i="20"/>
  <c r="F60" i="20"/>
  <c r="AH44" i="20"/>
  <c r="V44" i="20"/>
  <c r="H44" i="20" s="1"/>
  <c r="I44" i="20" s="1"/>
  <c r="T44" i="20"/>
  <c r="F44" i="20"/>
  <c r="AH42" i="20"/>
  <c r="V42" i="20"/>
  <c r="H42" i="20" s="1"/>
  <c r="I42" i="20" s="1"/>
  <c r="T42" i="20"/>
  <c r="F42" i="20"/>
  <c r="AH40" i="20"/>
  <c r="V40" i="20"/>
  <c r="H40" i="20" s="1"/>
  <c r="I40" i="20" s="1"/>
  <c r="T40" i="20"/>
  <c r="F40" i="20"/>
  <c r="AH38" i="20"/>
  <c r="V38" i="20"/>
  <c r="H38" i="20" s="1"/>
  <c r="I38" i="20" s="1"/>
  <c r="T38" i="20"/>
  <c r="F38" i="20"/>
  <c r="AH36" i="20"/>
  <c r="V36" i="20"/>
  <c r="AJ36" i="20" s="1"/>
  <c r="AK36" i="20" s="1"/>
  <c r="T36" i="20"/>
  <c r="F36" i="20"/>
  <c r="AH34" i="20"/>
  <c r="V34" i="20"/>
  <c r="H34" i="20" s="1"/>
  <c r="I34" i="20" s="1"/>
  <c r="T34" i="20"/>
  <c r="F34" i="20"/>
  <c r="AJ18" i="20"/>
  <c r="AK18" i="20" s="1"/>
  <c r="AH18" i="20"/>
  <c r="H18" i="20"/>
  <c r="I18" i="20" s="1"/>
  <c r="F18" i="20"/>
  <c r="T18" i="20"/>
  <c r="V18" i="20" s="1"/>
  <c r="AH16" i="20"/>
  <c r="T16" i="20"/>
  <c r="V16" i="20" s="1"/>
  <c r="F16" i="20"/>
  <c r="AH14" i="20"/>
  <c r="T14" i="20"/>
  <c r="V14" i="20" s="1"/>
  <c r="F14" i="20"/>
  <c r="AH12" i="20"/>
  <c r="T12" i="20"/>
  <c r="V12" i="20" s="1"/>
  <c r="F12" i="20"/>
  <c r="AH10" i="20"/>
  <c r="T10" i="20"/>
  <c r="V10" i="20" s="1"/>
  <c r="F10" i="20"/>
  <c r="AH8" i="20"/>
  <c r="T8" i="20"/>
  <c r="V8" i="20" s="1"/>
  <c r="F8" i="20"/>
  <c r="M11" i="21" l="1"/>
  <c r="M5" i="21"/>
  <c r="M21" i="21"/>
  <c r="M8" i="21"/>
  <c r="M20" i="21"/>
  <c r="M17" i="21"/>
  <c r="M9" i="21"/>
  <c r="M19" i="21"/>
  <c r="M7" i="21"/>
  <c r="M10" i="21"/>
  <c r="M15" i="21"/>
  <c r="N10" i="21"/>
  <c r="N7" i="21"/>
  <c r="N8" i="21"/>
  <c r="N17" i="21"/>
  <c r="N15" i="21"/>
  <c r="H60" i="20"/>
  <c r="I60" i="20" s="1"/>
  <c r="H62" i="20"/>
  <c r="I62" i="20" s="1"/>
  <c r="H64" i="20"/>
  <c r="I64" i="20" s="1"/>
  <c r="H66" i="20"/>
  <c r="I66" i="20" s="1"/>
  <c r="H68" i="20"/>
  <c r="I68" i="20" s="1"/>
  <c r="H70" i="20"/>
  <c r="I70" i="20" s="1"/>
  <c r="H36" i="20"/>
  <c r="I36" i="20" s="1"/>
  <c r="AJ34" i="20"/>
  <c r="AK34" i="20" s="1"/>
  <c r="AJ38" i="20"/>
  <c r="AK38" i="20" s="1"/>
  <c r="AJ40" i="20"/>
  <c r="AK40" i="20" s="1"/>
  <c r="AJ42" i="20"/>
  <c r="AK42" i="20" s="1"/>
  <c r="AJ44" i="20"/>
  <c r="AK44" i="20" s="1"/>
  <c r="AJ12" i="20"/>
  <c r="AK12" i="20" s="1"/>
  <c r="H12" i="20"/>
  <c r="I12" i="20" s="1"/>
  <c r="AJ10" i="20"/>
  <c r="AK10" i="20" s="1"/>
  <c r="H10" i="20"/>
  <c r="I10" i="20" s="1"/>
  <c r="AJ16" i="20"/>
  <c r="AK16" i="20" s="1"/>
  <c r="H16" i="20"/>
  <c r="I16" i="20" s="1"/>
  <c r="H8" i="20"/>
  <c r="I8" i="20" s="1"/>
  <c r="AJ8" i="20"/>
  <c r="AK8" i="20" s="1"/>
  <c r="AJ14" i="20"/>
  <c r="AK14" i="20" s="1"/>
  <c r="H14" i="20"/>
  <c r="I14" i="20" s="1"/>
  <c r="Q31" i="19"/>
  <c r="Q32" i="19" s="1"/>
  <c r="Q4" i="19" s="1"/>
  <c r="P31" i="19"/>
  <c r="P32" i="19" s="1"/>
  <c r="S3" i="19"/>
  <c r="R3" i="19"/>
  <c r="N21" i="21" l="1"/>
  <c r="N20" i="21"/>
  <c r="N11" i="21"/>
  <c r="N19" i="21"/>
  <c r="N9" i="21"/>
  <c r="N18" i="21"/>
  <c r="N16" i="21"/>
  <c r="N6" i="21"/>
  <c r="N5" i="21"/>
  <c r="Q5" i="19"/>
  <c r="S4" i="19"/>
  <c r="P5" i="19"/>
  <c r="P6" i="19" s="1"/>
  <c r="P7" i="19" s="1"/>
  <c r="P8" i="19" s="1"/>
  <c r="P9" i="19" s="1"/>
  <c r="P10" i="19" s="1"/>
  <c r="P11" i="19" s="1"/>
  <c r="P12" i="19" s="1"/>
  <c r="P13" i="19" s="1"/>
  <c r="P14" i="19" s="1"/>
  <c r="P15" i="19" s="1"/>
  <c r="P16" i="19" s="1"/>
  <c r="P17" i="19" s="1"/>
  <c r="R4" i="19"/>
  <c r="H7" i="8"/>
  <c r="G3" i="8"/>
  <c r="F3" i="8"/>
  <c r="E7" i="8"/>
  <c r="E6" i="8"/>
  <c r="E5" i="8"/>
  <c r="E4" i="8"/>
  <c r="E3" i="8"/>
  <c r="B11" i="8"/>
  <c r="B10" i="8"/>
  <c r="D23" i="8"/>
  <c r="D24" i="8"/>
  <c r="V16" i="18"/>
  <c r="AJ16" i="18"/>
  <c r="C30" i="8"/>
  <c r="AK16" i="18"/>
  <c r="AK14" i="18"/>
  <c r="AK12" i="18"/>
  <c r="AK10" i="18"/>
  <c r="AJ14" i="18"/>
  <c r="AJ12" i="18"/>
  <c r="AJ10" i="18"/>
  <c r="AK8" i="18"/>
  <c r="AJ8" i="18"/>
  <c r="H8" i="18"/>
  <c r="I8" i="18"/>
  <c r="AH16" i="18"/>
  <c r="AH14" i="18"/>
  <c r="AH12" i="18"/>
  <c r="AH10" i="18"/>
  <c r="AH8" i="18"/>
  <c r="F16" i="18"/>
  <c r="F14" i="18"/>
  <c r="F12" i="18"/>
  <c r="F10" i="18"/>
  <c r="F8" i="18"/>
  <c r="T16" i="18"/>
  <c r="H16" i="18" s="1"/>
  <c r="I16" i="18" s="1"/>
  <c r="T14" i="18"/>
  <c r="V14" i="18" s="1"/>
  <c r="H14" i="18" s="1"/>
  <c r="I14" i="18" s="1"/>
  <c r="T12" i="18"/>
  <c r="V12" i="18" s="1"/>
  <c r="H12" i="18" s="1"/>
  <c r="T10" i="18"/>
  <c r="V10" i="18" s="1"/>
  <c r="H10" i="18" s="1"/>
  <c r="T8" i="18"/>
  <c r="V8" i="18" s="1"/>
  <c r="R5" i="19" l="1"/>
  <c r="Q6" i="19"/>
  <c r="S5" i="19"/>
  <c r="R6" i="19"/>
  <c r="I10" i="18"/>
  <c r="I12" i="18"/>
  <c r="N21" i="11"/>
  <c r="Q7" i="19" l="1"/>
  <c r="S6" i="19"/>
  <c r="R7" i="19"/>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S7" i="19" l="1"/>
  <c r="Q8" i="19"/>
  <c r="R8" i="19"/>
  <c r="M27" i="16"/>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S8" i="19" l="1"/>
  <c r="Q9" i="19"/>
  <c r="R9" i="19"/>
  <c r="G32" i="16"/>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S9" i="19" l="1"/>
  <c r="Q10" i="19"/>
  <c r="R10" i="19"/>
  <c r="H24" i="11"/>
  <c r="H16" i="11"/>
  <c r="H20" i="11"/>
  <c r="H12" i="11"/>
  <c r="H13" i="11" s="1"/>
  <c r="N13" i="11"/>
  <c r="M17" i="11"/>
  <c r="S10" i="19" l="1"/>
  <c r="Q11" i="19"/>
  <c r="R11" i="19"/>
  <c r="J12" i="11"/>
  <c r="N17" i="11"/>
  <c r="N25" i="11" s="1"/>
  <c r="N29" i="11" s="1"/>
  <c r="N33" i="11" s="1"/>
  <c r="N37" i="11" s="1"/>
  <c r="N41" i="11" s="1"/>
  <c r="N45" i="11" s="1"/>
  <c r="N50" i="11" s="1"/>
  <c r="N51" i="11" s="1"/>
  <c r="S11" i="19" l="1"/>
  <c r="Q12" i="19"/>
  <c r="R12" i="19"/>
  <c r="K13" i="11"/>
  <c r="G15" i="11"/>
  <c r="H15" i="11" s="1"/>
  <c r="H17" i="11" s="1"/>
  <c r="J16" i="11" s="1"/>
  <c r="N3" i="2"/>
  <c r="B4" i="2"/>
  <c r="B5" i="2" s="1"/>
  <c r="B6" i="2" s="1"/>
  <c r="B7" i="2" s="1"/>
  <c r="B8" i="2" s="1"/>
  <c r="C31" i="8"/>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Q13" i="19" l="1"/>
  <c r="S12" i="19"/>
  <c r="R13" i="19"/>
  <c r="K17" i="11"/>
  <c r="G19" i="11"/>
  <c r="H19" i="11" s="1"/>
  <c r="H21" i="11" s="1"/>
  <c r="J20" i="11" s="1"/>
  <c r="D4" i="2"/>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Q15" i="19" l="1"/>
  <c r="Q16" i="19" s="1"/>
  <c r="Q17" i="19" s="1"/>
  <c r="S13" i="19"/>
  <c r="R14" i="19"/>
  <c r="E6" i="1"/>
  <c r="I26" i="1"/>
  <c r="I27" i="1"/>
  <c r="H9" i="6"/>
  <c r="H10" i="6" s="1"/>
  <c r="G20" i="6"/>
  <c r="G21" i="6"/>
  <c r="L21" i="6"/>
  <c r="K21" i="6" s="1"/>
  <c r="N21" i="6" s="1"/>
  <c r="G19" i="6"/>
  <c r="G22" i="6"/>
  <c r="B12" i="8"/>
  <c r="K21" i="11"/>
  <c r="G23" i="11"/>
  <c r="H23" i="11" s="1"/>
  <c r="H25" i="11" s="1"/>
  <c r="J24" i="11" s="1"/>
  <c r="C10" i="2"/>
  <c r="G23" i="2"/>
  <c r="C5" i="2"/>
  <c r="F15" i="2" s="1"/>
  <c r="D5" i="2"/>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S14" i="19" l="1"/>
  <c r="R15" i="19"/>
  <c r="M13" i="3"/>
  <c r="N13" i="3" s="1"/>
  <c r="M15" i="3"/>
  <c r="N15" i="3" s="1"/>
  <c r="B13" i="8"/>
  <c r="N4" i="2"/>
  <c r="M24" i="3"/>
  <c r="N24" i="3" s="1"/>
  <c r="M31" i="3"/>
  <c r="N31" i="3" s="1"/>
  <c r="K25" i="11"/>
  <c r="G27" i="11"/>
  <c r="H27" i="11" s="1"/>
  <c r="H29" i="11" s="1"/>
  <c r="J28" i="11" s="1"/>
  <c r="F4" i="2"/>
  <c r="M4" i="2" s="1"/>
  <c r="O4" i="2" s="1"/>
  <c r="G24" i="2"/>
  <c r="F16" i="2"/>
  <c r="E7" i="2"/>
  <c r="J6" i="2"/>
  <c r="M5" i="2"/>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S15" i="19" l="1"/>
  <c r="R16" i="19"/>
  <c r="R17" i="19"/>
  <c r="N6" i="2"/>
  <c r="H3" i="8"/>
  <c r="H5" i="2"/>
  <c r="K29" i="11"/>
  <c r="G31" i="11"/>
  <c r="H31" i="11" s="1"/>
  <c r="H33" i="11" s="1"/>
  <c r="G25" i="2"/>
  <c r="C7" i="2"/>
  <c r="F17" i="2" s="1"/>
  <c r="D7" i="2"/>
  <c r="G7" i="2" s="1"/>
  <c r="E8" i="2"/>
  <c r="J8" i="2" s="1"/>
  <c r="J7" i="2"/>
  <c r="M6" i="2"/>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S17" i="19" l="1"/>
  <c r="S16" i="19"/>
  <c r="N7" i="2"/>
  <c r="H6" i="2"/>
  <c r="H4" i="8"/>
  <c r="F4" i="8"/>
  <c r="G4" i="8"/>
  <c r="J32" i="11"/>
  <c r="G35" i="11" s="1"/>
  <c r="H35" i="11" s="1"/>
  <c r="H37" i="11" s="1"/>
  <c r="J36" i="11" s="1"/>
  <c r="G39" i="11" s="1"/>
  <c r="H39" i="11" s="1"/>
  <c r="H41" i="11" s="1"/>
  <c r="J40" i="11" s="1"/>
  <c r="G43" i="11" s="1"/>
  <c r="H43" i="11" s="1"/>
  <c r="H45" i="11" s="1"/>
  <c r="J44" i="11" s="1"/>
  <c r="G26" i="2"/>
  <c r="C8" i="2"/>
  <c r="F8" i="2" s="1"/>
  <c r="M8" i="2" s="1"/>
  <c r="F7" i="2"/>
  <c r="M7" i="2" s="1"/>
  <c r="O7" i="2" s="1"/>
  <c r="D8" i="2"/>
  <c r="E42" i="1"/>
  <c r="G41" i="1"/>
  <c r="E10" i="1"/>
  <c r="H9" i="1"/>
  <c r="F9" i="1"/>
  <c r="H20" i="1" s="1"/>
  <c r="E32" i="1"/>
  <c r="K31" i="1"/>
  <c r="I31" i="1"/>
  <c r="F31" i="1"/>
  <c r="G31" i="1" s="1"/>
  <c r="G21" i="1"/>
  <c r="E22" i="1"/>
  <c r="N8" i="2" l="1"/>
  <c r="H8" i="2"/>
  <c r="H5" i="8"/>
  <c r="G5" i="8"/>
  <c r="F5"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G6" i="8"/>
  <c r="F6" i="8"/>
  <c r="E44" i="1"/>
  <c r="G44" i="1" s="1"/>
  <c r="G43" i="1"/>
  <c r="H11" i="1"/>
  <c r="F11" i="1"/>
  <c r="H22" i="1" s="1"/>
  <c r="I33" i="1"/>
  <c r="F33" i="1"/>
  <c r="G33" i="1" s="1"/>
  <c r="K33" i="1"/>
  <c r="F7" i="8" l="1"/>
  <c r="G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produced by 1 solar</t>
        </r>
      </text>
    </comment>
    <comment ref="W6" authorId="0" shapeId="0">
      <text>
        <r>
          <rPr>
            <b/>
            <sz val="9"/>
            <color indexed="81"/>
            <rFont val="Tahoma"/>
            <family val="2"/>
          </rPr>
          <t>MagicLegend:</t>
        </r>
        <r>
          <rPr>
            <sz val="9"/>
            <color indexed="81"/>
            <rFont val="Tahoma"/>
            <family val="2"/>
          </rPr>
          <t xml:space="preserve">
Energy produced by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4.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stored by 1 accumulator battery cell</t>
        </r>
      </text>
    </comment>
    <comment ref="W6" authorId="0" shapeId="0">
      <text>
        <r>
          <rPr>
            <b/>
            <sz val="9"/>
            <color indexed="81"/>
            <rFont val="Tahoma"/>
            <family val="2"/>
          </rPr>
          <t>MagicLegend:</t>
        </r>
        <r>
          <rPr>
            <sz val="9"/>
            <color indexed="81"/>
            <rFont val="Tahoma"/>
            <family val="2"/>
          </rPr>
          <t xml:space="preserve">
Energy stored in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 ref="H32" authorId="0" shapeId="0">
      <text>
        <r>
          <rPr>
            <b/>
            <sz val="9"/>
            <color indexed="81"/>
            <rFont val="Tahoma"/>
            <family val="2"/>
          </rPr>
          <t xml:space="preserve">MagicLegend:
</t>
        </r>
        <r>
          <rPr>
            <sz val="9"/>
            <color indexed="81"/>
            <rFont val="Tahoma"/>
            <family val="2"/>
          </rPr>
          <t>Energy produced by 1 solar</t>
        </r>
      </text>
    </comment>
    <comment ref="I32" authorId="0" shapeId="0">
      <text>
        <r>
          <rPr>
            <b/>
            <sz val="9"/>
            <color indexed="81"/>
            <rFont val="Tahoma"/>
            <family val="2"/>
          </rPr>
          <t>MagicLegend:</t>
        </r>
        <r>
          <rPr>
            <sz val="9"/>
            <color indexed="81"/>
            <rFont val="Tahoma"/>
            <family val="2"/>
          </rPr>
          <t xml:space="preserve">
Energy produced by the full entity</t>
        </r>
      </text>
    </comment>
    <comment ref="V32" authorId="0" shapeId="0">
      <text>
        <r>
          <rPr>
            <b/>
            <sz val="9"/>
            <color indexed="81"/>
            <rFont val="Tahoma"/>
            <family val="2"/>
          </rPr>
          <t xml:space="preserve">MagicLegend:
</t>
        </r>
        <r>
          <rPr>
            <sz val="9"/>
            <color indexed="81"/>
            <rFont val="Tahoma"/>
            <family val="2"/>
          </rPr>
          <t>Energy stored by 1 accumulator battery cell</t>
        </r>
      </text>
    </comment>
    <comment ref="W32" authorId="0" shapeId="0">
      <text>
        <r>
          <rPr>
            <b/>
            <sz val="9"/>
            <color indexed="81"/>
            <rFont val="Tahoma"/>
            <family val="2"/>
          </rPr>
          <t>MagicLegend:</t>
        </r>
        <r>
          <rPr>
            <sz val="9"/>
            <color indexed="81"/>
            <rFont val="Tahoma"/>
            <family val="2"/>
          </rPr>
          <t xml:space="preserve">
Energy stored in the full entity</t>
        </r>
      </text>
    </comment>
    <comment ref="AJ32" authorId="0" shapeId="0">
      <text>
        <r>
          <rPr>
            <b/>
            <sz val="9"/>
            <color indexed="81"/>
            <rFont val="Tahoma"/>
            <family val="2"/>
          </rPr>
          <t xml:space="preserve">MagicLegend:
</t>
        </r>
        <r>
          <rPr>
            <sz val="9"/>
            <color indexed="81"/>
            <rFont val="Tahoma"/>
            <family val="2"/>
          </rPr>
          <t>Energy produced by 1 solar</t>
        </r>
      </text>
    </comment>
    <comment ref="AK32" authorId="0" shapeId="0">
      <text>
        <r>
          <rPr>
            <b/>
            <sz val="9"/>
            <color indexed="81"/>
            <rFont val="Tahoma"/>
            <family val="2"/>
          </rPr>
          <t>MagicLegend:</t>
        </r>
        <r>
          <rPr>
            <sz val="9"/>
            <color indexed="81"/>
            <rFont val="Tahoma"/>
            <family val="2"/>
          </rPr>
          <t xml:space="preserve">
Energy produced by the full entity</t>
        </r>
      </text>
    </comment>
    <comment ref="H58" authorId="0" shapeId="0">
      <text>
        <r>
          <rPr>
            <b/>
            <sz val="9"/>
            <color indexed="81"/>
            <rFont val="Tahoma"/>
            <family val="2"/>
          </rPr>
          <t xml:space="preserve">MagicLegend:
</t>
        </r>
        <r>
          <rPr>
            <sz val="9"/>
            <color indexed="81"/>
            <rFont val="Tahoma"/>
            <family val="2"/>
          </rPr>
          <t>Energy produced by 1 solar</t>
        </r>
      </text>
    </comment>
    <comment ref="I58" authorId="0" shapeId="0">
      <text>
        <r>
          <rPr>
            <b/>
            <sz val="9"/>
            <color indexed="81"/>
            <rFont val="Tahoma"/>
            <family val="2"/>
          </rPr>
          <t>MagicLegend:</t>
        </r>
        <r>
          <rPr>
            <sz val="9"/>
            <color indexed="81"/>
            <rFont val="Tahoma"/>
            <family val="2"/>
          </rPr>
          <t xml:space="preserve">
Energy produced by the full entity</t>
        </r>
      </text>
    </comment>
    <comment ref="V58" authorId="0" shapeId="0">
      <text>
        <r>
          <rPr>
            <b/>
            <sz val="9"/>
            <color indexed="81"/>
            <rFont val="Tahoma"/>
            <family val="2"/>
          </rPr>
          <t xml:space="preserve">MagicLegend:
</t>
        </r>
        <r>
          <rPr>
            <sz val="9"/>
            <color indexed="81"/>
            <rFont val="Tahoma"/>
            <family val="2"/>
          </rPr>
          <t>Energy stored by 1 accumulator battery cell</t>
        </r>
      </text>
    </comment>
    <comment ref="W58" authorId="0" shapeId="0">
      <text>
        <r>
          <rPr>
            <b/>
            <sz val="9"/>
            <color indexed="81"/>
            <rFont val="Tahoma"/>
            <family val="2"/>
          </rPr>
          <t>MagicLegend:</t>
        </r>
        <r>
          <rPr>
            <sz val="9"/>
            <color indexed="81"/>
            <rFont val="Tahoma"/>
            <family val="2"/>
          </rPr>
          <t xml:space="preserve">
Energy stored in the full entity</t>
        </r>
      </text>
    </comment>
    <comment ref="AJ58" authorId="0" shapeId="0">
      <text>
        <r>
          <rPr>
            <b/>
            <sz val="9"/>
            <color indexed="81"/>
            <rFont val="Tahoma"/>
            <family val="2"/>
          </rPr>
          <t xml:space="preserve">MagicLegend:
</t>
        </r>
        <r>
          <rPr>
            <sz val="9"/>
            <color indexed="81"/>
            <rFont val="Tahoma"/>
            <family val="2"/>
          </rPr>
          <t>Energy produced by 1 solar</t>
        </r>
      </text>
    </comment>
    <comment ref="AK58"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6.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7.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8.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<sst xmlns="http://schemas.openxmlformats.org/spreadsheetml/2006/main" count="850" uniqueCount="486">
  <si>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</si>
  <si>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</si>
  <si>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</si>
  <si>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</si>
  <si>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</si>
  <si>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</si>
  <si>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</si>
  <si>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</si>
  <si>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</si>
  <si>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</si>
  <si>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</si>
  <si>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</si>
  <si>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</si>
  <si>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</si>
  <si>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</si>
  <si>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</si>
  <si>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</si>
  <si>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</si>
  <si>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</si>
  <si>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</si>
  <si>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</si>
  <si>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</si>
  <si>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</si>
  <si>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</si>
  <si>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</si>
  <si>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</si>
  <si>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</si>
  <si>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</si>
  <si>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</si>
  <si>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</si>
  <si>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</si>
  <si>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</si>
  <si>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</si>
  <si>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</si>
  <si>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</si>
  <si>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</si>
  <si>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</si>
  <si>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</si>
  <si>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</si>
  <si>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</si>
  <si>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</si>
  <si>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</si>
  <si>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</si>
  <si>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</si>
  <si>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</si>
  <si>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</si>
  <si>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</si>
  <si>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</si>
  <si>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</si>
  <si>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</si>
  <si>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</si>
  <si>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</si>
  <si>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</si>
  <si>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</si>
  <si>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</si>
  <si>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</si>
  <si>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</si>
  <si>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</si>
  <si>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</si>
  <si>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</si>
  <si>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</si>
  <si>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</si>
  <si>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</si>
  <si>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</si>
  <si>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</si>
  <si>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</si>
  <si>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</si>
  <si>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</si>
  <si>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</si>
  <si>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</si>
  <si>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</si>
  <si>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</si>
  <si>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</si>
  <si>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</si>
  <si>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</si>
  <si>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</si>
  <si>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</si>
  <si>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</si>
  <si>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</si>
  <si>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</si>
  <si>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</si>
  <si>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</si>
  <si>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</si>
  <si>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</si>
  <si>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</si>
  <si>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</si>
  <si>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</si>
  <si>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</si>
  <si>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</si>
  <si>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</si>
  <si>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</si>
  <si>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</si>
  <si>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</si>
  <si>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</si>
  <si>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</si>
  <si>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</si>
  <si>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</si>
  <si>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</si>
  <si>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</si>
  <si>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</si>
  <si>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</si>
  <si>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</si>
  <si>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</si>
  <si>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</si>
  <si>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</si>
  <si>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</si>
  <si>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</si>
  <si>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</si>
  <si>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</si>
  <si>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</si>
  <si>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</si>
  <si>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</si>
  <si>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</si>
  <si>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</si>
  <si>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</si>
  <si>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</si>
  <si>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</si>
  <si>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</si>
  <si>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</si>
  <si>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</si>
  <si>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</si>
  <si>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</si>
  <si>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</si>
  <si>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</si>
  <si>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</si>
  <si>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</si>
  <si>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</si>
  <si>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</si>
  <si>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</si>
  <si>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</si>
  <si>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</si>
  <si>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</si>
  <si>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</si>
  <si>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</si>
  <si>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</si>
  <si>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</si>
  <si>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</si>
  <si>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</si>
  <si>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</si>
  <si>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</si>
  <si>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</si>
  <si>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</si>
  <si>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</si>
  <si>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</si>
  <si>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</si>
  <si>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</si>
  <si>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</si>
  <si>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</si>
  <si>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</si>
  <si>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</si>
  <si>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</si>
  <si>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</si>
  <si>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</si>
  <si>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</si>
  <si>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</si>
  <si>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</si>
  <si>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</si>
  <si>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</si>
  <si>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</si>
  <si>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</si>
  <si>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</si>
  <si>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</si>
  <si>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</si>
  <si>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</si>
  <si>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</si>
  <si>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</si>
  <si>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</si>
  <si>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</si>
  <si>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</si>
  <si>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</si>
  <si>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</si>
  <si>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</si>
  <si>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</si>
  <si>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</si>
  <si>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</si>
  <si>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</si>
  <si>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</si>
  <si>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</si>
  <si>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</si>
  <si>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</si>
  <si>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</si>
  <si>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</si>
  <si>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</si>
  <si>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</si>
  <si>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</si>
  <si>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</si>
  <si>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</si>
  <si>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</si>
  <si>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</si>
  <si>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</si>
  <si>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</si>
  <si>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</si>
  <si>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</si>
  <si>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</si>
  <si>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</si>
  <si>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</si>
  <si>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</si>
  <si>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</si>
  <si>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</si>
  <si>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</si>
  <si>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</si>
  <si>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</si>
  <si>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</si>
  <si>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</si>
  <si>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</si>
  <si>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</si>
  <si>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</si>
  <si>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</si>
  <si>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</si>
  <si>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</si>
  <si>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</si>
  <si>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</si>
  <si>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</si>
  <si>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</si>
  <si>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</si>
  <si>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</si>
  <si>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</si>
  <si>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</si>
  <si>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</si>
  <si>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</si>
  <si>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</si>
  <si>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</si>
  <si>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</si>
  <si>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</si>
  <si>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</si>
  <si>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</si>
  <si>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</si>
  <si>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</si>
  <si>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</si>
  <si>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</si>
  <si>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</si>
  <si>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</si>
  <si>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</si>
  <si>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</si>
  <si>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</si>
  <si>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</si>
  <si>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</si>
  <si>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</si>
  <si>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</si>
  <si>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</si>
  <si>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</si>
  <si>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</si>
  <si>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</si>
  <si>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</si>
  <si>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</si>
  <si>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</si>
  <si>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</si>
  <si>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</si>
  <si>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</si>
  <si>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</si>
  <si>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</si>
  <si>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</si>
  <si>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</si>
  <si>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</si>
  <si>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</si>
  <si>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</si>
  <si>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</si>
  <si>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</si>
  <si>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</si>
  <si>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</si>
  <si>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</si>
  <si>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</si>
  <si>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</si>
  <si>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</si>
  <si>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</si>
  <si>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</si>
  <si>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</si>
  <si>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</si>
  <si>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</si>
  <si>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</si>
  <si>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</si>
  <si>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</si>
  <si>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</si>
  <si>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</si>
  <si>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</si>
  <si>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</si>
  <si>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</si>
  <si>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</si>
  <si>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</si>
  <si>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</si>
  <si>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</si>
  <si>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</si>
  <si>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</si>
  <si>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</si>
  <si>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</si>
  <si>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</si>
  <si>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</si>
  <si>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</si>
  <si>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</si>
  <si>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</si>
  <si>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</si>
  <si>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</si>
  <si>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</si>
  <si>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</si>
  <si>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</si>
  <si>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</si>
  <si>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</si>
  <si>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</si>
  <si>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</si>
  <si>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</si>
  <si>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</si>
  <si>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</si>
  <si>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</si>
  <si>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</si>
  <si>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</si>
  <si>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</si>
  <si>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</si>
  <si>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</si>
  <si>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</si>
  <si>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</si>
  <si>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</si>
  <si>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</si>
  <si>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</si>
  <si>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</si>
  <si>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</si>
  <si>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</si>
  <si>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</si>
  <si>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</si>
  <si>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</si>
  <si>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</si>
  <si>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</si>
  <si>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</si>
  <si>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</si>
  <si>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</si>
  <si>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</si>
  <si>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</si>
  <si>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</si>
  <si>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</si>
  <si>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</si>
  <si>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</si>
  <si>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</si>
  <si>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</si>
  <si>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</si>
  <si>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</si>
  <si>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</si>
  <si>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</si>
  <si>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</si>
  <si>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</si>
  <si>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</si>
  <si>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</si>
  <si>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</si>
  <si>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</si>
  <si>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</si>
  <si>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</si>
  <si>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</si>
  <si>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</si>
  <si>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</si>
  <si>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</si>
  <si>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</si>
  <si>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</si>
  <si>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</si>
  <si>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</si>
  <si>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</si>
  <si>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</si>
  <si>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</si>
  <si>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</si>
  <si>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</si>
  <si>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</si>
  <si>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</si>
  <si>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</si>
  <si>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</si>
  <si>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</si>
  <si>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</si>
  <si>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</si>
  <si>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</si>
  <si>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</si>
  <si>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</si>
  <si>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</si>
  <si>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</si>
  <si>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</si>
  <si>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</si>
  <si>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</si>
  <si>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</si>
  <si>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</si>
  <si>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</si>
  <si>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</si>
  <si>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</si>
  <si>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</si>
  <si>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</si>
  <si>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</si>
  <si>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</si>
  <si>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</si>
  <si>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</si>
  <si>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</si>
  <si>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</si>
  <si>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</si>
  <si>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</si>
  <si>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</si>
  <si>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</si>
  <si>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</si>
  <si>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</si>
  <si>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</si>
  <si>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</si>
  <si>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</si>
  <si>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</si>
  <si>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</si>
  <si>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</si>
  <si>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</si>
  <si>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</si>
  <si>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</si>
  <si>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</si>
  <si>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</si>
  <si>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</si>
  <si>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</si>
  <si>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</si>
  <si>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</si>
  <si>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</si>
  <si>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</si>
  <si>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</si>
  <si>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</si>
  <si>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</si>
  <si>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</si>
  <si>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</si>
  <si>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</si>
  <si>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</si>
  <si>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</si>
  <si>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Small</t>
  </si>
  <si>
    <t>Large</t>
  </si>
  <si>
    <t>Normal</t>
  </si>
  <si>
    <t>Amount of solars</t>
  </si>
  <si>
    <t>mk1</t>
  </si>
  <si>
    <t>mk2</t>
  </si>
  <si>
    <t>mk3</t>
  </si>
  <si>
    <t>mk4</t>
  </si>
  <si>
    <t>mk5</t>
  </si>
  <si>
    <t>Solar</t>
  </si>
  <si>
    <t>x</t>
  </si>
  <si>
    <t>Modifier</t>
  </si>
  <si>
    <t>(+0,15)</t>
  </si>
  <si>
    <t>Name</t>
  </si>
  <si>
    <t xml:space="preserve"> </t>
  </si>
  <si>
    <t>Evo Low</t>
  </si>
  <si>
    <t>Evo High</t>
  </si>
  <si>
    <t xml:space="preserve">  </t>
  </si>
  <si>
    <t>10 Teen King Biter</t>
  </si>
  <si>
    <t>11 Teen Queen Biter</t>
  </si>
  <si>
    <t>01 Small Biter</t>
  </si>
  <si>
    <t>02 Medium Biter</t>
  </si>
  <si>
    <t>05 Young Elder Biter</t>
  </si>
  <si>
    <t>04 Young Berserker Biter</t>
  </si>
  <si>
    <t>03 Large Biter</t>
  </si>
  <si>
    <t>06 Young King Biter</t>
  </si>
  <si>
    <t>08 Teen Berserker Biter</t>
  </si>
  <si>
    <t>09 Teen Elder Biter</t>
  </si>
  <si>
    <t>07 Young Queen Biter</t>
  </si>
  <si>
    <t>12 Adult Berserker Biter</t>
  </si>
  <si>
    <t>13 Adult Elder Biter</t>
  </si>
  <si>
    <t>14 Adult King Biter</t>
  </si>
  <si>
    <t>15 Adult Queen Biter</t>
  </si>
  <si>
    <t>evo =</t>
  </si>
  <si>
    <t>amount of enemies</t>
  </si>
  <si>
    <t>diveded:</t>
  </si>
  <si>
    <t>divided by 100</t>
  </si>
  <si>
    <t>Amount of accumulators</t>
  </si>
  <si>
    <t>Amount of Accumulators</t>
  </si>
  <si>
    <t>Accumulator</t>
  </si>
  <si>
    <t>mk6</t>
  </si>
  <si>
    <t>(MJ)</t>
  </si>
  <si>
    <t>Buffer</t>
  </si>
  <si>
    <t>Input</t>
  </si>
  <si>
    <t>Output</t>
  </si>
  <si>
    <t>Difficulty 1 Factor</t>
  </si>
  <si>
    <t>Difficulty 6 Factor</t>
  </si>
  <si>
    <t>Difficulty 5 Factor</t>
  </si>
  <si>
    <t>Difficulty 4 Factor</t>
  </si>
  <si>
    <t>Difficulty 3 Factor</t>
  </si>
  <si>
    <t>Difficulty 2 Factor</t>
  </si>
  <si>
    <t>Base Edit Factor</t>
  </si>
  <si>
    <t>Biter</t>
  </si>
  <si>
    <t>Spitter</t>
  </si>
  <si>
    <t>Berserker</t>
  </si>
  <si>
    <t>Elder</t>
  </si>
  <si>
    <t>Emerald King</t>
  </si>
  <si>
    <t>Queen</t>
  </si>
  <si>
    <t>Spawner:</t>
  </si>
  <si>
    <t>Orginal Health</t>
  </si>
  <si>
    <t>Difficulty 1</t>
  </si>
  <si>
    <t>Difficulty 2</t>
  </si>
  <si>
    <t>Difficulty 3</t>
  </si>
  <si>
    <t>Difficulty 4</t>
  </si>
  <si>
    <t>Difficulty 5</t>
  </si>
  <si>
    <t>Difficulty 6</t>
  </si>
  <si>
    <t>Without Base Edit</t>
  </si>
  <si>
    <t>With Base Edit</t>
  </si>
  <si>
    <t>Health of Spawners DyTech-War v2.0 and above</t>
  </si>
  <si>
    <t>Dyzilla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</si>
</sst>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9"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b/>
      <sz val="18"/>
      <name val="Arial"/>
      <family val="2"/>
    </font>
    <font>
      <sz val="10"/>
      <color theme="1"/>
      <name val="Arial"/>
    </font>
    <font>
      <sz val="18"/>
      <color theme="3"/>
      <name val="Calibri Light"/>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theme="0"/>
      <name val="Calibri"/>
      <family val="2"/>
      <scheme val="minor"/>
    </font>
  </fonts>
  <fills count="57">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CC99"/>
      </patternFill>
    </fill>
    <fill>
      <patternFill patternType="solid">
        <fgColor rgb="FFA5A5A5"/>
      </patternFill>
    </fill>
  </fills>
  <borders count="28">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theme="4"/>
      </bottom>
      <diagonal/>
    </border>
    <border>
      <left/>
      <right style="thick">
        <color auto="1"/>
      </right>
      <top/>
      <bottom style="thick">
        <color theme="4"/>
      </bottom>
      <diagonal/>
    </border>
    <border>
      <left style="double">
        <color rgb="FF3F3F3F"/>
      </left>
      <right style="thick">
        <color auto="1"/>
      </right>
      <top style="double">
        <color rgb="FF3F3F3F"/>
      </top>
      <bottom style="double">
        <color rgb="FF3F3F3F"/>
      </bottom>
      <diagonal/>
    </border>
    <border>
      <left style="double">
        <color rgb="FF3F3F3F"/>
      </left>
      <right style="double">
        <color rgb="FF3F3F3F"/>
      </right>
      <top style="double">
        <color rgb="FF3F3F3F"/>
      </top>
      <bottom style="thick">
        <color auto="1"/>
      </bottom>
      <diagonal/>
    </border>
    <border>
      <left style="double">
        <color rgb="FF3F3F3F"/>
      </left>
      <right style="thick">
        <color auto="1"/>
      </right>
      <top style="double">
        <color rgb="FF3F3F3F"/>
      </top>
      <bottom style="thick">
        <color auto="1"/>
      </bottom>
      <diagonal/>
    </border>
    <border>
      <left style="thick">
        <color auto="1"/>
      </left>
      <right style="double">
        <color rgb="FF3F3F3F"/>
      </right>
      <top/>
      <bottom style="thick">
        <color auto="1"/>
      </bottom>
      <diagonal/>
    </border>
  </borders>
  <cellStyleXfs count="9">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xf numFmtId="0" fontId="24" fillId="0" borderId="0" applyNumberFormat="0" applyFill="0" applyBorder="0" applyAlignment="0" applyProtection="0"/>
    <xf numFmtId="0" fontId="25" fillId="0" borderId="15" applyNumberFormat="0" applyFill="0" applyAlignment="0" applyProtection="0"/>
    <xf numFmtId="0" fontId="26" fillId="0" borderId="0" applyNumberFormat="0" applyFill="0" applyBorder="0" applyAlignment="0" applyProtection="0"/>
    <xf numFmtId="0" fontId="27" fillId="55" borderId="2" applyNumberFormat="0" applyAlignment="0" applyProtection="0"/>
  </cellStyleXfs>
  <cellXfs count="316">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1" xfId="0" applyFill="1" applyBorder="1"/>
    <xf numFmtId="0" fontId="0" fillId="0" borderId="0" xfId="0"/>
    <xf numFmtId="0" fontId="0" fillId="0" borderId="0" xfId="0"/>
    <xf numFmtId="4" fontId="15" fillId="0" borderId="0" xfId="0" applyNumberFormat="1" applyFont="1" applyFill="1"/>
    <xf numFmtId="0" fontId="15" fillId="0" borderId="1" xfId="0" applyFont="1" applyFill="1" applyBorder="1" applyAlignment="1"/>
    <xf numFmtId="0" fontId="22" fillId="0" borderId="1" xfId="0" applyFont="1" applyFill="1" applyBorder="1" applyAlignment="1"/>
    <xf numFmtId="0" fontId="16" fillId="0" borderId="1" xfId="0" applyFont="1" applyFill="1" applyBorder="1" applyAlignment="1"/>
    <xf numFmtId="0" fontId="15" fillId="0" borderId="1" xfId="0" applyFont="1" applyFill="1" applyBorder="1"/>
    <xf numFmtId="0" fontId="16" fillId="0" borderId="1" xfId="0" applyFont="1" applyFill="1" applyBorder="1"/>
    <xf numFmtId="0" fontId="0" fillId="0" borderId="0" xfId="0"/>
    <xf numFmtId="0" fontId="23" fillId="53" borderId="13" xfId="2" applyNumberFormat="1" applyFont="1" applyFill="1" applyBorder="1"/>
    <xf numFmtId="0" fontId="23" fillId="53" borderId="14" xfId="2" applyNumberFormat="1" applyFont="1" applyFill="1" applyBorder="1"/>
    <xf numFmtId="0" fontId="23" fillId="54" borderId="13" xfId="2" applyNumberFormat="1" applyFont="1" applyFill="1" applyBorder="1"/>
    <xf numFmtId="0" fontId="23" fillId="54" borderId="14" xfId="2" applyNumberFormat="1" applyFont="1" applyFill="1" applyBorder="1"/>
    <xf numFmtId="0" fontId="0" fillId="0" borderId="13" xfId="2" applyNumberFormat="1" applyFont="1" applyBorder="1"/>
    <xf numFmtId="0" fontId="0" fillId="0" borderId="14" xfId="2" applyNumberFormat="1" applyFont="1" applyBorder="1"/>
    <xf numFmtId="0" fontId="23" fillId="53" borderId="0" xfId="2" applyNumberFormat="1" applyFont="1" applyFill="1" applyBorder="1"/>
    <xf numFmtId="0" fontId="0" fillId="0" borderId="0" xfId="2" applyNumberFormat="1" applyFont="1"/>
    <xf numFmtId="0" fontId="0" fillId="0" borderId="0" xfId="2" applyNumberFormat="1" applyFont="1" applyBorder="1"/>
    <xf numFmtId="0" fontId="23" fillId="54" borderId="0" xfId="2" applyNumberFormat="1" applyFont="1" applyFill="1" applyBorder="1"/>
    <xf numFmtId="166" fontId="23" fillId="53" borderId="13" xfId="2" applyNumberFormat="1" applyFont="1" applyFill="1" applyBorder="1"/>
    <xf numFmtId="166" fontId="23" fillId="53" borderId="14" xfId="2" applyNumberFormat="1" applyFont="1" applyFill="1" applyBorder="1"/>
    <xf numFmtId="166" fontId="23" fillId="54" borderId="13" xfId="2" applyNumberFormat="1" applyFont="1" applyFill="1" applyBorder="1"/>
    <xf numFmtId="166" fontId="23" fillId="54" borderId="14" xfId="2" applyNumberFormat="1" applyFont="1" applyFill="1" applyBorder="1"/>
    <xf numFmtId="0" fontId="0" fillId="0" borderId="0" xfId="0"/>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25" fillId="49" borderId="15" xfId="6" applyFill="1" applyAlignment="1">
      <alignment horizontal="center"/>
    </xf>
    <xf numFmtId="0" fontId="27" fillId="55" borderId="2" xfId="8"/>
    <xf numFmtId="0" fontId="24" fillId="52" borderId="17" xfId="5" applyFill="1" applyBorder="1" applyAlignment="1">
      <alignment horizontal="center"/>
    </xf>
    <xf numFmtId="0" fontId="24" fillId="52" borderId="18" xfId="5" applyFill="1" applyBorder="1" applyAlignment="1">
      <alignment horizontal="center"/>
    </xf>
    <xf numFmtId="0" fontId="24" fillId="52" borderId="19" xfId="5" applyFill="1" applyBorder="1" applyAlignment="1">
      <alignment horizontal="center"/>
    </xf>
    <xf numFmtId="0" fontId="24" fillId="52" borderId="20" xfId="5" applyFill="1" applyBorder="1" applyAlignment="1">
      <alignment horizontal="center"/>
    </xf>
    <xf numFmtId="0" fontId="24" fillId="52" borderId="1" xfId="5" applyFill="1" applyBorder="1" applyAlignment="1">
      <alignment horizontal="center"/>
    </xf>
    <xf numFmtId="0" fontId="24" fillId="52" borderId="21" xfId="5" applyFill="1" applyBorder="1" applyAlignment="1">
      <alignment horizontal="center"/>
    </xf>
    <xf numFmtId="0" fontId="25" fillId="52" borderId="22" xfId="6" applyFill="1" applyBorder="1" applyAlignment="1">
      <alignment horizontal="center"/>
    </xf>
    <xf numFmtId="0" fontId="25" fillId="52" borderId="15" xfId="6" applyFill="1" applyBorder="1" applyAlignment="1">
      <alignment horizontal="center"/>
    </xf>
    <xf numFmtId="0" fontId="25" fillId="52" borderId="23" xfId="6" applyFill="1" applyBorder="1" applyAlignment="1">
      <alignment horizontal="center"/>
    </xf>
    <xf numFmtId="0" fontId="26" fillId="52" borderId="20" xfId="7" applyFill="1" applyBorder="1" applyAlignment="1">
      <alignment horizontal="center"/>
    </xf>
    <xf numFmtId="0" fontId="26" fillId="52" borderId="1" xfId="7" applyFill="1" applyBorder="1" applyAlignment="1">
      <alignment horizontal="center"/>
    </xf>
    <xf numFmtId="0" fontId="26" fillId="52" borderId="21" xfId="7" applyFill="1" applyBorder="1" applyAlignment="1">
      <alignment horizontal="center"/>
    </xf>
    <xf numFmtId="43" fontId="27" fillId="55" borderId="2" xfId="1" applyFont="1" applyFill="1" applyBorder="1"/>
    <xf numFmtId="168" fontId="26" fillId="52" borderId="20" xfId="7" applyNumberFormat="1" applyFill="1" applyBorder="1" applyAlignment="1">
      <alignment horizontal="center"/>
    </xf>
    <xf numFmtId="168" fontId="28" fillId="56" borderId="16" xfId="1" applyNumberFormat="1" applyFont="1" applyFill="1" applyBorder="1" applyAlignment="1">
      <alignment horizontal="center"/>
    </xf>
    <xf numFmtId="168" fontId="28" fillId="56" borderId="24" xfId="1" applyNumberFormat="1" applyFont="1" applyFill="1" applyBorder="1" applyAlignment="1">
      <alignment horizontal="center"/>
    </xf>
    <xf numFmtId="168" fontId="0" fillId="52" borderId="20" xfId="0" applyNumberFormat="1" applyFill="1" applyBorder="1" applyAlignment="1">
      <alignment horizontal="center"/>
    </xf>
    <xf numFmtId="168" fontId="0" fillId="52" borderId="1" xfId="0" applyNumberFormat="1" applyFill="1" applyBorder="1" applyAlignment="1">
      <alignment horizontal="center"/>
    </xf>
    <xf numFmtId="168" fontId="0" fillId="52" borderId="21" xfId="0" applyNumberFormat="1" applyFill="1" applyBorder="1" applyAlignment="1">
      <alignment horizontal="center"/>
    </xf>
    <xf numFmtId="168" fontId="25" fillId="52" borderId="22" xfId="6" applyNumberFormat="1" applyFill="1" applyBorder="1" applyAlignment="1">
      <alignment horizontal="center"/>
    </xf>
    <xf numFmtId="168" fontId="25" fillId="52" borderId="15" xfId="6" applyNumberFormat="1" applyFill="1" applyBorder="1" applyAlignment="1">
      <alignment horizontal="center"/>
    </xf>
    <xf numFmtId="168" fontId="25" fillId="52" borderId="23" xfId="6" applyNumberFormat="1" applyFill="1" applyBorder="1" applyAlignment="1">
      <alignment horizontal="center"/>
    </xf>
    <xf numFmtId="168" fontId="26" fillId="52" borderId="1" xfId="7" applyNumberFormat="1" applyFill="1" applyBorder="1" applyAlignment="1">
      <alignment horizontal="center"/>
    </xf>
    <xf numFmtId="168" fontId="26" fillId="52" borderId="21" xfId="7" applyNumberFormat="1" applyFill="1" applyBorder="1" applyAlignment="1">
      <alignment horizontal="center"/>
    </xf>
    <xf numFmtId="168" fontId="28" fillId="56" borderId="25" xfId="1" applyNumberFormat="1" applyFont="1" applyFill="1" applyBorder="1" applyAlignment="1">
      <alignment horizontal="center"/>
    </xf>
    <xf numFmtId="168" fontId="28" fillId="56" borderId="26" xfId="1" applyNumberFormat="1" applyFont="1" applyFill="1" applyBorder="1" applyAlignment="1">
      <alignment horizontal="center"/>
    </xf>
    <xf numFmtId="168" fontId="26" fillId="52" borderId="27" xfId="7" applyNumberFormat="1" applyFill="1" applyBorder="1" applyAlignment="1">
      <alignment horizontal="center"/>
    </xf>
  </cellXfs>
  <cellStyles count="9">
    <cellStyle name="Accent1" xfId="3" builtinId="29"/>
    <cellStyle name="Accent3" xfId="4" builtinId="37"/>
    <cellStyle name="Invoer" xfId="8" builtinId="20"/>
    <cellStyle name="Komma" xfId="1" builtinId="3"/>
    <cellStyle name="Kop 1" xfId="6" builtinId="16"/>
    <cellStyle name="Kop 4" xfId="7" builtinId="19"/>
    <cellStyle name="Procent" xfId="2" builtinId="5"/>
    <cellStyle name="Standaard" xfId="0" builtinId="0"/>
    <cellStyle name="Titel" xfId="5" builtinId="15"/>
  </cellStyles>
  <dxfs count="5">
    <dxf>
      <numFmt numFmtId="0" formatCode="General"/>
    </dxf>
    <dxf>
      <numFmt numFmtId="0" formatCode="General"/>
    </dxf>
    <dxf>
      <numFmt numFmtId="166" formatCode="0.000"/>
    </dxf>
    <dxf>
      <numFmt numFmtId="166" formatCode="0.000"/>
      <border outline="0">
        <right style="thin">
          <color theme="0"/>
        </right>
      </border>
    </dxf>
    <dxf>
      <border outline="0">
        <right style="thin">
          <color theme="0"/>
        </right>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6213139266607"/>
          <c:y val="1.7222818290452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tockChart>
        <c:ser>
          <c:idx val="0"/>
          <c:order val="0"/>
          <c:tx>
            <c:strRef>
              <c:f>'Enemies Spawn Chance'!$P$2</c:f>
              <c:strCache>
                <c:ptCount val="1"/>
                <c:pt idx="0">
                  <c:v>Evo Low</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Chance'!$P$3:$P$17</c:f>
              <c:numCache>
                <c:formatCode>0.000</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1"/>
          <c:order val="1"/>
          <c:tx>
            <c:strRef>
              <c:f>'Enemies Spawn Chance'!$Q$2</c:f>
              <c:strCache>
                <c:ptCount val="1"/>
                <c:pt idx="0">
                  <c:v>Evo High</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Chance'!$Q$3:$Q$17</c:f>
              <c:numCache>
                <c:formatCode>0.000</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ser>
          <c:idx val="2"/>
          <c:order val="2"/>
          <c:tx>
            <c:strRef>
              <c:f>'Enemies Spawn Chance'!$R$2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Chance'!$R$3:$R$17</c:f>
              <c:numCache>
                <c:formatCode>General</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3"/>
          <c:order val="3"/>
          <c:tx>
            <c:strRef>
              <c:f>'Enemies Spawn Chance'!$S$2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Chance'!$S$3:$S$17</c:f>
              <c:numCache>
                <c:formatCode>General</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493821816"/>
        <c:axId val="493815544"/>
      </c:stockChart>
      <c:catAx>
        <c:axId val="49382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3815544"/>
        <c:crosses val="autoZero"/>
        <c:auto val="1"/>
        <c:lblAlgn val="ctr"/>
        <c:lblOffset val="100"/>
        <c:noMultiLvlLbl val="0"/>
      </c:catAx>
      <c:valAx>
        <c:axId val="4938155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9382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566737</xdr:colOff>
      <xdr:row>3</xdr:row>
      <xdr:rowOff>90486</xdr:rowOff>
    </xdr:from>
    <xdr:to>
      <xdr:col>11</xdr:col>
      <xdr:colOff>581025</xdr:colOff>
      <xdr:row>30</xdr:row>
      <xdr:rowOff>142874</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Tabel1" displayName="Tabel1" ref="O2:S17" totalsRowShown="0">
  <autoFilter ref="O2:S17"/>
  <sortState ref="O3:S17">
    <sortCondition ref="O2:O17"/>
  </sortState>
  <tableColumns count="5">
    <tableColumn id="1" name="Name" dataDxfId="4"/>
    <tableColumn id="2" name="Evo Low" dataDxfId="3"/>
    <tableColumn id="4" name="Evo High" dataDxfId="2"/>
    <tableColumn id="6" name=" " dataDxfId="1"/>
    <tableColumn id="7" name="  " dataDxfId="0"/>
  </tableColumns>
  <tableStyleInfo name="TableStyleMedium9"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4140625" defaultRowHeight="15.75" customHeight="1" x14ac:dyDescent="0.25"/>
  <cols>
    <col min="1" max="1" width="3.109375" customWidth="1"/>
    <col min="2" max="2" width="31" customWidth="1"/>
    <col min="3" max="3" width="9.6640625" customWidth="1"/>
    <col min="4" max="4" width="4.44140625" customWidth="1"/>
    <col min="5" max="6" width="14.33203125" customWidth="1"/>
    <col min="7" max="7" width="13.33203125" customWidth="1"/>
    <col min="8" max="8" width="13" customWidth="1"/>
    <col min="9" max="11" width="13.33203125" customWidth="1"/>
    <col min="12" max="12" width="3.109375" customWidth="1"/>
    <col min="13" max="13" width="4.33203125" customWidth="1"/>
    <col min="14" max="15" width="14.33203125" customWidth="1"/>
    <col min="16" max="16" width="9.33203125" customWidth="1"/>
    <col min="17" max="17" width="3.109375" customWidth="1"/>
    <col min="18" max="18" width="4.33203125" customWidth="1"/>
    <col min="21" max="21" width="3.109375" customWidth="1"/>
    <col min="22" max="22" width="4.33203125" customWidth="1"/>
  </cols>
  <sheetData>
    <row r="1" spans="1:24" ht="15.75" customHeight="1" x14ac:dyDescent="0.3">
      <c r="A1" s="251"/>
      <c r="B1" s="248" t="s">
        <v>2</v>
      </c>
      <c r="C1" s="240"/>
      <c r="D1" s="248" t="s">
        <v>6</v>
      </c>
      <c r="E1" s="240"/>
      <c r="F1" s="240"/>
      <c r="G1" s="240"/>
      <c r="H1" s="7"/>
      <c r="I1" s="7"/>
      <c r="J1" s="7"/>
      <c r="K1" s="7"/>
      <c r="L1" s="1"/>
      <c r="M1" s="248" t="s">
        <v>7</v>
      </c>
      <c r="N1" s="240"/>
      <c r="O1" s="240"/>
      <c r="P1" s="240"/>
      <c r="Q1" s="251"/>
      <c r="U1" s="9"/>
      <c r="V1" s="246"/>
      <c r="W1" s="240"/>
      <c r="X1" s="240"/>
    </row>
    <row r="2" spans="1:24" ht="17.399999999999999" x14ac:dyDescent="0.3">
      <c r="A2" s="240"/>
      <c r="B2" s="242" t="s">
        <v>8</v>
      </c>
      <c r="C2" s="240"/>
      <c r="D2" s="247" t="s">
        <v>10</v>
      </c>
      <c r="E2" s="240"/>
      <c r="F2" s="240"/>
      <c r="G2" s="240"/>
      <c r="H2" s="12"/>
      <c r="I2" s="12"/>
      <c r="J2" s="12"/>
      <c r="K2" s="12"/>
      <c r="L2" s="249"/>
      <c r="M2" s="247" t="s">
        <v>11</v>
      </c>
      <c r="N2" s="240"/>
      <c r="O2" s="240"/>
      <c r="P2" s="240"/>
      <c r="Q2" s="240"/>
      <c r="R2" s="13"/>
      <c r="S2" s="13"/>
      <c r="T2" s="13"/>
      <c r="U2" s="17"/>
      <c r="V2" s="239"/>
      <c r="W2" s="240"/>
      <c r="X2" s="240"/>
    </row>
    <row r="3" spans="1:24" ht="17.399999999999999" x14ac:dyDescent="0.3">
      <c r="A3" s="240"/>
      <c r="B3" s="18" t="s">
        <v>23</v>
      </c>
      <c r="C3" s="21"/>
      <c r="D3" s="24" t="s">
        <v>33</v>
      </c>
      <c r="E3" s="24" t="s">
        <v>50</v>
      </c>
      <c r="F3" s="24" t="s">
        <v>51</v>
      </c>
      <c r="G3" s="26" t="s">
        <v>52</v>
      </c>
      <c r="H3" s="26" t="s">
        <v>81</v>
      </c>
      <c r="I3" s="26"/>
      <c r="J3" s="26"/>
      <c r="K3" s="26"/>
      <c r="L3" s="240"/>
      <c r="M3" s="24" t="s">
        <v>82</v>
      </c>
      <c r="N3" s="24" t="s">
        <v>83</v>
      </c>
      <c r="O3" s="24" t="s">
        <v>84</v>
      </c>
      <c r="P3" s="24"/>
      <c r="Q3" s="240"/>
      <c r="R3" s="13"/>
      <c r="S3" s="13"/>
      <c r="T3" s="13"/>
      <c r="U3" s="27"/>
      <c r="V3" s="27"/>
      <c r="W3" s="27"/>
      <c r="X3" s="27"/>
    </row>
    <row r="4" spans="1:24" ht="13.8" x14ac:dyDescent="0.25">
      <c r="A4" s="240"/>
      <c r="B4" s="18" t="s">
        <v>101</v>
      </c>
      <c r="C4" s="21"/>
      <c r="D4" s="29">
        <v>1</v>
      </c>
      <c r="E4" s="30">
        <v>0.2</v>
      </c>
      <c r="F4" s="32">
        <f t="shared" ref="F4:F11" si="0">E4*C$5</f>
        <v>0.30000000000000004</v>
      </c>
      <c r="G4" s="33"/>
      <c r="H4" s="36">
        <v>1</v>
      </c>
      <c r="I4" s="36"/>
      <c r="J4" s="36"/>
      <c r="K4" s="36"/>
      <c r="L4" s="240"/>
      <c r="M4" s="29">
        <v>1</v>
      </c>
      <c r="N4" s="38">
        <v>0.2</v>
      </c>
      <c r="O4" s="42">
        <v>0.1</v>
      </c>
      <c r="P4" s="42"/>
      <c r="Q4" s="240"/>
      <c r="R4" s="43"/>
      <c r="S4" s="39"/>
      <c r="U4" s="43"/>
      <c r="V4" s="43"/>
      <c r="W4" s="10"/>
      <c r="X4" s="10"/>
    </row>
    <row r="5" spans="1:24" ht="13.8" x14ac:dyDescent="0.25">
      <c r="A5" s="240"/>
      <c r="B5" s="18" t="s">
        <v>108</v>
      </c>
      <c r="C5" s="45">
        <v>1.5</v>
      </c>
      <c r="D5" s="29">
        <v>2</v>
      </c>
      <c r="E5" s="30">
        <f t="shared" ref="E5:E11" si="1">E4+0.1+G5</f>
        <v>0.30000000000000004</v>
      </c>
      <c r="F5" s="32">
        <f t="shared" si="0"/>
        <v>0.45000000000000007</v>
      </c>
      <c r="G5" s="33"/>
      <c r="H5" s="36">
        <f t="shared" ref="H5:H11" si="2">E5/E$4</f>
        <v>1.5000000000000002</v>
      </c>
      <c r="I5" s="36"/>
      <c r="J5" s="36"/>
      <c r="K5" s="36"/>
      <c r="L5" s="240"/>
      <c r="M5" s="29">
        <v>2</v>
      </c>
      <c r="N5" s="38">
        <v>0.4</v>
      </c>
      <c r="O5" s="42">
        <v>0.2</v>
      </c>
      <c r="P5" s="42"/>
      <c r="Q5" s="240"/>
      <c r="R5" s="43"/>
      <c r="S5" s="39"/>
      <c r="T5" s="10"/>
      <c r="U5" s="43"/>
      <c r="V5" s="43"/>
      <c r="W5" s="10"/>
      <c r="X5" s="10"/>
    </row>
    <row r="6" spans="1:24" ht="13.8" x14ac:dyDescent="0.25">
      <c r="A6" s="240"/>
      <c r="B6" s="14"/>
      <c r="C6" s="45"/>
      <c r="D6" s="29">
        <v>3</v>
      </c>
      <c r="E6" s="30">
        <f t="shared" si="1"/>
        <v>0.5</v>
      </c>
      <c r="F6" s="32">
        <f t="shared" si="0"/>
        <v>0.75</v>
      </c>
      <c r="G6" s="33">
        <v>0.1</v>
      </c>
      <c r="H6" s="36">
        <f t="shared" si="2"/>
        <v>2.5</v>
      </c>
      <c r="I6" s="36"/>
      <c r="J6" s="36"/>
      <c r="K6" s="36"/>
      <c r="L6" s="240"/>
      <c r="M6" s="29">
        <v>3</v>
      </c>
      <c r="N6" s="38">
        <v>0.6</v>
      </c>
      <c r="O6" s="42">
        <v>0.3</v>
      </c>
      <c r="P6" s="42"/>
      <c r="Q6" s="240"/>
      <c r="R6" s="43"/>
      <c r="S6" s="39"/>
      <c r="U6" s="43"/>
      <c r="V6" s="43"/>
      <c r="W6" s="10"/>
      <c r="X6" s="10"/>
    </row>
    <row r="7" spans="1:24" ht="13.8" x14ac:dyDescent="0.25">
      <c r="A7" s="240"/>
      <c r="B7" s="14"/>
      <c r="C7" s="45"/>
      <c r="D7" s="29">
        <v>4</v>
      </c>
      <c r="E7" s="30">
        <f t="shared" si="1"/>
        <v>0.6</v>
      </c>
      <c r="F7" s="32">
        <f t="shared" si="0"/>
        <v>0.89999999999999991</v>
      </c>
      <c r="G7" s="52"/>
      <c r="H7" s="36">
        <f t="shared" si="2"/>
        <v>2.9999999999999996</v>
      </c>
      <c r="I7" s="36"/>
      <c r="J7" s="36"/>
      <c r="K7" s="36"/>
      <c r="L7" s="240"/>
      <c r="M7" s="29">
        <v>4</v>
      </c>
      <c r="N7" s="38">
        <v>0.8</v>
      </c>
      <c r="O7" s="42">
        <v>0.4</v>
      </c>
      <c r="P7" s="42"/>
      <c r="Q7" s="240"/>
      <c r="R7" s="43"/>
      <c r="S7" s="39"/>
      <c r="U7" s="43"/>
      <c r="V7" s="43"/>
    </row>
    <row r="8" spans="1:24" ht="13.8" x14ac:dyDescent="0.25">
      <c r="A8" s="240"/>
      <c r="B8" s="14"/>
      <c r="C8" s="45"/>
      <c r="D8" s="29">
        <v>5</v>
      </c>
      <c r="E8" s="30">
        <f t="shared" si="1"/>
        <v>0.79999999999999993</v>
      </c>
      <c r="F8" s="32">
        <f t="shared" si="0"/>
        <v>1.2</v>
      </c>
      <c r="G8" s="33">
        <v>0.1</v>
      </c>
      <c r="H8" s="36">
        <f t="shared" si="2"/>
        <v>3.9999999999999996</v>
      </c>
      <c r="I8" s="36"/>
      <c r="J8" s="36"/>
      <c r="K8" s="36"/>
      <c r="L8" s="240"/>
      <c r="M8" s="29">
        <v>5</v>
      </c>
      <c r="N8" s="38">
        <v>1</v>
      </c>
      <c r="O8" s="42">
        <v>0.5</v>
      </c>
      <c r="P8" s="42"/>
      <c r="Q8" s="240"/>
      <c r="R8" s="43"/>
      <c r="S8" s="39"/>
      <c r="U8" s="43"/>
      <c r="V8" s="43"/>
    </row>
    <row r="9" spans="1:24" ht="13.8" x14ac:dyDescent="0.25">
      <c r="A9" s="240"/>
      <c r="B9" s="14"/>
      <c r="C9" s="45"/>
      <c r="D9" s="29">
        <v>6</v>
      </c>
      <c r="E9" s="30">
        <f t="shared" si="1"/>
        <v>0.89999999999999991</v>
      </c>
      <c r="F9" s="32">
        <f t="shared" si="0"/>
        <v>1.3499999999999999</v>
      </c>
      <c r="G9" s="52"/>
      <c r="H9" s="36">
        <f t="shared" si="2"/>
        <v>4.4999999999999991</v>
      </c>
      <c r="I9" s="36"/>
      <c r="J9" s="36"/>
      <c r="K9" s="36"/>
      <c r="L9" s="240"/>
      <c r="M9" s="29">
        <v>6</v>
      </c>
      <c r="N9" s="38">
        <v>1.2</v>
      </c>
      <c r="O9" s="42">
        <v>0.6</v>
      </c>
      <c r="P9" s="42"/>
      <c r="Q9" s="240"/>
      <c r="R9" s="43"/>
      <c r="S9" s="39"/>
      <c r="U9" s="43"/>
      <c r="V9" s="43"/>
    </row>
    <row r="10" spans="1:24" ht="13.8" x14ac:dyDescent="0.25">
      <c r="A10" s="240"/>
      <c r="B10" s="14"/>
      <c r="C10" s="45"/>
      <c r="D10" s="29">
        <v>7</v>
      </c>
      <c r="E10" s="30">
        <f t="shared" si="1"/>
        <v>1.2</v>
      </c>
      <c r="F10" s="32">
        <f t="shared" si="0"/>
        <v>1.7999999999999998</v>
      </c>
      <c r="G10" s="33">
        <v>0.2</v>
      </c>
      <c r="H10" s="36">
        <f t="shared" si="2"/>
        <v>5.9999999999999991</v>
      </c>
      <c r="I10" s="36"/>
      <c r="J10" s="36"/>
      <c r="K10" s="36"/>
      <c r="L10" s="240"/>
      <c r="M10" s="29">
        <v>7</v>
      </c>
      <c r="N10" s="38">
        <v>1.4</v>
      </c>
      <c r="O10" s="42">
        <v>0.7</v>
      </c>
      <c r="P10" s="42"/>
      <c r="Q10" s="240"/>
      <c r="R10" s="43"/>
      <c r="S10" s="39"/>
      <c r="U10" s="43"/>
      <c r="V10" s="43"/>
    </row>
    <row r="11" spans="1:24" ht="13.8" x14ac:dyDescent="0.25">
      <c r="A11" s="240"/>
      <c r="B11" s="14"/>
      <c r="C11" s="45"/>
      <c r="D11" s="29">
        <v>8</v>
      </c>
      <c r="E11" s="30">
        <f t="shared" si="1"/>
        <v>1.6</v>
      </c>
      <c r="F11" s="32">
        <f t="shared" si="0"/>
        <v>2.4000000000000004</v>
      </c>
      <c r="G11" s="33">
        <v>0.3</v>
      </c>
      <c r="H11" s="36">
        <f t="shared" si="2"/>
        <v>8</v>
      </c>
      <c r="I11" s="36"/>
      <c r="J11" s="36"/>
      <c r="K11" s="36"/>
      <c r="L11" s="240"/>
      <c r="M11" s="29">
        <v>8</v>
      </c>
      <c r="N11" s="38">
        <v>1.6</v>
      </c>
      <c r="O11" s="42">
        <v>0.8</v>
      </c>
      <c r="P11" s="42"/>
      <c r="Q11" s="240"/>
      <c r="R11" s="43"/>
      <c r="S11" s="39"/>
      <c r="U11" s="43"/>
      <c r="V11" s="43"/>
    </row>
    <row r="12" spans="1:24" ht="15.75" customHeight="1" x14ac:dyDescent="0.3">
      <c r="A12" s="240"/>
      <c r="B12" s="243"/>
      <c r="C12" s="240"/>
      <c r="D12" s="244"/>
      <c r="E12" s="240"/>
      <c r="F12" s="240"/>
      <c r="G12" s="240"/>
      <c r="H12" s="56"/>
      <c r="I12" s="56"/>
      <c r="J12" s="56"/>
      <c r="K12" s="56"/>
      <c r="L12" s="240"/>
      <c r="M12" s="244"/>
      <c r="N12" s="240"/>
      <c r="O12" s="240"/>
      <c r="P12" s="240"/>
      <c r="Q12" s="240"/>
      <c r="R12" s="17"/>
      <c r="S12" s="17"/>
      <c r="T12" s="17"/>
      <c r="U12" s="17"/>
      <c r="V12" s="17"/>
      <c r="W12" s="17"/>
      <c r="X12" s="17"/>
    </row>
    <row r="13" spans="1:24" ht="15.6" x14ac:dyDescent="0.3">
      <c r="A13" s="240"/>
      <c r="B13" s="242"/>
      <c r="C13" s="240"/>
      <c r="D13" s="245" t="s">
        <v>129</v>
      </c>
      <c r="E13" s="240"/>
      <c r="F13" s="240"/>
      <c r="G13" s="240"/>
      <c r="H13" s="58"/>
      <c r="I13" s="58"/>
      <c r="J13" s="58"/>
      <c r="K13" s="58"/>
      <c r="L13" s="240"/>
      <c r="M13" s="245" t="s">
        <v>144</v>
      </c>
      <c r="N13" s="240"/>
      <c r="O13" s="240"/>
      <c r="P13" s="240"/>
      <c r="Q13" s="240"/>
      <c r="R13" s="17"/>
      <c r="S13" s="17"/>
      <c r="T13" s="17"/>
      <c r="U13" s="17"/>
      <c r="V13" s="239"/>
      <c r="W13" s="240"/>
      <c r="X13" s="240"/>
    </row>
    <row r="14" spans="1:24" ht="13.8" x14ac:dyDescent="0.25">
      <c r="A14" s="240"/>
      <c r="B14" s="14"/>
      <c r="C14" s="45"/>
      <c r="D14" s="60" t="s">
        <v>145</v>
      </c>
      <c r="E14" s="60" t="s">
        <v>147</v>
      </c>
      <c r="F14" s="60" t="s">
        <v>148</v>
      </c>
      <c r="G14" s="60" t="s">
        <v>149</v>
      </c>
      <c r="H14" s="60" t="s">
        <v>150</v>
      </c>
      <c r="I14" s="60"/>
      <c r="J14" s="60"/>
      <c r="K14" s="60"/>
      <c r="L14" s="240"/>
      <c r="M14" s="60" t="s">
        <v>151</v>
      </c>
      <c r="N14" s="60" t="s">
        <v>152</v>
      </c>
      <c r="O14" s="60"/>
      <c r="P14" s="60"/>
      <c r="Q14" s="240"/>
      <c r="R14" s="27"/>
      <c r="S14" s="27"/>
      <c r="T14" s="27"/>
      <c r="U14" s="27"/>
      <c r="V14" s="27"/>
      <c r="W14" s="27"/>
      <c r="X14" s="27"/>
    </row>
    <row r="15" spans="1:24" ht="13.8" x14ac:dyDescent="0.25">
      <c r="A15" s="240"/>
      <c r="B15" s="14"/>
      <c r="C15" s="45"/>
      <c r="D15" s="62">
        <v>1</v>
      </c>
      <c r="E15" s="64">
        <v>-0.1</v>
      </c>
      <c r="F15" s="65"/>
      <c r="G15" s="66">
        <v>1</v>
      </c>
      <c r="H15" s="68">
        <f t="shared" ref="H15:H22" si="3">E15/F4</f>
        <v>-0.33333333333333331</v>
      </c>
      <c r="I15" s="68"/>
      <c r="J15" s="68"/>
      <c r="K15" s="68"/>
      <c r="L15" s="240"/>
      <c r="M15" s="62">
        <v>1</v>
      </c>
      <c r="N15" s="64">
        <v>-0.25</v>
      </c>
      <c r="O15" s="65"/>
      <c r="P15" s="65"/>
      <c r="Q15" s="240"/>
      <c r="R15" s="43"/>
      <c r="S15" s="39"/>
      <c r="U15" s="43"/>
      <c r="V15" s="43"/>
      <c r="W15" s="10"/>
    </row>
    <row r="16" spans="1:24" ht="13.8" x14ac:dyDescent="0.25">
      <c r="A16" s="240"/>
      <c r="B16" s="14"/>
      <c r="C16" s="45"/>
      <c r="D16" s="62">
        <v>2</v>
      </c>
      <c r="E16" s="64">
        <f t="shared" ref="E16:E22" si="4">E$15+E15+F16</f>
        <v>-0.2</v>
      </c>
      <c r="F16" s="65"/>
      <c r="G16" s="70">
        <f t="shared" ref="G16:G22" si="5">E16/E$15</f>
        <v>2</v>
      </c>
      <c r="H16" s="68">
        <f t="shared" si="3"/>
        <v>-0.44444444444444442</v>
      </c>
      <c r="I16" s="68"/>
      <c r="J16" s="68"/>
      <c r="K16" s="68"/>
      <c r="L16" s="240"/>
      <c r="M16" s="62">
        <v>2</v>
      </c>
      <c r="N16" s="64">
        <v>-0.5</v>
      </c>
      <c r="O16" s="65"/>
      <c r="P16" s="65"/>
      <c r="Q16" s="240"/>
      <c r="R16" s="43"/>
      <c r="S16" s="39"/>
      <c r="U16" s="43"/>
      <c r="V16" s="43"/>
      <c r="W16" s="10"/>
    </row>
    <row r="17" spans="1:24" ht="13.8" x14ac:dyDescent="0.25">
      <c r="A17" s="240"/>
      <c r="B17" s="14"/>
      <c r="C17" s="45"/>
      <c r="D17" s="62">
        <v>3</v>
      </c>
      <c r="E17" s="64">
        <f t="shared" si="4"/>
        <v>-0.35000000000000003</v>
      </c>
      <c r="F17" s="72">
        <v>-0.05</v>
      </c>
      <c r="G17" s="70">
        <f t="shared" si="5"/>
        <v>3.5</v>
      </c>
      <c r="H17" s="68">
        <f t="shared" si="3"/>
        <v>-0.46666666666666673</v>
      </c>
      <c r="I17" s="68"/>
      <c r="J17" s="68"/>
      <c r="K17" s="68"/>
      <c r="L17" s="240"/>
      <c r="M17" s="62">
        <v>3</v>
      </c>
      <c r="N17" s="64">
        <v>-0.75</v>
      </c>
      <c r="O17" s="65"/>
      <c r="P17" s="65"/>
      <c r="Q17" s="240"/>
      <c r="R17" s="43"/>
      <c r="S17" s="39"/>
      <c r="U17" s="43"/>
      <c r="V17" s="43"/>
      <c r="W17" s="10"/>
    </row>
    <row r="18" spans="1:24" ht="13.8" x14ac:dyDescent="0.25">
      <c r="A18" s="240"/>
      <c r="B18" s="14"/>
      <c r="C18" s="45"/>
      <c r="D18" s="62">
        <v>4</v>
      </c>
      <c r="E18" s="64">
        <f t="shared" si="4"/>
        <v>-0.45000000000000007</v>
      </c>
      <c r="F18" s="65"/>
      <c r="G18" s="70">
        <f t="shared" si="5"/>
        <v>4.5</v>
      </c>
      <c r="H18" s="68">
        <f t="shared" si="3"/>
        <v>-0.50000000000000011</v>
      </c>
      <c r="I18" s="68"/>
      <c r="J18" s="68"/>
      <c r="K18" s="68"/>
      <c r="L18" s="240"/>
      <c r="M18" s="62">
        <v>4</v>
      </c>
      <c r="N18" s="64">
        <v>-1</v>
      </c>
      <c r="O18" s="65"/>
      <c r="P18" s="65"/>
      <c r="Q18" s="240"/>
      <c r="R18" s="43"/>
      <c r="U18" s="43"/>
      <c r="V18" s="43"/>
    </row>
    <row r="19" spans="1:24" ht="13.8" x14ac:dyDescent="0.25">
      <c r="A19" s="240"/>
      <c r="B19" s="14"/>
      <c r="C19" s="45"/>
      <c r="D19" s="62">
        <v>5</v>
      </c>
      <c r="E19" s="64">
        <f t="shared" si="4"/>
        <v>-0.60000000000000009</v>
      </c>
      <c r="F19" s="72">
        <v>-0.05</v>
      </c>
      <c r="G19" s="70">
        <f t="shared" si="5"/>
        <v>6.0000000000000009</v>
      </c>
      <c r="H19" s="68">
        <f t="shared" si="3"/>
        <v>-0.50000000000000011</v>
      </c>
      <c r="I19" s="68"/>
      <c r="J19" s="68"/>
      <c r="K19" s="68"/>
      <c r="L19" s="240"/>
      <c r="M19" s="62">
        <v>5</v>
      </c>
      <c r="N19" s="64">
        <v>-1.25</v>
      </c>
      <c r="O19" s="65"/>
      <c r="P19" s="65"/>
      <c r="Q19" s="240"/>
      <c r="R19" s="43"/>
      <c r="U19" s="43"/>
      <c r="V19" s="43"/>
    </row>
    <row r="20" spans="1:24" ht="13.8" x14ac:dyDescent="0.25">
      <c r="A20" s="240"/>
      <c r="B20" s="14"/>
      <c r="C20" s="45"/>
      <c r="D20" s="62">
        <v>6</v>
      </c>
      <c r="E20" s="64">
        <f t="shared" si="4"/>
        <v>-0.70000000000000007</v>
      </c>
      <c r="F20" s="65"/>
      <c r="G20" s="70">
        <f t="shared" si="5"/>
        <v>7</v>
      </c>
      <c r="H20" s="68">
        <f t="shared" si="3"/>
        <v>-0.5185185185185186</v>
      </c>
      <c r="I20" s="68"/>
      <c r="J20" s="68"/>
      <c r="K20" s="68"/>
      <c r="L20" s="240"/>
      <c r="M20" s="62">
        <v>6</v>
      </c>
      <c r="N20" s="64">
        <v>-1.5</v>
      </c>
      <c r="O20" s="65"/>
      <c r="P20" s="65"/>
      <c r="Q20" s="240"/>
      <c r="R20" s="43"/>
      <c r="S20" s="39"/>
      <c r="U20" s="43"/>
      <c r="V20" s="43"/>
    </row>
    <row r="21" spans="1:24" ht="13.8" x14ac:dyDescent="0.25">
      <c r="A21" s="240"/>
      <c r="B21" s="14"/>
      <c r="C21" s="45"/>
      <c r="D21" s="62">
        <v>7</v>
      </c>
      <c r="E21" s="64">
        <f t="shared" si="4"/>
        <v>-1</v>
      </c>
      <c r="F21" s="72">
        <v>-0.2</v>
      </c>
      <c r="G21" s="70">
        <f t="shared" si="5"/>
        <v>10</v>
      </c>
      <c r="H21" s="68">
        <f t="shared" si="3"/>
        <v>-0.55555555555555558</v>
      </c>
      <c r="I21" s="68"/>
      <c r="J21" s="68"/>
      <c r="K21" s="68"/>
      <c r="L21" s="240"/>
      <c r="M21" s="62">
        <v>7</v>
      </c>
      <c r="N21" s="64">
        <v>-1.75</v>
      </c>
      <c r="O21" s="65"/>
      <c r="P21" s="65"/>
      <c r="Q21" s="240"/>
      <c r="R21" s="43"/>
      <c r="S21" s="39"/>
      <c r="U21" s="43"/>
      <c r="V21" s="43"/>
    </row>
    <row r="22" spans="1:24" ht="13.8" x14ac:dyDescent="0.25">
      <c r="A22" s="240"/>
      <c r="B22" s="14"/>
      <c r="C22" s="45"/>
      <c r="D22" s="62">
        <v>8</v>
      </c>
      <c r="E22" s="64">
        <f t="shared" si="4"/>
        <v>-1.4000000000000001</v>
      </c>
      <c r="F22" s="72">
        <v>-0.3</v>
      </c>
      <c r="G22" s="70">
        <f t="shared" si="5"/>
        <v>14</v>
      </c>
      <c r="H22" s="68">
        <f t="shared" si="3"/>
        <v>-0.58333333333333326</v>
      </c>
      <c r="I22" s="68"/>
      <c r="J22" s="68"/>
      <c r="K22" s="68"/>
      <c r="L22" s="240"/>
      <c r="M22" s="62">
        <v>8</v>
      </c>
      <c r="N22" s="64">
        <v>-2</v>
      </c>
      <c r="O22" s="65"/>
      <c r="P22" s="65"/>
      <c r="Q22" s="240"/>
      <c r="R22" s="43"/>
      <c r="S22" s="39"/>
      <c r="U22" s="43"/>
      <c r="V22" s="43"/>
    </row>
    <row r="23" spans="1:24" ht="15.75" customHeight="1" x14ac:dyDescent="0.3">
      <c r="A23" s="240"/>
      <c r="B23" s="243"/>
      <c r="C23" s="240"/>
      <c r="D23" s="244"/>
      <c r="E23" s="240"/>
      <c r="F23" s="240"/>
      <c r="G23" s="240"/>
      <c r="H23" s="56"/>
      <c r="I23" s="56"/>
      <c r="J23" s="56"/>
      <c r="K23" s="56"/>
      <c r="L23" s="240"/>
      <c r="M23" s="244"/>
      <c r="N23" s="240"/>
      <c r="O23" s="240"/>
      <c r="P23" s="240"/>
      <c r="Q23" s="240"/>
      <c r="R23" s="17"/>
      <c r="S23" s="17"/>
      <c r="T23" s="17"/>
      <c r="U23" s="17"/>
      <c r="V23" s="17"/>
      <c r="W23" s="17"/>
      <c r="X23" s="17"/>
    </row>
    <row r="24" spans="1:24" ht="15.6" x14ac:dyDescent="0.3">
      <c r="A24" s="240"/>
      <c r="B24" s="242" t="s">
        <v>177</v>
      </c>
      <c r="C24" s="240"/>
      <c r="D24" s="241" t="s">
        <v>178</v>
      </c>
      <c r="E24" s="240"/>
      <c r="F24" s="240"/>
      <c r="G24" s="240"/>
      <c r="H24" s="74"/>
      <c r="I24" s="74"/>
      <c r="J24" s="74"/>
      <c r="K24" s="74"/>
      <c r="L24" s="240"/>
      <c r="M24" s="241" t="s">
        <v>179</v>
      </c>
      <c r="N24" s="240"/>
      <c r="O24" s="240"/>
      <c r="P24" s="240"/>
      <c r="Q24" s="240"/>
      <c r="R24" s="17"/>
      <c r="S24" s="17"/>
      <c r="T24" s="17"/>
      <c r="U24" s="17"/>
      <c r="V24" s="239"/>
      <c r="W24" s="240"/>
      <c r="X24" s="240"/>
    </row>
    <row r="25" spans="1:24" ht="13.8" x14ac:dyDescent="0.25">
      <c r="A25" s="240"/>
      <c r="B25" s="14" t="s">
        <v>180</v>
      </c>
      <c r="C25" s="75">
        <v>1.5</v>
      </c>
      <c r="D25" s="76" t="s">
        <v>181</v>
      </c>
      <c r="E25" s="76" t="s">
        <v>184</v>
      </c>
      <c r="F25" s="76" t="s">
        <v>185</v>
      </c>
      <c r="G25" s="76" t="s">
        <v>186</v>
      </c>
      <c r="H25" s="76" t="s">
        <v>187</v>
      </c>
      <c r="I25" s="76" t="s">
        <v>188</v>
      </c>
      <c r="J25" s="76" t="s">
        <v>189</v>
      </c>
      <c r="K25" s="76" t="s">
        <v>190</v>
      </c>
      <c r="L25" s="240"/>
      <c r="M25" s="76" t="s">
        <v>191</v>
      </c>
      <c r="N25" s="76" t="s">
        <v>192</v>
      </c>
      <c r="O25" s="76" t="s">
        <v>193</v>
      </c>
      <c r="P25" s="76" t="s">
        <v>194</v>
      </c>
      <c r="Q25" s="240"/>
      <c r="R25" s="27"/>
      <c r="S25" s="27"/>
      <c r="T25" s="27"/>
      <c r="U25" s="27"/>
      <c r="V25" s="27"/>
      <c r="W25" s="27"/>
      <c r="X25" s="27"/>
    </row>
    <row r="26" spans="1:24" ht="13.8" x14ac:dyDescent="0.25">
      <c r="A26" s="240"/>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40"/>
      <c r="M26" s="77">
        <v>1</v>
      </c>
      <c r="N26" s="87">
        <v>0.05</v>
      </c>
      <c r="O26" s="81">
        <v>0.2</v>
      </c>
      <c r="P26" s="81">
        <v>0.2</v>
      </c>
      <c r="Q26" s="240"/>
      <c r="R26" s="43"/>
      <c r="U26" s="43"/>
      <c r="V26" s="43"/>
      <c r="W26" s="10"/>
      <c r="X26" s="10"/>
    </row>
    <row r="27" spans="1:24" ht="13.8" x14ac:dyDescent="0.25">
      <c r="A27" s="240"/>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40"/>
      <c r="M27" s="77">
        <v>2</v>
      </c>
      <c r="N27" s="87">
        <v>0.1</v>
      </c>
      <c r="O27" s="81">
        <v>0.4</v>
      </c>
      <c r="P27" s="81">
        <v>0.4</v>
      </c>
      <c r="Q27" s="240"/>
      <c r="R27" s="43"/>
      <c r="U27" s="43"/>
      <c r="V27" s="43"/>
      <c r="W27" s="10"/>
      <c r="X27" s="10"/>
    </row>
    <row r="28" spans="1:24" ht="13.8" x14ac:dyDescent="0.25">
      <c r="A28" s="240"/>
      <c r="B28" s="14"/>
      <c r="C28" s="45"/>
      <c r="D28" s="77">
        <v>3</v>
      </c>
      <c r="E28" s="79">
        <f t="shared" si="9"/>
        <v>0.08</v>
      </c>
      <c r="F28" s="81">
        <f t="shared" si="6"/>
        <v>0.32</v>
      </c>
      <c r="G28" s="81">
        <f t="shared" si="7"/>
        <v>0.32</v>
      </c>
      <c r="H28" s="90">
        <v>0.02</v>
      </c>
      <c r="I28" s="85">
        <f t="shared" si="8"/>
        <v>-0.2</v>
      </c>
      <c r="J28" s="81">
        <f t="shared" si="10"/>
        <v>2.5</v>
      </c>
      <c r="K28" s="83">
        <f t="shared" si="11"/>
        <v>4</v>
      </c>
      <c r="L28" s="240"/>
      <c r="M28" s="77">
        <v>3</v>
      </c>
      <c r="N28" s="87">
        <v>0.15</v>
      </c>
      <c r="O28" s="81">
        <v>0.6</v>
      </c>
      <c r="P28" s="81">
        <v>0.6</v>
      </c>
      <c r="Q28" s="240"/>
      <c r="R28" s="43"/>
      <c r="U28" s="43"/>
      <c r="V28" s="43"/>
      <c r="W28" s="10"/>
      <c r="X28" s="10"/>
    </row>
    <row r="29" spans="1:24" ht="13.8" x14ac:dyDescent="0.25">
      <c r="A29" s="240"/>
      <c r="B29" s="14"/>
      <c r="C29" s="45"/>
      <c r="D29" s="77">
        <v>4</v>
      </c>
      <c r="E29" s="79">
        <f t="shared" si="9"/>
        <v>0.1</v>
      </c>
      <c r="F29" s="81">
        <f t="shared" si="6"/>
        <v>0.4</v>
      </c>
      <c r="G29" s="81">
        <f t="shared" si="7"/>
        <v>0.4</v>
      </c>
      <c r="H29" s="83"/>
      <c r="I29" s="85">
        <f t="shared" si="8"/>
        <v>-0.30000000000000004</v>
      </c>
      <c r="J29" s="81">
        <f t="shared" si="10"/>
        <v>3</v>
      </c>
      <c r="K29" s="83">
        <f t="shared" si="11"/>
        <v>5</v>
      </c>
      <c r="L29" s="240"/>
      <c r="M29" s="77">
        <v>4</v>
      </c>
      <c r="N29" s="87">
        <v>0.2</v>
      </c>
      <c r="O29" s="81">
        <v>0.8</v>
      </c>
      <c r="P29" s="81">
        <v>0.8</v>
      </c>
      <c r="Q29" s="240"/>
      <c r="R29" s="43"/>
      <c r="U29" s="43"/>
      <c r="V29" s="43"/>
    </row>
    <row r="30" spans="1:24" ht="13.8" x14ac:dyDescent="0.25">
      <c r="A30" s="240"/>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40"/>
      <c r="M30" s="77">
        <v>5</v>
      </c>
      <c r="N30" s="87">
        <v>0.25</v>
      </c>
      <c r="O30" s="81">
        <v>1</v>
      </c>
      <c r="P30" s="81">
        <v>1</v>
      </c>
      <c r="Q30" s="240"/>
      <c r="R30" s="43"/>
      <c r="U30" s="43"/>
      <c r="V30" s="43"/>
    </row>
    <row r="31" spans="1:24" ht="13.8" x14ac:dyDescent="0.25">
      <c r="A31" s="240"/>
      <c r="B31" s="14"/>
      <c r="C31" s="45"/>
      <c r="D31" s="77">
        <v>6</v>
      </c>
      <c r="E31" s="79">
        <f t="shared" si="9"/>
        <v>0.18</v>
      </c>
      <c r="F31" s="81">
        <f t="shared" si="6"/>
        <v>0.72</v>
      </c>
      <c r="G31" s="81">
        <f t="shared" si="7"/>
        <v>0.72</v>
      </c>
      <c r="H31" s="83"/>
      <c r="I31" s="85">
        <f t="shared" si="8"/>
        <v>-0.72</v>
      </c>
      <c r="J31" s="81">
        <f t="shared" si="10"/>
        <v>4</v>
      </c>
      <c r="K31" s="83">
        <f t="shared" si="11"/>
        <v>9</v>
      </c>
      <c r="L31" s="240"/>
      <c r="M31" s="77">
        <v>6</v>
      </c>
      <c r="N31" s="87">
        <v>0.3</v>
      </c>
      <c r="O31" s="81">
        <v>1.2</v>
      </c>
      <c r="P31" s="81">
        <v>1.2</v>
      </c>
      <c r="Q31" s="240"/>
      <c r="R31" s="43"/>
      <c r="U31" s="43"/>
      <c r="V31" s="43"/>
    </row>
    <row r="32" spans="1:24" ht="13.8" x14ac:dyDescent="0.25">
      <c r="A32" s="240"/>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40"/>
      <c r="M32" s="77">
        <v>7</v>
      </c>
      <c r="N32" s="87">
        <v>0.4</v>
      </c>
      <c r="O32" s="81">
        <v>1.6</v>
      </c>
      <c r="P32" s="81">
        <v>1.6</v>
      </c>
      <c r="Q32" s="240"/>
      <c r="R32" s="43"/>
      <c r="U32" s="43"/>
      <c r="V32" s="43"/>
    </row>
    <row r="33" spans="1:22" ht="13.8" x14ac:dyDescent="0.25">
      <c r="A33" s="240"/>
      <c r="B33" s="14"/>
      <c r="C33" s="45"/>
      <c r="D33" s="77">
        <v>8</v>
      </c>
      <c r="E33" s="79">
        <f t="shared" si="9"/>
        <v>0.4</v>
      </c>
      <c r="F33" s="81">
        <f t="shared" si="6"/>
        <v>1.6</v>
      </c>
      <c r="G33" s="81">
        <f t="shared" si="7"/>
        <v>1.6</v>
      </c>
      <c r="H33" s="90">
        <v>0.1</v>
      </c>
      <c r="I33" s="85">
        <f t="shared" si="8"/>
        <v>-2</v>
      </c>
      <c r="J33" s="81">
        <f t="shared" si="10"/>
        <v>5</v>
      </c>
      <c r="K33" s="83">
        <f t="shared" si="11"/>
        <v>20</v>
      </c>
      <c r="L33" s="240"/>
      <c r="M33" s="77">
        <v>8</v>
      </c>
      <c r="N33" s="87">
        <v>0.5</v>
      </c>
      <c r="O33" s="81">
        <v>2</v>
      </c>
      <c r="P33" s="81">
        <v>2</v>
      </c>
      <c r="Q33" s="240"/>
      <c r="R33" s="43"/>
      <c r="U33" s="43"/>
      <c r="V33" s="43"/>
    </row>
    <row r="34" spans="1:22" ht="15.75" customHeight="1" x14ac:dyDescent="0.3">
      <c r="A34" s="240"/>
      <c r="B34" s="243"/>
      <c r="C34" s="240"/>
      <c r="D34" s="244"/>
      <c r="E34" s="240"/>
      <c r="F34" s="240"/>
      <c r="G34" s="240"/>
      <c r="H34" s="56"/>
      <c r="I34" s="56"/>
      <c r="J34" s="56"/>
      <c r="K34" s="56"/>
      <c r="L34" s="240"/>
      <c r="M34" s="244"/>
      <c r="N34" s="240"/>
      <c r="O34" s="240"/>
      <c r="P34" s="240"/>
      <c r="Q34" s="240"/>
    </row>
    <row r="35" spans="1:22" ht="15.6" x14ac:dyDescent="0.3">
      <c r="A35" s="240"/>
      <c r="B35" s="242"/>
      <c r="C35" s="240"/>
      <c r="D35" s="250" t="s">
        <v>238</v>
      </c>
      <c r="E35" s="240"/>
      <c r="F35" s="240"/>
      <c r="G35" s="240"/>
      <c r="H35" s="96"/>
      <c r="I35" s="96"/>
      <c r="J35" s="96"/>
      <c r="K35" s="96"/>
      <c r="L35" s="240"/>
      <c r="M35" s="250" t="s">
        <v>239</v>
      </c>
      <c r="N35" s="240"/>
      <c r="O35" s="240"/>
      <c r="P35" s="240"/>
      <c r="Q35" s="240"/>
    </row>
    <row r="36" spans="1:22" ht="13.8" x14ac:dyDescent="0.25">
      <c r="A36" s="240"/>
      <c r="B36" s="14"/>
      <c r="C36" s="45"/>
      <c r="D36" s="97" t="s">
        <v>240</v>
      </c>
      <c r="E36" s="97" t="s">
        <v>241</v>
      </c>
      <c r="F36" s="97" t="s">
        <v>242</v>
      </c>
      <c r="G36" s="97" t="s">
        <v>243</v>
      </c>
      <c r="H36" s="97"/>
      <c r="I36" s="97"/>
      <c r="J36" s="97"/>
      <c r="K36" s="97"/>
      <c r="L36" s="240"/>
      <c r="M36" s="97" t="s">
        <v>244</v>
      </c>
      <c r="N36" s="97" t="s">
        <v>245</v>
      </c>
      <c r="O36" s="97"/>
      <c r="P36" s="97"/>
      <c r="Q36" s="240"/>
    </row>
    <row r="37" spans="1:22" ht="13.8" x14ac:dyDescent="0.25">
      <c r="A37" s="240"/>
      <c r="B37" s="14"/>
      <c r="C37" s="45"/>
      <c r="D37" s="99">
        <v>1</v>
      </c>
      <c r="E37" s="100">
        <v>0.2</v>
      </c>
      <c r="F37" s="53"/>
      <c r="G37" s="53">
        <f t="shared" ref="G37:G44" si="12">E37/E$37</f>
        <v>1</v>
      </c>
      <c r="H37" s="53"/>
      <c r="I37" s="53"/>
      <c r="J37" s="53"/>
      <c r="K37" s="53"/>
      <c r="L37" s="240"/>
      <c r="M37" s="99">
        <v>1</v>
      </c>
      <c r="N37" s="100">
        <v>0.2</v>
      </c>
      <c r="O37" s="53"/>
      <c r="P37" s="53"/>
      <c r="Q37" s="240"/>
    </row>
    <row r="38" spans="1:22" ht="13.8" x14ac:dyDescent="0.25">
      <c r="A38" s="240"/>
      <c r="B38" s="14"/>
      <c r="C38" s="45"/>
      <c r="D38" s="99">
        <v>2</v>
      </c>
      <c r="E38" s="100">
        <f t="shared" ref="E38:E44" si="13">E37+0.1+F38</f>
        <v>0.30000000000000004</v>
      </c>
      <c r="F38" s="53"/>
      <c r="G38" s="53">
        <f t="shared" si="12"/>
        <v>1.5000000000000002</v>
      </c>
      <c r="H38" s="53"/>
      <c r="I38" s="53"/>
      <c r="J38" s="53"/>
      <c r="K38" s="53"/>
      <c r="L38" s="240"/>
      <c r="M38" s="99">
        <v>2</v>
      </c>
      <c r="N38" s="100">
        <v>0.4</v>
      </c>
      <c r="O38" s="53"/>
      <c r="P38" s="53"/>
      <c r="Q38" s="240"/>
    </row>
    <row r="39" spans="1:22" ht="13.8" x14ac:dyDescent="0.25">
      <c r="A39" s="240"/>
      <c r="B39" s="14"/>
      <c r="C39" s="45"/>
      <c r="D39" s="99">
        <v>3</v>
      </c>
      <c r="E39" s="100">
        <f t="shared" si="13"/>
        <v>0.5</v>
      </c>
      <c r="F39" s="101">
        <v>0.1</v>
      </c>
      <c r="G39" s="53">
        <f t="shared" si="12"/>
        <v>2.5</v>
      </c>
      <c r="H39" s="53"/>
      <c r="I39" s="53"/>
      <c r="J39" s="53"/>
      <c r="K39" s="53"/>
      <c r="L39" s="240"/>
      <c r="M39" s="99">
        <v>3</v>
      </c>
      <c r="N39" s="100">
        <v>0.6</v>
      </c>
      <c r="O39" s="53"/>
      <c r="P39" s="53"/>
      <c r="Q39" s="240"/>
    </row>
    <row r="40" spans="1:22" ht="13.8" x14ac:dyDescent="0.25">
      <c r="A40" s="240"/>
      <c r="B40" s="14"/>
      <c r="C40" s="45"/>
      <c r="D40" s="99">
        <v>4</v>
      </c>
      <c r="E40" s="100">
        <f t="shared" si="13"/>
        <v>0.6</v>
      </c>
      <c r="F40" s="53"/>
      <c r="G40" s="53">
        <f t="shared" si="12"/>
        <v>2.9999999999999996</v>
      </c>
      <c r="H40" s="53"/>
      <c r="I40" s="53"/>
      <c r="J40" s="53"/>
      <c r="K40" s="53"/>
      <c r="L40" s="240"/>
      <c r="M40" s="99">
        <v>4</v>
      </c>
      <c r="N40" s="100">
        <v>0.8</v>
      </c>
      <c r="O40" s="53"/>
      <c r="P40" s="53"/>
      <c r="Q40" s="240"/>
    </row>
    <row r="41" spans="1:22" ht="13.8" x14ac:dyDescent="0.25">
      <c r="A41" s="240"/>
      <c r="B41" s="14"/>
      <c r="C41" s="45"/>
      <c r="D41" s="99">
        <v>5</v>
      </c>
      <c r="E41" s="100">
        <f t="shared" si="13"/>
        <v>0.79999999999999993</v>
      </c>
      <c r="F41" s="101">
        <v>0.1</v>
      </c>
      <c r="G41" s="53">
        <f t="shared" si="12"/>
        <v>3.9999999999999996</v>
      </c>
      <c r="H41" s="53"/>
      <c r="I41" s="53"/>
      <c r="J41" s="53"/>
      <c r="K41" s="53"/>
      <c r="L41" s="240"/>
      <c r="M41" s="99">
        <v>5</v>
      </c>
      <c r="N41" s="100">
        <v>1</v>
      </c>
      <c r="O41" s="53"/>
      <c r="P41" s="53"/>
      <c r="Q41" s="240"/>
    </row>
    <row r="42" spans="1:22" ht="13.8" x14ac:dyDescent="0.25">
      <c r="A42" s="240"/>
      <c r="B42" s="14"/>
      <c r="C42" s="45"/>
      <c r="D42" s="99">
        <v>6</v>
      </c>
      <c r="E42" s="100">
        <f t="shared" si="13"/>
        <v>0.89999999999999991</v>
      </c>
      <c r="F42" s="53"/>
      <c r="G42" s="53">
        <f t="shared" si="12"/>
        <v>4.4999999999999991</v>
      </c>
      <c r="H42" s="53"/>
      <c r="I42" s="53"/>
      <c r="J42" s="53"/>
      <c r="K42" s="53"/>
      <c r="L42" s="240"/>
      <c r="M42" s="99">
        <v>6</v>
      </c>
      <c r="N42" s="100">
        <v>1.2</v>
      </c>
      <c r="O42" s="53"/>
      <c r="P42" s="53"/>
      <c r="Q42" s="240"/>
    </row>
    <row r="43" spans="1:22" ht="13.8" x14ac:dyDescent="0.25">
      <c r="A43" s="240"/>
      <c r="B43" s="14"/>
      <c r="C43" s="45"/>
      <c r="D43" s="99">
        <v>7</v>
      </c>
      <c r="E43" s="100">
        <f t="shared" si="13"/>
        <v>1.2</v>
      </c>
      <c r="F43" s="101">
        <v>0.2</v>
      </c>
      <c r="G43" s="53">
        <f t="shared" si="12"/>
        <v>5.9999999999999991</v>
      </c>
      <c r="H43" s="53"/>
      <c r="I43" s="53"/>
      <c r="J43" s="53"/>
      <c r="K43" s="53"/>
      <c r="L43" s="240"/>
      <c r="M43" s="99">
        <v>7</v>
      </c>
      <c r="N43" s="100">
        <v>1.4</v>
      </c>
      <c r="O43" s="53"/>
      <c r="P43" s="53"/>
      <c r="Q43" s="240"/>
    </row>
    <row r="44" spans="1:22" ht="13.8" x14ac:dyDescent="0.25">
      <c r="A44" s="240"/>
      <c r="B44" s="14"/>
      <c r="C44" s="45"/>
      <c r="D44" s="99">
        <v>8</v>
      </c>
      <c r="E44" s="100">
        <f t="shared" si="13"/>
        <v>1.6</v>
      </c>
      <c r="F44" s="101">
        <v>0.3</v>
      </c>
      <c r="G44" s="53">
        <f t="shared" si="12"/>
        <v>8</v>
      </c>
      <c r="H44" s="53"/>
      <c r="I44" s="53"/>
      <c r="J44" s="53"/>
      <c r="K44" s="53"/>
      <c r="L44" s="240"/>
      <c r="M44" s="99">
        <v>8</v>
      </c>
      <c r="N44" s="100">
        <v>1.6</v>
      </c>
      <c r="O44" s="53"/>
      <c r="P44" s="53"/>
      <c r="Q44" s="240"/>
    </row>
    <row r="45" spans="1:22" ht="17.399999999999999" x14ac:dyDescent="0.3">
      <c r="A45" s="240"/>
      <c r="B45" s="243"/>
      <c r="C45" s="240"/>
      <c r="D45" s="244"/>
      <c r="E45" s="240"/>
      <c r="F45" s="240"/>
      <c r="G45" s="240"/>
      <c r="H45" s="56"/>
      <c r="I45" s="56"/>
      <c r="J45" s="56"/>
      <c r="K45" s="56"/>
      <c r="L45" s="240"/>
      <c r="M45" s="244"/>
      <c r="N45" s="240"/>
      <c r="O45" s="240"/>
      <c r="P45" s="240"/>
      <c r="Q45" s="240"/>
    </row>
    <row r="46" spans="1:22" ht="15.6" x14ac:dyDescent="0.3">
      <c r="A46" s="240"/>
      <c r="B46" s="242"/>
      <c r="C46" s="240"/>
      <c r="D46" s="252" t="s">
        <v>258</v>
      </c>
      <c r="E46" s="240"/>
      <c r="F46" s="240"/>
      <c r="G46" s="240"/>
      <c r="H46" s="106"/>
      <c r="I46" s="106"/>
      <c r="J46" s="106"/>
      <c r="K46" s="106"/>
      <c r="L46" s="240"/>
      <c r="M46" s="252" t="s">
        <v>262</v>
      </c>
      <c r="N46" s="240"/>
      <c r="O46" s="240"/>
      <c r="P46" s="240"/>
      <c r="Q46" s="240"/>
    </row>
    <row r="47" spans="1:22" ht="13.8" x14ac:dyDescent="0.25">
      <c r="A47" s="240"/>
      <c r="B47" s="14"/>
      <c r="C47" s="45"/>
      <c r="D47" s="108" t="s">
        <v>263</v>
      </c>
      <c r="E47" s="108" t="s">
        <v>271</v>
      </c>
      <c r="F47" s="108" t="s">
        <v>272</v>
      </c>
      <c r="G47" s="108"/>
      <c r="H47" s="108"/>
      <c r="I47" s="108"/>
      <c r="J47" s="108"/>
      <c r="K47" s="108"/>
      <c r="L47" s="240"/>
      <c r="M47" s="108" t="s">
        <v>273</v>
      </c>
      <c r="N47" s="108" t="s">
        <v>274</v>
      </c>
      <c r="O47" s="108"/>
      <c r="P47" s="108"/>
      <c r="Q47" s="240"/>
    </row>
    <row r="48" spans="1:22" ht="13.8" x14ac:dyDescent="0.25">
      <c r="A48" s="240"/>
      <c r="B48" s="14"/>
      <c r="C48" s="45"/>
      <c r="D48" s="110">
        <v>1</v>
      </c>
      <c r="E48" s="111">
        <v>-0.2</v>
      </c>
      <c r="F48" s="113"/>
      <c r="G48" s="113"/>
      <c r="H48" s="113"/>
      <c r="I48" s="113"/>
      <c r="J48" s="113"/>
      <c r="K48" s="113"/>
      <c r="L48" s="240"/>
      <c r="M48" s="110">
        <v>1</v>
      </c>
      <c r="N48" s="111">
        <v>-0.2</v>
      </c>
      <c r="O48" s="113"/>
      <c r="P48" s="113"/>
      <c r="Q48" s="240"/>
    </row>
    <row r="49" spans="1:17" ht="13.8" x14ac:dyDescent="0.25">
      <c r="A49" s="240"/>
      <c r="B49" s="14"/>
      <c r="C49" s="45"/>
      <c r="D49" s="110">
        <v>2</v>
      </c>
      <c r="E49" s="111">
        <f t="shared" ref="E49:E55" si="14">E48-0.1+F49</f>
        <v>-0.30000000000000004</v>
      </c>
      <c r="F49" s="113"/>
      <c r="G49" s="113"/>
      <c r="H49" s="113"/>
      <c r="I49" s="113"/>
      <c r="J49" s="113"/>
      <c r="K49" s="113"/>
      <c r="L49" s="240"/>
      <c r="M49" s="110">
        <v>2</v>
      </c>
      <c r="N49" s="111">
        <v>-0.4</v>
      </c>
      <c r="O49" s="113"/>
      <c r="P49" s="113"/>
      <c r="Q49" s="240"/>
    </row>
    <row r="50" spans="1:17" ht="13.8" x14ac:dyDescent="0.25">
      <c r="A50" s="240"/>
      <c r="B50" s="14"/>
      <c r="C50" s="45"/>
      <c r="D50" s="110">
        <v>3</v>
      </c>
      <c r="E50" s="111">
        <f t="shared" si="14"/>
        <v>-0.5</v>
      </c>
      <c r="F50" s="114">
        <v>-0.1</v>
      </c>
      <c r="G50" s="113"/>
      <c r="H50" s="113"/>
      <c r="I50" s="113"/>
      <c r="J50" s="113"/>
      <c r="K50" s="113"/>
      <c r="L50" s="240"/>
      <c r="M50" s="110">
        <v>3</v>
      </c>
      <c r="N50" s="111">
        <v>-0.6</v>
      </c>
      <c r="O50" s="113"/>
      <c r="P50" s="113"/>
      <c r="Q50" s="240"/>
    </row>
    <row r="51" spans="1:17" ht="13.8" x14ac:dyDescent="0.25">
      <c r="A51" s="240"/>
      <c r="B51" s="14"/>
      <c r="C51" s="45"/>
      <c r="D51" s="110">
        <v>4</v>
      </c>
      <c r="E51" s="111">
        <f t="shared" si="14"/>
        <v>-0.6</v>
      </c>
      <c r="F51" s="113"/>
      <c r="G51" s="113"/>
      <c r="H51" s="113"/>
      <c r="I51" s="113"/>
      <c r="J51" s="113"/>
      <c r="K51" s="113"/>
      <c r="L51" s="240"/>
      <c r="M51" s="110">
        <v>4</v>
      </c>
      <c r="N51" s="111">
        <v>-0.8</v>
      </c>
      <c r="O51" s="113"/>
      <c r="P51" s="113"/>
      <c r="Q51" s="240"/>
    </row>
    <row r="52" spans="1:17" ht="13.8" x14ac:dyDescent="0.25">
      <c r="A52" s="240"/>
      <c r="B52" s="14"/>
      <c r="C52" s="45"/>
      <c r="D52" s="110">
        <v>5</v>
      </c>
      <c r="E52" s="111">
        <f t="shared" si="14"/>
        <v>-0.79999999999999993</v>
      </c>
      <c r="F52" s="114">
        <v>-0.1</v>
      </c>
      <c r="G52" s="113"/>
      <c r="H52" s="113"/>
      <c r="I52" s="113"/>
      <c r="J52" s="113"/>
      <c r="K52" s="113"/>
      <c r="L52" s="240"/>
      <c r="M52" s="110">
        <v>5</v>
      </c>
      <c r="N52" s="111">
        <v>-1</v>
      </c>
      <c r="O52" s="113"/>
      <c r="P52" s="113"/>
      <c r="Q52" s="240"/>
    </row>
    <row r="53" spans="1:17" ht="13.8" x14ac:dyDescent="0.25">
      <c r="A53" s="240"/>
      <c r="B53" s="14"/>
      <c r="C53" s="45"/>
      <c r="D53" s="110">
        <v>6</v>
      </c>
      <c r="E53" s="111">
        <f t="shared" si="14"/>
        <v>-0.89999999999999991</v>
      </c>
      <c r="F53" s="113"/>
      <c r="G53" s="113"/>
      <c r="H53" s="113"/>
      <c r="I53" s="113"/>
      <c r="J53" s="113"/>
      <c r="K53" s="113"/>
      <c r="L53" s="240"/>
      <c r="M53" s="110">
        <v>6</v>
      </c>
      <c r="N53" s="111">
        <v>-1.2</v>
      </c>
      <c r="O53" s="113"/>
      <c r="P53" s="113"/>
      <c r="Q53" s="240"/>
    </row>
    <row r="54" spans="1:17" ht="13.8" x14ac:dyDescent="0.25">
      <c r="A54" s="240"/>
      <c r="B54" s="14"/>
      <c r="C54" s="45"/>
      <c r="D54" s="110">
        <v>7</v>
      </c>
      <c r="E54" s="111">
        <f t="shared" si="14"/>
        <v>-1.2</v>
      </c>
      <c r="F54" s="114">
        <v>-0.2</v>
      </c>
      <c r="G54" s="113"/>
      <c r="H54" s="113"/>
      <c r="I54" s="113"/>
      <c r="J54" s="113"/>
      <c r="K54" s="113"/>
      <c r="L54" s="240"/>
      <c r="M54" s="110">
        <v>7</v>
      </c>
      <c r="N54" s="111">
        <v>-1.4</v>
      </c>
      <c r="O54" s="113"/>
      <c r="P54" s="113"/>
      <c r="Q54" s="240"/>
    </row>
    <row r="55" spans="1:17" ht="13.8" x14ac:dyDescent="0.25">
      <c r="A55" s="240"/>
      <c r="B55" s="14"/>
      <c r="C55" s="45"/>
      <c r="D55" s="110">
        <v>8</v>
      </c>
      <c r="E55" s="111">
        <f t="shared" si="14"/>
        <v>-1.6</v>
      </c>
      <c r="F55" s="114">
        <v>-0.3</v>
      </c>
      <c r="G55" s="113"/>
      <c r="H55" s="113"/>
      <c r="I55" s="113"/>
      <c r="J55" s="113"/>
      <c r="K55" s="113"/>
      <c r="L55" s="240"/>
      <c r="M55" s="110">
        <v>8</v>
      </c>
      <c r="N55" s="111">
        <v>-1.6</v>
      </c>
      <c r="O55" s="113"/>
      <c r="P55" s="113"/>
      <c r="Q55" s="240"/>
    </row>
    <row r="56" spans="1:17" ht="17.399999999999999" x14ac:dyDescent="0.3">
      <c r="A56" s="240"/>
      <c r="B56" s="1"/>
      <c r="C56" s="1"/>
      <c r="D56" s="251"/>
      <c r="E56" s="240"/>
      <c r="F56" s="240"/>
      <c r="G56" s="240"/>
      <c r="H56" s="240"/>
      <c r="I56" s="240"/>
      <c r="J56" s="240"/>
      <c r="K56" s="240"/>
      <c r="L56" s="240"/>
      <c r="M56" s="240"/>
      <c r="N56" s="240"/>
      <c r="O56" s="240"/>
      <c r="P56" s="240"/>
      <c r="Q56" s="240"/>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4140625" defaultRowHeight="15.75" customHeight="1" x14ac:dyDescent="0.25"/>
  <cols>
    <col min="1" max="1" width="19.44140625" customWidth="1"/>
  </cols>
  <sheetData>
    <row r="1" spans="1:9" ht="15.75" customHeight="1" x14ac:dyDescent="0.25">
      <c r="A1" s="10" t="s">
        <v>1</v>
      </c>
      <c r="B1">
        <f>65+14</f>
        <v>79</v>
      </c>
    </row>
    <row r="2" spans="1:9" ht="15.75" customHeight="1" x14ac:dyDescent="0.25">
      <c r="A2" s="10" t="s">
        <v>12</v>
      </c>
      <c r="B2">
        <f>B1*14</f>
        <v>1106</v>
      </c>
    </row>
    <row r="3" spans="1:9" ht="15.75" customHeight="1" x14ac:dyDescent="0.25">
      <c r="A3" s="10" t="s">
        <v>13</v>
      </c>
      <c r="B3">
        <f>B1*10</f>
        <v>790</v>
      </c>
    </row>
    <row r="4" spans="1:9" ht="15.75" customHeight="1" x14ac:dyDescent="0.25">
      <c r="A4" s="10" t="s">
        <v>14</v>
      </c>
      <c r="B4">
        <f>B3*510/1000</f>
        <v>402.9</v>
      </c>
    </row>
    <row r="5" spans="1:9" ht="15.75" customHeight="1" x14ac:dyDescent="0.25">
      <c r="A5" s="10" t="s">
        <v>15</v>
      </c>
      <c r="B5">
        <f>B4/25</f>
        <v>16.116</v>
      </c>
      <c r="C5">
        <f t="shared" ref="C5:C6" si="0">B5*60</f>
        <v>966.96</v>
      </c>
    </row>
    <row r="6" spans="1:9" ht="15.75" customHeight="1" x14ac:dyDescent="0.25">
      <c r="A6" s="10" t="s">
        <v>16</v>
      </c>
      <c r="B6">
        <f>B4/8</f>
        <v>50.362499999999997</v>
      </c>
      <c r="C6">
        <f t="shared" si="0"/>
        <v>3021.75</v>
      </c>
      <c r="D6">
        <f>5000000/C6</f>
        <v>1654.670306941342</v>
      </c>
    </row>
    <row r="7" spans="1:9" ht="15.75" customHeight="1" x14ac:dyDescent="0.25">
      <c r="D7">
        <f>D6/60</f>
        <v>27.577838449022366</v>
      </c>
      <c r="G7">
        <f>G8*8</f>
        <v>299.52</v>
      </c>
      <c r="H7">
        <f>G7*35</f>
        <v>10483.199999999999</v>
      </c>
    </row>
    <row r="8" spans="1:9" ht="15.75" customHeight="1" x14ac:dyDescent="0.25">
      <c r="F8" s="10">
        <v>1.56</v>
      </c>
      <c r="G8">
        <f>G9*F8/F9</f>
        <v>37.44</v>
      </c>
      <c r="H8">
        <f>G8*H9</f>
        <v>1347.84</v>
      </c>
      <c r="I8">
        <f>H8*3</f>
        <v>4043.5199999999995</v>
      </c>
    </row>
    <row r="9" spans="1:9" ht="15.75" customHeight="1" x14ac:dyDescent="0.25">
      <c r="A9" s="10" t="s">
        <v>21</v>
      </c>
      <c r="B9" s="10">
        <v>1.56</v>
      </c>
      <c r="C9" s="10" t="s">
        <v>22</v>
      </c>
      <c r="F9" s="10">
        <v>0.1</v>
      </c>
      <c r="G9" s="10">
        <v>2.4</v>
      </c>
      <c r="H9" s="10">
        <v>36</v>
      </c>
      <c r="I9">
        <f>I8/6</f>
        <v>673.92</v>
      </c>
    </row>
    <row r="10" spans="1:9" ht="15.75" customHeight="1" x14ac:dyDescent="0.25">
      <c r="A10" s="10" t="s">
        <v>24</v>
      </c>
      <c r="B10" s="10">
        <v>70</v>
      </c>
      <c r="C10" s="10" t="s">
        <v>25</v>
      </c>
      <c r="D10">
        <f>8*6</f>
        <v>48</v>
      </c>
      <c r="E10" s="10" t="s">
        <v>26</v>
      </c>
      <c r="I10">
        <f>I8/G15</f>
        <v>673.92</v>
      </c>
    </row>
    <row r="11" spans="1:9" ht="15.75" customHeight="1" x14ac:dyDescent="0.25">
      <c r="A11" s="10" t="s">
        <v>29</v>
      </c>
      <c r="B11">
        <f>B9*2</f>
        <v>3.12</v>
      </c>
      <c r="C11" s="10" t="s">
        <v>31</v>
      </c>
      <c r="I11">
        <f>I10/37.5</f>
        <v>17.9712</v>
      </c>
    </row>
    <row r="12" spans="1:9" ht="15.75" customHeight="1" x14ac:dyDescent="0.25">
      <c r="A12" s="10" t="s">
        <v>32</v>
      </c>
      <c r="B12">
        <f>B11*B10</f>
        <v>218.4</v>
      </c>
    </row>
    <row r="13" spans="1:9" ht="15.75" customHeight="1" x14ac:dyDescent="0.25">
      <c r="G13" s="10" t="s">
        <v>34</v>
      </c>
      <c r="H13" s="10" t="s">
        <v>35</v>
      </c>
      <c r="I13" s="10" t="s">
        <v>36</v>
      </c>
    </row>
    <row r="14" spans="1:9" ht="15.75" customHeight="1" x14ac:dyDescent="0.25">
      <c r="F14" s="10" t="s">
        <v>37</v>
      </c>
      <c r="G14" s="10">
        <v>6</v>
      </c>
      <c r="H14" s="10" t="s">
        <v>38</v>
      </c>
      <c r="I14" s="10">
        <v>0.35</v>
      </c>
    </row>
    <row r="15" spans="1:9" ht="15.75" customHeight="1" x14ac:dyDescent="0.25">
      <c r="F15" s="10" t="s">
        <v>39</v>
      </c>
      <c r="G15" s="10">
        <v>6</v>
      </c>
      <c r="H15" s="10" t="s">
        <v>40</v>
      </c>
    </row>
    <row r="16" spans="1:9" ht="15.75" customHeight="1" x14ac:dyDescent="0.25">
      <c r="A16" s="10"/>
      <c r="B16" s="10"/>
      <c r="C16" s="10" t="s">
        <v>41</v>
      </c>
      <c r="D16" s="10" t="s">
        <v>42</v>
      </c>
      <c r="G16">
        <f>G14/G15</f>
        <v>1</v>
      </c>
    </row>
    <row r="18" spans="1:9" ht="15.75" customHeight="1" x14ac:dyDescent="0.25">
      <c r="A18" s="10" t="s">
        <v>44</v>
      </c>
      <c r="B18" s="10">
        <v>10</v>
      </c>
      <c r="E18">
        <f>8*2*1.5</f>
        <v>24</v>
      </c>
      <c r="F18" s="10">
        <f>11*6</f>
        <v>66</v>
      </c>
    </row>
    <row r="19" spans="1:9" ht="15.75" customHeight="1" x14ac:dyDescent="0.25">
      <c r="A19" s="10" t="s">
        <v>46</v>
      </c>
      <c r="B19" s="10">
        <v>510</v>
      </c>
      <c r="F19">
        <f>25</f>
        <v>25</v>
      </c>
      <c r="G19">
        <f>200-25</f>
        <v>175</v>
      </c>
      <c r="H19">
        <f>13/10</f>
        <v>1.3</v>
      </c>
    </row>
    <row r="20" spans="1:9" ht="15.75" customHeight="1" x14ac:dyDescent="0.25">
      <c r="A20" s="10" t="s">
        <v>47</v>
      </c>
      <c r="B20">
        <f>B19*B18</f>
        <v>5100</v>
      </c>
      <c r="E20">
        <f>0.3*2.4</f>
        <v>0.72</v>
      </c>
      <c r="H20">
        <f>638*8</f>
        <v>5104</v>
      </c>
    </row>
    <row r="21" spans="1:9" ht="15.75" customHeight="1" x14ac:dyDescent="0.25">
      <c r="A21" s="10" t="s">
        <v>49</v>
      </c>
      <c r="B21" s="10">
        <v>0.1</v>
      </c>
      <c r="E21">
        <f>E20*25*1.1</f>
        <v>19.8</v>
      </c>
      <c r="F21">
        <f>E21*2</f>
        <v>39.6</v>
      </c>
    </row>
    <row r="22" spans="1:9" ht="15.75" customHeight="1" x14ac:dyDescent="0.25">
      <c r="A22" s="10" t="s">
        <v>53</v>
      </c>
      <c r="B22" s="10">
        <v>1</v>
      </c>
      <c r="E22">
        <f>E21*8</f>
        <v>158.4</v>
      </c>
    </row>
    <row r="23" spans="1:9" ht="15.75" customHeight="1" x14ac:dyDescent="0.25">
      <c r="A23" s="10" t="s">
        <v>71</v>
      </c>
      <c r="B23">
        <f>B22/B21</f>
        <v>10</v>
      </c>
      <c r="G23">
        <f>62*1000000</f>
        <v>62000000</v>
      </c>
      <c r="I23" s="10">
        <f>8*6*1.3</f>
        <v>62.400000000000006</v>
      </c>
    </row>
    <row r="24" spans="1:9" ht="15.75" customHeight="1" x14ac:dyDescent="0.25">
      <c r="A24" s="10" t="s">
        <v>100</v>
      </c>
      <c r="B24" s="10">
        <f>390*13</f>
        <v>5070</v>
      </c>
      <c r="G24">
        <f>G23/500</f>
        <v>124000</v>
      </c>
      <c r="I24" s="10" t="s">
        <v>102</v>
      </c>
    </row>
    <row r="25" spans="1:9" ht="15.75" customHeight="1" x14ac:dyDescent="0.25">
      <c r="G25">
        <f>G24/60/60</f>
        <v>34.444444444444443</v>
      </c>
    </row>
    <row r="27" spans="1:9" ht="15.75" customHeight="1" x14ac:dyDescent="0.25">
      <c r="A27" s="10">
        <v>1</v>
      </c>
      <c r="B27" s="10">
        <v>8</v>
      </c>
    </row>
    <row r="28" spans="1:9" ht="15.75" customHeight="1" x14ac:dyDescent="0.25">
      <c r="A28" s="10">
        <v>390</v>
      </c>
      <c r="B28">
        <f>B27*A28/A27</f>
        <v>3120</v>
      </c>
    </row>
    <row r="31" spans="1:9" ht="15.75" customHeight="1" x14ac:dyDescent="0.25">
      <c r="E31" s="10">
        <v>390</v>
      </c>
      <c r="F31">
        <f>F32*E31</f>
        <v>3120</v>
      </c>
      <c r="H31" s="10">
        <f>6*1.5</f>
        <v>9</v>
      </c>
    </row>
    <row r="32" spans="1:9" ht="15.75" customHeight="1" x14ac:dyDescent="0.25">
      <c r="E32" s="10">
        <v>1</v>
      </c>
      <c r="F32" s="10">
        <v>8</v>
      </c>
    </row>
    <row r="34" spans="3:7" ht="15.75" customHeight="1" x14ac:dyDescent="0.25">
      <c r="G34">
        <f>8*9</f>
        <v>72</v>
      </c>
    </row>
    <row r="40" spans="3:7" ht="13.2" x14ac:dyDescent="0.25">
      <c r="C40">
        <f>7.5/25*2.4</f>
        <v>0.72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S32"/>
  <sheetViews>
    <sheetView workbookViewId="0">
      <selection activeCell="P22" sqref="P22"/>
    </sheetView>
  </sheetViews>
  <sheetFormatPr defaultRowHeight="13.2" x14ac:dyDescent="0.25"/>
  <cols>
    <col min="15" max="15" width="19.5546875" bestFit="1" customWidth="1"/>
    <col min="16" max="16" width="21.6640625" bestFit="1" customWidth="1"/>
    <col min="17" max="17" width="22.109375" bestFit="1" customWidth="1"/>
    <col min="18" max="18" width="17.44140625" bestFit="1" customWidth="1"/>
    <col min="19" max="19" width="17.6640625" bestFit="1" customWidth="1"/>
  </cols>
  <sheetData>
    <row r="2" spans="15:19" x14ac:dyDescent="0.25">
      <c r="O2" s="216" t="s">
        <v>429</v>
      </c>
      <c r="P2" t="s">
        <v>431</v>
      </c>
      <c r="Q2" t="s">
        <v>432</v>
      </c>
      <c r="R2" t="s">
        <v>430</v>
      </c>
      <c r="S2" t="s">
        <v>433</v>
      </c>
    </row>
    <row r="3" spans="15:19" x14ac:dyDescent="0.25">
      <c r="O3" t="s">
        <v>436</v>
      </c>
      <c r="P3" s="234">
        <v>0</v>
      </c>
      <c r="Q3" s="235">
        <v>0.25</v>
      </c>
      <c r="R3" s="224">
        <f>Tabel1[[#This Row],[Evo Low]]</f>
        <v>0</v>
      </c>
      <c r="S3" s="225">
        <f>Tabel1[[#This Row],[Evo High]]</f>
        <v>0.25</v>
      </c>
    </row>
    <row r="4" spans="15:19" x14ac:dyDescent="0.25">
      <c r="O4" t="s">
        <v>437</v>
      </c>
      <c r="P4" s="236">
        <v>0.2</v>
      </c>
      <c r="Q4" s="237">
        <f>Q3+Q$32</f>
        <v>0.31854838709677419</v>
      </c>
      <c r="R4" s="226">
        <f>Tabel1[[#This Row],[Evo Low]]</f>
        <v>0.2</v>
      </c>
      <c r="S4" s="227">
        <f>Tabel1[[#This Row],[Evo High]]</f>
        <v>0.31854838709677419</v>
      </c>
    </row>
    <row r="5" spans="15:19" x14ac:dyDescent="0.25">
      <c r="O5" t="s">
        <v>440</v>
      </c>
      <c r="P5" s="236">
        <f t="shared" ref="P5:P17" si="0">P4+P$32</f>
        <v>0.25555555555555559</v>
      </c>
      <c r="Q5" s="237">
        <f t="shared" ref="Q5:Q13" si="1">Q4+Q$32</f>
        <v>0.38709677419354838</v>
      </c>
      <c r="R5" s="224">
        <f>Tabel1[[#This Row],[Evo Low]]</f>
        <v>0.25555555555555559</v>
      </c>
      <c r="S5" s="225">
        <f>Tabel1[[#This Row],[Evo High]]</f>
        <v>0.38709677419354838</v>
      </c>
    </row>
    <row r="6" spans="15:19" x14ac:dyDescent="0.25">
      <c r="O6" t="s">
        <v>439</v>
      </c>
      <c r="P6" s="236">
        <f t="shared" si="0"/>
        <v>0.31111111111111117</v>
      </c>
      <c r="Q6" s="237">
        <f t="shared" si="1"/>
        <v>0.45564516129032256</v>
      </c>
      <c r="R6" s="226">
        <f>Tabel1[[#This Row],[Evo Low]]</f>
        <v>0.31111111111111117</v>
      </c>
      <c r="S6" s="227">
        <f>Tabel1[[#This Row],[Evo High]]</f>
        <v>0.45564516129032256</v>
      </c>
    </row>
    <row r="7" spans="15:19" x14ac:dyDescent="0.25">
      <c r="O7" t="s">
        <v>438</v>
      </c>
      <c r="P7" s="236">
        <f t="shared" si="0"/>
        <v>0.36666666666666675</v>
      </c>
      <c r="Q7" s="237">
        <f t="shared" si="1"/>
        <v>0.52419354838709675</v>
      </c>
      <c r="R7" s="224">
        <f>Tabel1[[#This Row],[Evo Low]]</f>
        <v>0.36666666666666675</v>
      </c>
      <c r="S7" s="225">
        <f>Tabel1[[#This Row],[Evo High]]</f>
        <v>0.52419354838709675</v>
      </c>
    </row>
    <row r="8" spans="15:19" x14ac:dyDescent="0.25">
      <c r="O8" t="s">
        <v>441</v>
      </c>
      <c r="P8" s="236">
        <f t="shared" si="0"/>
        <v>0.42222222222222233</v>
      </c>
      <c r="Q8" s="237">
        <f t="shared" si="1"/>
        <v>0.592741935483871</v>
      </c>
      <c r="R8" s="228">
        <f>Tabel1[[#This Row],[Evo Low]]</f>
        <v>0.42222222222222233</v>
      </c>
      <c r="S8" s="229">
        <f>Tabel1[[#This Row],[Evo High]]</f>
        <v>0.592741935483871</v>
      </c>
    </row>
    <row r="9" spans="15:19" x14ac:dyDescent="0.25">
      <c r="O9" t="s">
        <v>444</v>
      </c>
      <c r="P9" s="236">
        <f t="shared" si="0"/>
        <v>0.47777777777777791</v>
      </c>
      <c r="Q9" s="237">
        <f t="shared" si="1"/>
        <v>0.66129032258064524</v>
      </c>
      <c r="R9" s="228">
        <f>Tabel1[[#This Row],[Evo Low]]</f>
        <v>0.47777777777777791</v>
      </c>
      <c r="S9" s="229">
        <f>Tabel1[[#This Row],[Evo High]]</f>
        <v>0.66129032258064524</v>
      </c>
    </row>
    <row r="10" spans="15:19" x14ac:dyDescent="0.25">
      <c r="O10" t="s">
        <v>442</v>
      </c>
      <c r="P10" s="236">
        <f t="shared" si="0"/>
        <v>0.53333333333333344</v>
      </c>
      <c r="Q10" s="237">
        <f t="shared" si="1"/>
        <v>0.72983870967741948</v>
      </c>
      <c r="R10" s="230">
        <f>Tabel1[[#This Row],[Evo Low]]</f>
        <v>0.53333333333333344</v>
      </c>
      <c r="S10" s="230">
        <f>Tabel1[[#This Row],[Evo High]]</f>
        <v>0.72983870967741948</v>
      </c>
    </row>
    <row r="11" spans="15:19" x14ac:dyDescent="0.25">
      <c r="O11" t="s">
        <v>443</v>
      </c>
      <c r="P11" s="236">
        <f t="shared" si="0"/>
        <v>0.58888888888888902</v>
      </c>
      <c r="Q11" s="237">
        <f t="shared" si="1"/>
        <v>0.79838709677419373</v>
      </c>
      <c r="R11" s="231">
        <f>Tabel1[[#This Row],[Evo Low]]</f>
        <v>0.58888888888888902</v>
      </c>
      <c r="S11" s="231">
        <f>Tabel1[[#This Row],[Evo High]]</f>
        <v>0.79838709677419373</v>
      </c>
    </row>
    <row r="12" spans="15:19" x14ac:dyDescent="0.25">
      <c r="O12" t="s">
        <v>434</v>
      </c>
      <c r="P12" s="236">
        <f t="shared" si="0"/>
        <v>0.6444444444444446</v>
      </c>
      <c r="Q12" s="237">
        <f t="shared" si="1"/>
        <v>0.86693548387096797</v>
      </c>
      <c r="R12" s="232">
        <f>Tabel1[[#This Row],[Evo Low]]</f>
        <v>0.6444444444444446</v>
      </c>
      <c r="S12" s="232">
        <f>Tabel1[[#This Row],[Evo High]]</f>
        <v>0.86693548387096797</v>
      </c>
    </row>
    <row r="13" spans="15:19" x14ac:dyDescent="0.25">
      <c r="O13" t="s">
        <v>435</v>
      </c>
      <c r="P13" s="236">
        <f t="shared" si="0"/>
        <v>0.70000000000000018</v>
      </c>
      <c r="Q13" s="237">
        <f t="shared" si="1"/>
        <v>0.93548387096774221</v>
      </c>
      <c r="R13" s="232">
        <f>Tabel1[[#This Row],[Evo Low]]</f>
        <v>0.70000000000000018</v>
      </c>
      <c r="S13" s="232">
        <f>Tabel1[[#This Row],[Evo High]]</f>
        <v>0.93548387096774221</v>
      </c>
    </row>
    <row r="14" spans="15:19" x14ac:dyDescent="0.25">
      <c r="O14" t="s">
        <v>445</v>
      </c>
      <c r="P14" s="236">
        <f t="shared" si="0"/>
        <v>0.75555555555555576</v>
      </c>
      <c r="Q14" s="237">
        <v>1</v>
      </c>
      <c r="R14" s="233">
        <f>Tabel1[[#This Row],[Evo Low]]</f>
        <v>0.75555555555555576</v>
      </c>
      <c r="S14" s="233">
        <f>Tabel1[[#This Row],[Evo High]]</f>
        <v>1</v>
      </c>
    </row>
    <row r="15" spans="15:19" x14ac:dyDescent="0.25">
      <c r="O15" t="s">
        <v>446</v>
      </c>
      <c r="P15" s="236">
        <f t="shared" si="0"/>
        <v>0.81111111111111134</v>
      </c>
      <c r="Q15" s="237">
        <f>Q14</f>
        <v>1</v>
      </c>
      <c r="R15" s="232">
        <f>Tabel1[[#This Row],[Evo Low]]</f>
        <v>0.81111111111111134</v>
      </c>
      <c r="S15" s="232">
        <f>Tabel1[[#This Row],[Evo High]]</f>
        <v>1</v>
      </c>
    </row>
    <row r="16" spans="15:19" x14ac:dyDescent="0.25">
      <c r="O16" t="s">
        <v>447</v>
      </c>
      <c r="P16" s="236">
        <f t="shared" si="0"/>
        <v>0.86666666666666692</v>
      </c>
      <c r="Q16" s="237">
        <f t="shared" ref="Q16:Q17" si="2">Q15</f>
        <v>1</v>
      </c>
      <c r="R16" s="232">
        <f>Tabel1[[#This Row],[Evo Low]]</f>
        <v>0.86666666666666692</v>
      </c>
      <c r="S16" s="232">
        <f>Tabel1[[#This Row],[Evo High]]</f>
        <v>1</v>
      </c>
    </row>
    <row r="17" spans="15:19" x14ac:dyDescent="0.25">
      <c r="O17" t="s">
        <v>448</v>
      </c>
      <c r="P17" s="236">
        <f t="shared" si="0"/>
        <v>0.9222222222222225</v>
      </c>
      <c r="Q17" s="237">
        <f t="shared" si="2"/>
        <v>1</v>
      </c>
      <c r="R17" s="232">
        <f>Tabel1[[#This Row],[Evo Low]]</f>
        <v>0.9222222222222225</v>
      </c>
      <c r="S17" s="232">
        <f>Tabel1[[#This Row],[Evo High]]</f>
        <v>1</v>
      </c>
    </row>
    <row r="29" spans="15:19" x14ac:dyDescent="0.25">
      <c r="O29" t="s">
        <v>449</v>
      </c>
      <c r="P29">
        <v>80</v>
      </c>
      <c r="Q29">
        <v>85</v>
      </c>
    </row>
    <row r="30" spans="15:19" x14ac:dyDescent="0.25">
      <c r="O30" t="s">
        <v>450</v>
      </c>
      <c r="P30">
        <v>18</v>
      </c>
      <c r="Q30">
        <v>15.5</v>
      </c>
    </row>
    <row r="31" spans="15:19" x14ac:dyDescent="0.25">
      <c r="O31" t="s">
        <v>451</v>
      </c>
      <c r="P31">
        <f>P29/P30</f>
        <v>4.4444444444444446</v>
      </c>
      <c r="Q31">
        <f>Q29/Q30</f>
        <v>5.4838709677419351</v>
      </c>
    </row>
    <row r="32" spans="15:19" x14ac:dyDescent="0.25">
      <c r="O32" t="s">
        <v>452</v>
      </c>
      <c r="P32">
        <f>P31/P29</f>
        <v>5.5555555555555559E-2</v>
      </c>
      <c r="Q32">
        <f>Q31/P29</f>
        <v>6.8548387096774188E-2</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'Enemies Spawn Chance'!P8:P8</xm:f>
              <xm:sqref>A1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ColWidth="9.109375" defaultRowHeight="13.2" x14ac:dyDescent="0.25"/>
  <cols>
    <col min="1" max="1" width="14.44140625" style="143" customWidth="1"/>
    <col min="2" max="2" width="16.88671875" style="143" customWidth="1"/>
    <col min="3" max="8" width="9.109375" style="143"/>
    <col min="9" max="9" width="15.6640625" style="143" customWidth="1"/>
    <col min="10" max="10" width="9.109375" style="143" customWidth="1"/>
    <col min="11" max="11" width="14.33203125" style="143" customWidth="1"/>
    <col min="12" max="12" width="9.109375" style="143" customWidth="1"/>
    <col min="13" max="13" width="11.6640625" style="143" customWidth="1"/>
    <col min="14" max="14" width="9.109375" style="143"/>
    <col min="15" max="15" width="18.5546875" style="143" customWidth="1"/>
    <col min="16" max="16384" width="9.109375" style="143"/>
  </cols>
  <sheetData>
    <row r="4" spans="8:16" ht="13.8" x14ac:dyDescent="0.25">
      <c r="H4" s="183" t="s">
        <v>364</v>
      </c>
      <c r="I4" s="119" t="s">
        <v>365</v>
      </c>
    </row>
    <row r="5" spans="8:16" ht="13.8" x14ac:dyDescent="0.25">
      <c r="H5" s="183" t="s">
        <v>371</v>
      </c>
      <c r="I5" s="119" t="s">
        <v>366</v>
      </c>
      <c r="J5" s="119" t="s">
        <v>367</v>
      </c>
      <c r="K5" s="119" t="s">
        <v>368</v>
      </c>
      <c r="L5" s="119" t="s">
        <v>369</v>
      </c>
      <c r="M5" s="119" t="s">
        <v>370</v>
      </c>
    </row>
    <row r="6" spans="8:16" ht="13.8" x14ac:dyDescent="0.25">
      <c r="H6" s="183" t="s">
        <v>382</v>
      </c>
      <c r="I6" s="119" t="s">
        <v>372</v>
      </c>
      <c r="J6" s="119" t="s">
        <v>373</v>
      </c>
      <c r="K6" s="119" t="s">
        <v>374</v>
      </c>
      <c r="L6" s="119" t="s">
        <v>375</v>
      </c>
      <c r="M6" s="119" t="s">
        <v>376</v>
      </c>
    </row>
    <row r="7" spans="8:16" ht="13.8" x14ac:dyDescent="0.25">
      <c r="H7" s="183" t="s">
        <v>383</v>
      </c>
      <c r="I7" s="119" t="s">
        <v>377</v>
      </c>
      <c r="J7" s="119" t="s">
        <v>378</v>
      </c>
      <c r="K7" s="119" t="s">
        <v>379</v>
      </c>
      <c r="L7" s="119" t="s">
        <v>380</v>
      </c>
      <c r="M7" s="119" t="s">
        <v>381</v>
      </c>
    </row>
    <row r="10" spans="8:16" x14ac:dyDescent="0.25">
      <c r="I10" s="178" t="s">
        <v>364</v>
      </c>
      <c r="K10" s="178" t="s">
        <v>387</v>
      </c>
      <c r="M10" s="178" t="s">
        <v>382</v>
      </c>
      <c r="O10" s="119" t="s">
        <v>383</v>
      </c>
    </row>
    <row r="11" spans="8:16" x14ac:dyDescent="0.25">
      <c r="I11" s="184" t="s">
        <v>384</v>
      </c>
      <c r="J11" s="184" t="s">
        <v>385</v>
      </c>
      <c r="K11" s="184" t="s">
        <v>388</v>
      </c>
      <c r="L11" s="184" t="s">
        <v>385</v>
      </c>
      <c r="M11" s="184" t="s">
        <v>388</v>
      </c>
      <c r="N11" s="184" t="s">
        <v>385</v>
      </c>
      <c r="O11" s="184" t="s">
        <v>388</v>
      </c>
      <c r="P11" s="184" t="s">
        <v>385</v>
      </c>
    </row>
    <row r="12" spans="8:16" x14ac:dyDescent="0.25">
      <c r="I12" s="178" t="s">
        <v>365</v>
      </c>
      <c r="J12" s="119" t="s">
        <v>386</v>
      </c>
      <c r="K12" s="178" t="s">
        <v>366</v>
      </c>
      <c r="L12" s="143">
        <v>20</v>
      </c>
      <c r="M12" s="178" t="s">
        <v>372</v>
      </c>
      <c r="N12" s="143">
        <v>32</v>
      </c>
      <c r="O12" s="178" t="s">
        <v>377</v>
      </c>
      <c r="P12" s="143">
        <v>58</v>
      </c>
    </row>
    <row r="13" spans="8:16" x14ac:dyDescent="0.25">
      <c r="K13" s="178" t="s">
        <v>367</v>
      </c>
      <c r="L13" s="143">
        <v>35</v>
      </c>
      <c r="M13" s="178" t="s">
        <v>373</v>
      </c>
      <c r="N13" s="143">
        <v>56</v>
      </c>
      <c r="O13" s="178" t="s">
        <v>378</v>
      </c>
      <c r="P13" s="143">
        <v>101</v>
      </c>
    </row>
    <row r="14" spans="8:16" x14ac:dyDescent="0.25">
      <c r="K14" s="178" t="s">
        <v>369</v>
      </c>
      <c r="L14" s="143">
        <v>60</v>
      </c>
      <c r="M14" s="119" t="s">
        <v>375</v>
      </c>
      <c r="N14" s="143">
        <v>96</v>
      </c>
      <c r="O14" s="178" t="s">
        <v>380</v>
      </c>
      <c r="P14" s="143">
        <v>173</v>
      </c>
    </row>
    <row r="15" spans="8:16" x14ac:dyDescent="0.25">
      <c r="K15" s="178" t="s">
        <v>368</v>
      </c>
      <c r="L15" s="143">
        <v>100</v>
      </c>
      <c r="M15" s="178" t="s">
        <v>374</v>
      </c>
      <c r="N15" s="143">
        <v>160</v>
      </c>
      <c r="O15" s="178" t="s">
        <v>379</v>
      </c>
      <c r="P15" s="143">
        <v>288</v>
      </c>
    </row>
    <row r="16" spans="8:16" x14ac:dyDescent="0.25">
      <c r="K16" s="178" t="s">
        <v>370</v>
      </c>
      <c r="L16" s="143">
        <v>140</v>
      </c>
      <c r="M16" s="178" t="s">
        <v>376</v>
      </c>
      <c r="N16" s="143">
        <v>224</v>
      </c>
      <c r="O16" s="178" t="s">
        <v>381</v>
      </c>
      <c r="P16" s="143">
        <v>403</v>
      </c>
    </row>
    <row r="26" spans="1:3" ht="13.8" x14ac:dyDescent="0.25">
      <c r="A26" s="257" t="s">
        <v>117</v>
      </c>
      <c r="B26" s="240"/>
      <c r="C26" s="240"/>
    </row>
    <row r="27" spans="1:3" x14ac:dyDescent="0.25">
      <c r="A27" s="256"/>
      <c r="B27" s="240"/>
      <c r="C27" s="50"/>
    </row>
    <row r="28" spans="1:3" x14ac:dyDescent="0.25">
      <c r="A28" s="256"/>
      <c r="B28" s="240"/>
      <c r="C28" s="51"/>
    </row>
    <row r="29" spans="1:3" x14ac:dyDescent="0.25">
      <c r="A29" s="256"/>
      <c r="B29" s="240"/>
      <c r="C29" s="121"/>
    </row>
    <row r="30" spans="1:3" x14ac:dyDescent="0.25">
      <c r="A30" s="256"/>
      <c r="B30" s="240"/>
      <c r="C30" s="53"/>
    </row>
    <row r="31" spans="1:3" x14ac:dyDescent="0.25">
      <c r="A31" s="256"/>
      <c r="B31" s="240"/>
      <c r="C31" s="53"/>
    </row>
    <row r="32" spans="1:3" x14ac:dyDescent="0.25">
      <c r="A32" s="254"/>
      <c r="B32" s="240"/>
      <c r="C32" s="121"/>
    </row>
    <row r="33" spans="1:3" x14ac:dyDescent="0.25">
      <c r="A33" s="253"/>
      <c r="B33" s="240"/>
      <c r="C33" s="53"/>
    </row>
    <row r="34" spans="1:3" x14ac:dyDescent="0.25">
      <c r="A34" s="253"/>
      <c r="B34" s="240"/>
      <c r="C34" s="53"/>
    </row>
    <row r="35" spans="1:3" x14ac:dyDescent="0.25">
      <c r="A35" s="253"/>
      <c r="B35" s="240"/>
      <c r="C35" s="53"/>
    </row>
    <row r="36" spans="1:3" x14ac:dyDescent="0.25">
      <c r="A36" s="253"/>
      <c r="B36" s="240"/>
      <c r="C36" s="53"/>
    </row>
    <row r="37" spans="1:3" x14ac:dyDescent="0.25">
      <c r="A37" s="253"/>
      <c r="B37" s="240"/>
      <c r="C37" s="53"/>
    </row>
    <row r="38" spans="1:3" x14ac:dyDescent="0.25">
      <c r="A38" s="253"/>
      <c r="B38" s="240"/>
      <c r="C38" s="53"/>
    </row>
    <row r="39" spans="1:3" x14ac:dyDescent="0.25">
      <c r="A39" s="253"/>
      <c r="B39" s="240"/>
      <c r="C39" s="53"/>
    </row>
    <row r="40" spans="1:3" x14ac:dyDescent="0.25">
      <c r="A40" s="253"/>
      <c r="B40" s="240"/>
      <c r="C40" s="53"/>
    </row>
    <row r="41" spans="1:3" x14ac:dyDescent="0.25">
      <c r="A41" s="253"/>
      <c r="B41" s="240"/>
      <c r="C41" s="53"/>
    </row>
    <row r="42" spans="1:3" x14ac:dyDescent="0.25">
      <c r="A42" s="253"/>
      <c r="B42" s="240"/>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abSelected="1" workbookViewId="0">
      <selection activeCell="E20" sqref="E20"/>
    </sheetView>
  </sheetViews>
  <sheetFormatPr defaultRowHeight="13.2" x14ac:dyDescent="0.25"/>
  <cols>
    <col min="1" max="1" width="15.5546875" bestFit="1" customWidth="1"/>
    <col min="3" max="3" width="11.88671875" bestFit="1" customWidth="1"/>
    <col min="4" max="4" width="12.33203125" bestFit="1" customWidth="1"/>
    <col min="5" max="5" width="14.44140625" bestFit="1" customWidth="1"/>
    <col min="6" max="6" width="9.6640625" bestFit="1" customWidth="1"/>
    <col min="7" max="7" width="12" bestFit="1" customWidth="1"/>
    <col min="8" max="8" width="13.109375" bestFit="1" customWidth="1"/>
    <col min="9" max="9" width="10.21875" bestFit="1" customWidth="1"/>
    <col min="10" max="10" width="11" bestFit="1" customWidth="1"/>
    <col min="11" max="12" width="12.5546875" bestFit="1" customWidth="1"/>
    <col min="13" max="14" width="13.6640625" bestFit="1" customWidth="1"/>
    <col min="15" max="15" width="9.6640625" bestFit="1" customWidth="1"/>
  </cols>
  <sheetData>
    <row r="1" spans="1:14" ht="21" thickTop="1" thickBot="1" x14ac:dyDescent="0.45">
      <c r="A1" s="287" t="s">
        <v>117</v>
      </c>
      <c r="B1" s="287"/>
      <c r="G1" s="289" t="s">
        <v>484</v>
      </c>
      <c r="H1" s="290"/>
      <c r="I1" s="290"/>
      <c r="J1" s="290"/>
      <c r="K1" s="290"/>
      <c r="L1" s="290"/>
      <c r="M1" s="290"/>
      <c r="N1" s="291"/>
    </row>
    <row r="2" spans="1:14" ht="15" thickTop="1" x14ac:dyDescent="0.3">
      <c r="A2" s="166" t="s">
        <v>467</v>
      </c>
      <c r="B2" s="288">
        <v>3.5</v>
      </c>
      <c r="G2" s="292"/>
      <c r="H2" s="293"/>
      <c r="I2" s="293"/>
      <c r="J2" s="293"/>
      <c r="K2" s="293"/>
      <c r="L2" s="293"/>
      <c r="M2" s="293"/>
      <c r="N2" s="294"/>
    </row>
    <row r="3" spans="1:14" ht="20.399999999999999" thickBot="1" x14ac:dyDescent="0.45">
      <c r="A3" s="166"/>
      <c r="B3" s="288"/>
      <c r="G3" s="295" t="s">
        <v>482</v>
      </c>
      <c r="H3" s="296"/>
      <c r="I3" s="296"/>
      <c r="J3" s="296"/>
      <c r="K3" s="296"/>
      <c r="L3" s="296"/>
      <c r="M3" s="296"/>
      <c r="N3" s="297"/>
    </row>
    <row r="4" spans="1:14" ht="15.6" thickTop="1" thickBot="1" x14ac:dyDescent="0.35">
      <c r="A4" s="166"/>
      <c r="B4" s="288"/>
      <c r="G4" s="298" t="s">
        <v>474</v>
      </c>
      <c r="H4" s="299" t="s">
        <v>475</v>
      </c>
      <c r="I4" s="299" t="s">
        <v>476</v>
      </c>
      <c r="J4" s="299" t="s">
        <v>477</v>
      </c>
      <c r="K4" s="299" t="s">
        <v>478</v>
      </c>
      <c r="L4" s="299" t="s">
        <v>479</v>
      </c>
      <c r="M4" s="299" t="s">
        <v>480</v>
      </c>
      <c r="N4" s="300" t="s">
        <v>481</v>
      </c>
    </row>
    <row r="5" spans="1:14" ht="15.6" thickTop="1" thickBot="1" x14ac:dyDescent="0.35">
      <c r="A5" s="166" t="s">
        <v>461</v>
      </c>
      <c r="B5" s="301">
        <v>0.5</v>
      </c>
      <c r="G5" s="302" t="s">
        <v>468</v>
      </c>
      <c r="H5" s="303">
        <v>250</v>
      </c>
      <c r="I5" s="303">
        <f>H5*B$5</f>
        <v>125</v>
      </c>
      <c r="J5" s="303">
        <f>H5*B$6</f>
        <v>250</v>
      </c>
      <c r="K5" s="303">
        <f>H5*B$7</f>
        <v>875</v>
      </c>
      <c r="L5" s="303">
        <f>H5*B$8</f>
        <v>3062.5</v>
      </c>
      <c r="M5" s="303">
        <f>H5*B$9</f>
        <v>10718.75</v>
      </c>
      <c r="N5" s="304">
        <f>H5*B$10</f>
        <v>37515.625</v>
      </c>
    </row>
    <row r="6" spans="1:14" ht="15.6" thickTop="1" thickBot="1" x14ac:dyDescent="0.35">
      <c r="A6" s="166" t="s">
        <v>466</v>
      </c>
      <c r="B6" s="301">
        <v>1</v>
      </c>
      <c r="G6" s="302" t="s">
        <v>469</v>
      </c>
      <c r="H6" s="303">
        <v>350</v>
      </c>
      <c r="I6" s="303">
        <f t="shared" ref="I6:I10" si="0">H6*B$5</f>
        <v>175</v>
      </c>
      <c r="J6" s="303">
        <f t="shared" ref="J6:J10" si="1">H6*B$6</f>
        <v>350</v>
      </c>
      <c r="K6" s="303">
        <f t="shared" ref="K6:K10" si="2">H6*B$7</f>
        <v>1225</v>
      </c>
      <c r="L6" s="303">
        <f t="shared" ref="L6:L10" si="3">H6*B$8</f>
        <v>4287.5</v>
      </c>
      <c r="M6" s="303">
        <f t="shared" ref="M6:M10" si="4">H6*B$9</f>
        <v>15006.25</v>
      </c>
      <c r="N6" s="304">
        <f t="shared" ref="N6:N10" si="5">H6*B$10</f>
        <v>52521.875</v>
      </c>
    </row>
    <row r="7" spans="1:14" ht="15.6" thickTop="1" thickBot="1" x14ac:dyDescent="0.35">
      <c r="A7" s="166" t="s">
        <v>465</v>
      </c>
      <c r="B7" s="301">
        <f>B6*B$2</f>
        <v>3.5</v>
      </c>
      <c r="G7" s="302" t="s">
        <v>470</v>
      </c>
      <c r="H7" s="303">
        <v>750</v>
      </c>
      <c r="I7" s="303">
        <f t="shared" si="0"/>
        <v>375</v>
      </c>
      <c r="J7" s="303">
        <f t="shared" si="1"/>
        <v>750</v>
      </c>
      <c r="K7" s="303">
        <f t="shared" si="2"/>
        <v>2625</v>
      </c>
      <c r="L7" s="303">
        <f t="shared" si="3"/>
        <v>9187.5</v>
      </c>
      <c r="M7" s="303">
        <f t="shared" si="4"/>
        <v>32156.25</v>
      </c>
      <c r="N7" s="304">
        <f t="shared" si="5"/>
        <v>112546.875</v>
      </c>
    </row>
    <row r="8" spans="1:14" ht="15.6" thickTop="1" thickBot="1" x14ac:dyDescent="0.35">
      <c r="A8" s="166" t="s">
        <v>464</v>
      </c>
      <c r="B8" s="301">
        <f t="shared" ref="B8:B10" si="6">B7*B$2</f>
        <v>12.25</v>
      </c>
      <c r="G8" s="302" t="s">
        <v>471</v>
      </c>
      <c r="H8" s="303">
        <v>1250</v>
      </c>
      <c r="I8" s="303">
        <f t="shared" si="0"/>
        <v>625</v>
      </c>
      <c r="J8" s="303">
        <f t="shared" si="1"/>
        <v>1250</v>
      </c>
      <c r="K8" s="303">
        <f t="shared" si="2"/>
        <v>4375</v>
      </c>
      <c r="L8" s="303">
        <f t="shared" si="3"/>
        <v>15312.5</v>
      </c>
      <c r="M8" s="303">
        <f t="shared" si="4"/>
        <v>53593.75</v>
      </c>
      <c r="N8" s="304">
        <f t="shared" si="5"/>
        <v>187578.125</v>
      </c>
    </row>
    <row r="9" spans="1:14" ht="15.6" thickTop="1" thickBot="1" x14ac:dyDescent="0.35">
      <c r="A9" s="166" t="s">
        <v>463</v>
      </c>
      <c r="B9" s="301">
        <f t="shared" si="6"/>
        <v>42.875</v>
      </c>
      <c r="G9" s="302" t="s">
        <v>472</v>
      </c>
      <c r="H9" s="303">
        <v>2500</v>
      </c>
      <c r="I9" s="303">
        <f t="shared" si="0"/>
        <v>1250</v>
      </c>
      <c r="J9" s="303">
        <f t="shared" si="1"/>
        <v>2500</v>
      </c>
      <c r="K9" s="303">
        <f t="shared" si="2"/>
        <v>8750</v>
      </c>
      <c r="L9" s="303">
        <f t="shared" si="3"/>
        <v>30625</v>
      </c>
      <c r="M9" s="303">
        <f t="shared" si="4"/>
        <v>107187.5</v>
      </c>
      <c r="N9" s="304">
        <f t="shared" si="5"/>
        <v>375156.25</v>
      </c>
    </row>
    <row r="10" spans="1:14" ht="15.6" thickTop="1" thickBot="1" x14ac:dyDescent="0.35">
      <c r="A10" s="166" t="s">
        <v>462</v>
      </c>
      <c r="B10" s="301">
        <f t="shared" si="6"/>
        <v>150.0625</v>
      </c>
      <c r="G10" s="302" t="s">
        <v>473</v>
      </c>
      <c r="H10" s="303">
        <v>2000</v>
      </c>
      <c r="I10" s="303">
        <f t="shared" si="0"/>
        <v>1000</v>
      </c>
      <c r="J10" s="303">
        <f t="shared" si="1"/>
        <v>2000</v>
      </c>
      <c r="K10" s="303">
        <f t="shared" si="2"/>
        <v>7000</v>
      </c>
      <c r="L10" s="303">
        <f t="shared" si="3"/>
        <v>24500</v>
      </c>
      <c r="M10" s="303">
        <f t="shared" si="4"/>
        <v>85750</v>
      </c>
      <c r="N10" s="304">
        <f t="shared" si="5"/>
        <v>300125</v>
      </c>
    </row>
    <row r="11" spans="1:14" s="238" customFormat="1" ht="15.6" thickTop="1" thickBot="1" x14ac:dyDescent="0.35">
      <c r="A11" s="166"/>
      <c r="B11" s="288"/>
      <c r="G11" s="302" t="s">
        <v>485</v>
      </c>
      <c r="H11" s="303">
        <v>50000</v>
      </c>
      <c r="I11" s="303">
        <f t="shared" ref="I11" si="7">H11*B$5</f>
        <v>25000</v>
      </c>
      <c r="J11" s="303">
        <f t="shared" ref="J11" si="8">H11*B$6</f>
        <v>50000</v>
      </c>
      <c r="K11" s="303">
        <f t="shared" ref="K11" si="9">H11*B$7</f>
        <v>175000</v>
      </c>
      <c r="L11" s="303">
        <f t="shared" ref="L11" si="10">H11*B$8</f>
        <v>612500</v>
      </c>
      <c r="M11" s="303">
        <f t="shared" ref="M11" si="11">H11*B$9</f>
        <v>2143750</v>
      </c>
      <c r="N11" s="304">
        <f t="shared" ref="N11" si="12">H11*B$10</f>
        <v>7503125</v>
      </c>
    </row>
    <row r="12" spans="1:14" ht="13.8" thickTop="1" x14ac:dyDescent="0.25">
      <c r="G12" s="305"/>
      <c r="H12" s="306"/>
      <c r="I12" s="306"/>
      <c r="J12" s="306"/>
      <c r="K12" s="306"/>
      <c r="L12" s="306"/>
      <c r="M12" s="306"/>
      <c r="N12" s="307"/>
    </row>
    <row r="13" spans="1:14" ht="20.399999999999999" thickBot="1" x14ac:dyDescent="0.45">
      <c r="G13" s="308" t="s">
        <v>483</v>
      </c>
      <c r="H13" s="309"/>
      <c r="I13" s="309"/>
      <c r="J13" s="309"/>
      <c r="K13" s="309"/>
      <c r="L13" s="309"/>
      <c r="M13" s="309"/>
      <c r="N13" s="310"/>
    </row>
    <row r="14" spans="1:14" ht="15.6" thickTop="1" thickBot="1" x14ac:dyDescent="0.35">
      <c r="G14" s="302" t="s">
        <v>474</v>
      </c>
      <c r="H14" s="311" t="s">
        <v>475</v>
      </c>
      <c r="I14" s="311" t="s">
        <v>476</v>
      </c>
      <c r="J14" s="311" t="s">
        <v>477</v>
      </c>
      <c r="K14" s="311" t="s">
        <v>478</v>
      </c>
      <c r="L14" s="311" t="s">
        <v>479</v>
      </c>
      <c r="M14" s="311" t="s">
        <v>480</v>
      </c>
      <c r="N14" s="312" t="s">
        <v>481</v>
      </c>
    </row>
    <row r="15" spans="1:14" ht="15.6" thickTop="1" thickBot="1" x14ac:dyDescent="0.35">
      <c r="G15" s="302" t="s">
        <v>468</v>
      </c>
      <c r="H15" s="303">
        <f>H5*B$2</f>
        <v>875</v>
      </c>
      <c r="I15" s="303">
        <f>H15*B$5</f>
        <v>437.5</v>
      </c>
      <c r="J15" s="303">
        <f>H15*B$6</f>
        <v>875</v>
      </c>
      <c r="K15" s="303">
        <f>H15*B$7</f>
        <v>3062.5</v>
      </c>
      <c r="L15" s="303">
        <f>H15*B$8</f>
        <v>10718.75</v>
      </c>
      <c r="M15" s="303">
        <f>H15*B$9</f>
        <v>37515.625</v>
      </c>
      <c r="N15" s="304">
        <f>H15*B$10</f>
        <v>131304.6875</v>
      </c>
    </row>
    <row r="16" spans="1:14" ht="15.6" thickTop="1" thickBot="1" x14ac:dyDescent="0.35">
      <c r="G16" s="302" t="s">
        <v>469</v>
      </c>
      <c r="H16" s="303">
        <f>H6*B$2</f>
        <v>1225</v>
      </c>
      <c r="I16" s="303">
        <f t="shared" ref="I16:I19" si="13">H16*B$5</f>
        <v>612.5</v>
      </c>
      <c r="J16" s="303">
        <f t="shared" ref="J16:J19" si="14">H16*B$6</f>
        <v>1225</v>
      </c>
      <c r="K16" s="303">
        <f t="shared" ref="K16:K19" si="15">H16*B$7</f>
        <v>4287.5</v>
      </c>
      <c r="L16" s="303">
        <f t="shared" ref="L16:L19" si="16">H16*B$8</f>
        <v>15006.25</v>
      </c>
      <c r="M16" s="303">
        <f t="shared" ref="M16:M19" si="17">H16*B$9</f>
        <v>52521.875</v>
      </c>
      <c r="N16" s="304">
        <f t="shared" ref="N16:N19" si="18">H16*B$10</f>
        <v>183826.5625</v>
      </c>
    </row>
    <row r="17" spans="7:14" ht="15.6" thickTop="1" thickBot="1" x14ac:dyDescent="0.35">
      <c r="G17" s="302" t="s">
        <v>470</v>
      </c>
      <c r="H17" s="303">
        <f>H7*B$2</f>
        <v>2625</v>
      </c>
      <c r="I17" s="303">
        <f t="shared" si="13"/>
        <v>1312.5</v>
      </c>
      <c r="J17" s="303">
        <f t="shared" si="14"/>
        <v>2625</v>
      </c>
      <c r="K17" s="303">
        <f t="shared" si="15"/>
        <v>9187.5</v>
      </c>
      <c r="L17" s="303">
        <f t="shared" si="16"/>
        <v>32156.25</v>
      </c>
      <c r="M17" s="303">
        <f t="shared" si="17"/>
        <v>112546.875</v>
      </c>
      <c r="N17" s="304">
        <f t="shared" si="18"/>
        <v>393914.0625</v>
      </c>
    </row>
    <row r="18" spans="7:14" ht="15.6" thickTop="1" thickBot="1" x14ac:dyDescent="0.35">
      <c r="G18" s="302" t="s">
        <v>471</v>
      </c>
      <c r="H18" s="303">
        <f>H8*B$2</f>
        <v>4375</v>
      </c>
      <c r="I18" s="303">
        <f t="shared" si="13"/>
        <v>2187.5</v>
      </c>
      <c r="J18" s="303">
        <f t="shared" si="14"/>
        <v>4375</v>
      </c>
      <c r="K18" s="303">
        <f t="shared" si="15"/>
        <v>15312.5</v>
      </c>
      <c r="L18" s="303">
        <f t="shared" si="16"/>
        <v>53593.75</v>
      </c>
      <c r="M18" s="303">
        <f t="shared" si="17"/>
        <v>187578.125</v>
      </c>
      <c r="N18" s="304">
        <f t="shared" si="18"/>
        <v>656523.4375</v>
      </c>
    </row>
    <row r="19" spans="7:14" ht="15.6" thickTop="1" thickBot="1" x14ac:dyDescent="0.35">
      <c r="G19" s="302" t="s">
        <v>472</v>
      </c>
      <c r="H19" s="303">
        <f>H9*B$2</f>
        <v>8750</v>
      </c>
      <c r="I19" s="303">
        <f t="shared" si="13"/>
        <v>4375</v>
      </c>
      <c r="J19" s="303">
        <f t="shared" si="14"/>
        <v>8750</v>
      </c>
      <c r="K19" s="303">
        <f t="shared" si="15"/>
        <v>30625</v>
      </c>
      <c r="L19" s="303">
        <f t="shared" si="16"/>
        <v>107187.5</v>
      </c>
      <c r="M19" s="303">
        <f t="shared" si="17"/>
        <v>375156.25</v>
      </c>
      <c r="N19" s="304">
        <f t="shared" si="18"/>
        <v>1313046.875</v>
      </c>
    </row>
    <row r="20" spans="7:14" s="238" customFormat="1" ht="15.6" thickTop="1" thickBot="1" x14ac:dyDescent="0.35">
      <c r="G20" s="302" t="s">
        <v>473</v>
      </c>
      <c r="H20" s="313">
        <f>H10*B$2</f>
        <v>7000</v>
      </c>
      <c r="I20" s="313">
        <f>H20*B$5</f>
        <v>3500</v>
      </c>
      <c r="J20" s="313">
        <f>H20*B$6</f>
        <v>7000</v>
      </c>
      <c r="K20" s="313">
        <f>H20*B$7</f>
        <v>24500</v>
      </c>
      <c r="L20" s="313">
        <f>H20*B$8</f>
        <v>85750</v>
      </c>
      <c r="M20" s="313">
        <f>H20*B$9</f>
        <v>300125</v>
      </c>
      <c r="N20" s="314">
        <f>H20*B$10</f>
        <v>1050437.5</v>
      </c>
    </row>
    <row r="21" spans="7:14" ht="15.6" thickTop="1" thickBot="1" x14ac:dyDescent="0.35">
      <c r="G21" s="315" t="s">
        <v>485</v>
      </c>
      <c r="H21" s="313">
        <f>H11*B$2</f>
        <v>175000</v>
      </c>
      <c r="I21" s="313">
        <f>H21*B$5</f>
        <v>87500</v>
      </c>
      <c r="J21" s="313">
        <f>H21*B$6</f>
        <v>175000</v>
      </c>
      <c r="K21" s="313">
        <f>H21*B$7</f>
        <v>612500</v>
      </c>
      <c r="L21" s="313">
        <f>H21*B$8</f>
        <v>2143750</v>
      </c>
      <c r="M21" s="313">
        <f>H21*B$9</f>
        <v>7503125</v>
      </c>
      <c r="N21" s="314">
        <f>H21*B$10</f>
        <v>26260937.5</v>
      </c>
    </row>
    <row r="22" spans="7:14" ht="13.8" thickTop="1" x14ac:dyDescent="0.25"/>
  </sheetData>
  <mergeCells count="4">
    <mergeCell ref="A1:B1"/>
    <mergeCell ref="G3:N3"/>
    <mergeCell ref="G13:N13"/>
    <mergeCell ref="G1:N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4140625" defaultRowHeight="15.75" customHeight="1" x14ac:dyDescent="0.25"/>
  <sheetData>
    <row r="1" spans="1:4" ht="13.8" x14ac:dyDescent="0.25">
      <c r="A1" s="14">
        <f>2.4*8*400/1000</f>
        <v>7.68</v>
      </c>
      <c r="B1" s="14">
        <f>2.4*7*400/1000-400*1.8/1000</f>
        <v>6</v>
      </c>
      <c r="C1" s="14">
        <f>2.4*7*400/1000-400*1.2/1000</f>
        <v>6.24</v>
      </c>
      <c r="D1" s="14">
        <f>2.4*7*400/1000-400*1.8/1000</f>
        <v>6</v>
      </c>
    </row>
    <row r="2" spans="1:4" ht="15.75" customHeight="1" x14ac:dyDescent="0.25">
      <c r="A2">
        <f>A1/B1</f>
        <v>1.28</v>
      </c>
      <c r="B2">
        <f>B1/A1</f>
        <v>0.78125</v>
      </c>
    </row>
    <row r="9" spans="1:4" ht="15.75" customHeight="1" x14ac:dyDescent="0.25">
      <c r="A9" s="10" t="s">
        <v>18</v>
      </c>
      <c r="C9" s="10" t="s">
        <v>19</v>
      </c>
    </row>
    <row r="10" spans="1:4" ht="15.75" customHeight="1" x14ac:dyDescent="0.25">
      <c r="A10" s="10">
        <v>8.1</v>
      </c>
      <c r="C10" s="10">
        <v>34.5</v>
      </c>
    </row>
    <row r="13" spans="1:4" ht="15.75" customHeight="1" x14ac:dyDescent="0.25">
      <c r="D13">
        <f>160*5</f>
        <v>800</v>
      </c>
    </row>
    <row r="18" spans="3:8" ht="15.75" customHeight="1" x14ac:dyDescent="0.25">
      <c r="G18">
        <f>240*5</f>
        <v>1200</v>
      </c>
      <c r="H18">
        <f>160*5</f>
        <v>800</v>
      </c>
    </row>
    <row r="19" spans="3:8" ht="15.75" customHeight="1" x14ac:dyDescent="0.25">
      <c r="D19">
        <f>160/240</f>
        <v>0.66666666666666663</v>
      </c>
      <c r="E19" s="10">
        <v>400</v>
      </c>
      <c r="G19">
        <f>G18-(160*3)</f>
        <v>720</v>
      </c>
    </row>
    <row r="20" spans="3:8" ht="15.75" customHeight="1" x14ac:dyDescent="0.25">
      <c r="E20" s="10">
        <v>5200</v>
      </c>
      <c r="F20">
        <f>E20/E19</f>
        <v>13</v>
      </c>
    </row>
    <row r="23" spans="3:8" ht="15.75" customHeight="1" x14ac:dyDescent="0.25">
      <c r="C23">
        <f>240/160</f>
        <v>1.5</v>
      </c>
    </row>
    <row r="29" spans="3:8" ht="15.75" customHeight="1" x14ac:dyDescent="0.25">
      <c r="E29" s="10">
        <v>240</v>
      </c>
      <c r="F29">
        <f>E29*0.6</f>
        <v>144</v>
      </c>
    </row>
    <row r="30" spans="3:8" ht="15.75" customHeight="1" x14ac:dyDescent="0.25">
      <c r="E30" s="10">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4140625" defaultRowHeight="15.75" customHeight="1" x14ac:dyDescent="0.25"/>
  <cols>
    <col min="1" max="1" width="10.44140625" customWidth="1"/>
    <col min="2" max="2" width="15.88671875" customWidth="1"/>
    <col min="3" max="3" width="14.44140625" customWidth="1"/>
    <col min="4" max="4" width="7.109375" customWidth="1"/>
    <col min="5" max="6" width="12.6640625" customWidth="1"/>
    <col min="7" max="8" width="17" customWidth="1"/>
    <col min="9" max="10" width="15.5546875" customWidth="1"/>
    <col min="11" max="11" width="13.5546875" customWidth="1"/>
    <col min="12" max="13" width="20.33203125" customWidth="1"/>
    <col min="14" max="14" width="17.33203125" customWidth="1"/>
    <col min="15" max="15" width="7.109375" customWidth="1"/>
  </cols>
  <sheetData>
    <row r="1" spans="1:30" ht="15.75" customHeight="1" x14ac:dyDescent="0.25">
      <c r="A1" s="3" t="s">
        <v>3</v>
      </c>
      <c r="B1" s="3"/>
      <c r="C1" s="3"/>
      <c r="D1" s="3"/>
      <c r="E1" s="3"/>
      <c r="F1" s="3"/>
      <c r="G1" s="3"/>
      <c r="H1" s="3"/>
      <c r="I1" s="3"/>
      <c r="J1" s="4"/>
      <c r="K1" s="4"/>
      <c r="L1" s="5"/>
      <c r="M1" s="5"/>
      <c r="N1" s="5"/>
      <c r="O1" s="5"/>
      <c r="P1" s="6"/>
    </row>
    <row r="2" spans="1:30" ht="15.75" customHeight="1" x14ac:dyDescent="0.25">
      <c r="A2" s="8" t="s">
        <v>5</v>
      </c>
      <c r="B2" s="3"/>
      <c r="C2" s="3"/>
      <c r="D2" s="3"/>
      <c r="E2" s="3"/>
      <c r="F2" s="3"/>
      <c r="G2" s="3"/>
      <c r="H2" s="3"/>
      <c r="I2" s="3"/>
      <c r="J2" s="4"/>
      <c r="K2" s="4"/>
      <c r="L2" s="5"/>
      <c r="M2" s="5"/>
      <c r="N2" s="5"/>
      <c r="O2" s="5"/>
      <c r="P2" s="6"/>
      <c r="Q2" s="10"/>
    </row>
    <row r="3" spans="1:30" ht="15.75" customHeight="1" x14ac:dyDescent="0.25">
      <c r="A3" s="285" t="s">
        <v>9</v>
      </c>
      <c r="B3" s="240"/>
      <c r="C3" s="240"/>
      <c r="D3" s="240"/>
      <c r="E3" s="240"/>
      <c r="F3" s="240"/>
      <c r="G3" s="240"/>
      <c r="H3" s="240"/>
      <c r="I3" s="240"/>
      <c r="J3" s="5"/>
      <c r="K3" s="5"/>
      <c r="L3" s="5"/>
      <c r="M3" s="5"/>
      <c r="N3" s="5"/>
      <c r="O3" s="5"/>
      <c r="P3" s="19"/>
    </row>
    <row r="4" spans="1:30" ht="15.75" customHeight="1" x14ac:dyDescent="0.25">
      <c r="A4" s="5"/>
      <c r="B4" s="5"/>
      <c r="C4" s="5"/>
      <c r="D4" s="5"/>
      <c r="E4" s="5"/>
      <c r="F4" s="5"/>
      <c r="G4" s="5"/>
      <c r="H4" s="5"/>
      <c r="I4" s="5"/>
      <c r="J4" s="5"/>
      <c r="K4" s="5"/>
      <c r="L4" s="5"/>
      <c r="M4" s="5"/>
      <c r="N4" s="5"/>
      <c r="O4" s="5"/>
      <c r="P4" s="19"/>
    </row>
    <row r="5" spans="1:30" ht="15.6" x14ac:dyDescent="0.3">
      <c r="A5" s="247" t="s">
        <v>27</v>
      </c>
      <c r="B5" s="240"/>
      <c r="C5" s="240"/>
      <c r="D5" s="240"/>
      <c r="E5" s="240"/>
      <c r="F5" s="240"/>
      <c r="G5" s="240"/>
      <c r="H5" s="240"/>
      <c r="I5" s="240"/>
      <c r="J5" s="240"/>
      <c r="K5" s="240"/>
      <c r="L5" s="240"/>
      <c r="M5" s="12"/>
      <c r="N5" s="12"/>
      <c r="O5" s="12"/>
      <c r="P5" s="12"/>
    </row>
    <row r="6" spans="1:30" ht="13.8" x14ac:dyDescent="0.25">
      <c r="A6" s="20"/>
      <c r="B6" s="20"/>
      <c r="C6" s="22" t="s">
        <v>30</v>
      </c>
      <c r="D6" s="20"/>
      <c r="E6" s="20"/>
      <c r="F6" s="20"/>
      <c r="G6" s="20"/>
      <c r="H6" s="20"/>
      <c r="I6" s="20"/>
      <c r="J6" s="20"/>
      <c r="K6" s="284" t="s">
        <v>43</v>
      </c>
      <c r="L6" s="240"/>
      <c r="M6" s="23"/>
      <c r="N6" s="23"/>
      <c r="O6" s="23"/>
      <c r="P6" s="23"/>
    </row>
    <row r="7" spans="1:30" ht="13.8"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3.8"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5">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5">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5">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5">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5">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ht="15.6" x14ac:dyDescent="0.3">
      <c r="A15" s="247" t="s">
        <v>119</v>
      </c>
      <c r="B15" s="240"/>
      <c r="C15" s="240"/>
      <c r="D15" s="240"/>
      <c r="E15" s="240"/>
      <c r="F15" s="240"/>
      <c r="G15" s="240"/>
      <c r="H15" s="240"/>
      <c r="I15" s="240"/>
      <c r="J15" s="240"/>
      <c r="K15" s="240"/>
      <c r="L15" s="240"/>
      <c r="M15" s="12"/>
      <c r="N15" s="12"/>
      <c r="O15" s="12"/>
      <c r="P15" s="12"/>
      <c r="Q15" s="17"/>
      <c r="R15" s="17"/>
      <c r="S15" s="17"/>
      <c r="T15" s="17"/>
      <c r="U15" s="17"/>
      <c r="V15" s="17"/>
      <c r="W15" s="17"/>
      <c r="X15" s="17"/>
      <c r="Y15" s="17"/>
      <c r="Z15" s="17"/>
      <c r="AA15" s="17"/>
      <c r="AB15" s="17"/>
      <c r="AC15" s="17"/>
      <c r="AD15" s="17"/>
    </row>
    <row r="16" spans="1:30" ht="13.8" x14ac:dyDescent="0.25">
      <c r="A16" s="20"/>
      <c r="B16" s="20"/>
      <c r="C16" s="20"/>
      <c r="D16" s="20"/>
      <c r="E16" s="20"/>
      <c r="F16" s="20"/>
      <c r="G16" s="20"/>
      <c r="H16" s="20"/>
      <c r="I16" s="20"/>
      <c r="J16" s="20"/>
      <c r="K16" s="284" t="s">
        <v>120</v>
      </c>
      <c r="L16" s="240"/>
      <c r="M16" s="23"/>
      <c r="N16" s="23"/>
      <c r="O16" s="23"/>
      <c r="P16" s="23"/>
      <c r="Q16" s="43"/>
      <c r="R16" s="43"/>
      <c r="S16" s="43"/>
      <c r="T16" s="43"/>
      <c r="U16" s="43"/>
      <c r="V16" s="43"/>
      <c r="W16" s="43"/>
      <c r="X16" s="43"/>
      <c r="Y16" s="43"/>
      <c r="Z16" s="286"/>
      <c r="AA16" s="240"/>
      <c r="AB16" s="286"/>
      <c r="AC16" s="240"/>
      <c r="AD16" s="57"/>
    </row>
    <row r="17" spans="1:28" ht="13.8"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5">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5">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5">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5">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5">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5">
      <c r="E23" s="10"/>
      <c r="F23" s="10"/>
      <c r="K23" s="10" t="s">
        <v>175</v>
      </c>
      <c r="L23">
        <f>75*0.4</f>
        <v>30</v>
      </c>
    </row>
    <row r="24" spans="1:28" ht="15.75" customHeight="1" x14ac:dyDescent="0.25">
      <c r="E24" s="10"/>
    </row>
    <row r="26" spans="1:28" ht="15.75" customHeight="1" x14ac:dyDescent="0.25">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H10" sqref="H10"/>
    </sheetView>
  </sheetViews>
  <sheetFormatPr defaultColWidth="14.44140625" defaultRowHeight="15.75" customHeight="1" x14ac:dyDescent="0.25"/>
  <cols>
    <col min="1" max="1" width="13.88671875" customWidth="1"/>
    <col min="2" max="2" width="15.88671875" customWidth="1"/>
    <col min="4" max="4" width="14.44140625" style="116"/>
    <col min="7" max="7" width="14.44140625" style="116"/>
    <col min="8" max="8" width="19" style="141" bestFit="1" customWidth="1"/>
    <col min="9" max="9" width="20" customWidth="1"/>
    <col min="11" max="12" width="15.5546875" customWidth="1"/>
    <col min="13" max="14" width="15.5546875" style="116" customWidth="1"/>
    <col min="15" max="15" width="15.5546875" style="141" customWidth="1"/>
    <col min="16" max="16" width="28.109375" customWidth="1"/>
  </cols>
  <sheetData>
    <row r="1" spans="1:16" ht="15.6" x14ac:dyDescent="0.3">
      <c r="A1" s="2" t="s">
        <v>0</v>
      </c>
      <c r="B1" s="247" t="s">
        <v>4</v>
      </c>
      <c r="C1" s="240"/>
      <c r="D1" s="240"/>
      <c r="E1" s="240"/>
      <c r="F1" s="240"/>
      <c r="G1" s="240"/>
      <c r="H1" s="240"/>
      <c r="I1" s="240"/>
      <c r="J1" s="240"/>
      <c r="K1" s="240"/>
      <c r="L1" s="12"/>
      <c r="M1" s="117"/>
      <c r="N1" s="117"/>
      <c r="O1" s="142"/>
    </row>
    <row r="2" spans="1:16" ht="15.75" customHeight="1" x14ac:dyDescent="0.25">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5">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5">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5">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(B$34/G5)*K5</f>
        <v>4.0160642570281126</v>
      </c>
      <c r="O5" s="126">
        <f t="shared" ref="O5:O8" si="2">M5/N5</f>
        <v>2.4993726474278546</v>
      </c>
    </row>
    <row r="6" spans="1:16" ht="15.75" customHeight="1" x14ac:dyDescent="0.25">
      <c r="A6" s="10">
        <v>3</v>
      </c>
      <c r="B6" s="31">
        <f t="shared" ref="B6:B8" si="3">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ref="N6:N8" si="4">(B$34/G6)*K6</f>
        <v>3.3319450229071221</v>
      </c>
      <c r="O6" s="126">
        <f t="shared" si="2"/>
        <v>2.4997397188964081</v>
      </c>
    </row>
    <row r="7" spans="1:16" ht="15.75" customHeight="1" x14ac:dyDescent="0.25">
      <c r="A7" s="10">
        <v>4</v>
      </c>
      <c r="B7" s="31">
        <f t="shared" si="3"/>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4"/>
        <v>2.7480784919919277</v>
      </c>
      <c r="O7" s="126">
        <f t="shared" si="2"/>
        <v>2.499892657793044</v>
      </c>
    </row>
    <row r="8" spans="1:16" ht="15.75" customHeight="1" x14ac:dyDescent="0.25">
      <c r="A8" s="10">
        <v>5</v>
      </c>
      <c r="B8" s="31">
        <f t="shared" si="3"/>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4"/>
        <v>2.2542751976893678</v>
      </c>
      <c r="O8" s="126">
        <f t="shared" si="2"/>
        <v>2.4999339585259541</v>
      </c>
    </row>
    <row r="9" spans="1:16" ht="13.8" x14ac:dyDescent="0.25">
      <c r="A9" s="257" t="s">
        <v>117</v>
      </c>
      <c r="B9" s="240"/>
      <c r="C9" s="240"/>
      <c r="M9" s="140" t="s">
        <v>293</v>
      </c>
      <c r="N9" s="140" t="s">
        <v>293</v>
      </c>
      <c r="O9" s="140"/>
    </row>
    <row r="10" spans="1:16" ht="15.75" customHeight="1" x14ac:dyDescent="0.25">
      <c r="A10" s="256" t="s">
        <v>118</v>
      </c>
      <c r="B10" s="240"/>
      <c r="C10" s="50">
        <f>C4*14/5100</f>
        <v>1.6016000000000001</v>
      </c>
      <c r="D10" s="50"/>
      <c r="E10">
        <f>C8/C4</f>
        <v>24.305643058125018</v>
      </c>
    </row>
    <row r="11" spans="1:16" ht="15.75" customHeight="1" x14ac:dyDescent="0.25">
      <c r="A11" s="256" t="s">
        <v>121</v>
      </c>
      <c r="B11" s="240"/>
      <c r="C11" s="51">
        <v>1</v>
      </c>
      <c r="D11" s="51"/>
    </row>
    <row r="12" spans="1:16" ht="15.75" customHeight="1" x14ac:dyDescent="0.25">
      <c r="A12" s="256" t="s">
        <v>124</v>
      </c>
      <c r="B12" s="240"/>
      <c r="C12" s="121">
        <v>1.55</v>
      </c>
      <c r="D12" s="101"/>
      <c r="I12" s="10"/>
      <c r="J12">
        <f>8*0.65</f>
        <v>5.2</v>
      </c>
    </row>
    <row r="13" spans="1:16" ht="15.75" customHeight="1" x14ac:dyDescent="0.25">
      <c r="A13" s="256" t="s">
        <v>125</v>
      </c>
      <c r="B13" s="240"/>
      <c r="C13" s="53">
        <v>0.8</v>
      </c>
      <c r="D13" s="53"/>
      <c r="E13" s="119"/>
      <c r="J13">
        <f>8591/5200</f>
        <v>1.6521153846153847</v>
      </c>
      <c r="K13">
        <f>0.7+0.5-1</f>
        <v>0.19999999999999996</v>
      </c>
    </row>
    <row r="14" spans="1:16" ht="15.75" customHeight="1" x14ac:dyDescent="0.25">
      <c r="A14" s="256" t="s">
        <v>126</v>
      </c>
      <c r="B14" s="240"/>
      <c r="C14" s="53">
        <v>10</v>
      </c>
      <c r="D14" s="53"/>
      <c r="E14" s="10" t="s">
        <v>127</v>
      </c>
      <c r="F14" s="10" t="s">
        <v>128</v>
      </c>
      <c r="G14" s="10"/>
      <c r="H14" s="10"/>
    </row>
    <row r="15" spans="1:16" ht="15.75" customHeight="1" x14ac:dyDescent="0.25">
      <c r="A15" s="254" t="s">
        <v>311</v>
      </c>
      <c r="B15" s="240"/>
      <c r="C15" s="121">
        <v>1.3</v>
      </c>
      <c r="D15" s="128"/>
      <c r="E15" s="10">
        <v>2</v>
      </c>
      <c r="F15" s="16">
        <f>C5/C4</f>
        <v>2.2165000000000004</v>
      </c>
      <c r="G15" s="16"/>
      <c r="H15" s="16"/>
      <c r="P15" s="119" t="s">
        <v>280</v>
      </c>
    </row>
    <row r="16" spans="1:16" ht="15.75" customHeight="1" x14ac:dyDescent="0.25">
      <c r="A16" s="255" t="s">
        <v>312</v>
      </c>
      <c r="B16" s="240"/>
      <c r="C16" s="138">
        <v>1.1000000000000001</v>
      </c>
      <c r="D16" s="53"/>
      <c r="E16" s="10">
        <v>3</v>
      </c>
      <c r="F16" s="16">
        <f>C6/C5</f>
        <v>2.2257258064516132</v>
      </c>
      <c r="G16" s="16"/>
      <c r="H16" s="16"/>
    </row>
    <row r="17" spans="1:8" ht="15.75" customHeight="1" x14ac:dyDescent="0.25">
      <c r="A17" s="255" t="s">
        <v>310</v>
      </c>
      <c r="B17" s="240"/>
      <c r="C17" s="138">
        <v>1</v>
      </c>
      <c r="D17" s="53"/>
      <c r="E17" s="10">
        <v>4</v>
      </c>
      <c r="F17" s="16">
        <f>C7/C6</f>
        <v>2.2227979274611402</v>
      </c>
      <c r="G17" s="16"/>
      <c r="H17" s="16"/>
    </row>
    <row r="18" spans="1:8" ht="15.75" customHeight="1" x14ac:dyDescent="0.25">
      <c r="A18" s="253"/>
      <c r="B18" s="240"/>
      <c r="C18" s="53"/>
      <c r="D18" s="53"/>
      <c r="E18" s="10">
        <v>5</v>
      </c>
      <c r="F18" s="16">
        <f>C8/C7</f>
        <v>2.2165000000000004</v>
      </c>
      <c r="G18" s="16"/>
      <c r="H18" s="16"/>
    </row>
    <row r="19" spans="1:8" ht="15.75" customHeight="1" x14ac:dyDescent="0.25">
      <c r="A19" s="253"/>
      <c r="B19" s="240"/>
      <c r="C19" s="53"/>
      <c r="D19" s="53"/>
    </row>
    <row r="21" spans="1:8" ht="15.75" customHeight="1" x14ac:dyDescent="0.25">
      <c r="B21" s="119" t="s">
        <v>275</v>
      </c>
      <c r="D21" s="119" t="s">
        <v>279</v>
      </c>
      <c r="G21" s="122" t="s">
        <v>278</v>
      </c>
      <c r="H21" s="122"/>
    </row>
    <row r="22" spans="1:8" ht="15.75" customHeight="1" x14ac:dyDescent="0.25">
      <c r="B22" s="119" t="s">
        <v>276</v>
      </c>
      <c r="C22" s="124">
        <v>1</v>
      </c>
      <c r="D22" s="125">
        <f>C22*1000</f>
        <v>1000</v>
      </c>
      <c r="G22" s="123">
        <f>E4/10</f>
        <v>0.08</v>
      </c>
      <c r="H22" s="123"/>
    </row>
    <row r="23" spans="1:8" ht="15.75" customHeight="1" x14ac:dyDescent="0.25">
      <c r="B23" s="119" t="s">
        <v>277</v>
      </c>
      <c r="C23" s="124">
        <v>2.5</v>
      </c>
      <c r="D23" s="125">
        <f>D22*C23</f>
        <v>2500</v>
      </c>
      <c r="G23" s="123">
        <f>E5/10</f>
        <v>0.124</v>
      </c>
      <c r="H23" s="123"/>
    </row>
    <row r="24" spans="1:8" ht="15.75" customHeight="1" x14ac:dyDescent="0.25">
      <c r="B24" s="119"/>
      <c r="C24" s="124"/>
      <c r="D24" s="125"/>
      <c r="G24" s="123">
        <f>E6/10</f>
        <v>0.193</v>
      </c>
      <c r="H24" s="123"/>
    </row>
    <row r="25" spans="1:8" ht="15.75" customHeight="1" x14ac:dyDescent="0.25">
      <c r="B25" s="119"/>
      <c r="C25" s="124"/>
      <c r="D25" s="125"/>
      <c r="G25" s="123">
        <f>E7/10</f>
        <v>0.3</v>
      </c>
      <c r="H25" s="123"/>
    </row>
    <row r="26" spans="1:8" ht="15.75" customHeight="1" x14ac:dyDescent="0.25">
      <c r="G26" s="123">
        <f>E8/10</f>
        <v>0.46500000000000002</v>
      </c>
      <c r="H26" s="123"/>
    </row>
    <row r="34" spans="1:2" ht="15.75" customHeight="1" x14ac:dyDescent="0.25">
      <c r="A34" s="119" t="s">
        <v>314</v>
      </c>
      <c r="B34">
        <v>8000</v>
      </c>
    </row>
    <row r="35" spans="1:2" ht="15.75" customHeight="1" x14ac:dyDescent="0.25">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15" sqref="G15"/>
    </sheetView>
  </sheetViews>
  <sheetFormatPr defaultRowHeight="13.2" x14ac:dyDescent="0.25"/>
  <cols>
    <col min="1" max="1" width="15.5546875" bestFit="1" customWidth="1"/>
    <col min="2" max="2" width="16.88671875" customWidth="1"/>
    <col min="4" max="4" width="10.6640625" customWidth="1"/>
    <col min="5" max="5" width="15.6640625" customWidth="1"/>
    <col min="6" max="6" width="14.109375" bestFit="1" customWidth="1"/>
    <col min="7" max="7" width="23" bestFit="1" customWidth="1"/>
    <col min="8" max="8" width="30" bestFit="1" customWidth="1"/>
  </cols>
  <sheetData>
    <row r="1" spans="1:9" ht="14.4" x14ac:dyDescent="0.3">
      <c r="D1" s="258" t="s">
        <v>281</v>
      </c>
      <c r="E1" s="258"/>
      <c r="F1" s="258"/>
      <c r="G1" s="258"/>
      <c r="H1" s="258"/>
    </row>
    <row r="2" spans="1:9" ht="14.4" x14ac:dyDescent="0.3">
      <c r="D2" s="130" t="s">
        <v>66</v>
      </c>
      <c r="E2" s="130" t="s">
        <v>282</v>
      </c>
      <c r="F2" s="130" t="s">
        <v>283</v>
      </c>
      <c r="G2" s="130" t="s">
        <v>294</v>
      </c>
      <c r="H2" s="130" t="s">
        <v>321</v>
      </c>
    </row>
    <row r="3" spans="1:9" ht="14.4" x14ac:dyDescent="0.3">
      <c r="D3" s="131">
        <v>1</v>
      </c>
      <c r="E3" s="133">
        <f>C27*((B$10-B$12)*C29)</f>
        <v>90.285714285714292</v>
      </c>
      <c r="F3" s="137">
        <f>E3/C27</f>
        <v>1.504761904761905</v>
      </c>
      <c r="G3" s="133">
        <f>E3*B$23</f>
        <v>1580000</v>
      </c>
      <c r="H3" s="132">
        <f>E3/E$3</f>
        <v>1</v>
      </c>
      <c r="I3" s="119" t="s">
        <v>305</v>
      </c>
    </row>
    <row r="4" spans="1:9" ht="14.4" x14ac:dyDescent="0.3">
      <c r="D4" s="131">
        <v>2</v>
      </c>
      <c r="E4" s="133">
        <f>E3*((B$10-B$12)*C30)</f>
        <v>203.78775510204088</v>
      </c>
      <c r="F4" s="132">
        <f>E4/E3</f>
        <v>2.2571428571428576</v>
      </c>
      <c r="G4" s="133">
        <f t="shared" ref="G4:G7" si="0">E4*B$23</f>
        <v>3566285.7142857155</v>
      </c>
      <c r="H4" s="137">
        <f>E4/E$3</f>
        <v>2.2571428571428576</v>
      </c>
      <c r="I4" s="119" t="s">
        <v>306</v>
      </c>
    </row>
    <row r="5" spans="1:9" ht="14.4" x14ac:dyDescent="0.3">
      <c r="D5" s="131">
        <v>3</v>
      </c>
      <c r="E5" s="133">
        <f>E4*((B$10-B$12)*C31)</f>
        <v>689.96711370262415</v>
      </c>
      <c r="F5" s="132">
        <f t="shared" ref="F5:F7" si="1">E5/E4</f>
        <v>3.3857142857142861</v>
      </c>
      <c r="G5" s="133">
        <f t="shared" si="0"/>
        <v>12074424.489795923</v>
      </c>
      <c r="H5" s="137">
        <f t="shared" ref="H5:H6" si="2">E5/E$3</f>
        <v>7.6420408163265323</v>
      </c>
      <c r="I5" s="119" t="s">
        <v>309</v>
      </c>
    </row>
    <row r="6" spans="1:9" ht="14.4" x14ac:dyDescent="0.3">
      <c r="D6" s="131">
        <v>4</v>
      </c>
      <c r="E6" s="133">
        <f>E5*((B$10-B$12)*C32)</f>
        <v>3504.0472703040418</v>
      </c>
      <c r="F6" s="132">
        <f t="shared" si="1"/>
        <v>5.0785714285714292</v>
      </c>
      <c r="G6" s="133">
        <f t="shared" si="0"/>
        <v>61320827.230320729</v>
      </c>
      <c r="H6" s="137">
        <f t="shared" si="2"/>
        <v>38.810650145772613</v>
      </c>
      <c r="I6" s="119" t="s">
        <v>308</v>
      </c>
    </row>
    <row r="7" spans="1:9" ht="14.4" x14ac:dyDescent="0.3">
      <c r="D7" s="131">
        <v>5</v>
      </c>
      <c r="E7" s="133">
        <f>E6*((B$10-B$12)*C33)</f>
        <v>26693.331526994723</v>
      </c>
      <c r="F7" s="132">
        <f t="shared" si="1"/>
        <v>7.6178571428571438</v>
      </c>
      <c r="G7" s="133">
        <f t="shared" si="0"/>
        <v>467133301.72240764</v>
      </c>
      <c r="H7" s="137">
        <f>E7/E$3</f>
        <v>295.65398843190354</v>
      </c>
      <c r="I7" s="119" t="s">
        <v>307</v>
      </c>
    </row>
    <row r="8" spans="1:9" x14ac:dyDescent="0.25">
      <c r="G8" s="136"/>
    </row>
    <row r="10" spans="1:9" x14ac:dyDescent="0.25">
      <c r="A10" s="119" t="s">
        <v>295</v>
      </c>
      <c r="B10" s="124">
        <f>B23/B24</f>
        <v>2.3333333333333335</v>
      </c>
    </row>
    <row r="11" spans="1:9" x14ac:dyDescent="0.25">
      <c r="A11" s="119" t="s">
        <v>296</v>
      </c>
      <c r="B11" s="124">
        <f>(B23-B24)/(0.01*B23)/100</f>
        <v>0.57142857142857151</v>
      </c>
    </row>
    <row r="12" spans="1:9" x14ac:dyDescent="0.25">
      <c r="A12" s="119" t="s">
        <v>297</v>
      </c>
      <c r="B12" s="124">
        <f>B24/B23</f>
        <v>0.42857142857142855</v>
      </c>
    </row>
    <row r="13" spans="1:9" x14ac:dyDescent="0.25">
      <c r="B13" s="124">
        <f>SUM(B11:B12)</f>
        <v>1</v>
      </c>
    </row>
    <row r="14" spans="1:9" x14ac:dyDescent="0.25">
      <c r="C14" s="124"/>
    </row>
    <row r="16" spans="1:9" x14ac:dyDescent="0.25">
      <c r="A16" s="119" t="s">
        <v>287</v>
      </c>
    </row>
    <row r="17" spans="1:5" x14ac:dyDescent="0.25">
      <c r="A17" s="119" t="s">
        <v>286</v>
      </c>
      <c r="B17" s="125">
        <v>12500</v>
      </c>
      <c r="C17" t="str">
        <f>C20</f>
        <v>ticks</v>
      </c>
      <c r="D17" s="135">
        <f>B17/60</f>
        <v>208.33333333333334</v>
      </c>
      <c r="E17" s="119" t="s">
        <v>293</v>
      </c>
    </row>
    <row r="18" spans="1:5" x14ac:dyDescent="0.25">
      <c r="A18" s="119" t="s">
        <v>288</v>
      </c>
      <c r="B18" s="125">
        <v>5000</v>
      </c>
      <c r="C18" t="str">
        <f>C20</f>
        <v>ticks</v>
      </c>
      <c r="D18" s="135">
        <f t="shared" ref="D18:D21" si="3">B18/60</f>
        <v>83.333333333333329</v>
      </c>
      <c r="E18" t="str">
        <f>E17</f>
        <v>seconds</v>
      </c>
    </row>
    <row r="19" spans="1:5" x14ac:dyDescent="0.25">
      <c r="A19" s="119" t="s">
        <v>289</v>
      </c>
      <c r="B19" s="125">
        <v>2500</v>
      </c>
      <c r="C19" t="str">
        <f>C20</f>
        <v>ticks</v>
      </c>
      <c r="D19" s="135">
        <f t="shared" si="3"/>
        <v>41.666666666666664</v>
      </c>
      <c r="E19" t="str">
        <f>E18</f>
        <v>seconds</v>
      </c>
    </row>
    <row r="20" spans="1:5" x14ac:dyDescent="0.25">
      <c r="A20" s="119" t="s">
        <v>290</v>
      </c>
      <c r="B20" s="125">
        <v>5000</v>
      </c>
      <c r="C20" t="str">
        <f>C23</f>
        <v>ticks</v>
      </c>
      <c r="D20" s="135">
        <f t="shared" si="3"/>
        <v>83.333333333333329</v>
      </c>
      <c r="E20" t="str">
        <f>E19</f>
        <v>seconds</v>
      </c>
    </row>
    <row r="21" spans="1:5" x14ac:dyDescent="0.25">
      <c r="A21" s="119" t="s">
        <v>291</v>
      </c>
      <c r="B21" s="125">
        <f>SUM(B17:B20)</f>
        <v>25000</v>
      </c>
      <c r="C21" s="119" t="s">
        <v>285</v>
      </c>
      <c r="D21" s="135">
        <f t="shared" si="3"/>
        <v>416.66666666666669</v>
      </c>
      <c r="E21" t="str">
        <f>E20</f>
        <v>seconds</v>
      </c>
    </row>
    <row r="23" spans="1:5" x14ac:dyDescent="0.25">
      <c r="A23" s="119" t="s">
        <v>284</v>
      </c>
      <c r="B23" s="125">
        <f>B17+((B18/2)+(B20/2))</f>
        <v>17500</v>
      </c>
      <c r="C23" s="119" t="s">
        <v>285</v>
      </c>
      <c r="D23" s="135">
        <f>B23/60</f>
        <v>291.66666666666669</v>
      </c>
      <c r="E23" t="str">
        <f>E21</f>
        <v>seconds</v>
      </c>
    </row>
    <row r="24" spans="1:5" x14ac:dyDescent="0.25">
      <c r="A24" s="119" t="s">
        <v>292</v>
      </c>
      <c r="B24" s="134">
        <f>B21-B23</f>
        <v>7500</v>
      </c>
      <c r="C24" t="str">
        <f>C23</f>
        <v>ticks</v>
      </c>
      <c r="D24" s="135">
        <f>B24/60</f>
        <v>125</v>
      </c>
      <c r="E24" t="str">
        <f>E23</f>
        <v>seconds</v>
      </c>
    </row>
    <row r="26" spans="1:5" ht="13.8" x14ac:dyDescent="0.25">
      <c r="A26" s="257" t="s">
        <v>117</v>
      </c>
      <c r="B26" s="240"/>
      <c r="C26" s="240"/>
    </row>
    <row r="27" spans="1:5" x14ac:dyDescent="0.25">
      <c r="A27" s="254" t="s">
        <v>302</v>
      </c>
      <c r="B27" s="240"/>
      <c r="C27" s="129">
        <v>60</v>
      </c>
    </row>
    <row r="28" spans="1:5" x14ac:dyDescent="0.25">
      <c r="A28" s="254"/>
      <c r="B28" s="240"/>
      <c r="C28" s="139"/>
    </row>
    <row r="29" spans="1:5" x14ac:dyDescent="0.25">
      <c r="A29" s="254" t="s">
        <v>303</v>
      </c>
      <c r="B29" s="240"/>
      <c r="C29" s="121">
        <v>0.79</v>
      </c>
    </row>
    <row r="30" spans="1:5" x14ac:dyDescent="0.25">
      <c r="A30" s="254" t="s">
        <v>299</v>
      </c>
      <c r="B30" s="254"/>
      <c r="C30" s="138">
        <f>C29*C$34</f>
        <v>1.1850000000000001</v>
      </c>
    </row>
    <row r="31" spans="1:5" x14ac:dyDescent="0.25">
      <c r="A31" s="254" t="s">
        <v>298</v>
      </c>
      <c r="B31" s="254"/>
      <c r="C31" s="138">
        <f t="shared" ref="C31:C33" si="4">C30*C$34</f>
        <v>1.7775000000000001</v>
      </c>
    </row>
    <row r="32" spans="1:5" x14ac:dyDescent="0.25">
      <c r="A32" s="254" t="s">
        <v>300</v>
      </c>
      <c r="B32" s="254"/>
      <c r="C32" s="138">
        <f t="shared" si="4"/>
        <v>2.6662500000000002</v>
      </c>
    </row>
    <row r="33" spans="1:3" x14ac:dyDescent="0.25">
      <c r="A33" s="255" t="s">
        <v>301</v>
      </c>
      <c r="B33" s="253"/>
      <c r="C33" s="138">
        <f t="shared" si="4"/>
        <v>3.9993750000000006</v>
      </c>
    </row>
    <row r="34" spans="1:3" x14ac:dyDescent="0.25">
      <c r="A34" s="255" t="s">
        <v>304</v>
      </c>
      <c r="B34" s="240"/>
      <c r="C34" s="53">
        <v>1.5</v>
      </c>
    </row>
    <row r="35" spans="1:3" x14ac:dyDescent="0.25">
      <c r="A35" s="253"/>
      <c r="B35" s="240"/>
      <c r="C35" s="53"/>
    </row>
    <row r="36" spans="1:3" x14ac:dyDescent="0.25">
      <c r="A36" s="253"/>
      <c r="B36" s="240"/>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3"/>
  <sheetViews>
    <sheetView zoomScaleNormal="100" workbookViewId="0">
      <selection activeCell="AG3" sqref="A1:XFD1048576"/>
    </sheetView>
  </sheetViews>
  <sheetFormatPr defaultRowHeight="13.2" x14ac:dyDescent="0.25"/>
  <cols>
    <col min="1" max="1" width="20" customWidth="1"/>
    <col min="2" max="2" width="9.109375" customWidth="1"/>
    <col min="3" max="3" width="1.6640625" customWidth="1"/>
    <col min="4" max="4" width="1.6640625" style="215" customWidth="1"/>
    <col min="5" max="5" width="1.6640625" customWidth="1"/>
    <col min="7" max="7" width="4.33203125" customWidth="1"/>
    <col min="10" max="10" width="4.33203125" customWidth="1"/>
    <col min="13" max="13" width="9.109375" customWidth="1"/>
    <col min="17" max="19" width="1.6640625" customWidth="1"/>
    <col min="21" max="21" width="4.33203125" customWidth="1"/>
    <col min="22" max="22" width="9.109375" style="215" customWidth="1"/>
    <col min="23" max="23" width="9.109375" customWidth="1"/>
    <col min="24" max="24" width="4.33203125" customWidth="1"/>
    <col min="25" max="25" width="9.109375" customWidth="1"/>
    <col min="28" max="28" width="9.109375" customWidth="1"/>
    <col min="31" max="33" width="1.6640625" customWidth="1"/>
    <col min="35" max="35" width="4.33203125" customWidth="1"/>
    <col min="37" max="37" width="9.109375" customWidth="1"/>
    <col min="38" max="38" width="4.33203125" customWidth="1"/>
    <col min="42" max="42" width="9.109375" customWidth="1"/>
    <col min="45" max="45" width="9.109375" customWidth="1"/>
    <col min="48" max="48" width="9.109375" customWidth="1"/>
    <col min="55" max="55" width="9.109375" customWidth="1"/>
    <col min="60" max="60" width="9.109375" customWidth="1"/>
    <col min="63" max="63" width="9.109375" customWidth="1"/>
    <col min="66" max="66" width="9.109375" customWidth="1"/>
  </cols>
  <sheetData>
    <row r="1" spans="1:79" x14ac:dyDescent="0.25">
      <c r="BP1" s="119"/>
    </row>
    <row r="2" spans="1:79" ht="13.8" thickBot="1" x14ac:dyDescent="0.3"/>
    <row r="3" spans="1:79" ht="14.4" thickBot="1" x14ac:dyDescent="0.3">
      <c r="A3" s="144" t="s">
        <v>333</v>
      </c>
      <c r="E3" s="259" t="s">
        <v>416</v>
      </c>
      <c r="F3" s="260"/>
      <c r="G3" s="261"/>
      <c r="H3" s="214"/>
      <c r="S3" s="259" t="s">
        <v>418</v>
      </c>
      <c r="T3" s="262"/>
      <c r="U3" s="263"/>
      <c r="AG3" s="259" t="s">
        <v>417</v>
      </c>
      <c r="AH3" s="262"/>
      <c r="AI3" s="263"/>
    </row>
    <row r="6" spans="1:79" ht="12.75" customHeight="1" x14ac:dyDescent="0.4">
      <c r="A6" s="147" t="s">
        <v>384</v>
      </c>
      <c r="B6" s="146"/>
      <c r="C6" s="147" t="s">
        <v>419</v>
      </c>
      <c r="D6" s="147"/>
      <c r="E6" s="146"/>
      <c r="F6" s="147"/>
      <c r="G6" s="146"/>
      <c r="H6" s="174" t="s">
        <v>335</v>
      </c>
      <c r="I6" s="174" t="s">
        <v>335</v>
      </c>
      <c r="J6" s="146"/>
      <c r="K6" s="174" t="s">
        <v>427</v>
      </c>
      <c r="L6" s="217"/>
      <c r="M6" s="195"/>
      <c r="N6" s="217"/>
      <c r="O6" s="147" t="s">
        <v>425</v>
      </c>
      <c r="P6" s="146"/>
      <c r="Q6" s="147" t="s">
        <v>419</v>
      </c>
      <c r="R6" s="147"/>
      <c r="S6" s="146"/>
      <c r="T6" s="147"/>
      <c r="U6" s="146"/>
      <c r="V6" s="174" t="s">
        <v>335</v>
      </c>
      <c r="W6" s="174" t="s">
        <v>335</v>
      </c>
      <c r="X6" s="146"/>
      <c r="Y6" s="174" t="s">
        <v>427</v>
      </c>
      <c r="Z6" s="217"/>
      <c r="AA6" s="195"/>
      <c r="AB6" s="217"/>
      <c r="AC6" s="147" t="s">
        <v>425</v>
      </c>
      <c r="AD6" s="146"/>
      <c r="AE6" s="147" t="s">
        <v>419</v>
      </c>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4">
      <c r="A7" s="146"/>
      <c r="B7" s="153"/>
      <c r="C7" s="146"/>
      <c r="D7" s="146"/>
      <c r="E7" s="146"/>
      <c r="F7" s="147" t="s">
        <v>336</v>
      </c>
      <c r="G7" s="153"/>
      <c r="H7" s="174" t="s">
        <v>342</v>
      </c>
      <c r="I7" s="175" t="s">
        <v>342</v>
      </c>
      <c r="J7" s="153"/>
      <c r="K7" s="174"/>
      <c r="L7" s="217"/>
      <c r="M7" s="195"/>
      <c r="N7" s="213"/>
      <c r="O7" s="146"/>
      <c r="P7" s="153"/>
      <c r="Q7" s="146"/>
      <c r="R7" s="146"/>
      <c r="S7" s="146"/>
      <c r="T7" s="147" t="s">
        <v>336</v>
      </c>
      <c r="U7" s="153"/>
      <c r="V7" s="175" t="s">
        <v>342</v>
      </c>
      <c r="W7" s="174" t="s">
        <v>342</v>
      </c>
      <c r="X7" s="153"/>
      <c r="Y7" s="174"/>
      <c r="Z7" s="217"/>
      <c r="AA7" s="195"/>
      <c r="AB7" s="213"/>
      <c r="AC7" s="146"/>
      <c r="AD7" s="153"/>
      <c r="AE7" s="146"/>
      <c r="AF7" s="146"/>
      <c r="AG7" s="146"/>
      <c r="AH7" s="147" t="s">
        <v>336</v>
      </c>
      <c r="AI7" s="153"/>
      <c r="AJ7" s="175" t="s">
        <v>342</v>
      </c>
      <c r="AK7" s="174" t="s">
        <v>342</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5">
      <c r="A8" s="148" t="s">
        <v>420</v>
      </c>
      <c r="B8" s="153"/>
      <c r="C8" s="148">
        <v>2</v>
      </c>
      <c r="D8" s="148" t="s">
        <v>426</v>
      </c>
      <c r="E8" s="149">
        <v>2</v>
      </c>
      <c r="F8" s="152">
        <f>E8*C8</f>
        <v>4</v>
      </c>
      <c r="G8" s="153"/>
      <c r="H8" s="152">
        <f>V8*K8</f>
        <v>8.5</v>
      </c>
      <c r="I8" s="152">
        <f>H8*F8</f>
        <v>34</v>
      </c>
      <c r="J8" s="153"/>
      <c r="K8" s="152">
        <v>0.85</v>
      </c>
      <c r="L8" s="195"/>
      <c r="M8" s="195"/>
      <c r="N8" s="195"/>
      <c r="O8" s="148" t="s">
        <v>420</v>
      </c>
      <c r="P8" s="153"/>
      <c r="Q8" s="148">
        <v>3</v>
      </c>
      <c r="R8" s="148" t="s">
        <v>426</v>
      </c>
      <c r="S8" s="149">
        <v>3</v>
      </c>
      <c r="T8" s="152">
        <f>S8*Q8</f>
        <v>9</v>
      </c>
      <c r="U8" s="153"/>
      <c r="V8" s="152">
        <f>W8/T8</f>
        <v>10</v>
      </c>
      <c r="W8" s="152">
        <v>90</v>
      </c>
      <c r="X8" s="153"/>
      <c r="Y8" s="152">
        <v>1</v>
      </c>
      <c r="Z8" s="195"/>
      <c r="AA8" s="195"/>
      <c r="AB8" s="195"/>
      <c r="AC8" s="148" t="s">
        <v>420</v>
      </c>
      <c r="AD8" s="153"/>
      <c r="AE8" s="148">
        <v>4</v>
      </c>
      <c r="AF8" s="148" t="s">
        <v>426</v>
      </c>
      <c r="AG8" s="149">
        <v>4</v>
      </c>
      <c r="AH8" s="152">
        <f>AG8*AE8</f>
        <v>16</v>
      </c>
      <c r="AI8" s="153"/>
      <c r="AJ8" s="152">
        <f>V8*AM8</f>
        <v>11</v>
      </c>
      <c r="AK8" s="152">
        <f>AJ8*AH8</f>
        <v>176</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5">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5">
      <c r="A10" s="148" t="s">
        <v>421</v>
      </c>
      <c r="B10" s="153"/>
      <c r="C10" s="148">
        <v>2</v>
      </c>
      <c r="D10" s="148" t="s">
        <v>426</v>
      </c>
      <c r="E10" s="149">
        <v>2</v>
      </c>
      <c r="F10" s="152">
        <f>E10*C10</f>
        <v>4</v>
      </c>
      <c r="G10" s="153"/>
      <c r="H10" s="152">
        <f>V10*K10</f>
        <v>18.133333333333336</v>
      </c>
      <c r="I10" s="152">
        <f>H10*F10</f>
        <v>72.533333333333346</v>
      </c>
      <c r="J10" s="153"/>
      <c r="K10" s="152">
        <v>0.8</v>
      </c>
      <c r="L10" s="195"/>
      <c r="M10" s="195"/>
      <c r="N10" s="195"/>
      <c r="O10" s="148" t="s">
        <v>421</v>
      </c>
      <c r="P10" s="153"/>
      <c r="Q10" s="149">
        <v>3</v>
      </c>
      <c r="R10" s="148" t="s">
        <v>426</v>
      </c>
      <c r="S10" s="149">
        <v>3</v>
      </c>
      <c r="T10" s="152">
        <f>S10*Q10</f>
        <v>9</v>
      </c>
      <c r="U10" s="153"/>
      <c r="V10" s="152">
        <f>W10/T10</f>
        <v>22.666666666666668</v>
      </c>
      <c r="W10" s="152">
        <v>204</v>
      </c>
      <c r="X10" s="153"/>
      <c r="Y10" s="152">
        <v>1</v>
      </c>
      <c r="Z10" s="195"/>
      <c r="AA10" s="195"/>
      <c r="AB10" s="195"/>
      <c r="AC10" s="148" t="s">
        <v>421</v>
      </c>
      <c r="AD10" s="153"/>
      <c r="AE10" s="149">
        <v>4</v>
      </c>
      <c r="AF10" s="148" t="s">
        <v>426</v>
      </c>
      <c r="AG10" s="149">
        <v>4</v>
      </c>
      <c r="AH10" s="152">
        <f>AG10*AE10</f>
        <v>16</v>
      </c>
      <c r="AI10" s="153"/>
      <c r="AJ10" s="152">
        <f>V10*AM10</f>
        <v>28.333333333333336</v>
      </c>
      <c r="AK10" s="152">
        <f>AJ10*AH10</f>
        <v>453.33333333333337</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5">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5">
      <c r="A12" s="148" t="s">
        <v>422</v>
      </c>
      <c r="B12" s="153"/>
      <c r="C12" s="149">
        <v>2</v>
      </c>
      <c r="D12" s="148" t="s">
        <v>426</v>
      </c>
      <c r="E12" s="149">
        <v>2</v>
      </c>
      <c r="F12" s="152">
        <f>E12*C12</f>
        <v>4</v>
      </c>
      <c r="G12" s="153"/>
      <c r="H12" s="152">
        <f>V12*K12</f>
        <v>57.5</v>
      </c>
      <c r="I12" s="152">
        <f>H12*F12</f>
        <v>230</v>
      </c>
      <c r="J12" s="153"/>
      <c r="K12" s="152">
        <v>0.75</v>
      </c>
      <c r="L12" s="195"/>
      <c r="M12" s="195"/>
      <c r="N12" s="195"/>
      <c r="O12" s="148" t="s">
        <v>422</v>
      </c>
      <c r="P12" s="153"/>
      <c r="Q12" s="149">
        <v>3</v>
      </c>
      <c r="R12" s="148" t="s">
        <v>426</v>
      </c>
      <c r="S12" s="149">
        <v>3</v>
      </c>
      <c r="T12" s="152">
        <f>S12*Q12</f>
        <v>9</v>
      </c>
      <c r="U12" s="153"/>
      <c r="V12" s="152">
        <f>W12/T12</f>
        <v>76.666666666666671</v>
      </c>
      <c r="W12" s="152">
        <v>690</v>
      </c>
      <c r="X12" s="153"/>
      <c r="Y12" s="152">
        <v>1</v>
      </c>
      <c r="Z12" s="195"/>
      <c r="AA12" s="195"/>
      <c r="AB12" s="195"/>
      <c r="AC12" s="148" t="s">
        <v>422</v>
      </c>
      <c r="AD12" s="153"/>
      <c r="AE12" s="149">
        <v>4</v>
      </c>
      <c r="AF12" s="148" t="s">
        <v>426</v>
      </c>
      <c r="AG12" s="149">
        <v>4</v>
      </c>
      <c r="AH12" s="152">
        <f>AG12*AE12</f>
        <v>16</v>
      </c>
      <c r="AI12" s="153"/>
      <c r="AJ12" s="152">
        <f>V12*AM12</f>
        <v>107.33333333333333</v>
      </c>
      <c r="AK12" s="152">
        <f>AJ12*AH12</f>
        <v>1717.3333333333333</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5">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5">
      <c r="A14" s="148" t="s">
        <v>423</v>
      </c>
      <c r="B14" s="153"/>
      <c r="C14" s="149">
        <v>2</v>
      </c>
      <c r="D14" s="148" t="s">
        <v>426</v>
      </c>
      <c r="E14" s="149">
        <v>2</v>
      </c>
      <c r="F14" s="152">
        <f>E14*C14</f>
        <v>4</v>
      </c>
      <c r="G14" s="153"/>
      <c r="H14" s="152">
        <f>V14*K14</f>
        <v>272.5333333333333</v>
      </c>
      <c r="I14" s="152">
        <f>H14*F14</f>
        <v>1090.1333333333332</v>
      </c>
      <c r="J14" s="153"/>
      <c r="K14" s="152">
        <v>0.7</v>
      </c>
      <c r="L14" s="195"/>
      <c r="M14" s="195"/>
      <c r="N14" s="195"/>
      <c r="O14" s="148" t="s">
        <v>423</v>
      </c>
      <c r="P14" s="153"/>
      <c r="Q14" s="149">
        <v>3</v>
      </c>
      <c r="R14" s="148" t="s">
        <v>426</v>
      </c>
      <c r="S14" s="149">
        <v>3</v>
      </c>
      <c r="T14" s="152">
        <f>S14*Q14</f>
        <v>9</v>
      </c>
      <c r="U14" s="153"/>
      <c r="V14" s="152">
        <f>W14/T14</f>
        <v>389.33333333333331</v>
      </c>
      <c r="W14" s="152">
        <v>3504</v>
      </c>
      <c r="X14" s="153"/>
      <c r="Y14" s="152">
        <v>1</v>
      </c>
      <c r="Z14" s="195"/>
      <c r="AA14" s="195"/>
      <c r="AB14" s="195"/>
      <c r="AC14" s="148" t="s">
        <v>423</v>
      </c>
      <c r="AD14" s="153"/>
      <c r="AE14" s="149">
        <v>4</v>
      </c>
      <c r="AF14" s="148" t="s">
        <v>426</v>
      </c>
      <c r="AG14" s="149">
        <v>4</v>
      </c>
      <c r="AH14" s="152">
        <f>AG14*AE14</f>
        <v>16</v>
      </c>
      <c r="AI14" s="153"/>
      <c r="AJ14" s="152">
        <f>V14*AM14</f>
        <v>603.4666666666667</v>
      </c>
      <c r="AK14" s="152">
        <f>AJ14*AH14</f>
        <v>9655.4666666666672</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5">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5">
      <c r="A16" s="148" t="s">
        <v>424</v>
      </c>
      <c r="B16" s="153"/>
      <c r="C16" s="149">
        <v>2</v>
      </c>
      <c r="D16" s="148" t="s">
        <v>426</v>
      </c>
      <c r="E16" s="149">
        <v>2</v>
      </c>
      <c r="F16" s="152">
        <f>E16*C16</f>
        <v>4</v>
      </c>
      <c r="G16" s="153"/>
      <c r="H16" s="152">
        <f>V16*K16</f>
        <v>1779.5333333333331</v>
      </c>
      <c r="I16" s="152">
        <f>H16*F16</f>
        <v>7118.1333333333323</v>
      </c>
      <c r="J16" s="153"/>
      <c r="K16" s="152">
        <v>0.6</v>
      </c>
      <c r="L16" s="195"/>
      <c r="M16" s="195"/>
      <c r="N16" s="195"/>
      <c r="O16" s="148" t="s">
        <v>424</v>
      </c>
      <c r="P16" s="153"/>
      <c r="Q16" s="149">
        <v>3</v>
      </c>
      <c r="R16" s="148" t="s">
        <v>426</v>
      </c>
      <c r="S16" s="149">
        <v>3</v>
      </c>
      <c r="T16" s="152">
        <f>S16*Q16</f>
        <v>9</v>
      </c>
      <c r="U16" s="153"/>
      <c r="V16" s="152">
        <f>W16/T16</f>
        <v>2965.8888888888887</v>
      </c>
      <c r="W16" s="152">
        <v>26693</v>
      </c>
      <c r="X16" s="153"/>
      <c r="Y16" s="152">
        <v>1</v>
      </c>
      <c r="Z16" s="195"/>
      <c r="AA16" s="195"/>
      <c r="AB16" s="195"/>
      <c r="AC16" s="148" t="s">
        <v>424</v>
      </c>
      <c r="AD16" s="153"/>
      <c r="AE16" s="149">
        <v>4</v>
      </c>
      <c r="AF16" s="148" t="s">
        <v>426</v>
      </c>
      <c r="AG16" s="149">
        <v>4</v>
      </c>
      <c r="AH16" s="152">
        <f>AG16*AE16</f>
        <v>16</v>
      </c>
      <c r="AI16" s="153"/>
      <c r="AJ16" s="152">
        <f>V16*AM16</f>
        <v>5042.0111111111109</v>
      </c>
      <c r="AK16" s="152">
        <f>AJ16*AH16</f>
        <v>80672.177777777775</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5">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5">
      <c r="A18" s="149"/>
      <c r="B18" s="153"/>
      <c r="C18" s="149"/>
      <c r="D18" s="149"/>
      <c r="E18" s="149"/>
      <c r="F18" s="152"/>
      <c r="G18" s="153"/>
      <c r="H18" s="152"/>
      <c r="I18" s="152"/>
      <c r="J18" s="153"/>
      <c r="K18" s="152"/>
      <c r="L18" s="195"/>
      <c r="M18" s="195"/>
      <c r="N18" s="195"/>
      <c r="O18" s="149"/>
      <c r="P18" s="153"/>
      <c r="Q18" s="149"/>
      <c r="R18" s="149"/>
      <c r="S18" s="149"/>
      <c r="T18" s="152"/>
      <c r="U18" s="153"/>
      <c r="V18" s="152"/>
      <c r="W18" s="152"/>
      <c r="X18" s="153"/>
      <c r="Y18" s="152"/>
      <c r="Z18" s="195"/>
      <c r="AA18" s="195"/>
      <c r="AB18" s="195"/>
      <c r="AC18" s="149"/>
      <c r="AD18" s="153"/>
      <c r="AE18" s="149"/>
      <c r="AF18" s="149"/>
      <c r="AG18" s="149"/>
      <c r="AH18" s="152"/>
      <c r="AI18" s="153"/>
      <c r="AJ18" s="152"/>
      <c r="AK18" s="152"/>
      <c r="AL18" s="153"/>
      <c r="AM18" s="152"/>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5">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5">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5">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5">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5">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5">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5">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5">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5">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x14ac:dyDescent="0.25">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x14ac:dyDescent="0.25">
      <c r="A29" s="195"/>
      <c r="B29" s="195"/>
      <c r="C29" s="195"/>
      <c r="D29" s="195"/>
      <c r="E29" s="195"/>
      <c r="F29" s="195"/>
      <c r="G29" s="195"/>
      <c r="H29" s="195"/>
      <c r="I29" s="195"/>
      <c r="J29" s="195"/>
      <c r="K29" s="195"/>
      <c r="L29" s="195"/>
      <c r="M29" s="195"/>
      <c r="N29" s="195"/>
      <c r="O29" s="195"/>
      <c r="P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5">
      <c r="A30" s="195"/>
      <c r="B30" s="195"/>
      <c r="C30" s="195"/>
      <c r="D30" s="195"/>
      <c r="E30" s="195"/>
      <c r="F30" s="195"/>
      <c r="G30" s="195"/>
      <c r="H30" s="195"/>
      <c r="I30" s="195"/>
      <c r="J30" s="195"/>
      <c r="K30" s="195"/>
      <c r="L30" s="195"/>
      <c r="M30" s="195"/>
      <c r="N30" s="195"/>
      <c r="O30" s="195"/>
      <c r="P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5">
      <c r="A31" s="195"/>
      <c r="B31" s="195"/>
      <c r="C31" s="195"/>
      <c r="D31" s="195"/>
      <c r="E31" s="195"/>
      <c r="F31" s="195"/>
      <c r="G31" s="195"/>
      <c r="H31" s="195"/>
      <c r="I31" s="195"/>
      <c r="J31" s="195"/>
      <c r="K31" s="195"/>
      <c r="L31" s="195"/>
      <c r="M31" s="195"/>
      <c r="N31" s="195"/>
      <c r="O31" s="195"/>
      <c r="P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5">
      <c r="A32" s="195"/>
      <c r="B32" s="195"/>
      <c r="C32" s="195"/>
      <c r="D32" s="195"/>
      <c r="E32" s="195"/>
      <c r="F32" s="195"/>
      <c r="G32" s="195"/>
      <c r="H32" s="195"/>
      <c r="I32" s="195"/>
      <c r="J32" s="195"/>
      <c r="K32" s="195"/>
      <c r="L32" s="195"/>
      <c r="M32" s="195"/>
      <c r="N32" s="195"/>
      <c r="O32" s="195"/>
      <c r="P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5">
      <c r="A33" s="195"/>
      <c r="B33" s="195"/>
      <c r="C33" s="195"/>
      <c r="D33" s="195"/>
      <c r="E33" s="195"/>
      <c r="F33" s="195"/>
      <c r="G33" s="195"/>
      <c r="H33" s="195"/>
      <c r="I33" s="195"/>
      <c r="J33" s="195"/>
      <c r="K33" s="195"/>
      <c r="L33" s="195"/>
      <c r="M33" s="195"/>
      <c r="N33" s="195"/>
      <c r="O33" s="195"/>
      <c r="P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5">
      <c r="A34" s="195"/>
      <c r="B34" s="195"/>
      <c r="C34" s="195"/>
      <c r="D34" s="195"/>
      <c r="E34" s="195"/>
      <c r="F34" s="195"/>
      <c r="G34" s="195"/>
      <c r="H34" s="195"/>
      <c r="I34" s="195"/>
      <c r="J34" s="195"/>
      <c r="K34" s="195"/>
      <c r="L34" s="195"/>
      <c r="M34" s="195"/>
      <c r="N34" s="195"/>
      <c r="O34" s="195"/>
      <c r="P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5">
      <c r="A35" s="195"/>
      <c r="B35" s="195"/>
      <c r="C35" s="195"/>
      <c r="D35" s="195"/>
      <c r="E35" s="195"/>
      <c r="F35" s="195"/>
      <c r="G35" s="195"/>
      <c r="H35" s="195"/>
      <c r="I35" s="195"/>
      <c r="J35" s="195"/>
      <c r="K35" s="195"/>
      <c r="L35" s="195"/>
      <c r="M35" s="195"/>
      <c r="N35" s="195"/>
      <c r="O35" s="195"/>
      <c r="P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5">
      <c r="A36" s="195"/>
      <c r="B36" s="195"/>
      <c r="C36" s="195"/>
      <c r="D36" s="195"/>
      <c r="E36" s="195"/>
      <c r="F36" s="195"/>
      <c r="G36" s="195"/>
      <c r="H36" s="195"/>
      <c r="I36" s="195"/>
      <c r="J36" s="195"/>
      <c r="K36" s="195"/>
      <c r="L36" s="195"/>
      <c r="M36" s="195"/>
      <c r="N36" s="195"/>
      <c r="O36" s="195"/>
      <c r="P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5">
      <c r="A37" s="195"/>
      <c r="B37" s="195"/>
      <c r="C37" s="195"/>
      <c r="D37" s="195"/>
      <c r="E37" s="195"/>
      <c r="F37" s="195"/>
      <c r="G37" s="195"/>
      <c r="H37" s="195"/>
      <c r="I37" s="195"/>
      <c r="J37" s="195"/>
      <c r="K37" s="195"/>
      <c r="L37" s="195"/>
      <c r="M37" s="195"/>
      <c r="N37" s="195"/>
      <c r="O37" s="195"/>
      <c r="P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5">
      <c r="A38" s="195"/>
      <c r="B38" s="195"/>
      <c r="C38" s="195"/>
      <c r="D38" s="195"/>
      <c r="E38" s="195"/>
      <c r="F38" s="195"/>
      <c r="G38" s="195"/>
      <c r="H38" s="195"/>
      <c r="I38" s="195"/>
      <c r="J38" s="195"/>
      <c r="K38" s="195"/>
      <c r="L38" s="195"/>
      <c r="M38" s="195"/>
      <c r="N38" s="195"/>
      <c r="O38" s="195"/>
      <c r="P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5">
      <c r="A39" s="195"/>
      <c r="B39" s="195"/>
      <c r="C39" s="195"/>
      <c r="D39" s="195"/>
      <c r="E39" s="195"/>
      <c r="F39" s="195"/>
      <c r="G39" s="195"/>
      <c r="H39" s="195"/>
      <c r="I39" s="195"/>
      <c r="J39" s="195"/>
      <c r="K39" s="195"/>
      <c r="L39" s="195"/>
      <c r="M39" s="195"/>
      <c r="N39" s="195"/>
      <c r="O39" s="195"/>
      <c r="P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5">
      <c r="A40" s="195"/>
      <c r="B40" s="195"/>
      <c r="C40" s="195"/>
      <c r="D40" s="195"/>
      <c r="E40" s="195"/>
      <c r="F40" s="195"/>
      <c r="G40" s="195"/>
      <c r="H40" s="195"/>
      <c r="I40" s="195"/>
      <c r="J40" s="195"/>
      <c r="K40" s="195"/>
      <c r="L40" s="195"/>
      <c r="M40" s="195"/>
      <c r="N40" s="195"/>
      <c r="O40" s="195"/>
      <c r="P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5">
      <c r="A41" s="195"/>
      <c r="B41" s="195"/>
      <c r="C41" s="195"/>
      <c r="D41" s="195"/>
      <c r="E41" s="195"/>
      <c r="F41" s="195"/>
      <c r="G41" s="195"/>
      <c r="H41" s="195"/>
      <c r="I41" s="195"/>
      <c r="J41" s="195"/>
      <c r="K41" s="195"/>
      <c r="L41" s="195"/>
      <c r="M41" s="195"/>
      <c r="N41" s="195"/>
      <c r="O41" s="195"/>
      <c r="P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5">
      <c r="A42" s="195"/>
      <c r="B42" s="195"/>
      <c r="C42" s="195"/>
      <c r="D42" s="195"/>
      <c r="E42" s="195"/>
      <c r="F42" s="195"/>
      <c r="G42" s="195"/>
      <c r="H42" s="195"/>
      <c r="I42" s="195"/>
      <c r="J42" s="195"/>
      <c r="K42" s="195"/>
      <c r="L42" s="195"/>
      <c r="M42" s="195"/>
      <c r="N42" s="195"/>
      <c r="O42" s="195"/>
      <c r="P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5">
      <c r="A43" s="195"/>
      <c r="B43" s="195"/>
      <c r="C43" s="195"/>
      <c r="D43" s="195"/>
      <c r="E43" s="195"/>
      <c r="F43" s="195"/>
      <c r="G43" s="195"/>
      <c r="H43" s="195"/>
      <c r="I43" s="195"/>
      <c r="J43" s="195"/>
      <c r="K43" s="195"/>
      <c r="L43" s="195"/>
      <c r="M43" s="195"/>
      <c r="N43" s="195"/>
      <c r="O43" s="195"/>
      <c r="P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5">
      <c r="A44" s="195"/>
      <c r="B44" s="195"/>
      <c r="C44" s="195"/>
      <c r="D44" s="195"/>
      <c r="E44" s="195"/>
      <c r="F44" s="195"/>
      <c r="G44" s="195"/>
      <c r="H44" s="195"/>
      <c r="I44" s="195"/>
      <c r="J44" s="195"/>
      <c r="K44" s="195"/>
      <c r="L44" s="195"/>
      <c r="M44" s="195"/>
      <c r="N44" s="195"/>
      <c r="O44" s="195"/>
      <c r="P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5">
      <c r="A45" s="195"/>
      <c r="B45" s="195"/>
      <c r="C45" s="195"/>
      <c r="D45" s="195"/>
      <c r="E45" s="195"/>
      <c r="F45" s="195"/>
      <c r="G45" s="195"/>
      <c r="H45" s="195"/>
      <c r="I45" s="195"/>
      <c r="J45" s="195"/>
      <c r="K45" s="195"/>
      <c r="L45" s="195"/>
      <c r="M45" s="195"/>
      <c r="N45" s="195"/>
      <c r="O45" s="195"/>
      <c r="P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5">
      <c r="A46" s="195"/>
      <c r="B46" s="195"/>
      <c r="C46" s="195"/>
      <c r="D46" s="195"/>
      <c r="E46" s="195"/>
      <c r="F46" s="195"/>
      <c r="G46" s="195"/>
      <c r="H46" s="195"/>
      <c r="I46" s="195"/>
      <c r="J46" s="195"/>
      <c r="K46" s="195"/>
      <c r="L46" s="195"/>
      <c r="M46" s="195"/>
      <c r="N46" s="195"/>
      <c r="O46" s="195"/>
      <c r="P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5">
      <c r="A47" s="195"/>
      <c r="B47" s="195"/>
      <c r="C47" s="195"/>
      <c r="D47" s="195"/>
      <c r="E47" s="195"/>
      <c r="F47" s="195"/>
      <c r="G47" s="195"/>
      <c r="H47" s="195"/>
      <c r="I47" s="195"/>
      <c r="J47" s="195"/>
      <c r="K47" s="195"/>
      <c r="L47" s="195"/>
      <c r="M47" s="195"/>
      <c r="N47" s="195"/>
      <c r="O47" s="195"/>
      <c r="P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5">
      <c r="A48" s="195"/>
      <c r="B48" s="195"/>
      <c r="C48" s="195"/>
      <c r="D48" s="195"/>
      <c r="E48" s="195"/>
      <c r="F48" s="195"/>
      <c r="G48" s="195"/>
      <c r="H48" s="195"/>
      <c r="I48" s="195"/>
      <c r="J48" s="195"/>
      <c r="K48" s="195"/>
      <c r="L48" s="195"/>
      <c r="M48" s="195"/>
      <c r="N48" s="195"/>
      <c r="O48" s="195"/>
      <c r="P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5">
      <c r="A49" s="195"/>
      <c r="B49" s="195"/>
      <c r="C49" s="195"/>
      <c r="D49" s="195"/>
      <c r="E49" s="195"/>
      <c r="F49" s="195"/>
      <c r="G49" s="195"/>
      <c r="H49" s="195"/>
      <c r="I49" s="195"/>
      <c r="J49" s="195"/>
      <c r="K49" s="195"/>
      <c r="L49" s="195"/>
      <c r="M49" s="195"/>
      <c r="N49" s="195"/>
      <c r="O49" s="195"/>
      <c r="P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5">
      <c r="AN50" s="195"/>
      <c r="AO50" s="195"/>
      <c r="AP50" s="195"/>
      <c r="AQ50" s="195"/>
      <c r="AR50" s="195"/>
      <c r="AS50" s="195"/>
      <c r="AT50" s="195"/>
      <c r="AU50" s="195"/>
      <c r="AV50" s="195"/>
      <c r="AW50" s="195"/>
      <c r="AX50" s="195"/>
      <c r="AY50" s="195"/>
    </row>
    <row r="51" spans="1:68" x14ac:dyDescent="0.25">
      <c r="AN51" s="195"/>
      <c r="AO51" s="195"/>
      <c r="AP51" s="195"/>
      <c r="AQ51" s="195"/>
      <c r="AR51" s="195"/>
      <c r="AS51" s="195"/>
      <c r="AT51" s="195"/>
      <c r="AU51" s="195"/>
      <c r="AV51" s="195"/>
      <c r="AW51" s="195"/>
      <c r="AX51" s="195"/>
      <c r="AY51" s="195"/>
    </row>
    <row r="52" spans="1:68" x14ac:dyDescent="0.25">
      <c r="AN52" s="195"/>
      <c r="AO52" s="195"/>
      <c r="AP52" s="195"/>
      <c r="AQ52" s="195"/>
      <c r="AR52" s="195"/>
      <c r="AS52" s="195"/>
      <c r="AT52" s="195"/>
      <c r="AU52" s="195"/>
      <c r="AV52" s="195"/>
      <c r="AW52" s="195"/>
      <c r="AX52" s="195"/>
      <c r="AY52" s="195"/>
    </row>
    <row r="53" spans="1:68" x14ac:dyDescent="0.25">
      <c r="AN53" s="195"/>
      <c r="AO53" s="195"/>
      <c r="AP53" s="195"/>
      <c r="AQ53" s="195"/>
      <c r="AR53" s="195"/>
      <c r="AS53" s="195"/>
      <c r="AT53" s="195"/>
      <c r="AU53" s="195"/>
      <c r="AV53" s="195"/>
      <c r="AW53" s="195"/>
      <c r="AX53" s="195"/>
      <c r="AY53" s="195"/>
    </row>
  </sheetData>
  <mergeCells count="3">
    <mergeCell ref="E3:G3"/>
    <mergeCell ref="S3:U3"/>
    <mergeCell ref="AG3:AI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75"/>
  <sheetViews>
    <sheetView topLeftCell="E1" workbookViewId="0">
      <selection activeCell="K54" sqref="K54"/>
    </sheetView>
  </sheetViews>
  <sheetFormatPr defaultColWidth="9.109375" defaultRowHeight="13.2" x14ac:dyDescent="0.25"/>
  <cols>
    <col min="1" max="1" width="11.44140625" style="223" customWidth="1"/>
    <col min="2" max="2" width="9.109375" style="223" customWidth="1"/>
    <col min="3" max="5" width="1.6640625" style="223" customWidth="1"/>
    <col min="6" max="6" width="9.109375" style="223"/>
    <col min="7" max="7" width="4.33203125" style="223" customWidth="1"/>
    <col min="8" max="9" width="9.109375" style="223"/>
    <col min="10" max="10" width="4.33203125" style="223" customWidth="1"/>
    <col min="11" max="11" width="9.109375" style="223"/>
    <col min="12" max="14" width="4.5546875" style="223" customWidth="1"/>
    <col min="15" max="15" width="11.44140625" style="223" customWidth="1"/>
    <col min="16" max="16" width="9.109375" style="223"/>
    <col min="17" max="19" width="1.6640625" style="223" customWidth="1"/>
    <col min="20" max="20" width="9.109375" style="223"/>
    <col min="21" max="21" width="4.33203125" style="223" customWidth="1"/>
    <col min="22" max="23" width="9.109375" style="223" customWidth="1"/>
    <col min="24" max="24" width="4.33203125" style="223" customWidth="1"/>
    <col min="25" max="25" width="9.109375" style="223" customWidth="1"/>
    <col min="26" max="28" width="4.5546875" style="223" customWidth="1"/>
    <col min="29" max="29" width="11.44140625" style="223" customWidth="1"/>
    <col min="30" max="30" width="9.109375" style="223"/>
    <col min="31" max="33" width="1.6640625" style="223" customWidth="1"/>
    <col min="34" max="34" width="9.109375" style="223"/>
    <col min="35" max="35" width="4.33203125" style="223" customWidth="1"/>
    <col min="36" max="36" width="9.109375" style="223"/>
    <col min="37" max="37" width="9.109375" style="223" customWidth="1"/>
    <col min="38" max="38" width="4.33203125" style="223" customWidth="1"/>
    <col min="39" max="41" width="9.109375" style="223"/>
    <col min="42" max="42" width="9.109375" style="223" customWidth="1"/>
    <col min="43" max="44" width="9.109375" style="223"/>
    <col min="45" max="45" width="9.109375" style="223" customWidth="1"/>
    <col min="46" max="47" width="9.109375" style="223"/>
    <col min="48" max="48" width="9.109375" style="223" customWidth="1"/>
    <col min="49" max="54" width="9.109375" style="223"/>
    <col min="55" max="55" width="9.109375" style="223" customWidth="1"/>
    <col min="56" max="59" width="9.109375" style="223"/>
    <col min="60" max="60" width="9.109375" style="223" customWidth="1"/>
    <col min="61" max="62" width="9.109375" style="223"/>
    <col min="63" max="63" width="9.109375" style="223" customWidth="1"/>
    <col min="64" max="65" width="9.109375" style="223"/>
    <col min="66" max="66" width="9.109375" style="223" customWidth="1"/>
    <col min="67" max="16384" width="9.109375" style="223"/>
  </cols>
  <sheetData>
    <row r="1" spans="1:79" x14ac:dyDescent="0.25">
      <c r="BP1" s="119"/>
    </row>
    <row r="2" spans="1:79" ht="13.8" thickBot="1" x14ac:dyDescent="0.3"/>
    <row r="3" spans="1:79" ht="14.4" thickBot="1" x14ac:dyDescent="0.3">
      <c r="A3" s="144" t="s">
        <v>458</v>
      </c>
      <c r="E3" s="259" t="s">
        <v>416</v>
      </c>
      <c r="F3" s="260"/>
      <c r="G3" s="261"/>
      <c r="H3" s="214"/>
      <c r="S3" s="259" t="s">
        <v>418</v>
      </c>
      <c r="T3" s="262"/>
      <c r="U3" s="263"/>
      <c r="AG3" s="259" t="s">
        <v>417</v>
      </c>
      <c r="AH3" s="262"/>
      <c r="AI3" s="263"/>
    </row>
    <row r="6" spans="1:79" ht="12.75" customHeight="1" x14ac:dyDescent="0.4">
      <c r="A6" s="147" t="s">
        <v>455</v>
      </c>
      <c r="B6" s="146" t="s">
        <v>454</v>
      </c>
      <c r="C6" s="147"/>
      <c r="D6" s="147"/>
      <c r="E6" s="146"/>
      <c r="F6" s="147"/>
      <c r="G6" s="146"/>
      <c r="H6" s="174" t="s">
        <v>335</v>
      </c>
      <c r="I6" s="174" t="s">
        <v>335</v>
      </c>
      <c r="J6" s="146"/>
      <c r="K6" s="174" t="s">
        <v>427</v>
      </c>
      <c r="L6" s="217"/>
      <c r="M6" s="195"/>
      <c r="N6" s="217"/>
      <c r="O6" s="147" t="s">
        <v>455</v>
      </c>
      <c r="P6" s="146" t="s">
        <v>453</v>
      </c>
      <c r="Q6" s="147"/>
      <c r="R6" s="147"/>
      <c r="S6" s="146"/>
      <c r="T6" s="147"/>
      <c r="U6" s="146"/>
      <c r="V6" s="174" t="s">
        <v>335</v>
      </c>
      <c r="W6" s="174" t="s">
        <v>335</v>
      </c>
      <c r="X6" s="146"/>
      <c r="Y6" s="174" t="s">
        <v>427</v>
      </c>
      <c r="Z6" s="217"/>
      <c r="AA6" s="195"/>
      <c r="AB6" s="217"/>
      <c r="AC6" s="147" t="s">
        <v>455</v>
      </c>
      <c r="AD6" s="146" t="s">
        <v>453</v>
      </c>
      <c r="AE6" s="147"/>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4">
      <c r="A7" s="146"/>
      <c r="B7" s="153"/>
      <c r="C7" s="146"/>
      <c r="D7" s="146"/>
      <c r="E7" s="146"/>
      <c r="F7" s="147" t="s">
        <v>336</v>
      </c>
      <c r="G7" s="153"/>
      <c r="H7" s="174" t="s">
        <v>457</v>
      </c>
      <c r="I7" s="175" t="s">
        <v>457</v>
      </c>
      <c r="J7" s="153"/>
      <c r="K7" s="174"/>
      <c r="L7" s="217"/>
      <c r="M7" s="195"/>
      <c r="N7" s="213"/>
      <c r="O7" s="146"/>
      <c r="P7" s="153"/>
      <c r="Q7" s="146"/>
      <c r="R7" s="146"/>
      <c r="S7" s="146"/>
      <c r="T7" s="147" t="s">
        <v>336</v>
      </c>
      <c r="U7" s="153"/>
      <c r="V7" s="175" t="s">
        <v>457</v>
      </c>
      <c r="W7" s="174" t="s">
        <v>457</v>
      </c>
      <c r="X7" s="153"/>
      <c r="Y7" s="174"/>
      <c r="Z7" s="217"/>
      <c r="AA7" s="195"/>
      <c r="AB7" s="213"/>
      <c r="AC7" s="146"/>
      <c r="AD7" s="153"/>
      <c r="AE7" s="146"/>
      <c r="AF7" s="146"/>
      <c r="AG7" s="146"/>
      <c r="AH7" s="147" t="s">
        <v>336</v>
      </c>
      <c r="AI7" s="153"/>
      <c r="AJ7" s="175" t="s">
        <v>457</v>
      </c>
      <c r="AK7" s="174" t="s">
        <v>457</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5">
      <c r="A8" s="148" t="s">
        <v>420</v>
      </c>
      <c r="B8" s="153"/>
      <c r="C8" s="148">
        <v>1</v>
      </c>
      <c r="D8" s="148" t="s">
        <v>426</v>
      </c>
      <c r="E8" s="149">
        <v>1</v>
      </c>
      <c r="F8" s="152">
        <f>E8*C8</f>
        <v>1</v>
      </c>
      <c r="G8" s="153"/>
      <c r="H8" s="152">
        <f>V8*K8</f>
        <v>12.75</v>
      </c>
      <c r="I8" s="152">
        <f>H8*F8</f>
        <v>12.75</v>
      </c>
      <c r="J8" s="153"/>
      <c r="K8" s="152">
        <v>0.85</v>
      </c>
      <c r="L8" s="195"/>
      <c r="M8" s="195"/>
      <c r="N8" s="195"/>
      <c r="O8" s="148" t="s">
        <v>420</v>
      </c>
      <c r="P8" s="153"/>
      <c r="Q8" s="148">
        <v>2</v>
      </c>
      <c r="R8" s="148" t="s">
        <v>426</v>
      </c>
      <c r="S8" s="149">
        <v>2</v>
      </c>
      <c r="T8" s="152">
        <f>S8*Q8</f>
        <v>4</v>
      </c>
      <c r="U8" s="153"/>
      <c r="V8" s="152">
        <f>W8/T8</f>
        <v>15</v>
      </c>
      <c r="W8" s="152">
        <v>60</v>
      </c>
      <c r="X8" s="153"/>
      <c r="Y8" s="152">
        <v>1</v>
      </c>
      <c r="Z8" s="195"/>
      <c r="AA8" s="195"/>
      <c r="AB8" s="195"/>
      <c r="AC8" s="148" t="s">
        <v>420</v>
      </c>
      <c r="AD8" s="153"/>
      <c r="AE8" s="148">
        <v>3</v>
      </c>
      <c r="AF8" s="148" t="s">
        <v>426</v>
      </c>
      <c r="AG8" s="149">
        <v>3</v>
      </c>
      <c r="AH8" s="152">
        <f>AG8*AE8</f>
        <v>9</v>
      </c>
      <c r="AI8" s="153"/>
      <c r="AJ8" s="152">
        <f>V8*AM8</f>
        <v>16.5</v>
      </c>
      <c r="AK8" s="152">
        <f>AJ8*AH8</f>
        <v>148.5</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5">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5">
      <c r="A10" s="148" t="s">
        <v>421</v>
      </c>
      <c r="B10" s="153"/>
      <c r="C10" s="148">
        <v>1</v>
      </c>
      <c r="D10" s="148" t="s">
        <v>426</v>
      </c>
      <c r="E10" s="149">
        <v>1</v>
      </c>
      <c r="F10" s="152">
        <f>E10*C10</f>
        <v>1</v>
      </c>
      <c r="G10" s="153"/>
      <c r="H10" s="152">
        <f>V10*K10</f>
        <v>12</v>
      </c>
      <c r="I10" s="152">
        <f>H10*F10</f>
        <v>12</v>
      </c>
      <c r="J10" s="153"/>
      <c r="K10" s="152">
        <v>0.8</v>
      </c>
      <c r="L10" s="195"/>
      <c r="M10" s="195"/>
      <c r="N10" s="195"/>
      <c r="O10" s="148" t="s">
        <v>421</v>
      </c>
      <c r="P10" s="153"/>
      <c r="Q10" s="149">
        <v>2</v>
      </c>
      <c r="R10" s="148" t="s">
        <v>426</v>
      </c>
      <c r="S10" s="149">
        <v>2</v>
      </c>
      <c r="T10" s="152">
        <f>S10*Q10</f>
        <v>4</v>
      </c>
      <c r="U10" s="153"/>
      <c r="V10" s="152">
        <f>W10/T10</f>
        <v>15</v>
      </c>
      <c r="W10" s="152">
        <v>60</v>
      </c>
      <c r="X10" s="153"/>
      <c r="Y10" s="152">
        <v>1</v>
      </c>
      <c r="Z10" s="195"/>
      <c r="AA10" s="195"/>
      <c r="AB10" s="195"/>
      <c r="AC10" s="148" t="s">
        <v>421</v>
      </c>
      <c r="AD10" s="153"/>
      <c r="AE10" s="149">
        <v>3</v>
      </c>
      <c r="AF10" s="148" t="s">
        <v>426</v>
      </c>
      <c r="AG10" s="149">
        <v>3</v>
      </c>
      <c r="AH10" s="152">
        <f>AG10*AE10</f>
        <v>9</v>
      </c>
      <c r="AI10" s="153"/>
      <c r="AJ10" s="152">
        <f>V10*AM10</f>
        <v>18.75</v>
      </c>
      <c r="AK10" s="152">
        <f>AJ10*AH10</f>
        <v>168.75</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5">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5">
      <c r="A12" s="148" t="s">
        <v>422</v>
      </c>
      <c r="B12" s="153"/>
      <c r="C12" s="149">
        <v>1</v>
      </c>
      <c r="D12" s="148" t="s">
        <v>426</v>
      </c>
      <c r="E12" s="149">
        <v>1</v>
      </c>
      <c r="F12" s="152">
        <f>E12*C12</f>
        <v>1</v>
      </c>
      <c r="G12" s="153"/>
      <c r="H12" s="152">
        <f>V12*K12</f>
        <v>11.25</v>
      </c>
      <c r="I12" s="152">
        <f>H12*F12</f>
        <v>11.25</v>
      </c>
      <c r="J12" s="153"/>
      <c r="K12" s="152">
        <v>0.75</v>
      </c>
      <c r="L12" s="195"/>
      <c r="M12" s="195"/>
      <c r="N12" s="195"/>
      <c r="O12" s="148" t="s">
        <v>422</v>
      </c>
      <c r="P12" s="153"/>
      <c r="Q12" s="149">
        <v>2</v>
      </c>
      <c r="R12" s="148" t="s">
        <v>426</v>
      </c>
      <c r="S12" s="149">
        <v>2</v>
      </c>
      <c r="T12" s="152">
        <f>S12*Q12</f>
        <v>4</v>
      </c>
      <c r="U12" s="153"/>
      <c r="V12" s="152">
        <f>W12/T12</f>
        <v>15</v>
      </c>
      <c r="W12" s="152">
        <v>60</v>
      </c>
      <c r="X12" s="153"/>
      <c r="Y12" s="152">
        <v>1</v>
      </c>
      <c r="Z12" s="195"/>
      <c r="AA12" s="195"/>
      <c r="AB12" s="195"/>
      <c r="AC12" s="148" t="s">
        <v>422</v>
      </c>
      <c r="AD12" s="153"/>
      <c r="AE12" s="149">
        <v>3</v>
      </c>
      <c r="AF12" s="148" t="s">
        <v>426</v>
      </c>
      <c r="AG12" s="149">
        <v>3</v>
      </c>
      <c r="AH12" s="152">
        <f>AG12*AE12</f>
        <v>9</v>
      </c>
      <c r="AI12" s="153"/>
      <c r="AJ12" s="152">
        <f>V12*AM12</f>
        <v>21</v>
      </c>
      <c r="AK12" s="152">
        <f>AJ12*AH12</f>
        <v>189</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5">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5">
      <c r="A14" s="148" t="s">
        <v>423</v>
      </c>
      <c r="B14" s="153"/>
      <c r="C14" s="149">
        <v>1</v>
      </c>
      <c r="D14" s="148" t="s">
        <v>426</v>
      </c>
      <c r="E14" s="149">
        <v>1</v>
      </c>
      <c r="F14" s="152">
        <f>E14*C14</f>
        <v>1</v>
      </c>
      <c r="G14" s="153"/>
      <c r="H14" s="152">
        <f>V14*K14</f>
        <v>21</v>
      </c>
      <c r="I14" s="152">
        <f>H14*F14</f>
        <v>21</v>
      </c>
      <c r="J14" s="153"/>
      <c r="K14" s="152">
        <v>0.7</v>
      </c>
      <c r="L14" s="195"/>
      <c r="M14" s="195"/>
      <c r="N14" s="195"/>
      <c r="O14" s="148" t="s">
        <v>423</v>
      </c>
      <c r="P14" s="153"/>
      <c r="Q14" s="149">
        <v>2</v>
      </c>
      <c r="R14" s="148" t="s">
        <v>426</v>
      </c>
      <c r="S14" s="149">
        <v>2</v>
      </c>
      <c r="T14" s="152">
        <f>S14*Q14</f>
        <v>4</v>
      </c>
      <c r="U14" s="153"/>
      <c r="V14" s="152">
        <f>W14/T14</f>
        <v>30</v>
      </c>
      <c r="W14" s="152">
        <v>120</v>
      </c>
      <c r="X14" s="153"/>
      <c r="Y14" s="152">
        <v>1</v>
      </c>
      <c r="Z14" s="195"/>
      <c r="AA14" s="195"/>
      <c r="AB14" s="195"/>
      <c r="AC14" s="148" t="s">
        <v>423</v>
      </c>
      <c r="AD14" s="153"/>
      <c r="AE14" s="149">
        <v>3</v>
      </c>
      <c r="AF14" s="148" t="s">
        <v>426</v>
      </c>
      <c r="AG14" s="149">
        <v>3</v>
      </c>
      <c r="AH14" s="152">
        <f>AG14*AE14</f>
        <v>9</v>
      </c>
      <c r="AI14" s="153"/>
      <c r="AJ14" s="152">
        <f>V14*AM14</f>
        <v>46.5</v>
      </c>
      <c r="AK14" s="152">
        <f>AJ14*AH14</f>
        <v>418.5</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5">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5">
      <c r="A16" s="148" t="s">
        <v>424</v>
      </c>
      <c r="B16" s="153"/>
      <c r="C16" s="149">
        <v>1</v>
      </c>
      <c r="D16" s="148" t="s">
        <v>426</v>
      </c>
      <c r="E16" s="149">
        <v>1</v>
      </c>
      <c r="F16" s="152">
        <f>E16*C16</f>
        <v>1</v>
      </c>
      <c r="G16" s="153"/>
      <c r="H16" s="152">
        <f>V16*K16</f>
        <v>19.5</v>
      </c>
      <c r="I16" s="152">
        <f>H16*F16</f>
        <v>19.5</v>
      </c>
      <c r="J16" s="153"/>
      <c r="K16" s="152">
        <v>0.65</v>
      </c>
      <c r="L16" s="195"/>
      <c r="M16" s="195"/>
      <c r="N16" s="195"/>
      <c r="O16" s="148" t="s">
        <v>424</v>
      </c>
      <c r="P16" s="153"/>
      <c r="Q16" s="149">
        <v>2</v>
      </c>
      <c r="R16" s="148" t="s">
        <v>426</v>
      </c>
      <c r="S16" s="149">
        <v>2</v>
      </c>
      <c r="T16" s="152">
        <f>S16*Q16</f>
        <v>4</v>
      </c>
      <c r="U16" s="153"/>
      <c r="V16" s="152">
        <f>W16/T16</f>
        <v>30</v>
      </c>
      <c r="W16" s="152">
        <v>120</v>
      </c>
      <c r="X16" s="153"/>
      <c r="Y16" s="152">
        <v>1</v>
      </c>
      <c r="Z16" s="195"/>
      <c r="AA16" s="195"/>
      <c r="AB16" s="195"/>
      <c r="AC16" s="148" t="s">
        <v>424</v>
      </c>
      <c r="AD16" s="153"/>
      <c r="AE16" s="149">
        <v>3</v>
      </c>
      <c r="AF16" s="148" t="s">
        <v>426</v>
      </c>
      <c r="AG16" s="149">
        <v>3</v>
      </c>
      <c r="AH16" s="152">
        <f>AG16*AE16</f>
        <v>9</v>
      </c>
      <c r="AI16" s="153"/>
      <c r="AJ16" s="152">
        <f>V16*AM16</f>
        <v>51</v>
      </c>
      <c r="AK16" s="152">
        <f>AJ16*AH16</f>
        <v>459</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5">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5">
      <c r="A18" s="148" t="s">
        <v>456</v>
      </c>
      <c r="B18" s="153"/>
      <c r="C18" s="149">
        <v>1</v>
      </c>
      <c r="D18" s="148" t="s">
        <v>426</v>
      </c>
      <c r="E18" s="149">
        <v>1</v>
      </c>
      <c r="F18" s="152">
        <f>E18*C18</f>
        <v>1</v>
      </c>
      <c r="G18" s="153"/>
      <c r="H18" s="152">
        <f>V18*K18</f>
        <v>135</v>
      </c>
      <c r="I18" s="152">
        <f>H18*F18</f>
        <v>135</v>
      </c>
      <c r="J18" s="153"/>
      <c r="K18" s="152">
        <v>0.6</v>
      </c>
      <c r="L18" s="195"/>
      <c r="M18" s="195"/>
      <c r="N18" s="195"/>
      <c r="O18" s="149" t="s">
        <v>456</v>
      </c>
      <c r="P18" s="153"/>
      <c r="Q18" s="149">
        <v>2</v>
      </c>
      <c r="R18" s="148" t="s">
        <v>426</v>
      </c>
      <c r="S18" s="149">
        <v>2</v>
      </c>
      <c r="T18" s="152">
        <f>S18*Q18</f>
        <v>4</v>
      </c>
      <c r="U18" s="153"/>
      <c r="V18" s="152">
        <f>W18/T18</f>
        <v>225</v>
      </c>
      <c r="W18" s="152">
        <v>900</v>
      </c>
      <c r="X18" s="153"/>
      <c r="Y18" s="152">
        <v>1</v>
      </c>
      <c r="Z18" s="195"/>
      <c r="AA18" s="195"/>
      <c r="AB18" s="195"/>
      <c r="AC18" s="148" t="s">
        <v>456</v>
      </c>
      <c r="AD18" s="153"/>
      <c r="AE18" s="149">
        <v>3</v>
      </c>
      <c r="AF18" s="148" t="s">
        <v>426</v>
      </c>
      <c r="AG18" s="149">
        <v>3</v>
      </c>
      <c r="AH18" s="152">
        <f>AG18*AE18</f>
        <v>9</v>
      </c>
      <c r="AI18" s="153"/>
      <c r="AJ18" s="152">
        <f>V18*AM18</f>
        <v>416.25</v>
      </c>
      <c r="AK18" s="152">
        <f>AJ18*AH18</f>
        <v>3746.25</v>
      </c>
      <c r="AL18" s="153"/>
      <c r="AM18" s="152">
        <v>1.85</v>
      </c>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5">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5">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5">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5">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5">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5">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5">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5">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5">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ht="13.8" thickBot="1" x14ac:dyDescent="0.3">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ht="14.4" thickBot="1" x14ac:dyDescent="0.3">
      <c r="A29" s="144" t="s">
        <v>459</v>
      </c>
      <c r="E29" s="259" t="s">
        <v>416</v>
      </c>
      <c r="F29" s="260"/>
      <c r="G29" s="261"/>
      <c r="H29" s="214"/>
      <c r="S29" s="259" t="s">
        <v>418</v>
      </c>
      <c r="T29" s="262"/>
      <c r="U29" s="263"/>
      <c r="AG29" s="259" t="s">
        <v>417</v>
      </c>
      <c r="AH29" s="262"/>
      <c r="AI29" s="263"/>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5">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5">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5">
      <c r="A32" s="147" t="s">
        <v>455</v>
      </c>
      <c r="B32" s="146" t="s">
        <v>454</v>
      </c>
      <c r="C32" s="147"/>
      <c r="D32" s="147"/>
      <c r="E32" s="146"/>
      <c r="F32" s="147"/>
      <c r="G32" s="146"/>
      <c r="H32" s="174" t="s">
        <v>335</v>
      </c>
      <c r="I32" s="174" t="s">
        <v>335</v>
      </c>
      <c r="J32" s="146"/>
      <c r="K32" s="174" t="s">
        <v>427</v>
      </c>
      <c r="L32" s="217"/>
      <c r="M32" s="195"/>
      <c r="N32" s="217"/>
      <c r="O32" s="147" t="s">
        <v>455</v>
      </c>
      <c r="P32" s="146" t="s">
        <v>453</v>
      </c>
      <c r="Q32" s="147"/>
      <c r="R32" s="147"/>
      <c r="S32" s="146"/>
      <c r="T32" s="147"/>
      <c r="U32" s="146"/>
      <c r="V32" s="174" t="s">
        <v>335</v>
      </c>
      <c r="W32" s="174" t="s">
        <v>335</v>
      </c>
      <c r="X32" s="146"/>
      <c r="Y32" s="174" t="s">
        <v>427</v>
      </c>
      <c r="Z32" s="217"/>
      <c r="AA32" s="195"/>
      <c r="AB32" s="217"/>
      <c r="AC32" s="147" t="s">
        <v>455</v>
      </c>
      <c r="AD32" s="146" t="s">
        <v>453</v>
      </c>
      <c r="AE32" s="147"/>
      <c r="AF32" s="147"/>
      <c r="AG32" s="146"/>
      <c r="AH32" s="147"/>
      <c r="AI32" s="146"/>
      <c r="AJ32" s="174" t="s">
        <v>335</v>
      </c>
      <c r="AK32" s="174" t="s">
        <v>335</v>
      </c>
      <c r="AL32" s="146"/>
      <c r="AM32" s="174" t="s">
        <v>427</v>
      </c>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5">
      <c r="A33" s="146"/>
      <c r="B33" s="153"/>
      <c r="C33" s="146"/>
      <c r="D33" s="146"/>
      <c r="E33" s="146"/>
      <c r="F33" s="147" t="s">
        <v>336</v>
      </c>
      <c r="G33" s="153"/>
      <c r="H33" s="174" t="s">
        <v>342</v>
      </c>
      <c r="I33" s="175" t="s">
        <v>342</v>
      </c>
      <c r="J33" s="153"/>
      <c r="K33" s="174"/>
      <c r="L33" s="217"/>
      <c r="M33" s="195"/>
      <c r="N33" s="213"/>
      <c r="O33" s="146"/>
      <c r="P33" s="153"/>
      <c r="Q33" s="146"/>
      <c r="R33" s="146"/>
      <c r="S33" s="146"/>
      <c r="T33" s="147" t="s">
        <v>336</v>
      </c>
      <c r="U33" s="153"/>
      <c r="V33" s="175" t="s">
        <v>342</v>
      </c>
      <c r="W33" s="174" t="s">
        <v>342</v>
      </c>
      <c r="X33" s="153"/>
      <c r="Y33" s="174"/>
      <c r="Z33" s="217"/>
      <c r="AA33" s="195"/>
      <c r="AB33" s="213"/>
      <c r="AC33" s="146"/>
      <c r="AD33" s="153"/>
      <c r="AE33" s="146"/>
      <c r="AF33" s="146"/>
      <c r="AG33" s="146"/>
      <c r="AH33" s="147" t="s">
        <v>336</v>
      </c>
      <c r="AI33" s="153"/>
      <c r="AJ33" s="175" t="s">
        <v>342</v>
      </c>
      <c r="AK33" s="174" t="s">
        <v>342</v>
      </c>
      <c r="AL33" s="153"/>
      <c r="AM33" s="174"/>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5">
      <c r="A34" s="148" t="s">
        <v>420</v>
      </c>
      <c r="B34" s="153"/>
      <c r="C34" s="148">
        <v>1</v>
      </c>
      <c r="D34" s="148" t="s">
        <v>426</v>
      </c>
      <c r="E34" s="149">
        <v>1</v>
      </c>
      <c r="F34" s="152">
        <f>E34*C34</f>
        <v>1</v>
      </c>
      <c r="G34" s="153"/>
      <c r="H34" s="152">
        <f>V34*K34</f>
        <v>472.5</v>
      </c>
      <c r="I34" s="152">
        <f>H34*F34</f>
        <v>472.5</v>
      </c>
      <c r="J34" s="153"/>
      <c r="K34" s="152">
        <v>0.9</v>
      </c>
      <c r="L34" s="195"/>
      <c r="M34" s="195"/>
      <c r="N34" s="195"/>
      <c r="O34" s="148" t="s">
        <v>420</v>
      </c>
      <c r="P34" s="153"/>
      <c r="Q34" s="148">
        <v>2</v>
      </c>
      <c r="R34" s="148" t="s">
        <v>426</v>
      </c>
      <c r="S34" s="149">
        <v>2</v>
      </c>
      <c r="T34" s="152">
        <f>S34*Q34</f>
        <v>4</v>
      </c>
      <c r="U34" s="153"/>
      <c r="V34" s="152">
        <f>W34/T34</f>
        <v>525</v>
      </c>
      <c r="W34" s="152">
        <v>2100</v>
      </c>
      <c r="X34" s="153"/>
      <c r="Y34" s="152">
        <v>1</v>
      </c>
      <c r="Z34" s="195"/>
      <c r="AA34" s="195"/>
      <c r="AB34" s="195"/>
      <c r="AC34" s="148" t="s">
        <v>420</v>
      </c>
      <c r="AD34" s="153"/>
      <c r="AE34" s="148">
        <v>3</v>
      </c>
      <c r="AF34" s="148" t="s">
        <v>426</v>
      </c>
      <c r="AG34" s="149">
        <v>3</v>
      </c>
      <c r="AH34" s="152">
        <f>AG34*AE34</f>
        <v>9</v>
      </c>
      <c r="AI34" s="153"/>
      <c r="AJ34" s="152">
        <f>V34*AM34</f>
        <v>656.25</v>
      </c>
      <c r="AK34" s="152">
        <f>AJ34*AH34</f>
        <v>5906.25</v>
      </c>
      <c r="AL34" s="153"/>
      <c r="AM34" s="152">
        <v>1.25</v>
      </c>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5">
      <c r="A35" s="149"/>
      <c r="B35" s="153"/>
      <c r="C35" s="148"/>
      <c r="D35" s="148"/>
      <c r="E35" s="149"/>
      <c r="F35" s="152"/>
      <c r="G35" s="153"/>
      <c r="H35" s="152"/>
      <c r="I35" s="152"/>
      <c r="J35" s="153"/>
      <c r="K35" s="152"/>
      <c r="L35" s="195"/>
      <c r="M35" s="195"/>
      <c r="N35" s="195"/>
      <c r="O35" s="149"/>
      <c r="P35" s="153"/>
      <c r="Q35" s="149"/>
      <c r="R35" s="149"/>
      <c r="S35" s="149"/>
      <c r="T35" s="152"/>
      <c r="U35" s="153"/>
      <c r="V35" s="152"/>
      <c r="W35" s="152"/>
      <c r="X35" s="153"/>
      <c r="Y35" s="152"/>
      <c r="Z35" s="195"/>
      <c r="AA35" s="195"/>
      <c r="AB35" s="195"/>
      <c r="AC35" s="149"/>
      <c r="AD35" s="153"/>
      <c r="AE35" s="149"/>
      <c r="AF35" s="149"/>
      <c r="AG35" s="149"/>
      <c r="AH35" s="152"/>
      <c r="AI35" s="153"/>
      <c r="AJ35" s="152"/>
      <c r="AK35" s="152"/>
      <c r="AL35" s="153"/>
      <c r="AM35" s="152"/>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5">
      <c r="A36" s="148" t="s">
        <v>421</v>
      </c>
      <c r="B36" s="153"/>
      <c r="C36" s="148">
        <v>1</v>
      </c>
      <c r="D36" s="148" t="s">
        <v>426</v>
      </c>
      <c r="E36" s="149">
        <v>1</v>
      </c>
      <c r="F36" s="152">
        <f>E36*C36</f>
        <v>1</v>
      </c>
      <c r="G36" s="153"/>
      <c r="H36" s="152">
        <f>V36*K36</f>
        <v>472.5</v>
      </c>
      <c r="I36" s="152">
        <f>H36*F36</f>
        <v>472.5</v>
      </c>
      <c r="J36" s="153"/>
      <c r="K36" s="152">
        <v>0.9</v>
      </c>
      <c r="L36" s="195"/>
      <c r="M36" s="195"/>
      <c r="N36" s="195"/>
      <c r="O36" s="148" t="s">
        <v>421</v>
      </c>
      <c r="P36" s="153"/>
      <c r="Q36" s="149">
        <v>2</v>
      </c>
      <c r="R36" s="148" t="s">
        <v>426</v>
      </c>
      <c r="S36" s="149">
        <v>2</v>
      </c>
      <c r="T36" s="152">
        <f>S36*Q36</f>
        <v>4</v>
      </c>
      <c r="U36" s="153"/>
      <c r="V36" s="152">
        <f>W36/T36</f>
        <v>525</v>
      </c>
      <c r="W36" s="152">
        <v>2100</v>
      </c>
      <c r="X36" s="153"/>
      <c r="Y36" s="152">
        <v>1</v>
      </c>
      <c r="Z36" s="195"/>
      <c r="AA36" s="195"/>
      <c r="AB36" s="195"/>
      <c r="AC36" s="148" t="s">
        <v>421</v>
      </c>
      <c r="AD36" s="153"/>
      <c r="AE36" s="149">
        <v>3</v>
      </c>
      <c r="AF36" s="148" t="s">
        <v>426</v>
      </c>
      <c r="AG36" s="149">
        <v>3</v>
      </c>
      <c r="AH36" s="152">
        <f>AG36*AE36</f>
        <v>9</v>
      </c>
      <c r="AI36" s="153"/>
      <c r="AJ36" s="152">
        <f>V36*AM36</f>
        <v>656.25</v>
      </c>
      <c r="AK36" s="152">
        <f>AJ36*AH36</f>
        <v>5906.25</v>
      </c>
      <c r="AL36" s="153"/>
      <c r="AM36" s="152">
        <v>1.25</v>
      </c>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5">
      <c r="A37" s="149"/>
      <c r="B37" s="153"/>
      <c r="C37" s="148"/>
      <c r="D37" s="148"/>
      <c r="E37" s="149"/>
      <c r="F37" s="152"/>
      <c r="G37" s="153"/>
      <c r="H37" s="152"/>
      <c r="I37" s="152"/>
      <c r="J37" s="153"/>
      <c r="K37" s="152"/>
      <c r="L37" s="195"/>
      <c r="M37" s="195"/>
      <c r="N37" s="195"/>
      <c r="O37" s="149"/>
      <c r="P37" s="153"/>
      <c r="Q37" s="149"/>
      <c r="R37" s="149"/>
      <c r="S37" s="149"/>
      <c r="T37" s="152"/>
      <c r="U37" s="153"/>
      <c r="V37" s="152"/>
      <c r="W37" s="152"/>
      <c r="X37" s="153"/>
      <c r="Y37" s="152"/>
      <c r="Z37" s="195"/>
      <c r="AA37" s="195"/>
      <c r="AB37" s="195"/>
      <c r="AC37" s="149"/>
      <c r="AD37" s="153"/>
      <c r="AE37" s="149"/>
      <c r="AF37" s="149"/>
      <c r="AG37" s="149"/>
      <c r="AH37" s="152"/>
      <c r="AI37" s="153"/>
      <c r="AJ37" s="152"/>
      <c r="AK37" s="152"/>
      <c r="AL37" s="153"/>
      <c r="AM37" s="152"/>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5">
      <c r="A38" s="148" t="s">
        <v>422</v>
      </c>
      <c r="B38" s="153"/>
      <c r="C38" s="149">
        <v>1</v>
      </c>
      <c r="D38" s="148" t="s">
        <v>426</v>
      </c>
      <c r="E38" s="149">
        <v>1</v>
      </c>
      <c r="F38" s="152">
        <f>E38*C38</f>
        <v>1</v>
      </c>
      <c r="G38" s="153"/>
      <c r="H38" s="152">
        <f>V38*K38</f>
        <v>1350</v>
      </c>
      <c r="I38" s="152">
        <f>H38*F38</f>
        <v>1350</v>
      </c>
      <c r="J38" s="153"/>
      <c r="K38" s="152">
        <v>0.9</v>
      </c>
      <c r="L38" s="195"/>
      <c r="M38" s="195"/>
      <c r="N38" s="195"/>
      <c r="O38" s="148" t="s">
        <v>422</v>
      </c>
      <c r="P38" s="153"/>
      <c r="Q38" s="149">
        <v>2</v>
      </c>
      <c r="R38" s="148" t="s">
        <v>426</v>
      </c>
      <c r="S38" s="149">
        <v>2</v>
      </c>
      <c r="T38" s="152">
        <f>S38*Q38</f>
        <v>4</v>
      </c>
      <c r="U38" s="153"/>
      <c r="V38" s="152">
        <f>W38/T38</f>
        <v>1500</v>
      </c>
      <c r="W38" s="152">
        <v>6000</v>
      </c>
      <c r="X38" s="153"/>
      <c r="Y38" s="152">
        <v>1</v>
      </c>
      <c r="Z38" s="195"/>
      <c r="AA38" s="195"/>
      <c r="AB38" s="195"/>
      <c r="AC38" s="148" t="s">
        <v>422</v>
      </c>
      <c r="AD38" s="153"/>
      <c r="AE38" s="149">
        <v>3</v>
      </c>
      <c r="AF38" s="148" t="s">
        <v>426</v>
      </c>
      <c r="AG38" s="149">
        <v>3</v>
      </c>
      <c r="AH38" s="152">
        <f>AG38*AE38</f>
        <v>9</v>
      </c>
      <c r="AI38" s="153"/>
      <c r="AJ38" s="152">
        <f>V38*AM38</f>
        <v>1875</v>
      </c>
      <c r="AK38" s="152">
        <f>AJ38*AH38</f>
        <v>16875</v>
      </c>
      <c r="AL38" s="153"/>
      <c r="AM38" s="152">
        <v>1.25</v>
      </c>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5">
      <c r="A39" s="149"/>
      <c r="B39" s="153"/>
      <c r="C39" s="149"/>
      <c r="D39" s="149"/>
      <c r="E39" s="149"/>
      <c r="F39" s="152"/>
      <c r="G39" s="153"/>
      <c r="H39" s="152"/>
      <c r="I39" s="152"/>
      <c r="J39" s="153"/>
      <c r="K39" s="152"/>
      <c r="L39" s="195"/>
      <c r="M39" s="195"/>
      <c r="N39" s="195"/>
      <c r="O39" s="149"/>
      <c r="P39" s="153"/>
      <c r="Q39" s="149"/>
      <c r="R39" s="149"/>
      <c r="S39" s="149"/>
      <c r="T39" s="152"/>
      <c r="U39" s="153"/>
      <c r="V39" s="152"/>
      <c r="W39" s="152"/>
      <c r="X39" s="153"/>
      <c r="Y39" s="152"/>
      <c r="Z39" s="195"/>
      <c r="AA39" s="195"/>
      <c r="AB39" s="195"/>
      <c r="AC39" s="149"/>
      <c r="AD39" s="153"/>
      <c r="AE39" s="149"/>
      <c r="AF39" s="149"/>
      <c r="AG39" s="149"/>
      <c r="AH39" s="152"/>
      <c r="AI39" s="153"/>
      <c r="AJ39" s="152"/>
      <c r="AK39" s="152"/>
      <c r="AL39" s="153"/>
      <c r="AM39" s="152"/>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5">
      <c r="A40" s="148" t="s">
        <v>423</v>
      </c>
      <c r="B40" s="153"/>
      <c r="C40" s="149">
        <v>1</v>
      </c>
      <c r="D40" s="148" t="s">
        <v>426</v>
      </c>
      <c r="E40" s="149">
        <v>1</v>
      </c>
      <c r="F40" s="152">
        <f>E40*C40</f>
        <v>1</v>
      </c>
      <c r="G40" s="153"/>
      <c r="H40" s="152">
        <f>V40*K40</f>
        <v>787.5</v>
      </c>
      <c r="I40" s="152">
        <f>H40*F40</f>
        <v>787.5</v>
      </c>
      <c r="J40" s="153"/>
      <c r="K40" s="152">
        <v>0.7</v>
      </c>
      <c r="L40" s="195"/>
      <c r="M40" s="195"/>
      <c r="N40" s="195"/>
      <c r="O40" s="148" t="s">
        <v>423</v>
      </c>
      <c r="P40" s="153"/>
      <c r="Q40" s="149">
        <v>2</v>
      </c>
      <c r="R40" s="148" t="s">
        <v>426</v>
      </c>
      <c r="S40" s="149">
        <v>2</v>
      </c>
      <c r="T40" s="152">
        <f>S40*Q40</f>
        <v>4</v>
      </c>
      <c r="U40" s="153"/>
      <c r="V40" s="152">
        <f>W40/T40</f>
        <v>1125</v>
      </c>
      <c r="W40" s="152">
        <v>4500</v>
      </c>
      <c r="X40" s="153"/>
      <c r="Y40" s="152">
        <v>1</v>
      </c>
      <c r="Z40" s="195"/>
      <c r="AA40" s="195"/>
      <c r="AB40" s="195"/>
      <c r="AC40" s="148" t="s">
        <v>423</v>
      </c>
      <c r="AD40" s="153"/>
      <c r="AE40" s="149">
        <v>3</v>
      </c>
      <c r="AF40" s="148" t="s">
        <v>426</v>
      </c>
      <c r="AG40" s="149">
        <v>3</v>
      </c>
      <c r="AH40" s="152">
        <f>AG40*AE40</f>
        <v>9</v>
      </c>
      <c r="AI40" s="153"/>
      <c r="AJ40" s="152">
        <f>V40*AM40</f>
        <v>1687.5</v>
      </c>
      <c r="AK40" s="152">
        <f>AJ40*AH40</f>
        <v>15187.5</v>
      </c>
      <c r="AL40" s="153"/>
      <c r="AM40" s="152">
        <v>1.5</v>
      </c>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5">
      <c r="A41" s="149"/>
      <c r="B41" s="153"/>
      <c r="C41" s="149"/>
      <c r="D41" s="149"/>
      <c r="E41" s="149"/>
      <c r="F41" s="152"/>
      <c r="G41" s="153"/>
      <c r="H41" s="152"/>
      <c r="I41" s="152"/>
      <c r="J41" s="153"/>
      <c r="K41" s="152"/>
      <c r="L41" s="195"/>
      <c r="M41" s="195"/>
      <c r="N41" s="195"/>
      <c r="O41" s="149"/>
      <c r="P41" s="153"/>
      <c r="Q41" s="149"/>
      <c r="R41" s="149"/>
      <c r="S41" s="149"/>
      <c r="T41" s="152"/>
      <c r="U41" s="153"/>
      <c r="V41" s="152"/>
      <c r="W41" s="152"/>
      <c r="X41" s="153"/>
      <c r="Y41" s="152"/>
      <c r="Z41" s="195"/>
      <c r="AA41" s="195"/>
      <c r="AB41" s="195"/>
      <c r="AC41" s="149"/>
      <c r="AD41" s="153"/>
      <c r="AE41" s="149"/>
      <c r="AF41" s="149"/>
      <c r="AG41" s="149"/>
      <c r="AH41" s="152"/>
      <c r="AI41" s="153"/>
      <c r="AJ41" s="152"/>
      <c r="AK41" s="152"/>
      <c r="AL41" s="153"/>
      <c r="AM41" s="152"/>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5">
      <c r="A42" s="148" t="s">
        <v>424</v>
      </c>
      <c r="B42" s="153"/>
      <c r="C42" s="149">
        <v>1</v>
      </c>
      <c r="D42" s="148" t="s">
        <v>426</v>
      </c>
      <c r="E42" s="149">
        <v>1</v>
      </c>
      <c r="F42" s="152">
        <f>E42*C42</f>
        <v>1</v>
      </c>
      <c r="G42" s="153"/>
      <c r="H42" s="152">
        <f>V42*K42</f>
        <v>2100</v>
      </c>
      <c r="I42" s="152">
        <f>H42*F42</f>
        <v>2100</v>
      </c>
      <c r="J42" s="153"/>
      <c r="K42" s="152">
        <v>0.7</v>
      </c>
      <c r="L42" s="195"/>
      <c r="M42" s="195"/>
      <c r="N42" s="195"/>
      <c r="O42" s="148" t="s">
        <v>424</v>
      </c>
      <c r="P42" s="153"/>
      <c r="Q42" s="149">
        <v>2</v>
      </c>
      <c r="R42" s="148" t="s">
        <v>426</v>
      </c>
      <c r="S42" s="149">
        <v>2</v>
      </c>
      <c r="T42" s="152">
        <f>S42*Q42</f>
        <v>4</v>
      </c>
      <c r="U42" s="153"/>
      <c r="V42" s="152">
        <f>W42/T42</f>
        <v>3000</v>
      </c>
      <c r="W42" s="152">
        <v>12000</v>
      </c>
      <c r="X42" s="153"/>
      <c r="Y42" s="152">
        <v>1</v>
      </c>
      <c r="Z42" s="195"/>
      <c r="AA42" s="195"/>
      <c r="AB42" s="195"/>
      <c r="AC42" s="148" t="s">
        <v>424</v>
      </c>
      <c r="AD42" s="153"/>
      <c r="AE42" s="149">
        <v>3</v>
      </c>
      <c r="AF42" s="148" t="s">
        <v>426</v>
      </c>
      <c r="AG42" s="149">
        <v>3</v>
      </c>
      <c r="AH42" s="152">
        <f>AG42*AE42</f>
        <v>9</v>
      </c>
      <c r="AI42" s="153"/>
      <c r="AJ42" s="152">
        <f>V42*AM42</f>
        <v>4500</v>
      </c>
      <c r="AK42" s="152">
        <f>AJ42*AH42</f>
        <v>40500</v>
      </c>
      <c r="AL42" s="153"/>
      <c r="AM42" s="152">
        <v>1.5</v>
      </c>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5">
      <c r="A43" s="149"/>
      <c r="B43" s="153"/>
      <c r="C43" s="149"/>
      <c r="D43" s="149"/>
      <c r="E43" s="149"/>
      <c r="F43" s="152"/>
      <c r="G43" s="153"/>
      <c r="H43" s="152"/>
      <c r="I43" s="152"/>
      <c r="J43" s="153"/>
      <c r="K43" s="152"/>
      <c r="L43" s="195"/>
      <c r="M43" s="195"/>
      <c r="N43" s="195"/>
      <c r="O43" s="149"/>
      <c r="P43" s="153"/>
      <c r="Q43" s="149"/>
      <c r="R43" s="149"/>
      <c r="S43" s="149"/>
      <c r="T43" s="152"/>
      <c r="U43" s="153"/>
      <c r="V43" s="152"/>
      <c r="W43" s="152"/>
      <c r="X43" s="153"/>
      <c r="Y43" s="152"/>
      <c r="Z43" s="195"/>
      <c r="AA43" s="195"/>
      <c r="AB43" s="195"/>
      <c r="AC43" s="149"/>
      <c r="AD43" s="153"/>
      <c r="AE43" s="149"/>
      <c r="AF43" s="149"/>
      <c r="AG43" s="149"/>
      <c r="AH43" s="152"/>
      <c r="AI43" s="153"/>
      <c r="AJ43" s="152"/>
      <c r="AK43" s="152"/>
      <c r="AL43" s="153"/>
      <c r="AM43" s="152"/>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5">
      <c r="A44" s="148" t="s">
        <v>456</v>
      </c>
      <c r="B44" s="153"/>
      <c r="C44" s="149">
        <v>1</v>
      </c>
      <c r="D44" s="148" t="s">
        <v>426</v>
      </c>
      <c r="E44" s="149">
        <v>1</v>
      </c>
      <c r="F44" s="152">
        <f>E44*C44</f>
        <v>1</v>
      </c>
      <c r="G44" s="153"/>
      <c r="H44" s="152">
        <f>V44*K44</f>
        <v>562.5</v>
      </c>
      <c r="I44" s="152">
        <f>H44*F44</f>
        <v>562.5</v>
      </c>
      <c r="J44" s="153"/>
      <c r="K44" s="152">
        <v>0.5</v>
      </c>
      <c r="L44" s="195"/>
      <c r="M44" s="195"/>
      <c r="N44" s="195"/>
      <c r="O44" s="149" t="s">
        <v>456</v>
      </c>
      <c r="P44" s="153"/>
      <c r="Q44" s="149">
        <v>2</v>
      </c>
      <c r="R44" s="148" t="s">
        <v>426</v>
      </c>
      <c r="S44" s="149">
        <v>2</v>
      </c>
      <c r="T44" s="152">
        <f>S44*Q44</f>
        <v>4</v>
      </c>
      <c r="U44" s="153"/>
      <c r="V44" s="152">
        <f>W44/T44</f>
        <v>1125</v>
      </c>
      <c r="W44" s="152">
        <v>4500</v>
      </c>
      <c r="X44" s="153"/>
      <c r="Y44" s="152">
        <v>1</v>
      </c>
      <c r="Z44" s="195"/>
      <c r="AA44" s="195"/>
      <c r="AB44" s="195"/>
      <c r="AC44" s="148" t="s">
        <v>456</v>
      </c>
      <c r="AD44" s="153"/>
      <c r="AE44" s="149">
        <v>3</v>
      </c>
      <c r="AF44" s="148" t="s">
        <v>426</v>
      </c>
      <c r="AG44" s="149">
        <v>3</v>
      </c>
      <c r="AH44" s="152">
        <f>AG44*AE44</f>
        <v>9</v>
      </c>
      <c r="AI44" s="153"/>
      <c r="AJ44" s="152">
        <f>V44*AM44</f>
        <v>2250</v>
      </c>
      <c r="AK44" s="152">
        <f>AJ44*AH44</f>
        <v>20250</v>
      </c>
      <c r="AL44" s="153"/>
      <c r="AM44" s="152">
        <v>2</v>
      </c>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5">
      <c r="A45" s="149"/>
      <c r="B45" s="153"/>
      <c r="C45" s="149"/>
      <c r="D45" s="149"/>
      <c r="E45" s="149"/>
      <c r="F45" s="152"/>
      <c r="G45" s="153"/>
      <c r="H45" s="152"/>
      <c r="I45" s="152"/>
      <c r="J45" s="153"/>
      <c r="K45" s="152"/>
      <c r="L45" s="195"/>
      <c r="M45" s="195"/>
      <c r="N45" s="195"/>
      <c r="O45" s="149"/>
      <c r="P45" s="153"/>
      <c r="Q45" s="149"/>
      <c r="R45" s="149"/>
      <c r="S45" s="149"/>
      <c r="T45" s="152"/>
      <c r="U45" s="153"/>
      <c r="V45" s="152"/>
      <c r="W45" s="152"/>
      <c r="X45" s="153"/>
      <c r="Y45" s="152"/>
      <c r="Z45" s="195"/>
      <c r="AA45" s="195"/>
      <c r="AB45" s="195"/>
      <c r="AC45" s="149"/>
      <c r="AD45" s="153"/>
      <c r="AE45" s="149"/>
      <c r="AF45" s="149"/>
      <c r="AG45" s="149"/>
      <c r="AH45" s="152"/>
      <c r="AI45" s="153"/>
      <c r="AJ45" s="152"/>
      <c r="AK45" s="152"/>
      <c r="AL45" s="153"/>
      <c r="AM45" s="152"/>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5">
      <c r="A46" s="149"/>
      <c r="B46" s="153"/>
      <c r="C46" s="149"/>
      <c r="D46" s="149"/>
      <c r="E46" s="149"/>
      <c r="F46" s="152"/>
      <c r="G46" s="153"/>
      <c r="H46" s="152"/>
      <c r="I46" s="152"/>
      <c r="J46" s="153"/>
      <c r="K46" s="152"/>
      <c r="L46" s="195"/>
      <c r="M46" s="195"/>
      <c r="N46" s="195"/>
      <c r="O46" s="149"/>
      <c r="P46" s="153"/>
      <c r="Q46" s="149"/>
      <c r="R46" s="149"/>
      <c r="S46" s="149"/>
      <c r="T46" s="152"/>
      <c r="U46" s="153"/>
      <c r="V46" s="152"/>
      <c r="W46" s="152"/>
      <c r="X46" s="153"/>
      <c r="Y46" s="152"/>
      <c r="Z46" s="195"/>
      <c r="AA46" s="195"/>
      <c r="AB46" s="195"/>
      <c r="AC46" s="149"/>
      <c r="AD46" s="153"/>
      <c r="AE46" s="149"/>
      <c r="AF46" s="149"/>
      <c r="AG46" s="149"/>
      <c r="AH46" s="152"/>
      <c r="AI46" s="153"/>
      <c r="AJ46" s="152"/>
      <c r="AK46" s="152"/>
      <c r="AL46" s="153"/>
      <c r="AM46" s="152"/>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5">
      <c r="A47" s="149"/>
      <c r="B47" s="153"/>
      <c r="C47" s="149"/>
      <c r="D47" s="149"/>
      <c r="E47" s="149"/>
      <c r="F47" s="152"/>
      <c r="G47" s="153"/>
      <c r="H47" s="152"/>
      <c r="I47" s="152"/>
      <c r="J47" s="153"/>
      <c r="K47" s="152"/>
      <c r="L47" s="195"/>
      <c r="M47" s="195"/>
      <c r="N47" s="195"/>
      <c r="O47" s="149"/>
      <c r="P47" s="153"/>
      <c r="Q47" s="149"/>
      <c r="R47" s="149"/>
      <c r="S47" s="149"/>
      <c r="T47" s="152"/>
      <c r="U47" s="153"/>
      <c r="V47" s="152"/>
      <c r="W47" s="152"/>
      <c r="X47" s="153"/>
      <c r="Y47" s="152"/>
      <c r="Z47" s="195"/>
      <c r="AA47" s="195"/>
      <c r="AB47" s="195"/>
      <c r="AC47" s="149"/>
      <c r="AD47" s="153"/>
      <c r="AE47" s="149"/>
      <c r="AF47" s="149"/>
      <c r="AG47" s="149"/>
      <c r="AH47" s="152"/>
      <c r="AI47" s="153"/>
      <c r="AJ47" s="152"/>
      <c r="AK47" s="152"/>
      <c r="AL47" s="153"/>
      <c r="AM47" s="152"/>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5">
      <c r="A48" s="149"/>
      <c r="B48" s="153"/>
      <c r="C48" s="149"/>
      <c r="D48" s="149"/>
      <c r="E48" s="149"/>
      <c r="F48" s="152"/>
      <c r="G48" s="153"/>
      <c r="H48" s="152"/>
      <c r="I48" s="152"/>
      <c r="J48" s="153"/>
      <c r="K48" s="152"/>
      <c r="L48" s="195"/>
      <c r="M48" s="195"/>
      <c r="N48" s="195"/>
      <c r="O48" s="149"/>
      <c r="P48" s="153"/>
      <c r="Q48" s="149"/>
      <c r="R48" s="149"/>
      <c r="S48" s="149"/>
      <c r="T48" s="152"/>
      <c r="U48" s="153"/>
      <c r="V48" s="152"/>
      <c r="W48" s="152"/>
      <c r="X48" s="153"/>
      <c r="Y48" s="152"/>
      <c r="Z48" s="195"/>
      <c r="AA48" s="195"/>
      <c r="AB48" s="195"/>
      <c r="AC48" s="149"/>
      <c r="AD48" s="153"/>
      <c r="AE48" s="149"/>
      <c r="AF48" s="149"/>
      <c r="AG48" s="149"/>
      <c r="AH48" s="152"/>
      <c r="AI48" s="153"/>
      <c r="AJ48" s="152"/>
      <c r="AK48" s="152"/>
      <c r="AL48" s="153"/>
      <c r="AM48" s="152"/>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5">
      <c r="A49" s="149"/>
      <c r="B49" s="153"/>
      <c r="C49" s="149"/>
      <c r="D49" s="149"/>
      <c r="E49" s="149"/>
      <c r="F49" s="152"/>
      <c r="G49" s="153"/>
      <c r="H49" s="152"/>
      <c r="I49" s="152"/>
      <c r="J49" s="153"/>
      <c r="K49" s="152"/>
      <c r="L49" s="195"/>
      <c r="M49" s="195"/>
      <c r="N49" s="195"/>
      <c r="O49" s="149"/>
      <c r="P49" s="153"/>
      <c r="Q49" s="149"/>
      <c r="R49" s="149"/>
      <c r="S49" s="149"/>
      <c r="T49" s="152"/>
      <c r="U49" s="153"/>
      <c r="V49" s="152"/>
      <c r="W49" s="152"/>
      <c r="X49" s="153"/>
      <c r="Y49" s="152"/>
      <c r="Z49" s="195"/>
      <c r="AA49" s="195"/>
      <c r="AB49" s="195"/>
      <c r="AC49" s="149"/>
      <c r="AD49" s="153"/>
      <c r="AE49" s="149"/>
      <c r="AF49" s="149"/>
      <c r="AG49" s="149"/>
      <c r="AH49" s="152"/>
      <c r="AI49" s="153"/>
      <c r="AJ49" s="152"/>
      <c r="AK49" s="152"/>
      <c r="AL49" s="153"/>
      <c r="AM49" s="152"/>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5">
      <c r="AN50" s="195"/>
      <c r="AO50" s="195"/>
      <c r="AP50" s="195"/>
      <c r="AQ50" s="195"/>
      <c r="AR50" s="195"/>
      <c r="AS50" s="195"/>
      <c r="AT50" s="195"/>
      <c r="AU50" s="195"/>
      <c r="AV50" s="195"/>
      <c r="AW50" s="195"/>
      <c r="AX50" s="195"/>
      <c r="AY50" s="195"/>
    </row>
    <row r="51" spans="1:68" x14ac:dyDescent="0.25">
      <c r="AN51" s="195"/>
      <c r="AO51" s="195"/>
      <c r="AP51" s="195"/>
      <c r="AQ51" s="195"/>
      <c r="AR51" s="195"/>
      <c r="AS51" s="195"/>
      <c r="AT51" s="195"/>
      <c r="AU51" s="195"/>
      <c r="AV51" s="195"/>
      <c r="AW51" s="195"/>
      <c r="AX51" s="195"/>
      <c r="AY51" s="195"/>
    </row>
    <row r="52" spans="1:68" x14ac:dyDescent="0.25">
      <c r="AN52" s="195"/>
      <c r="AO52" s="195"/>
      <c r="AP52" s="195"/>
      <c r="AQ52" s="195"/>
      <c r="AR52" s="195"/>
      <c r="AS52" s="195"/>
      <c r="AT52" s="195"/>
      <c r="AU52" s="195"/>
      <c r="AV52" s="195"/>
      <c r="AW52" s="195"/>
      <c r="AX52" s="195"/>
      <c r="AY52" s="195"/>
    </row>
    <row r="53" spans="1:68" x14ac:dyDescent="0.25">
      <c r="AN53" s="195"/>
      <c r="AO53" s="195"/>
      <c r="AP53" s="195"/>
      <c r="AQ53" s="195"/>
      <c r="AR53" s="195"/>
      <c r="AS53" s="195"/>
      <c r="AT53" s="195"/>
      <c r="AU53" s="195"/>
      <c r="AV53" s="195"/>
      <c r="AW53" s="195"/>
      <c r="AX53" s="195"/>
      <c r="AY53" s="195"/>
    </row>
    <row r="54" spans="1:68" ht="13.8" thickBot="1" x14ac:dyDescent="0.3"/>
    <row r="55" spans="1:68" ht="14.4" thickBot="1" x14ac:dyDescent="0.3">
      <c r="A55" s="144" t="s">
        <v>460</v>
      </c>
      <c r="E55" s="259" t="s">
        <v>416</v>
      </c>
      <c r="F55" s="260"/>
      <c r="G55" s="261"/>
      <c r="H55" s="214"/>
      <c r="S55" s="259" t="s">
        <v>418</v>
      </c>
      <c r="T55" s="262"/>
      <c r="U55" s="263"/>
      <c r="AG55" s="259" t="s">
        <v>417</v>
      </c>
      <c r="AH55" s="262"/>
      <c r="AI55" s="263"/>
    </row>
    <row r="58" spans="1:68" x14ac:dyDescent="0.25">
      <c r="A58" s="147" t="s">
        <v>455</v>
      </c>
      <c r="B58" s="146" t="s">
        <v>454</v>
      </c>
      <c r="C58" s="147"/>
      <c r="D58" s="147"/>
      <c r="E58" s="146"/>
      <c r="F58" s="147"/>
      <c r="G58" s="146"/>
      <c r="H58" s="174" t="s">
        <v>335</v>
      </c>
      <c r="I58" s="174" t="s">
        <v>335</v>
      </c>
      <c r="J58" s="146"/>
      <c r="K58" s="174" t="s">
        <v>427</v>
      </c>
      <c r="L58" s="217"/>
      <c r="M58" s="195"/>
      <c r="N58" s="217"/>
      <c r="O58" s="147" t="s">
        <v>455</v>
      </c>
      <c r="P58" s="146" t="s">
        <v>453</v>
      </c>
      <c r="Q58" s="147"/>
      <c r="R58" s="147"/>
      <c r="S58" s="146"/>
      <c r="T58" s="147"/>
      <c r="U58" s="146"/>
      <c r="V58" s="174" t="s">
        <v>335</v>
      </c>
      <c r="W58" s="174" t="s">
        <v>335</v>
      </c>
      <c r="X58" s="146"/>
      <c r="Y58" s="174" t="s">
        <v>427</v>
      </c>
      <c r="Z58" s="217"/>
      <c r="AA58" s="195"/>
      <c r="AB58" s="217"/>
      <c r="AC58" s="147" t="s">
        <v>455</v>
      </c>
      <c r="AD58" s="146" t="s">
        <v>453</v>
      </c>
      <c r="AE58" s="147"/>
      <c r="AF58" s="147"/>
      <c r="AG58" s="146"/>
      <c r="AH58" s="147"/>
      <c r="AI58" s="146"/>
      <c r="AJ58" s="174" t="s">
        <v>335</v>
      </c>
      <c r="AK58" s="174" t="s">
        <v>335</v>
      </c>
      <c r="AL58" s="146"/>
      <c r="AM58" s="174" t="s">
        <v>427</v>
      </c>
    </row>
    <row r="59" spans="1:68" x14ac:dyDescent="0.25">
      <c r="A59" s="146"/>
      <c r="B59" s="153"/>
      <c r="C59" s="146"/>
      <c r="D59" s="146"/>
      <c r="E59" s="146"/>
      <c r="F59" s="147" t="s">
        <v>336</v>
      </c>
      <c r="G59" s="153"/>
      <c r="H59" s="174" t="s">
        <v>457</v>
      </c>
      <c r="I59" s="175" t="s">
        <v>457</v>
      </c>
      <c r="J59" s="153"/>
      <c r="K59" s="174"/>
      <c r="L59" s="217"/>
      <c r="M59" s="195"/>
      <c r="N59" s="213"/>
      <c r="O59" s="146"/>
      <c r="P59" s="153"/>
      <c r="Q59" s="146"/>
      <c r="R59" s="146"/>
      <c r="S59" s="146"/>
      <c r="T59" s="147" t="s">
        <v>336</v>
      </c>
      <c r="U59" s="153"/>
      <c r="V59" s="175" t="s">
        <v>457</v>
      </c>
      <c r="W59" s="174" t="s">
        <v>457</v>
      </c>
      <c r="X59" s="153"/>
      <c r="Y59" s="174"/>
      <c r="Z59" s="217"/>
      <c r="AA59" s="195"/>
      <c r="AB59" s="213"/>
      <c r="AC59" s="146"/>
      <c r="AD59" s="153"/>
      <c r="AE59" s="146"/>
      <c r="AF59" s="146"/>
      <c r="AG59" s="146"/>
      <c r="AH59" s="147" t="s">
        <v>336</v>
      </c>
      <c r="AI59" s="153"/>
      <c r="AJ59" s="175" t="s">
        <v>457</v>
      </c>
      <c r="AK59" s="174" t="s">
        <v>457</v>
      </c>
      <c r="AL59" s="153"/>
      <c r="AM59" s="174"/>
    </row>
    <row r="60" spans="1:68" x14ac:dyDescent="0.25">
      <c r="A60" s="148" t="s">
        <v>420</v>
      </c>
      <c r="B60" s="153"/>
      <c r="C60" s="148">
        <v>1</v>
      </c>
      <c r="D60" s="148" t="s">
        <v>426</v>
      </c>
      <c r="E60" s="149">
        <v>1</v>
      </c>
      <c r="F60" s="152">
        <f>E60*C60</f>
        <v>1</v>
      </c>
      <c r="G60" s="153"/>
      <c r="H60" s="152">
        <f>V60*K60</f>
        <v>1350</v>
      </c>
      <c r="I60" s="152">
        <f>H60*F60</f>
        <v>1350</v>
      </c>
      <c r="J60" s="153"/>
      <c r="K60" s="152">
        <v>0.9</v>
      </c>
      <c r="L60" s="195"/>
      <c r="M60" s="195"/>
      <c r="N60" s="195"/>
      <c r="O60" s="148" t="s">
        <v>420</v>
      </c>
      <c r="P60" s="153"/>
      <c r="Q60" s="148">
        <v>2</v>
      </c>
      <c r="R60" s="148" t="s">
        <v>426</v>
      </c>
      <c r="S60" s="149">
        <v>2</v>
      </c>
      <c r="T60" s="152">
        <f>S60*Q60</f>
        <v>4</v>
      </c>
      <c r="U60" s="153"/>
      <c r="V60" s="152">
        <f>W60/T60</f>
        <v>1500</v>
      </c>
      <c r="W60" s="152">
        <v>6000</v>
      </c>
      <c r="X60" s="153"/>
      <c r="Y60" s="152">
        <v>1</v>
      </c>
      <c r="Z60" s="195"/>
      <c r="AA60" s="195"/>
      <c r="AB60" s="195"/>
      <c r="AC60" s="148" t="s">
        <v>420</v>
      </c>
      <c r="AD60" s="153"/>
      <c r="AE60" s="148">
        <v>3</v>
      </c>
      <c r="AF60" s="148" t="s">
        <v>426</v>
      </c>
      <c r="AG60" s="149">
        <v>3</v>
      </c>
      <c r="AH60" s="152">
        <f>AG60*AE60</f>
        <v>9</v>
      </c>
      <c r="AI60" s="153"/>
      <c r="AJ60" s="152">
        <f>V60*AM60</f>
        <v>1875</v>
      </c>
      <c r="AK60" s="152">
        <f>AJ60*AH60</f>
        <v>16875</v>
      </c>
      <c r="AL60" s="153"/>
      <c r="AM60" s="152">
        <v>1.25</v>
      </c>
    </row>
    <row r="61" spans="1:68" x14ac:dyDescent="0.25">
      <c r="A61" s="149"/>
      <c r="B61" s="153"/>
      <c r="C61" s="148"/>
      <c r="D61" s="148"/>
      <c r="E61" s="149"/>
      <c r="F61" s="152"/>
      <c r="G61" s="153"/>
      <c r="H61" s="152"/>
      <c r="I61" s="152"/>
      <c r="J61" s="153"/>
      <c r="K61" s="152"/>
      <c r="L61" s="195"/>
      <c r="M61" s="195"/>
      <c r="N61" s="195"/>
      <c r="O61" s="149"/>
      <c r="P61" s="153"/>
      <c r="Q61" s="149"/>
      <c r="R61" s="149"/>
      <c r="S61" s="149"/>
      <c r="T61" s="152"/>
      <c r="U61" s="153"/>
      <c r="V61" s="152"/>
      <c r="W61" s="152"/>
      <c r="X61" s="153"/>
      <c r="Y61" s="152"/>
      <c r="Z61" s="195"/>
      <c r="AA61" s="195"/>
      <c r="AB61" s="195"/>
      <c r="AC61" s="149"/>
      <c r="AD61" s="153"/>
      <c r="AE61" s="149"/>
      <c r="AF61" s="149"/>
      <c r="AG61" s="149"/>
      <c r="AH61" s="152"/>
      <c r="AI61" s="153"/>
      <c r="AJ61" s="152"/>
      <c r="AK61" s="152"/>
      <c r="AL61" s="153"/>
      <c r="AM61" s="152"/>
    </row>
    <row r="62" spans="1:68" x14ac:dyDescent="0.25">
      <c r="A62" s="148" t="s">
        <v>421</v>
      </c>
      <c r="B62" s="153"/>
      <c r="C62" s="148">
        <v>1</v>
      </c>
      <c r="D62" s="148" t="s">
        <v>426</v>
      </c>
      <c r="E62" s="149">
        <v>1</v>
      </c>
      <c r="F62" s="152">
        <f>E62*C62</f>
        <v>1</v>
      </c>
      <c r="G62" s="153"/>
      <c r="H62" s="152">
        <f>V62*K62</f>
        <v>1350</v>
      </c>
      <c r="I62" s="152">
        <f>H62*F62</f>
        <v>1350</v>
      </c>
      <c r="J62" s="153"/>
      <c r="K62" s="152">
        <v>0.9</v>
      </c>
      <c r="L62" s="195"/>
      <c r="M62" s="195"/>
      <c r="N62" s="195"/>
      <c r="O62" s="148" t="s">
        <v>421</v>
      </c>
      <c r="P62" s="153"/>
      <c r="Q62" s="149">
        <v>2</v>
      </c>
      <c r="R62" s="148" t="s">
        <v>426</v>
      </c>
      <c r="S62" s="149">
        <v>2</v>
      </c>
      <c r="T62" s="152">
        <f>S62*Q62</f>
        <v>4</v>
      </c>
      <c r="U62" s="153"/>
      <c r="V62" s="152">
        <f>W62/T62</f>
        <v>1500</v>
      </c>
      <c r="W62" s="152">
        <v>6000</v>
      </c>
      <c r="X62" s="153"/>
      <c r="Y62" s="152">
        <v>1</v>
      </c>
      <c r="Z62" s="195"/>
      <c r="AA62" s="195"/>
      <c r="AB62" s="195"/>
      <c r="AC62" s="148" t="s">
        <v>421</v>
      </c>
      <c r="AD62" s="153"/>
      <c r="AE62" s="149">
        <v>3</v>
      </c>
      <c r="AF62" s="148" t="s">
        <v>426</v>
      </c>
      <c r="AG62" s="149">
        <v>3</v>
      </c>
      <c r="AH62" s="152">
        <f>AG62*AE62</f>
        <v>9</v>
      </c>
      <c r="AI62" s="153"/>
      <c r="AJ62" s="152">
        <f>V62*AM62</f>
        <v>1875</v>
      </c>
      <c r="AK62" s="152">
        <f>AJ62*AH62</f>
        <v>16875</v>
      </c>
      <c r="AL62" s="153"/>
      <c r="AM62" s="152">
        <v>1.25</v>
      </c>
    </row>
    <row r="63" spans="1:68" x14ac:dyDescent="0.25">
      <c r="A63" s="149"/>
      <c r="B63" s="153"/>
      <c r="C63" s="148"/>
      <c r="D63" s="148"/>
      <c r="E63" s="149"/>
      <c r="F63" s="152"/>
      <c r="G63" s="153"/>
      <c r="H63" s="152"/>
      <c r="I63" s="152"/>
      <c r="J63" s="153"/>
      <c r="K63" s="152"/>
      <c r="L63" s="195"/>
      <c r="M63" s="195"/>
      <c r="N63" s="195"/>
      <c r="O63" s="149"/>
      <c r="P63" s="153"/>
      <c r="Q63" s="149"/>
      <c r="R63" s="149"/>
      <c r="S63" s="149"/>
      <c r="T63" s="152"/>
      <c r="U63" s="153"/>
      <c r="V63" s="152"/>
      <c r="W63" s="152"/>
      <c r="X63" s="153"/>
      <c r="Y63" s="152"/>
      <c r="Z63" s="195"/>
      <c r="AA63" s="195"/>
      <c r="AB63" s="195"/>
      <c r="AC63" s="149"/>
      <c r="AD63" s="153"/>
      <c r="AE63" s="149"/>
      <c r="AF63" s="149"/>
      <c r="AG63" s="149"/>
      <c r="AH63" s="152"/>
      <c r="AI63" s="153"/>
      <c r="AJ63" s="152"/>
      <c r="AK63" s="152"/>
      <c r="AL63" s="153"/>
      <c r="AM63" s="152"/>
    </row>
    <row r="64" spans="1:68" x14ac:dyDescent="0.25">
      <c r="A64" s="148" t="s">
        <v>422</v>
      </c>
      <c r="B64" s="153"/>
      <c r="C64" s="149">
        <v>1</v>
      </c>
      <c r="D64" s="148" t="s">
        <v>426</v>
      </c>
      <c r="E64" s="149">
        <v>1</v>
      </c>
      <c r="F64" s="152">
        <f>E64*C64</f>
        <v>1</v>
      </c>
      <c r="G64" s="153"/>
      <c r="H64" s="152">
        <f>V64*K64</f>
        <v>472.5</v>
      </c>
      <c r="I64" s="152">
        <f>H64*F64</f>
        <v>472.5</v>
      </c>
      <c r="J64" s="153"/>
      <c r="K64" s="152">
        <v>0.9</v>
      </c>
      <c r="L64" s="195"/>
      <c r="M64" s="195"/>
      <c r="N64" s="195"/>
      <c r="O64" s="148" t="s">
        <v>422</v>
      </c>
      <c r="P64" s="153"/>
      <c r="Q64" s="149">
        <v>2</v>
      </c>
      <c r="R64" s="148" t="s">
        <v>426</v>
      </c>
      <c r="S64" s="149">
        <v>2</v>
      </c>
      <c r="T64" s="152">
        <f>S64*Q64</f>
        <v>4</v>
      </c>
      <c r="U64" s="153"/>
      <c r="V64" s="152">
        <f>W64/T64</f>
        <v>525</v>
      </c>
      <c r="W64" s="152">
        <v>2100</v>
      </c>
      <c r="X64" s="153"/>
      <c r="Y64" s="152">
        <v>1</v>
      </c>
      <c r="Z64" s="195"/>
      <c r="AA64" s="195"/>
      <c r="AB64" s="195"/>
      <c r="AC64" s="148" t="s">
        <v>422</v>
      </c>
      <c r="AD64" s="153"/>
      <c r="AE64" s="149">
        <v>3</v>
      </c>
      <c r="AF64" s="148" t="s">
        <v>426</v>
      </c>
      <c r="AG64" s="149">
        <v>3</v>
      </c>
      <c r="AH64" s="152">
        <f>AG64*AE64</f>
        <v>9</v>
      </c>
      <c r="AI64" s="153"/>
      <c r="AJ64" s="152">
        <f>V64*AM64</f>
        <v>656.25</v>
      </c>
      <c r="AK64" s="152">
        <f>AJ64*AH64</f>
        <v>5906.25</v>
      </c>
      <c r="AL64" s="153"/>
      <c r="AM64" s="152">
        <v>1.25</v>
      </c>
    </row>
    <row r="65" spans="1:39" x14ac:dyDescent="0.25">
      <c r="A65" s="149"/>
      <c r="B65" s="153"/>
      <c r="C65" s="149"/>
      <c r="D65" s="149"/>
      <c r="E65" s="149"/>
      <c r="F65" s="152"/>
      <c r="G65" s="153"/>
      <c r="H65" s="152"/>
      <c r="I65" s="152"/>
      <c r="J65" s="153"/>
      <c r="K65" s="152"/>
      <c r="L65" s="195"/>
      <c r="M65" s="195"/>
      <c r="N65" s="195"/>
      <c r="O65" s="149"/>
      <c r="P65" s="153"/>
      <c r="Q65" s="149"/>
      <c r="R65" s="149"/>
      <c r="S65" s="149"/>
      <c r="T65" s="152"/>
      <c r="U65" s="153"/>
      <c r="V65" s="152"/>
      <c r="W65" s="152"/>
      <c r="X65" s="153"/>
      <c r="Y65" s="152"/>
      <c r="Z65" s="195"/>
      <c r="AA65" s="195"/>
      <c r="AB65" s="195"/>
      <c r="AC65" s="149"/>
      <c r="AD65" s="153"/>
      <c r="AE65" s="149"/>
      <c r="AF65" s="149"/>
      <c r="AG65" s="149"/>
      <c r="AH65" s="152"/>
      <c r="AI65" s="153"/>
      <c r="AJ65" s="152"/>
      <c r="AK65" s="152"/>
      <c r="AL65" s="153"/>
      <c r="AM65" s="152"/>
    </row>
    <row r="66" spans="1:39" x14ac:dyDescent="0.25">
      <c r="A66" s="148" t="s">
        <v>423</v>
      </c>
      <c r="B66" s="153"/>
      <c r="C66" s="149">
        <v>1</v>
      </c>
      <c r="D66" s="148" t="s">
        <v>426</v>
      </c>
      <c r="E66" s="149">
        <v>1</v>
      </c>
      <c r="F66" s="152">
        <f>E66*C66</f>
        <v>1</v>
      </c>
      <c r="G66" s="153"/>
      <c r="H66" s="152">
        <f>V66*K66</f>
        <v>2100</v>
      </c>
      <c r="I66" s="152">
        <f>H66*F66</f>
        <v>2100</v>
      </c>
      <c r="J66" s="153"/>
      <c r="K66" s="152">
        <v>0.7</v>
      </c>
      <c r="L66" s="195"/>
      <c r="M66" s="195"/>
      <c r="N66" s="195"/>
      <c r="O66" s="148" t="s">
        <v>423</v>
      </c>
      <c r="P66" s="153"/>
      <c r="Q66" s="149">
        <v>2</v>
      </c>
      <c r="R66" s="148" t="s">
        <v>426</v>
      </c>
      <c r="S66" s="149">
        <v>2</v>
      </c>
      <c r="T66" s="152">
        <f>S66*Q66</f>
        <v>4</v>
      </c>
      <c r="U66" s="153"/>
      <c r="V66" s="152">
        <f>W66/T66</f>
        <v>3000</v>
      </c>
      <c r="W66" s="152">
        <v>12000</v>
      </c>
      <c r="X66" s="153"/>
      <c r="Y66" s="152">
        <v>1</v>
      </c>
      <c r="Z66" s="195"/>
      <c r="AA66" s="195"/>
      <c r="AB66" s="195"/>
      <c r="AC66" s="148" t="s">
        <v>423</v>
      </c>
      <c r="AD66" s="153"/>
      <c r="AE66" s="149">
        <v>3</v>
      </c>
      <c r="AF66" s="148" t="s">
        <v>426</v>
      </c>
      <c r="AG66" s="149">
        <v>3</v>
      </c>
      <c r="AH66" s="152">
        <f>AG66*AE66</f>
        <v>9</v>
      </c>
      <c r="AI66" s="153"/>
      <c r="AJ66" s="152">
        <f>V66*AM66</f>
        <v>4500</v>
      </c>
      <c r="AK66" s="152">
        <f>AJ66*AH66</f>
        <v>40500</v>
      </c>
      <c r="AL66" s="153"/>
      <c r="AM66" s="152">
        <v>1.5</v>
      </c>
    </row>
    <row r="67" spans="1:39" x14ac:dyDescent="0.25">
      <c r="A67" s="149"/>
      <c r="B67" s="153"/>
      <c r="C67" s="149"/>
      <c r="D67" s="149"/>
      <c r="E67" s="149"/>
      <c r="F67" s="152"/>
      <c r="G67" s="153"/>
      <c r="H67" s="152"/>
      <c r="I67" s="152"/>
      <c r="J67" s="153"/>
      <c r="K67" s="152"/>
      <c r="L67" s="195"/>
      <c r="M67" s="195"/>
      <c r="N67" s="195"/>
      <c r="O67" s="149"/>
      <c r="P67" s="153"/>
      <c r="Q67" s="149"/>
      <c r="R67" s="149"/>
      <c r="S67" s="149"/>
      <c r="T67" s="152"/>
      <c r="U67" s="153"/>
      <c r="V67" s="152"/>
      <c r="W67" s="152"/>
      <c r="X67" s="153"/>
      <c r="Y67" s="152"/>
      <c r="Z67" s="195"/>
      <c r="AA67" s="195"/>
      <c r="AB67" s="195"/>
      <c r="AC67" s="149"/>
      <c r="AD67" s="153"/>
      <c r="AE67" s="149"/>
      <c r="AF67" s="149"/>
      <c r="AG67" s="149"/>
      <c r="AH67" s="152"/>
      <c r="AI67" s="153"/>
      <c r="AJ67" s="152"/>
      <c r="AK67" s="152"/>
      <c r="AL67" s="153"/>
      <c r="AM67" s="152"/>
    </row>
    <row r="68" spans="1:39" x14ac:dyDescent="0.25">
      <c r="A68" s="148" t="s">
        <v>424</v>
      </c>
      <c r="B68" s="153"/>
      <c r="C68" s="149">
        <v>1</v>
      </c>
      <c r="D68" s="148" t="s">
        <v>426</v>
      </c>
      <c r="E68" s="149">
        <v>1</v>
      </c>
      <c r="F68" s="152">
        <f>E68*C68</f>
        <v>1</v>
      </c>
      <c r="G68" s="153"/>
      <c r="H68" s="152">
        <f>V68*K68</f>
        <v>787.5</v>
      </c>
      <c r="I68" s="152">
        <f>H68*F68</f>
        <v>787.5</v>
      </c>
      <c r="J68" s="153"/>
      <c r="K68" s="152">
        <v>0.7</v>
      </c>
      <c r="L68" s="195"/>
      <c r="M68" s="195"/>
      <c r="N68" s="195"/>
      <c r="O68" s="148" t="s">
        <v>424</v>
      </c>
      <c r="P68" s="153"/>
      <c r="Q68" s="149">
        <v>2</v>
      </c>
      <c r="R68" s="148" t="s">
        <v>426</v>
      </c>
      <c r="S68" s="149">
        <v>2</v>
      </c>
      <c r="T68" s="152">
        <f>S68*Q68</f>
        <v>4</v>
      </c>
      <c r="U68" s="153"/>
      <c r="V68" s="152">
        <f>W68/T68</f>
        <v>1125</v>
      </c>
      <c r="W68" s="152">
        <v>4500</v>
      </c>
      <c r="X68" s="153"/>
      <c r="Y68" s="152">
        <v>1</v>
      </c>
      <c r="Z68" s="195"/>
      <c r="AA68" s="195"/>
      <c r="AB68" s="195"/>
      <c r="AC68" s="148" t="s">
        <v>424</v>
      </c>
      <c r="AD68" s="153"/>
      <c r="AE68" s="149">
        <v>3</v>
      </c>
      <c r="AF68" s="148" t="s">
        <v>426</v>
      </c>
      <c r="AG68" s="149">
        <v>3</v>
      </c>
      <c r="AH68" s="152">
        <f>AG68*AE68</f>
        <v>9</v>
      </c>
      <c r="AI68" s="153"/>
      <c r="AJ68" s="152">
        <f>V68*AM68</f>
        <v>1687.5</v>
      </c>
      <c r="AK68" s="152">
        <f>AJ68*AH68</f>
        <v>15187.5</v>
      </c>
      <c r="AL68" s="153"/>
      <c r="AM68" s="152">
        <v>1.5</v>
      </c>
    </row>
    <row r="69" spans="1:39" x14ac:dyDescent="0.25">
      <c r="A69" s="149"/>
      <c r="B69" s="153"/>
      <c r="C69" s="149"/>
      <c r="D69" s="149"/>
      <c r="E69" s="149"/>
      <c r="F69" s="152"/>
      <c r="G69" s="153"/>
      <c r="H69" s="152"/>
      <c r="I69" s="152"/>
      <c r="J69" s="153"/>
      <c r="K69" s="152"/>
      <c r="L69" s="195"/>
      <c r="M69" s="195"/>
      <c r="N69" s="195"/>
      <c r="O69" s="149"/>
      <c r="P69" s="153"/>
      <c r="Q69" s="149"/>
      <c r="R69" s="149"/>
      <c r="S69" s="149"/>
      <c r="T69" s="152"/>
      <c r="U69" s="153"/>
      <c r="V69" s="152"/>
      <c r="W69" s="152"/>
      <c r="X69" s="153"/>
      <c r="Y69" s="152"/>
      <c r="Z69" s="195"/>
      <c r="AA69" s="195"/>
      <c r="AB69" s="195"/>
      <c r="AC69" s="149"/>
      <c r="AD69" s="153"/>
      <c r="AE69" s="149"/>
      <c r="AF69" s="149"/>
      <c r="AG69" s="149"/>
      <c r="AH69" s="152"/>
      <c r="AI69" s="153"/>
      <c r="AJ69" s="152"/>
      <c r="AK69" s="152"/>
      <c r="AL69" s="153"/>
      <c r="AM69" s="152"/>
    </row>
    <row r="70" spans="1:39" x14ac:dyDescent="0.25">
      <c r="A70" s="148" t="s">
        <v>456</v>
      </c>
      <c r="B70" s="153"/>
      <c r="C70" s="149">
        <v>1</v>
      </c>
      <c r="D70" s="148" t="s">
        <v>426</v>
      </c>
      <c r="E70" s="149">
        <v>1</v>
      </c>
      <c r="F70" s="152">
        <f>E70*C70</f>
        <v>1</v>
      </c>
      <c r="G70" s="153"/>
      <c r="H70" s="152">
        <f>V70*K70</f>
        <v>562.5</v>
      </c>
      <c r="I70" s="152">
        <f>H70*F70</f>
        <v>562.5</v>
      </c>
      <c r="J70" s="153"/>
      <c r="K70" s="152">
        <v>0.5</v>
      </c>
      <c r="L70" s="195"/>
      <c r="M70" s="195"/>
      <c r="N70" s="195"/>
      <c r="O70" s="149" t="s">
        <v>456</v>
      </c>
      <c r="P70" s="153"/>
      <c r="Q70" s="149">
        <v>2</v>
      </c>
      <c r="R70" s="148" t="s">
        <v>426</v>
      </c>
      <c r="S70" s="149">
        <v>2</v>
      </c>
      <c r="T70" s="152">
        <f>S70*Q70</f>
        <v>4</v>
      </c>
      <c r="U70" s="153"/>
      <c r="V70" s="152">
        <f>W70/T70</f>
        <v>1125</v>
      </c>
      <c r="W70" s="152">
        <v>4500</v>
      </c>
      <c r="X70" s="153"/>
      <c r="Y70" s="152">
        <v>1</v>
      </c>
      <c r="Z70" s="195"/>
      <c r="AA70" s="195"/>
      <c r="AB70" s="195"/>
      <c r="AC70" s="148" t="s">
        <v>456</v>
      </c>
      <c r="AD70" s="153"/>
      <c r="AE70" s="149">
        <v>3</v>
      </c>
      <c r="AF70" s="148" t="s">
        <v>426</v>
      </c>
      <c r="AG70" s="149">
        <v>3</v>
      </c>
      <c r="AH70" s="152">
        <f>AG70*AE70</f>
        <v>9</v>
      </c>
      <c r="AI70" s="153"/>
      <c r="AJ70" s="152">
        <f>V70*AM70</f>
        <v>2250</v>
      </c>
      <c r="AK70" s="152">
        <f>AJ70*AH70</f>
        <v>20250</v>
      </c>
      <c r="AL70" s="153"/>
      <c r="AM70" s="152">
        <v>2</v>
      </c>
    </row>
    <row r="71" spans="1:39" x14ac:dyDescent="0.25">
      <c r="A71" s="149"/>
      <c r="B71" s="153"/>
      <c r="C71" s="149"/>
      <c r="D71" s="149"/>
      <c r="E71" s="149"/>
      <c r="F71" s="152"/>
      <c r="G71" s="153"/>
      <c r="H71" s="152"/>
      <c r="I71" s="152"/>
      <c r="J71" s="153"/>
      <c r="K71" s="152"/>
      <c r="L71" s="195"/>
      <c r="M71" s="195"/>
      <c r="N71" s="195"/>
      <c r="O71" s="149"/>
      <c r="P71" s="153"/>
      <c r="Q71" s="149"/>
      <c r="R71" s="149"/>
      <c r="S71" s="149"/>
      <c r="T71" s="152"/>
      <c r="U71" s="153"/>
      <c r="V71" s="152"/>
      <c r="W71" s="152"/>
      <c r="X71" s="153"/>
      <c r="Y71" s="152"/>
      <c r="Z71" s="195"/>
      <c r="AA71" s="195"/>
      <c r="AB71" s="195"/>
      <c r="AC71" s="149"/>
      <c r="AD71" s="153"/>
      <c r="AE71" s="149"/>
      <c r="AF71" s="149"/>
      <c r="AG71" s="149"/>
      <c r="AH71" s="152"/>
      <c r="AI71" s="153"/>
      <c r="AJ71" s="152"/>
      <c r="AK71" s="152"/>
      <c r="AL71" s="153"/>
      <c r="AM71" s="152"/>
    </row>
    <row r="72" spans="1:39" x14ac:dyDescent="0.25">
      <c r="A72" s="149"/>
      <c r="B72" s="153"/>
      <c r="C72" s="149"/>
      <c r="D72" s="149"/>
      <c r="E72" s="149"/>
      <c r="F72" s="152"/>
      <c r="G72" s="153"/>
      <c r="H72" s="152"/>
      <c r="I72" s="152"/>
      <c r="J72" s="153"/>
      <c r="K72" s="152"/>
      <c r="L72" s="195"/>
      <c r="M72" s="195"/>
      <c r="N72" s="195"/>
      <c r="O72" s="149"/>
      <c r="P72" s="153"/>
      <c r="Q72" s="149"/>
      <c r="R72" s="149"/>
      <c r="S72" s="149"/>
      <c r="T72" s="152"/>
      <c r="U72" s="153"/>
      <c r="V72" s="152"/>
      <c r="W72" s="152"/>
      <c r="X72" s="153"/>
      <c r="Y72" s="152"/>
      <c r="Z72" s="195"/>
      <c r="AA72" s="195"/>
      <c r="AB72" s="195"/>
      <c r="AC72" s="149"/>
      <c r="AD72" s="153"/>
      <c r="AE72" s="149"/>
      <c r="AF72" s="149"/>
      <c r="AG72" s="149"/>
      <c r="AH72" s="152"/>
      <c r="AI72" s="153"/>
      <c r="AJ72" s="152"/>
      <c r="AK72" s="152"/>
      <c r="AL72" s="153"/>
      <c r="AM72" s="152"/>
    </row>
    <row r="73" spans="1:39" x14ac:dyDescent="0.25">
      <c r="A73" s="149"/>
      <c r="B73" s="153"/>
      <c r="C73" s="149"/>
      <c r="D73" s="149"/>
      <c r="E73" s="149"/>
      <c r="F73" s="152"/>
      <c r="G73" s="153"/>
      <c r="H73" s="152"/>
      <c r="I73" s="152"/>
      <c r="J73" s="153"/>
      <c r="K73" s="152"/>
      <c r="L73" s="195"/>
      <c r="M73" s="195"/>
      <c r="N73" s="195"/>
      <c r="O73" s="149"/>
      <c r="P73" s="153"/>
      <c r="Q73" s="149"/>
      <c r="R73" s="149"/>
      <c r="S73" s="149"/>
      <c r="T73" s="152"/>
      <c r="U73" s="153"/>
      <c r="V73" s="152"/>
      <c r="W73" s="152"/>
      <c r="X73" s="153"/>
      <c r="Y73" s="152"/>
      <c r="Z73" s="195"/>
      <c r="AA73" s="195"/>
      <c r="AB73" s="195"/>
      <c r="AC73" s="149"/>
      <c r="AD73" s="153"/>
      <c r="AE73" s="149"/>
      <c r="AF73" s="149"/>
      <c r="AG73" s="149"/>
      <c r="AH73" s="152"/>
      <c r="AI73" s="153"/>
      <c r="AJ73" s="152"/>
      <c r="AK73" s="152"/>
      <c r="AL73" s="153"/>
      <c r="AM73" s="152"/>
    </row>
    <row r="74" spans="1:39" x14ac:dyDescent="0.25">
      <c r="A74" s="149"/>
      <c r="B74" s="153"/>
      <c r="C74" s="149"/>
      <c r="D74" s="149"/>
      <c r="E74" s="149"/>
      <c r="F74" s="152"/>
      <c r="G74" s="153"/>
      <c r="H74" s="152"/>
      <c r="I74" s="152"/>
      <c r="J74" s="153"/>
      <c r="K74" s="152"/>
      <c r="L74" s="195"/>
      <c r="M74" s="195"/>
      <c r="N74" s="195"/>
      <c r="O74" s="149"/>
      <c r="P74" s="153"/>
      <c r="Q74" s="149"/>
      <c r="R74" s="149"/>
      <c r="S74" s="149"/>
      <c r="T74" s="152"/>
      <c r="U74" s="153"/>
      <c r="V74" s="152"/>
      <c r="W74" s="152"/>
      <c r="X74" s="153"/>
      <c r="Y74" s="152"/>
      <c r="Z74" s="195"/>
      <c r="AA74" s="195"/>
      <c r="AB74" s="195"/>
      <c r="AC74" s="149"/>
      <c r="AD74" s="153"/>
      <c r="AE74" s="149"/>
      <c r="AF74" s="149"/>
      <c r="AG74" s="149"/>
      <c r="AH74" s="152"/>
      <c r="AI74" s="153"/>
      <c r="AJ74" s="152"/>
      <c r="AK74" s="152"/>
      <c r="AL74" s="153"/>
      <c r="AM74" s="152"/>
    </row>
    <row r="75" spans="1:39" x14ac:dyDescent="0.25">
      <c r="A75" s="149"/>
      <c r="B75" s="153"/>
      <c r="C75" s="149"/>
      <c r="D75" s="149"/>
      <c r="E75" s="149"/>
      <c r="F75" s="152"/>
      <c r="G75" s="153"/>
      <c r="H75" s="152"/>
      <c r="I75" s="152"/>
      <c r="J75" s="153"/>
      <c r="K75" s="152"/>
      <c r="L75" s="195"/>
      <c r="M75" s="195"/>
      <c r="N75" s="195"/>
      <c r="O75" s="149"/>
      <c r="P75" s="153"/>
      <c r="Q75" s="149"/>
      <c r="R75" s="149"/>
      <c r="S75" s="149"/>
      <c r="T75" s="152"/>
      <c r="U75" s="153"/>
      <c r="V75" s="152"/>
      <c r="W75" s="152"/>
      <c r="X75" s="153"/>
      <c r="Y75" s="152"/>
      <c r="Z75" s="195"/>
      <c r="AA75" s="195"/>
      <c r="AB75" s="195"/>
      <c r="AC75" s="149"/>
      <c r="AD75" s="153"/>
      <c r="AE75" s="149"/>
      <c r="AF75" s="149"/>
      <c r="AG75" s="149"/>
      <c r="AH75" s="152"/>
      <c r="AI75" s="153"/>
      <c r="AJ75" s="152"/>
      <c r="AK75" s="152"/>
      <c r="AL75" s="153"/>
      <c r="AM75" s="152"/>
    </row>
  </sheetData>
  <mergeCells count="9">
    <mergeCell ref="E55:G55"/>
    <mergeCell ref="S55:U55"/>
    <mergeCell ref="AG55:AI55"/>
    <mergeCell ref="E3:G3"/>
    <mergeCell ref="S3:U3"/>
    <mergeCell ref="AG3:AI3"/>
    <mergeCell ref="E29:G29"/>
    <mergeCell ref="S29:U29"/>
    <mergeCell ref="AG29:AI2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3.2" x14ac:dyDescent="0.25"/>
  <cols>
    <col min="3" max="3" width="9.109375" customWidth="1"/>
    <col min="6" max="6" width="5.6640625" customWidth="1"/>
    <col min="7" max="7" width="11.44140625" style="173" customWidth="1"/>
    <col min="8" max="8" width="14.33203125" style="173" customWidth="1"/>
    <col min="9" max="9" width="5.6640625" customWidth="1"/>
    <col min="10" max="10" width="12.88671875" style="173" customWidth="1"/>
    <col min="11" max="11" width="14.33203125" customWidth="1"/>
    <col min="12" max="12" width="5.6640625" style="173" customWidth="1"/>
    <col min="13" max="13" width="9.109375" style="173"/>
    <col min="18" max="18" width="10.6640625" customWidth="1"/>
    <col min="19" max="20" width="9.33203125" customWidth="1"/>
  </cols>
  <sheetData>
    <row r="1" spans="1:29" x14ac:dyDescent="0.25">
      <c r="W1" s="119"/>
      <c r="Y1" s="119"/>
      <c r="Z1" s="119"/>
      <c r="AC1" s="119" t="s">
        <v>357</v>
      </c>
    </row>
    <row r="2" spans="1:29" ht="13.8" thickBot="1" x14ac:dyDescent="0.3">
      <c r="Q2" s="150"/>
      <c r="R2" s="150"/>
      <c r="S2" s="150"/>
      <c r="T2" s="150"/>
      <c r="U2" s="150"/>
      <c r="V2" s="150"/>
      <c r="W2" s="150"/>
      <c r="X2" s="150"/>
      <c r="Y2" s="150"/>
      <c r="Z2" s="150"/>
      <c r="AA2" s="150"/>
      <c r="AB2" s="150"/>
    </row>
    <row r="3" spans="1:29" ht="14.4" thickBot="1" x14ac:dyDescent="0.3">
      <c r="A3" s="144" t="s">
        <v>333</v>
      </c>
      <c r="D3" s="265" t="s">
        <v>344</v>
      </c>
      <c r="E3" s="266"/>
      <c r="F3" s="266"/>
      <c r="G3" s="266"/>
      <c r="H3" s="267"/>
      <c r="Q3" s="169" t="s">
        <v>345</v>
      </c>
      <c r="R3" s="166"/>
      <c r="S3" s="166"/>
      <c r="T3" s="166"/>
      <c r="U3" s="166"/>
      <c r="V3" s="166"/>
      <c r="W3" s="166"/>
      <c r="X3" s="166"/>
      <c r="Y3" s="166"/>
      <c r="Z3" s="166"/>
      <c r="AA3" s="150"/>
    </row>
    <row r="4" spans="1:29" x14ac:dyDescent="0.25">
      <c r="Q4" s="170"/>
      <c r="R4" s="166"/>
      <c r="S4" s="166"/>
      <c r="T4" s="166"/>
      <c r="U4" s="166"/>
      <c r="V4" s="166"/>
      <c r="W4" s="166"/>
      <c r="X4" s="166"/>
      <c r="Y4" s="166"/>
      <c r="Z4" s="166"/>
      <c r="AA4" s="150"/>
    </row>
    <row r="5" spans="1:29" x14ac:dyDescent="0.25">
      <c r="Q5" s="164"/>
      <c r="R5" s="150"/>
      <c r="S5" s="150"/>
      <c r="T5" s="150"/>
      <c r="U5" s="150"/>
      <c r="V5" s="150"/>
      <c r="W5" s="150"/>
      <c r="X5" s="150"/>
      <c r="Y5" s="150"/>
      <c r="Z5" s="150"/>
      <c r="AA5" s="150"/>
    </row>
    <row r="6" spans="1:29" x14ac:dyDescent="0.25">
      <c r="A6" s="145" t="s">
        <v>322</v>
      </c>
      <c r="B6" s="146"/>
      <c r="C6" s="147" t="s">
        <v>334</v>
      </c>
      <c r="D6" s="146"/>
      <c r="E6" s="147" t="s">
        <v>336</v>
      </c>
      <c r="F6" s="146"/>
      <c r="G6" s="174" t="s">
        <v>335</v>
      </c>
      <c r="H6" s="174" t="s">
        <v>335</v>
      </c>
      <c r="I6" s="146"/>
      <c r="J6" s="174" t="s">
        <v>335</v>
      </c>
      <c r="K6" s="174" t="s">
        <v>343</v>
      </c>
      <c r="L6" s="146"/>
      <c r="M6" s="174" t="s">
        <v>337</v>
      </c>
      <c r="N6" s="174" t="s">
        <v>338</v>
      </c>
      <c r="Q6" s="164"/>
      <c r="R6" s="268" t="s">
        <v>346</v>
      </c>
      <c r="S6" s="268"/>
      <c r="T6" s="165"/>
      <c r="V6" s="269" t="s">
        <v>358</v>
      </c>
      <c r="W6" s="269"/>
      <c r="X6" s="269"/>
      <c r="Y6" s="264" t="s">
        <v>362</v>
      </c>
      <c r="Z6" s="264"/>
      <c r="AA6" s="150"/>
    </row>
    <row r="7" spans="1:29" x14ac:dyDescent="0.25">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5">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5">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5">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5">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5">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5">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5">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5">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5">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5">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5">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5">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5">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5">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5">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5">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5">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5">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5">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5">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5">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5">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5">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5">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5">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5">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5">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5">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5">
      <c r="A36" s="149"/>
      <c r="B36" s="153"/>
      <c r="C36" s="149"/>
      <c r="D36" s="149"/>
      <c r="E36" s="152"/>
      <c r="F36" s="153"/>
      <c r="G36" s="172"/>
      <c r="H36" s="177">
        <v>0</v>
      </c>
      <c r="I36" s="153"/>
      <c r="J36" s="172">
        <f>J35+H37</f>
        <v>2735400</v>
      </c>
      <c r="K36" s="171"/>
      <c r="L36" s="153"/>
      <c r="M36" s="177">
        <v>0</v>
      </c>
      <c r="N36" s="177"/>
    </row>
    <row r="37" spans="1:28" x14ac:dyDescent="0.25">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5">
      <c r="A38" s="149"/>
      <c r="B38" s="153"/>
      <c r="C38" s="149"/>
      <c r="D38" s="149"/>
      <c r="E38" s="152"/>
      <c r="F38" s="153"/>
      <c r="G38" s="172"/>
      <c r="H38" s="172"/>
      <c r="I38" s="153"/>
      <c r="J38" s="172"/>
      <c r="K38" s="172"/>
      <c r="L38" s="153"/>
      <c r="M38" s="172"/>
      <c r="N38" s="172"/>
    </row>
    <row r="39" spans="1:28" x14ac:dyDescent="0.25">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5">
      <c r="A40" s="149"/>
      <c r="B40" s="153"/>
      <c r="C40" s="149"/>
      <c r="D40" s="149"/>
      <c r="E40" s="152"/>
      <c r="F40" s="153"/>
      <c r="G40" s="172"/>
      <c r="H40" s="177">
        <v>0</v>
      </c>
      <c r="I40" s="153"/>
      <c r="J40" s="172">
        <f>J39+H41</f>
        <v>5538300</v>
      </c>
      <c r="K40" s="172"/>
      <c r="L40" s="153"/>
      <c r="M40" s="177">
        <v>0</v>
      </c>
      <c r="N40" s="177"/>
    </row>
    <row r="41" spans="1:28" x14ac:dyDescent="0.25">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5">
      <c r="A42" s="149"/>
      <c r="B42" s="153"/>
      <c r="C42" s="149"/>
      <c r="D42" s="149"/>
      <c r="E42" s="152"/>
      <c r="F42" s="153"/>
      <c r="G42" s="172"/>
      <c r="H42" s="172"/>
      <c r="I42" s="153"/>
      <c r="J42" s="172"/>
      <c r="K42" s="172"/>
      <c r="L42" s="153"/>
      <c r="M42" s="172"/>
      <c r="N42" s="172"/>
    </row>
    <row r="43" spans="1:28" x14ac:dyDescent="0.25">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5">
      <c r="A44" s="149"/>
      <c r="B44" s="153"/>
      <c r="C44" s="149"/>
      <c r="D44" s="149"/>
      <c r="E44" s="152"/>
      <c r="F44" s="153"/>
      <c r="G44" s="172"/>
      <c r="H44" s="177">
        <v>0</v>
      </c>
      <c r="I44" s="153"/>
      <c r="J44" s="172">
        <f>J43+H45</f>
        <v>11151600</v>
      </c>
      <c r="K44" s="172"/>
      <c r="L44" s="153"/>
      <c r="M44" s="177">
        <v>0</v>
      </c>
      <c r="N44" s="177"/>
    </row>
    <row r="45" spans="1:28" x14ac:dyDescent="0.25">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5">
      <c r="A46" s="149"/>
      <c r="B46" s="153"/>
      <c r="C46" s="149"/>
      <c r="D46" s="149"/>
      <c r="E46" s="152"/>
      <c r="F46" s="153"/>
      <c r="G46" s="172"/>
      <c r="H46" s="172"/>
      <c r="I46" s="153"/>
      <c r="J46" s="172"/>
      <c r="K46" s="172"/>
      <c r="L46" s="153"/>
      <c r="M46" s="172"/>
      <c r="N46" s="172"/>
    </row>
    <row r="47" spans="1:28" x14ac:dyDescent="0.25">
      <c r="A47" s="149"/>
      <c r="B47" s="153"/>
      <c r="C47" s="149"/>
      <c r="D47" s="149"/>
      <c r="E47" s="152"/>
      <c r="F47" s="153"/>
      <c r="G47" s="172"/>
      <c r="H47" s="172"/>
      <c r="I47" s="153"/>
      <c r="J47" s="172"/>
      <c r="K47" s="172"/>
      <c r="L47" s="153"/>
      <c r="M47" s="172"/>
      <c r="N47" s="172"/>
    </row>
    <row r="48" spans="1:28" x14ac:dyDescent="0.25">
      <c r="A48" s="149"/>
      <c r="B48" s="153"/>
      <c r="C48" s="149"/>
      <c r="D48" s="149"/>
      <c r="E48" s="152"/>
      <c r="F48" s="153"/>
      <c r="G48" s="172"/>
      <c r="H48" s="172"/>
      <c r="I48" s="153"/>
      <c r="J48" s="172"/>
      <c r="K48" s="172"/>
      <c r="L48" s="153"/>
      <c r="M48" s="172"/>
      <c r="N48" s="172"/>
    </row>
    <row r="49" spans="1:15" x14ac:dyDescent="0.25">
      <c r="A49" s="149"/>
      <c r="B49" s="153"/>
      <c r="C49" s="149"/>
      <c r="D49" s="149"/>
      <c r="E49" s="152"/>
      <c r="F49" s="153"/>
      <c r="G49" s="172"/>
      <c r="H49" s="172"/>
      <c r="I49" s="153"/>
      <c r="J49" s="172"/>
      <c r="K49" s="176" t="s">
        <v>391</v>
      </c>
      <c r="L49" s="153"/>
      <c r="M49" s="172"/>
      <c r="N49" s="176" t="s">
        <v>389</v>
      </c>
    </row>
    <row r="50" spans="1:15" x14ac:dyDescent="0.25">
      <c r="A50" s="149"/>
      <c r="B50" s="153"/>
      <c r="C50" s="149"/>
      <c r="D50" s="149"/>
      <c r="E50" s="152"/>
      <c r="F50" s="153"/>
      <c r="G50" s="172"/>
      <c r="H50" s="172"/>
      <c r="I50" s="153"/>
      <c r="J50" s="172"/>
      <c r="K50" s="172">
        <f>K45</f>
        <v>21971400</v>
      </c>
      <c r="L50" s="157" t="s">
        <v>392</v>
      </c>
      <c r="M50" s="172"/>
      <c r="N50" s="172">
        <f>N45</f>
        <v>4290</v>
      </c>
    </row>
    <row r="51" spans="1:15" x14ac:dyDescent="0.25">
      <c r="A51" s="149"/>
      <c r="B51" s="153"/>
      <c r="C51" s="149"/>
      <c r="D51" s="149"/>
      <c r="E51" s="152"/>
      <c r="F51" s="153"/>
      <c r="G51" s="172"/>
      <c r="H51" s="172"/>
      <c r="I51" s="153"/>
      <c r="J51" s="172"/>
      <c r="K51" s="172">
        <f>K50/1000</f>
        <v>21971.4</v>
      </c>
      <c r="L51" s="157" t="s">
        <v>14</v>
      </c>
      <c r="M51" s="172"/>
      <c r="N51" s="172">
        <f>N50/60</f>
        <v>71.5</v>
      </c>
      <c r="O51" s="119" t="s">
        <v>390</v>
      </c>
    </row>
    <row r="52" spans="1:15" x14ac:dyDescent="0.25">
      <c r="A52" s="149"/>
      <c r="B52" s="153"/>
      <c r="C52" s="149"/>
      <c r="D52" s="149"/>
      <c r="E52" s="152"/>
      <c r="F52" s="153"/>
      <c r="G52" s="172"/>
      <c r="H52" s="172"/>
      <c r="I52" s="153"/>
      <c r="J52" s="172"/>
      <c r="K52" s="172"/>
      <c r="L52" s="153"/>
      <c r="M52" s="172"/>
      <c r="N52" s="186"/>
    </row>
    <row r="53" spans="1:15" x14ac:dyDescent="0.25">
      <c r="A53" s="149"/>
      <c r="B53" s="153"/>
      <c r="C53" s="149"/>
      <c r="D53" s="149"/>
      <c r="E53" s="152"/>
      <c r="F53" s="153"/>
      <c r="G53" s="172"/>
      <c r="H53" s="172"/>
      <c r="I53" s="153"/>
      <c r="J53" s="172"/>
      <c r="K53" s="172"/>
      <c r="L53" s="153"/>
      <c r="M53" s="172"/>
      <c r="N53" s="172"/>
    </row>
    <row r="54" spans="1:15" x14ac:dyDescent="0.25">
      <c r="A54" s="149"/>
      <c r="B54" s="153"/>
      <c r="C54" s="149"/>
      <c r="D54" s="149"/>
      <c r="E54" s="152"/>
      <c r="F54" s="153"/>
      <c r="G54" s="172"/>
      <c r="H54" s="172"/>
      <c r="I54" s="153"/>
      <c r="J54" s="172"/>
      <c r="K54" s="172">
        <f>K51/N51</f>
        <v>307.2923076923077</v>
      </c>
      <c r="L54" s="153" t="s">
        <v>394</v>
      </c>
      <c r="M54" s="172"/>
      <c r="N54" s="172"/>
    </row>
    <row r="55" spans="1:15" x14ac:dyDescent="0.25">
      <c r="A55" s="149"/>
      <c r="B55" s="153"/>
      <c r="C55" s="149"/>
      <c r="D55" s="149"/>
      <c r="E55" s="152"/>
      <c r="F55" s="153"/>
      <c r="G55" s="172"/>
      <c r="H55" s="172"/>
      <c r="I55" s="153"/>
      <c r="J55" s="172"/>
      <c r="K55" s="172">
        <f>K54/60</f>
        <v>5.1215384615384618</v>
      </c>
      <c r="L55" s="153" t="s">
        <v>395</v>
      </c>
      <c r="M55" s="172"/>
      <c r="N55" s="172"/>
    </row>
    <row r="56" spans="1:15" x14ac:dyDescent="0.25">
      <c r="A56" s="149"/>
      <c r="B56" s="153"/>
      <c r="C56" s="149"/>
      <c r="D56" s="149"/>
      <c r="E56" s="152"/>
      <c r="F56" s="153"/>
      <c r="G56" s="172"/>
      <c r="H56" s="172"/>
      <c r="I56" s="153"/>
      <c r="J56" s="172"/>
      <c r="K56" s="172"/>
      <c r="L56" s="153"/>
      <c r="M56" s="172"/>
      <c r="N56" s="172"/>
    </row>
    <row r="57" spans="1:15" x14ac:dyDescent="0.25">
      <c r="A57" s="149"/>
      <c r="B57" s="153"/>
      <c r="C57" s="149"/>
      <c r="D57" s="149"/>
      <c r="E57" s="152"/>
      <c r="F57" s="153"/>
      <c r="G57" s="172"/>
      <c r="H57" s="172"/>
      <c r="I57" s="153"/>
      <c r="J57" s="172"/>
      <c r="K57" s="172"/>
      <c r="L57" s="153"/>
      <c r="M57" s="172"/>
      <c r="N57" s="172"/>
    </row>
    <row r="58" spans="1:15" x14ac:dyDescent="0.25">
      <c r="A58" s="149"/>
      <c r="B58" s="153"/>
      <c r="C58" s="149"/>
      <c r="D58" s="149"/>
      <c r="E58" s="152"/>
      <c r="F58" s="153"/>
      <c r="G58" s="172"/>
      <c r="H58" s="172"/>
      <c r="I58" s="153"/>
      <c r="J58" s="172"/>
      <c r="K58" s="172"/>
      <c r="L58" s="153"/>
      <c r="M58" s="172"/>
      <c r="N58" s="172"/>
    </row>
    <row r="59" spans="1:15" x14ac:dyDescent="0.25">
      <c r="A59" s="149"/>
      <c r="B59" s="153"/>
      <c r="C59" s="149"/>
      <c r="D59" s="149"/>
      <c r="E59" s="152"/>
      <c r="F59" s="153"/>
      <c r="G59" s="172"/>
      <c r="H59" s="172"/>
      <c r="I59" s="153"/>
      <c r="J59" s="172"/>
      <c r="K59" s="172"/>
      <c r="L59" s="153"/>
      <c r="M59" s="172"/>
      <c r="N59" s="172"/>
    </row>
    <row r="60" spans="1:15" x14ac:dyDescent="0.25">
      <c r="A60" s="149"/>
      <c r="B60" s="153"/>
      <c r="C60" s="149"/>
      <c r="D60" s="149"/>
      <c r="E60" s="152"/>
      <c r="F60" s="153"/>
      <c r="G60" s="172"/>
      <c r="H60" s="172"/>
      <c r="I60" s="153"/>
      <c r="J60" s="172"/>
      <c r="K60" s="172"/>
      <c r="L60" s="153"/>
      <c r="M60" s="172"/>
      <c r="N60" s="172"/>
    </row>
    <row r="61" spans="1:15" x14ac:dyDescent="0.25">
      <c r="A61" s="149"/>
      <c r="B61" s="153"/>
      <c r="C61" s="149"/>
      <c r="D61" s="149"/>
      <c r="E61" s="152"/>
      <c r="F61" s="153"/>
      <c r="G61" s="172"/>
      <c r="H61" s="172"/>
      <c r="I61" s="153"/>
      <c r="J61" s="172"/>
      <c r="K61" s="172"/>
      <c r="L61" s="153"/>
      <c r="M61" s="172"/>
      <c r="N61" s="172"/>
    </row>
    <row r="62" spans="1:15" x14ac:dyDescent="0.25">
      <c r="A62" s="149"/>
      <c r="B62" s="153"/>
      <c r="C62" s="149"/>
      <c r="D62" s="149"/>
      <c r="E62" s="152"/>
      <c r="F62" s="153"/>
      <c r="G62" s="172"/>
      <c r="H62" s="172"/>
      <c r="I62" s="153"/>
      <c r="J62" s="172"/>
      <c r="K62" s="172"/>
      <c r="L62" s="153"/>
      <c r="M62" s="172"/>
      <c r="N62" s="172"/>
    </row>
    <row r="63" spans="1:15" x14ac:dyDescent="0.25">
      <c r="A63" s="149"/>
      <c r="B63" s="153"/>
      <c r="C63" s="149"/>
      <c r="D63" s="149"/>
      <c r="E63" s="152"/>
      <c r="F63" s="153"/>
      <c r="G63" s="172"/>
      <c r="H63" s="172"/>
      <c r="I63" s="153"/>
      <c r="J63" s="172"/>
      <c r="K63" s="172"/>
      <c r="L63" s="153"/>
      <c r="M63" s="172"/>
      <c r="N63" s="172"/>
    </row>
    <row r="64" spans="1:15" x14ac:dyDescent="0.25">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3.2" x14ac:dyDescent="0.25"/>
  <cols>
    <col min="1" max="1" width="18.33203125" customWidth="1"/>
    <col min="6" max="6" width="5.6640625" customWidth="1"/>
    <col min="7" max="8" width="9.109375" style="173"/>
    <col min="9" max="9" width="5.6640625" customWidth="1"/>
    <col min="10" max="10" width="9.109375" style="173"/>
    <col min="11" max="11" width="10.109375" style="173" bestFit="1" customWidth="1"/>
    <col min="12" max="12" width="5.6640625" customWidth="1"/>
    <col min="13" max="14" width="9.109375" style="173"/>
    <col min="18" max="18" width="18.33203125" customWidth="1"/>
  </cols>
  <sheetData>
    <row r="2" spans="1:27" ht="13.8" thickBot="1" x14ac:dyDescent="0.3"/>
    <row r="3" spans="1:27" ht="14.4" thickBot="1" x14ac:dyDescent="0.3">
      <c r="A3" s="144" t="s">
        <v>333</v>
      </c>
      <c r="C3" s="270" t="s">
        <v>403</v>
      </c>
      <c r="D3" s="271"/>
      <c r="E3" s="271"/>
      <c r="F3" s="271"/>
      <c r="G3" s="271"/>
      <c r="H3" s="272"/>
      <c r="Q3" s="169" t="s">
        <v>345</v>
      </c>
      <c r="R3" s="166"/>
      <c r="S3" s="166"/>
      <c r="T3" s="166"/>
      <c r="U3" s="166"/>
      <c r="V3" s="166"/>
      <c r="W3" s="166"/>
      <c r="X3" s="166"/>
      <c r="Y3" s="166"/>
      <c r="Z3" s="166"/>
    </row>
    <row r="4" spans="1:27" x14ac:dyDescent="0.25">
      <c r="A4" s="119"/>
      <c r="Q4" s="170"/>
      <c r="R4" s="166"/>
      <c r="S4" s="166"/>
      <c r="T4" s="166"/>
      <c r="U4" s="166"/>
      <c r="V4" s="166"/>
      <c r="W4" s="166"/>
      <c r="X4" s="166"/>
      <c r="Y4" s="166"/>
      <c r="Z4" s="166"/>
    </row>
    <row r="5" spans="1:27" x14ac:dyDescent="0.25">
      <c r="Q5" s="164"/>
    </row>
    <row r="6" spans="1:27" x14ac:dyDescent="0.25">
      <c r="A6" s="145" t="s">
        <v>399</v>
      </c>
      <c r="B6" s="146"/>
      <c r="C6" s="147" t="s">
        <v>334</v>
      </c>
      <c r="D6" s="146"/>
      <c r="E6" s="147" t="s">
        <v>336</v>
      </c>
      <c r="F6" s="146"/>
      <c r="G6" s="174" t="s">
        <v>335</v>
      </c>
      <c r="H6" s="174" t="s">
        <v>335</v>
      </c>
      <c r="I6" s="146"/>
      <c r="J6" s="174" t="s">
        <v>335</v>
      </c>
      <c r="K6" s="174" t="s">
        <v>343</v>
      </c>
      <c r="L6" s="146"/>
      <c r="M6" s="174" t="s">
        <v>337</v>
      </c>
      <c r="N6" s="174" t="s">
        <v>338</v>
      </c>
      <c r="Q6" s="164"/>
      <c r="R6" s="268" t="s">
        <v>346</v>
      </c>
      <c r="S6" s="268"/>
      <c r="T6" s="165"/>
      <c r="U6" s="151"/>
      <c r="W6" s="187" t="s">
        <v>358</v>
      </c>
      <c r="X6" s="187"/>
      <c r="Y6" s="187"/>
      <c r="Z6" s="136" t="s">
        <v>362</v>
      </c>
      <c r="AA6" s="136"/>
    </row>
    <row r="7" spans="1:27" x14ac:dyDescent="0.25">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5">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5">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8" thickBot="1" x14ac:dyDescent="0.3">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5">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5">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5">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5">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5">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5">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5">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5">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5">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5">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5">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5">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5">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5">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5">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5">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5">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5">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5">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5">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5">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5">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5">
      <c r="A33" s="149"/>
      <c r="B33" s="190"/>
      <c r="C33" s="148" t="s">
        <v>414</v>
      </c>
      <c r="D33" s="149"/>
      <c r="E33" s="152">
        <v>1</v>
      </c>
      <c r="F33" s="153"/>
      <c r="G33" s="207">
        <f>Y10*Z10*S21</f>
        <v>31500</v>
      </c>
      <c r="H33" s="211">
        <f>G33*E33</f>
        <v>31500</v>
      </c>
      <c r="I33" s="153"/>
      <c r="J33" s="207"/>
      <c r="K33" s="207"/>
      <c r="L33" s="153"/>
      <c r="M33" s="207">
        <f>S21</f>
        <v>140</v>
      </c>
      <c r="N33" s="207"/>
    </row>
    <row r="34" spans="1:15" x14ac:dyDescent="0.25">
      <c r="A34" s="149"/>
      <c r="B34" s="190"/>
      <c r="C34" s="149"/>
      <c r="D34" s="149"/>
      <c r="E34" s="152"/>
      <c r="F34" s="153"/>
      <c r="G34" s="207"/>
      <c r="H34" s="207">
        <f>H33+H32</f>
        <v>33750</v>
      </c>
      <c r="I34" s="153"/>
      <c r="J34" s="207"/>
      <c r="K34" s="207"/>
      <c r="L34" s="153"/>
      <c r="M34" s="211">
        <f>S13</f>
        <v>360</v>
      </c>
      <c r="N34" s="211"/>
    </row>
    <row r="35" spans="1:15" x14ac:dyDescent="0.25">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5">
      <c r="A36" s="149"/>
      <c r="B36" s="190"/>
      <c r="C36" s="149"/>
      <c r="D36" s="149"/>
      <c r="E36" s="152"/>
      <c r="F36" s="153"/>
      <c r="G36" s="207"/>
      <c r="H36" s="207"/>
      <c r="I36" s="153"/>
      <c r="J36" s="207"/>
      <c r="K36" s="207"/>
      <c r="L36" s="153"/>
      <c r="M36" s="207"/>
      <c r="N36" s="207"/>
    </row>
    <row r="37" spans="1:15" x14ac:dyDescent="0.25">
      <c r="A37" s="149"/>
      <c r="B37" s="190"/>
      <c r="C37" s="149"/>
      <c r="D37" s="149"/>
      <c r="E37" s="152"/>
      <c r="F37" s="153"/>
      <c r="G37" s="207"/>
      <c r="H37" s="207"/>
      <c r="I37" s="153"/>
      <c r="J37" s="207"/>
      <c r="K37" s="207"/>
      <c r="L37" s="153"/>
      <c r="M37" s="207"/>
      <c r="N37" s="207"/>
    </row>
    <row r="38" spans="1:15" x14ac:dyDescent="0.25">
      <c r="A38" s="149"/>
      <c r="B38" s="190"/>
      <c r="C38" s="149"/>
      <c r="D38" s="149"/>
      <c r="E38" s="152"/>
      <c r="F38" s="153"/>
      <c r="G38" s="207"/>
      <c r="H38" s="207"/>
      <c r="I38" s="153"/>
      <c r="J38" s="207"/>
      <c r="K38" s="207"/>
      <c r="L38" s="153"/>
      <c r="M38" s="207"/>
      <c r="N38" s="207"/>
    </row>
    <row r="39" spans="1:15" x14ac:dyDescent="0.25">
      <c r="A39" s="195"/>
      <c r="B39" s="195"/>
      <c r="C39" s="195"/>
      <c r="D39" s="195"/>
      <c r="E39" s="195"/>
      <c r="F39" s="195"/>
      <c r="G39" s="213"/>
      <c r="H39" s="213"/>
      <c r="I39" s="195"/>
      <c r="J39" s="213"/>
      <c r="K39" s="213"/>
      <c r="L39" s="195"/>
      <c r="M39" s="213"/>
      <c r="N39" s="213"/>
    </row>
    <row r="40" spans="1:15" x14ac:dyDescent="0.25">
      <c r="A40" s="195"/>
      <c r="B40" s="195"/>
      <c r="C40" s="195"/>
      <c r="D40" s="195"/>
      <c r="E40" s="195"/>
      <c r="F40" s="195"/>
      <c r="G40" s="213"/>
      <c r="H40" s="213"/>
      <c r="I40" s="195"/>
      <c r="J40" s="213"/>
      <c r="K40" s="213"/>
      <c r="L40" s="195"/>
      <c r="M40" s="213"/>
      <c r="N40" s="213"/>
    </row>
    <row r="41" spans="1:15" x14ac:dyDescent="0.25">
      <c r="A41" s="195"/>
      <c r="B41" s="195"/>
      <c r="C41" s="195"/>
      <c r="D41" s="195"/>
      <c r="E41" s="195"/>
      <c r="F41" s="195"/>
      <c r="G41" s="213"/>
      <c r="H41" s="213"/>
      <c r="I41" s="195"/>
      <c r="J41" s="213"/>
      <c r="K41" s="213"/>
      <c r="L41" s="195"/>
      <c r="M41" s="213"/>
      <c r="N41" s="213"/>
    </row>
    <row r="42" spans="1:15" x14ac:dyDescent="0.25">
      <c r="A42" s="195"/>
      <c r="B42" s="195"/>
      <c r="C42" s="195"/>
      <c r="D42" s="195"/>
      <c r="E42" s="195"/>
      <c r="F42" s="195"/>
      <c r="G42" s="213"/>
      <c r="H42" s="213"/>
      <c r="I42" s="195"/>
      <c r="J42" s="213"/>
      <c r="K42" s="213"/>
      <c r="L42" s="195"/>
      <c r="M42" s="213"/>
      <c r="N42" s="213"/>
    </row>
    <row r="43" spans="1:15" x14ac:dyDescent="0.25">
      <c r="A43" s="195"/>
      <c r="B43" s="195"/>
      <c r="C43" s="195"/>
      <c r="D43" s="195"/>
      <c r="E43" s="195"/>
      <c r="F43" s="195"/>
      <c r="G43" s="213"/>
      <c r="H43" s="213"/>
      <c r="I43" s="195"/>
      <c r="J43" s="213"/>
      <c r="K43" s="213"/>
      <c r="L43" s="195"/>
      <c r="M43" s="213"/>
      <c r="N43" s="213"/>
    </row>
    <row r="44" spans="1:15" x14ac:dyDescent="0.25">
      <c r="A44" s="195"/>
      <c r="B44" s="195"/>
      <c r="C44" s="195"/>
      <c r="D44" s="195"/>
      <c r="E44" s="195"/>
      <c r="F44" s="195"/>
      <c r="G44" s="213"/>
      <c r="H44" s="213"/>
      <c r="I44" s="195"/>
      <c r="J44" s="213"/>
      <c r="K44" s="213"/>
      <c r="L44" s="195"/>
      <c r="M44" s="213"/>
      <c r="N44" s="213"/>
    </row>
    <row r="45" spans="1:15" x14ac:dyDescent="0.25">
      <c r="A45" s="195"/>
      <c r="B45" s="195"/>
      <c r="C45" s="195"/>
      <c r="D45" s="195"/>
      <c r="E45" s="195"/>
      <c r="F45" s="195"/>
      <c r="G45" s="213"/>
      <c r="H45" s="213"/>
      <c r="I45" s="195"/>
      <c r="J45" s="213"/>
      <c r="K45" s="213"/>
      <c r="L45" s="195"/>
      <c r="M45" s="213"/>
      <c r="N45" s="213"/>
    </row>
    <row r="46" spans="1:15" x14ac:dyDescent="0.25">
      <c r="A46" s="195"/>
      <c r="B46" s="195"/>
      <c r="C46" s="195"/>
      <c r="D46" s="195"/>
      <c r="E46" s="195"/>
      <c r="F46" s="195"/>
      <c r="G46" s="213"/>
      <c r="H46" s="213"/>
      <c r="I46" s="195"/>
      <c r="J46" s="213"/>
      <c r="K46" s="213"/>
      <c r="L46" s="195"/>
      <c r="M46" s="213"/>
      <c r="N46" s="213"/>
    </row>
    <row r="47" spans="1:15" x14ac:dyDescent="0.25">
      <c r="A47" s="195"/>
      <c r="B47" s="195"/>
      <c r="C47" s="195"/>
      <c r="D47" s="195"/>
      <c r="E47" s="195"/>
      <c r="F47" s="195"/>
      <c r="G47" s="213"/>
      <c r="H47" s="213"/>
      <c r="I47" s="195"/>
      <c r="J47" s="213"/>
      <c r="K47" s="213"/>
      <c r="L47" s="195"/>
      <c r="M47" s="213"/>
      <c r="N47" s="213"/>
    </row>
    <row r="48" spans="1:15" x14ac:dyDescent="0.25">
      <c r="A48" s="195"/>
      <c r="B48" s="195"/>
      <c r="C48" s="195"/>
      <c r="D48" s="195"/>
      <c r="E48" s="195"/>
      <c r="F48" s="195"/>
      <c r="G48" s="213"/>
      <c r="H48" s="213"/>
      <c r="I48" s="195"/>
      <c r="J48" s="213"/>
      <c r="K48" s="213"/>
      <c r="L48" s="195"/>
      <c r="M48" s="213"/>
      <c r="N48" s="213"/>
    </row>
    <row r="49" spans="1:14" x14ac:dyDescent="0.25">
      <c r="A49" s="195"/>
      <c r="B49" s="195"/>
      <c r="C49" s="195"/>
      <c r="D49" s="195"/>
      <c r="E49" s="195"/>
      <c r="F49" s="195"/>
      <c r="G49" s="213"/>
      <c r="H49" s="213"/>
      <c r="I49" s="195"/>
      <c r="J49" s="213"/>
      <c r="K49" s="213"/>
      <c r="L49" s="195"/>
      <c r="M49" s="213"/>
      <c r="N49" s="213"/>
    </row>
    <row r="50" spans="1:14" x14ac:dyDescent="0.25">
      <c r="A50" s="195"/>
      <c r="B50" s="195"/>
      <c r="C50" s="195"/>
      <c r="D50" s="195"/>
      <c r="E50" s="195"/>
      <c r="F50" s="195"/>
      <c r="G50" s="213"/>
      <c r="H50" s="213"/>
      <c r="I50" s="195"/>
      <c r="J50" s="213"/>
      <c r="K50" s="213"/>
      <c r="L50" s="195"/>
      <c r="M50" s="213"/>
      <c r="N50" s="213"/>
    </row>
    <row r="51" spans="1:14" x14ac:dyDescent="0.25">
      <c r="A51" s="195"/>
      <c r="B51" s="195"/>
      <c r="C51" s="195"/>
      <c r="D51" s="195"/>
      <c r="E51" s="195"/>
      <c r="F51" s="195"/>
      <c r="G51" s="213"/>
      <c r="H51" s="213"/>
      <c r="I51" s="195"/>
      <c r="J51" s="213"/>
      <c r="K51" s="213"/>
      <c r="L51" s="195"/>
      <c r="M51" s="213"/>
      <c r="N51" s="213"/>
    </row>
    <row r="52" spans="1:14" x14ac:dyDescent="0.25">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4140625" defaultRowHeight="15.75" customHeight="1" x14ac:dyDescent="0.25"/>
  <cols>
    <col min="1" max="1" width="3" hidden="1" customWidth="1"/>
    <col min="2" max="2" width="20.109375" hidden="1" customWidth="1"/>
    <col min="3" max="3" width="8.33203125" hidden="1" customWidth="1"/>
    <col min="4" max="4" width="3" customWidth="1"/>
    <col min="5" max="5" width="4.44140625" customWidth="1"/>
    <col min="6" max="6" width="10.33203125" customWidth="1"/>
    <col min="7" max="7" width="8.109375" customWidth="1"/>
    <col min="8" max="8" width="4.88671875" customWidth="1"/>
    <col min="9" max="9" width="6.5546875" customWidth="1"/>
    <col min="10" max="10" width="7.6640625" customWidth="1"/>
    <col min="11" max="11" width="12.33203125" customWidth="1"/>
    <col min="12" max="12" width="10.109375" customWidth="1"/>
    <col min="13" max="13" width="8" customWidth="1"/>
    <col min="14" max="15" width="11.6640625" customWidth="1"/>
    <col min="16" max="16" width="10.6640625" customWidth="1"/>
    <col min="17" max="17" width="3" customWidth="1"/>
  </cols>
  <sheetData>
    <row r="1" spans="1:17" ht="15.75" customHeight="1" x14ac:dyDescent="0.25">
      <c r="A1" s="274"/>
      <c r="B1" s="274"/>
      <c r="C1" s="240"/>
      <c r="D1" s="274"/>
      <c r="E1" s="274"/>
      <c r="F1" s="240"/>
      <c r="G1" s="240"/>
      <c r="H1" s="240"/>
      <c r="I1" s="240"/>
      <c r="J1" s="240"/>
      <c r="K1" s="240"/>
      <c r="L1" s="240"/>
      <c r="M1" s="240"/>
      <c r="N1" s="240"/>
      <c r="O1" s="240"/>
      <c r="P1" s="240"/>
      <c r="Q1" s="274"/>
    </row>
    <row r="2" spans="1:17" ht="17.399999999999999" x14ac:dyDescent="0.3">
      <c r="A2" s="240"/>
      <c r="B2" s="273" t="s">
        <v>17</v>
      </c>
      <c r="C2" s="240"/>
      <c r="D2" s="240"/>
      <c r="E2" s="282" t="s">
        <v>20</v>
      </c>
      <c r="F2" s="240"/>
      <c r="G2" s="283" t="s">
        <v>45</v>
      </c>
      <c r="H2" s="240"/>
      <c r="I2" s="240"/>
      <c r="J2" s="240"/>
      <c r="K2" s="240"/>
      <c r="L2" s="240"/>
      <c r="M2" s="240"/>
      <c r="N2" s="240"/>
      <c r="O2" s="240"/>
      <c r="P2" s="240"/>
      <c r="Q2" s="240"/>
    </row>
    <row r="3" spans="1:17" ht="15.75" customHeight="1" x14ac:dyDescent="0.25">
      <c r="A3" s="240"/>
      <c r="B3" s="274"/>
      <c r="C3" s="240"/>
      <c r="D3" s="240"/>
      <c r="E3" s="274"/>
      <c r="F3" s="240"/>
      <c r="G3" s="240"/>
      <c r="H3" s="240"/>
      <c r="I3" s="240"/>
      <c r="J3" s="240"/>
      <c r="K3" s="240"/>
      <c r="L3" s="240"/>
      <c r="M3" s="240"/>
      <c r="N3" s="240"/>
      <c r="O3" s="240"/>
      <c r="P3" s="240"/>
      <c r="Q3" s="240"/>
    </row>
    <row r="4" spans="1:17" ht="15.6" x14ac:dyDescent="0.3">
      <c r="A4" s="240"/>
      <c r="B4" s="275"/>
      <c r="C4" s="240"/>
      <c r="D4" s="240"/>
      <c r="E4" s="281" t="s">
        <v>103</v>
      </c>
      <c r="F4" s="240"/>
      <c r="G4" s="240"/>
      <c r="H4" s="240"/>
      <c r="I4" s="240"/>
      <c r="J4" s="240"/>
      <c r="K4" s="240"/>
      <c r="L4" s="240"/>
      <c r="M4" s="240"/>
      <c r="N4" s="240"/>
      <c r="O4" s="240"/>
      <c r="P4" s="240"/>
      <c r="Q4" s="240"/>
    </row>
    <row r="5" spans="1:17" ht="15.75" customHeight="1" x14ac:dyDescent="0.25">
      <c r="A5" s="240"/>
      <c r="B5" s="11"/>
      <c r="C5" s="34"/>
      <c r="D5" s="240"/>
      <c r="E5" s="35" t="s">
        <v>104</v>
      </c>
      <c r="F5" s="35" t="s">
        <v>105</v>
      </c>
      <c r="G5" s="35" t="s">
        <v>106</v>
      </c>
      <c r="H5" s="46" t="s">
        <v>107</v>
      </c>
      <c r="I5" s="35" t="s">
        <v>109</v>
      </c>
      <c r="J5" s="35" t="s">
        <v>110</v>
      </c>
      <c r="K5" s="35" t="s">
        <v>111</v>
      </c>
      <c r="L5" s="35" t="s">
        <v>112</v>
      </c>
      <c r="M5" s="46" t="s">
        <v>113</v>
      </c>
      <c r="N5" s="46" t="s">
        <v>114</v>
      </c>
      <c r="O5" s="46" t="s">
        <v>115</v>
      </c>
      <c r="P5" s="35" t="s">
        <v>116</v>
      </c>
      <c r="Q5" s="240"/>
    </row>
    <row r="6" spans="1:17" ht="15.75" customHeight="1" x14ac:dyDescent="0.25">
      <c r="A6" s="240"/>
      <c r="B6" s="11"/>
      <c r="C6" s="34"/>
      <c r="D6" s="240"/>
      <c r="E6" s="47">
        <v>0</v>
      </c>
      <c r="F6" s="47">
        <f>60/3</f>
        <v>20</v>
      </c>
      <c r="G6" s="47">
        <v>8</v>
      </c>
      <c r="H6" s="48">
        <f>IFERROR(60/F6*G6,"")</f>
        <v>24</v>
      </c>
      <c r="I6" s="47">
        <v>15</v>
      </c>
      <c r="J6" s="47">
        <v>192</v>
      </c>
      <c r="K6" s="47">
        <v>500</v>
      </c>
      <c r="L6" s="47">
        <v>25</v>
      </c>
      <c r="M6" s="48">
        <f>L6+60/F6*J6</f>
        <v>601</v>
      </c>
      <c r="N6" s="49">
        <f>IFERROR(K6/M6*H6,"")</f>
        <v>19.966722129783694</v>
      </c>
      <c r="O6" s="49"/>
      <c r="P6" s="47">
        <v>150</v>
      </c>
      <c r="Q6" s="240"/>
    </row>
    <row r="7" spans="1:17" ht="15.75" customHeight="1" x14ac:dyDescent="0.25">
      <c r="A7" s="240"/>
      <c r="B7" s="276"/>
      <c r="C7" s="240"/>
      <c r="D7" s="240"/>
      <c r="E7" s="274"/>
      <c r="F7" s="240"/>
      <c r="G7" s="240"/>
      <c r="H7" s="240"/>
      <c r="I7" s="240"/>
      <c r="J7" s="240"/>
      <c r="K7" s="240"/>
      <c r="L7" s="240"/>
      <c r="M7" s="240"/>
      <c r="N7" s="240"/>
      <c r="O7" s="240"/>
      <c r="P7" s="240"/>
      <c r="Q7" s="240"/>
    </row>
    <row r="8" spans="1:17" ht="15.6" x14ac:dyDescent="0.3">
      <c r="A8" s="240"/>
      <c r="B8" s="275" t="s">
        <v>122</v>
      </c>
      <c r="C8" s="240"/>
      <c r="D8" s="240"/>
      <c r="E8" s="277" t="s">
        <v>123</v>
      </c>
      <c r="F8" s="240"/>
      <c r="G8" s="240"/>
      <c r="H8" s="240"/>
      <c r="I8" s="240"/>
      <c r="J8" s="240"/>
      <c r="K8" s="240"/>
      <c r="L8" s="240"/>
      <c r="M8" s="240"/>
      <c r="N8" s="240"/>
      <c r="O8" s="240"/>
      <c r="P8" s="240"/>
      <c r="Q8" s="240"/>
    </row>
    <row r="9" spans="1:17" ht="15.75" customHeight="1" x14ac:dyDescent="0.25">
      <c r="A9" s="240"/>
      <c r="B9" s="11"/>
      <c r="C9" s="54"/>
      <c r="D9" s="240"/>
      <c r="E9" s="55">
        <v>1</v>
      </c>
      <c r="F9" s="59">
        <v>1</v>
      </c>
      <c r="G9" s="59">
        <v>0.75</v>
      </c>
      <c r="H9" s="61" t="s">
        <v>146</v>
      </c>
      <c r="I9" s="59">
        <v>1</v>
      </c>
      <c r="J9" s="59">
        <v>0.75</v>
      </c>
      <c r="K9" s="59">
        <v>0.75</v>
      </c>
      <c r="L9" s="59">
        <v>0.75</v>
      </c>
      <c r="M9" s="61" t="s">
        <v>153</v>
      </c>
      <c r="N9" s="61" t="s">
        <v>154</v>
      </c>
      <c r="O9" s="61"/>
      <c r="P9" s="59">
        <v>1</v>
      </c>
      <c r="Q9" s="240"/>
    </row>
    <row r="10" spans="1:17" ht="15.75" customHeight="1" x14ac:dyDescent="0.25">
      <c r="A10" s="240"/>
      <c r="B10" s="11"/>
      <c r="C10" s="54"/>
      <c r="D10" s="240"/>
      <c r="E10" s="55">
        <v>2</v>
      </c>
      <c r="F10" s="59">
        <v>1</v>
      </c>
      <c r="G10" s="59">
        <v>1</v>
      </c>
      <c r="H10" s="61" t="s">
        <v>155</v>
      </c>
      <c r="I10" s="59">
        <v>1</v>
      </c>
      <c r="J10" s="59">
        <v>1</v>
      </c>
      <c r="K10" s="59">
        <v>1</v>
      </c>
      <c r="L10" s="59">
        <v>1</v>
      </c>
      <c r="M10" s="61" t="s">
        <v>156</v>
      </c>
      <c r="N10" s="61" t="s">
        <v>157</v>
      </c>
      <c r="O10" s="61"/>
      <c r="P10" s="59">
        <v>1.5</v>
      </c>
      <c r="Q10" s="240"/>
    </row>
    <row r="11" spans="1:17" ht="15.75" customHeight="1" x14ac:dyDescent="0.25">
      <c r="A11" s="240"/>
      <c r="B11" s="11"/>
      <c r="C11" s="54"/>
      <c r="D11" s="240"/>
      <c r="E11" s="55">
        <v>3</v>
      </c>
      <c r="F11" s="59">
        <v>1</v>
      </c>
      <c r="G11" s="59">
        <v>1.25</v>
      </c>
      <c r="H11" s="61" t="s">
        <v>158</v>
      </c>
      <c r="I11" s="59">
        <v>1</v>
      </c>
      <c r="J11" s="59">
        <v>1.25</v>
      </c>
      <c r="K11" s="59">
        <v>1.25</v>
      </c>
      <c r="L11" s="59">
        <v>1.25</v>
      </c>
      <c r="M11" s="61" t="s">
        <v>159</v>
      </c>
      <c r="N11" s="61" t="s">
        <v>160</v>
      </c>
      <c r="O11" s="61"/>
      <c r="P11" s="59">
        <v>2</v>
      </c>
      <c r="Q11" s="240"/>
    </row>
    <row r="12" spans="1:17" ht="15.75" customHeight="1" x14ac:dyDescent="0.25">
      <c r="A12" s="240"/>
      <c r="B12" s="11" t="s">
        <v>161</v>
      </c>
      <c r="C12" s="54">
        <v>1</v>
      </c>
      <c r="D12" s="240"/>
      <c r="E12" s="11" t="s">
        <v>162</v>
      </c>
      <c r="F12" s="11" t="s">
        <v>163</v>
      </c>
      <c r="G12" s="11" t="s">
        <v>164</v>
      </c>
      <c r="H12" s="63" t="s">
        <v>165</v>
      </c>
      <c r="I12" s="11" t="s">
        <v>166</v>
      </c>
      <c r="J12" s="11" t="s">
        <v>167</v>
      </c>
      <c r="K12" s="11" t="s">
        <v>168</v>
      </c>
      <c r="L12" s="11" t="s">
        <v>169</v>
      </c>
      <c r="M12" s="63" t="s">
        <v>170</v>
      </c>
      <c r="N12" s="63" t="s">
        <v>171</v>
      </c>
      <c r="O12" s="63" t="s">
        <v>172</v>
      </c>
      <c r="P12" s="11" t="s">
        <v>173</v>
      </c>
      <c r="Q12" s="240"/>
    </row>
    <row r="13" spans="1:17" ht="15.75" customHeight="1" x14ac:dyDescent="0.25">
      <c r="A13" s="240"/>
      <c r="B13" s="11" t="s">
        <v>174</v>
      </c>
      <c r="C13" s="54">
        <v>1</v>
      </c>
      <c r="D13" s="240"/>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40"/>
    </row>
    <row r="14" spans="1:17" ht="15.75" customHeight="1" x14ac:dyDescent="0.25">
      <c r="A14" s="240"/>
      <c r="B14" s="11" t="s">
        <v>176</v>
      </c>
      <c r="C14" s="54">
        <v>1</v>
      </c>
      <c r="D14" s="240"/>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40"/>
    </row>
    <row r="15" spans="1:17" ht="15.75" customHeight="1" x14ac:dyDescent="0.25">
      <c r="A15" s="240"/>
      <c r="B15" s="11"/>
      <c r="C15" s="34"/>
      <c r="D15" s="240"/>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40"/>
    </row>
    <row r="16" spans="1:17" ht="15.75" customHeight="1" x14ac:dyDescent="0.25">
      <c r="A16" s="240"/>
      <c r="B16" s="276"/>
      <c r="C16" s="240"/>
      <c r="D16" s="240"/>
      <c r="E16" s="274"/>
      <c r="F16" s="240"/>
      <c r="G16" s="240"/>
      <c r="H16" s="240"/>
      <c r="I16" s="240"/>
      <c r="J16" s="240"/>
      <c r="K16" s="240"/>
      <c r="L16" s="240"/>
      <c r="M16" s="240"/>
      <c r="N16" s="15"/>
      <c r="O16" s="15"/>
      <c r="P16" s="15"/>
      <c r="Q16" s="240"/>
    </row>
    <row r="17" spans="1:17" ht="15.6" x14ac:dyDescent="0.3">
      <c r="A17" s="240"/>
      <c r="B17" s="275" t="s">
        <v>182</v>
      </c>
      <c r="C17" s="240"/>
      <c r="D17" s="240"/>
      <c r="E17" s="279" t="s">
        <v>183</v>
      </c>
      <c r="F17" s="240"/>
      <c r="G17" s="240"/>
      <c r="H17" s="240"/>
      <c r="I17" s="240"/>
      <c r="J17" s="240"/>
      <c r="K17" s="240"/>
      <c r="L17" s="240"/>
      <c r="M17" s="240"/>
      <c r="N17" s="240"/>
      <c r="O17" s="240"/>
      <c r="P17" s="240"/>
      <c r="Q17" s="240"/>
    </row>
    <row r="18" spans="1:17" ht="15.75" customHeight="1" x14ac:dyDescent="0.25">
      <c r="A18" s="240"/>
      <c r="B18" s="11"/>
      <c r="C18" s="34"/>
      <c r="D18" s="240"/>
      <c r="E18" s="42">
        <v>1</v>
      </c>
      <c r="F18" s="78">
        <v>0.9</v>
      </c>
      <c r="G18" s="78">
        <v>1</v>
      </c>
      <c r="H18" s="80" t="s">
        <v>196</v>
      </c>
      <c r="I18" s="78">
        <v>0.3</v>
      </c>
      <c r="J18" s="78"/>
      <c r="K18" s="78"/>
      <c r="L18" s="78"/>
      <c r="M18" s="80" t="s">
        <v>197</v>
      </c>
      <c r="N18" s="80" t="s">
        <v>198</v>
      </c>
      <c r="O18" s="80"/>
      <c r="P18" s="78">
        <v>2</v>
      </c>
      <c r="Q18" s="240"/>
    </row>
    <row r="19" spans="1:17" ht="15.75" customHeight="1" x14ac:dyDescent="0.25">
      <c r="A19" s="240"/>
      <c r="B19" s="11"/>
      <c r="C19" s="34"/>
      <c r="D19" s="240"/>
      <c r="E19" s="42">
        <v>2</v>
      </c>
      <c r="F19" s="78">
        <v>0.8</v>
      </c>
      <c r="G19" s="78">
        <v>1.25</v>
      </c>
      <c r="H19" s="80" t="s">
        <v>199</v>
      </c>
      <c r="I19" s="78">
        <v>0.4</v>
      </c>
      <c r="J19" s="78"/>
      <c r="K19" s="78"/>
      <c r="L19" s="78"/>
      <c r="M19" s="80" t="s">
        <v>200</v>
      </c>
      <c r="N19" s="80" t="s">
        <v>201</v>
      </c>
      <c r="O19" s="80"/>
      <c r="P19" s="78">
        <v>3</v>
      </c>
      <c r="Q19" s="240"/>
    </row>
    <row r="20" spans="1:17" ht="15.75" customHeight="1" x14ac:dyDescent="0.25">
      <c r="A20" s="240"/>
      <c r="B20" s="11"/>
      <c r="C20" s="34"/>
      <c r="D20" s="240"/>
      <c r="E20" s="42">
        <v>3</v>
      </c>
      <c r="F20" s="78">
        <v>0.7</v>
      </c>
      <c r="G20" s="78">
        <v>1.5</v>
      </c>
      <c r="H20" s="80" t="s">
        <v>202</v>
      </c>
      <c r="I20" s="78">
        <v>0.5</v>
      </c>
      <c r="J20" s="78"/>
      <c r="K20" s="78"/>
      <c r="L20" s="78"/>
      <c r="M20" s="80" t="s">
        <v>203</v>
      </c>
      <c r="N20" s="80" t="s">
        <v>204</v>
      </c>
      <c r="O20" s="80"/>
      <c r="P20" s="78">
        <v>4</v>
      </c>
      <c r="Q20" s="240"/>
    </row>
    <row r="21" spans="1:17" ht="15.75" customHeight="1" x14ac:dyDescent="0.25">
      <c r="A21" s="240"/>
      <c r="B21" s="11"/>
      <c r="C21" s="34"/>
      <c r="D21" s="240"/>
      <c r="E21" s="20" t="s">
        <v>205</v>
      </c>
      <c r="F21" s="20" t="s">
        <v>206</v>
      </c>
      <c r="G21" s="20" t="s">
        <v>207</v>
      </c>
      <c r="H21" s="82" t="s">
        <v>208</v>
      </c>
      <c r="I21" s="20" t="s">
        <v>209</v>
      </c>
      <c r="J21" s="20" t="s">
        <v>210</v>
      </c>
      <c r="K21" s="20" t="s">
        <v>211</v>
      </c>
      <c r="L21" s="20" t="s">
        <v>212</v>
      </c>
      <c r="M21" s="82" t="s">
        <v>213</v>
      </c>
      <c r="N21" s="82" t="s">
        <v>214</v>
      </c>
      <c r="O21" s="82"/>
      <c r="P21" s="20" t="s">
        <v>215</v>
      </c>
      <c r="Q21" s="240"/>
    </row>
    <row r="22" spans="1:17" ht="15.75" customHeight="1" x14ac:dyDescent="0.25">
      <c r="A22" s="240"/>
      <c r="B22" s="11"/>
      <c r="C22" s="34"/>
      <c r="D22" s="240"/>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40"/>
    </row>
    <row r="23" spans="1:17" ht="15.75" customHeight="1" x14ac:dyDescent="0.25">
      <c r="A23" s="240"/>
      <c r="B23" s="11"/>
      <c r="C23" s="34"/>
      <c r="D23" s="240"/>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40"/>
    </row>
    <row r="24" spans="1:17" ht="15.75" customHeight="1" x14ac:dyDescent="0.25">
      <c r="A24" s="240"/>
      <c r="B24" s="11"/>
      <c r="C24" s="34"/>
      <c r="D24" s="240"/>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40"/>
    </row>
    <row r="25" spans="1:17" ht="15.75" customHeight="1" x14ac:dyDescent="0.25">
      <c r="A25" s="240"/>
      <c r="B25" s="276"/>
      <c r="C25" s="240"/>
      <c r="D25" s="240"/>
      <c r="E25" s="274"/>
      <c r="F25" s="240"/>
      <c r="G25" s="240"/>
      <c r="H25" s="240"/>
      <c r="I25" s="240"/>
      <c r="J25" s="240"/>
      <c r="K25" s="240"/>
      <c r="L25" s="240"/>
      <c r="M25" s="240"/>
      <c r="N25" s="15"/>
      <c r="O25" s="15"/>
      <c r="P25" s="15"/>
      <c r="Q25" s="240"/>
    </row>
    <row r="26" spans="1:17" ht="15.6" x14ac:dyDescent="0.3">
      <c r="A26" s="240"/>
      <c r="B26" s="275" t="s">
        <v>216</v>
      </c>
      <c r="C26" s="240"/>
      <c r="D26" s="240"/>
      <c r="E26" s="280" t="s">
        <v>217</v>
      </c>
      <c r="F26" s="240"/>
      <c r="G26" s="240"/>
      <c r="H26" s="240"/>
      <c r="I26" s="240"/>
      <c r="J26" s="240"/>
      <c r="K26" s="240"/>
      <c r="L26" s="240"/>
      <c r="M26" s="240"/>
      <c r="N26" s="240"/>
      <c r="O26" s="240"/>
      <c r="P26" s="240"/>
      <c r="Q26" s="240"/>
    </row>
    <row r="27" spans="1:17" ht="15.75" customHeight="1" x14ac:dyDescent="0.25">
      <c r="A27" s="240"/>
      <c r="B27" s="11"/>
      <c r="C27" s="34"/>
      <c r="D27" s="240"/>
      <c r="E27" s="72">
        <v>1</v>
      </c>
      <c r="F27" s="91">
        <v>1</v>
      </c>
      <c r="G27" s="91"/>
      <c r="H27" s="92" t="s">
        <v>218</v>
      </c>
      <c r="I27" s="91"/>
      <c r="J27" s="91"/>
      <c r="K27" s="91"/>
      <c r="L27" s="91"/>
      <c r="M27" s="92" t="s">
        <v>219</v>
      </c>
      <c r="N27" s="92" t="s">
        <v>220</v>
      </c>
      <c r="O27" s="92"/>
      <c r="P27" s="91"/>
      <c r="Q27" s="240"/>
    </row>
    <row r="28" spans="1:17" ht="15.75" customHeight="1" x14ac:dyDescent="0.25">
      <c r="A28" s="240"/>
      <c r="B28" s="11"/>
      <c r="C28" s="34"/>
      <c r="D28" s="240"/>
      <c r="E28" s="72">
        <v>2</v>
      </c>
      <c r="F28" s="91">
        <v>1</v>
      </c>
      <c r="G28" s="91"/>
      <c r="H28" s="92" t="s">
        <v>221</v>
      </c>
      <c r="I28" s="91"/>
      <c r="J28" s="91"/>
      <c r="K28" s="91"/>
      <c r="L28" s="91"/>
      <c r="M28" s="92" t="s">
        <v>222</v>
      </c>
      <c r="N28" s="92" t="s">
        <v>223</v>
      </c>
      <c r="O28" s="92"/>
      <c r="P28" s="91"/>
      <c r="Q28" s="240"/>
    </row>
    <row r="29" spans="1:17" ht="15.75" customHeight="1" x14ac:dyDescent="0.25">
      <c r="A29" s="240"/>
      <c r="B29" s="11"/>
      <c r="C29" s="34"/>
      <c r="D29" s="240"/>
      <c r="E29" s="72">
        <v>3</v>
      </c>
      <c r="F29" s="91">
        <v>1</v>
      </c>
      <c r="G29" s="91"/>
      <c r="H29" s="92" t="s">
        <v>224</v>
      </c>
      <c r="I29" s="91"/>
      <c r="J29" s="91"/>
      <c r="K29" s="91"/>
      <c r="L29" s="91"/>
      <c r="M29" s="92" t="s">
        <v>225</v>
      </c>
      <c r="N29" s="92" t="s">
        <v>226</v>
      </c>
      <c r="O29" s="92"/>
      <c r="P29" s="91"/>
      <c r="Q29" s="240"/>
    </row>
    <row r="30" spans="1:17" ht="15.75" customHeight="1" x14ac:dyDescent="0.25">
      <c r="A30" s="240"/>
      <c r="B30" s="11"/>
      <c r="C30" s="34"/>
      <c r="D30" s="240"/>
      <c r="E30" s="3" t="s">
        <v>227</v>
      </c>
      <c r="F30" s="3" t="s">
        <v>228</v>
      </c>
      <c r="G30" s="3" t="s">
        <v>229</v>
      </c>
      <c r="H30" s="93" t="s">
        <v>230</v>
      </c>
      <c r="I30" s="3" t="s">
        <v>231</v>
      </c>
      <c r="J30" s="3" t="s">
        <v>232</v>
      </c>
      <c r="K30" s="3" t="s">
        <v>233</v>
      </c>
      <c r="L30" s="3" t="s">
        <v>234</v>
      </c>
      <c r="M30" s="93" t="s">
        <v>235</v>
      </c>
      <c r="N30" s="93" t="s">
        <v>236</v>
      </c>
      <c r="O30" s="93"/>
      <c r="P30" s="3" t="s">
        <v>237</v>
      </c>
      <c r="Q30" s="240"/>
    </row>
    <row r="31" spans="1:17" ht="15.75" customHeight="1" x14ac:dyDescent="0.25">
      <c r="A31" s="240"/>
      <c r="B31" s="11"/>
      <c r="C31" s="34"/>
      <c r="D31" s="240"/>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40"/>
    </row>
    <row r="32" spans="1:17" ht="15.75" customHeight="1" x14ac:dyDescent="0.25">
      <c r="A32" s="240"/>
      <c r="B32" s="11"/>
      <c r="C32" s="34"/>
      <c r="D32" s="240"/>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40"/>
    </row>
    <row r="33" spans="1:17" ht="15.75" customHeight="1" x14ac:dyDescent="0.25">
      <c r="A33" s="240"/>
      <c r="B33" s="11"/>
      <c r="C33" s="34"/>
      <c r="D33" s="240"/>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40"/>
    </row>
    <row r="34" spans="1:17" ht="15.75" customHeight="1" x14ac:dyDescent="0.25">
      <c r="A34" s="240"/>
      <c r="B34" s="276"/>
      <c r="C34" s="240"/>
      <c r="D34" s="240"/>
      <c r="E34" s="274"/>
      <c r="F34" s="240"/>
      <c r="G34" s="240"/>
      <c r="H34" s="240"/>
      <c r="I34" s="240"/>
      <c r="J34" s="240"/>
      <c r="K34" s="240"/>
      <c r="L34" s="240"/>
      <c r="M34" s="240"/>
      <c r="N34" s="15"/>
      <c r="O34" s="15"/>
      <c r="P34" s="15"/>
      <c r="Q34" s="240"/>
    </row>
    <row r="35" spans="1:17" ht="15.6" x14ac:dyDescent="0.3">
      <c r="A35" s="240"/>
      <c r="B35" s="275" t="s">
        <v>246</v>
      </c>
      <c r="C35" s="240"/>
      <c r="D35" s="240"/>
      <c r="E35" s="278" t="s">
        <v>247</v>
      </c>
      <c r="F35" s="240"/>
      <c r="G35" s="240"/>
      <c r="H35" s="240"/>
      <c r="I35" s="240"/>
      <c r="J35" s="240"/>
      <c r="K35" s="240"/>
      <c r="L35" s="240"/>
      <c r="M35" s="240"/>
      <c r="N35" s="240"/>
      <c r="O35" s="240"/>
      <c r="P35" s="240"/>
      <c r="Q35" s="240"/>
    </row>
    <row r="36" spans="1:17" ht="15.75" customHeight="1" x14ac:dyDescent="0.25">
      <c r="A36" s="240"/>
      <c r="B36" s="11"/>
      <c r="C36" s="34"/>
      <c r="D36" s="240"/>
      <c r="E36" s="102">
        <v>1</v>
      </c>
      <c r="F36" s="103">
        <v>1</v>
      </c>
      <c r="G36" s="103"/>
      <c r="H36" s="104" t="s">
        <v>248</v>
      </c>
      <c r="I36" s="103"/>
      <c r="J36" s="103"/>
      <c r="K36" s="103"/>
      <c r="L36" s="103"/>
      <c r="M36" s="104" t="s">
        <v>249</v>
      </c>
      <c r="N36" s="104" t="s">
        <v>250</v>
      </c>
      <c r="O36" s="104"/>
      <c r="P36" s="103"/>
      <c r="Q36" s="240"/>
    </row>
    <row r="37" spans="1:17" ht="15.75" customHeight="1" x14ac:dyDescent="0.25">
      <c r="A37" s="240"/>
      <c r="B37" s="11"/>
      <c r="C37" s="34"/>
      <c r="D37" s="240"/>
      <c r="E37" s="102">
        <v>2</v>
      </c>
      <c r="F37" s="103">
        <v>1</v>
      </c>
      <c r="G37" s="103"/>
      <c r="H37" s="104" t="s">
        <v>251</v>
      </c>
      <c r="I37" s="103"/>
      <c r="J37" s="103"/>
      <c r="K37" s="103"/>
      <c r="L37" s="103"/>
      <c r="M37" s="104" t="s">
        <v>252</v>
      </c>
      <c r="N37" s="104" t="s">
        <v>253</v>
      </c>
      <c r="O37" s="104"/>
      <c r="P37" s="103"/>
      <c r="Q37" s="240"/>
    </row>
    <row r="38" spans="1:17" ht="13.2" x14ac:dyDescent="0.25">
      <c r="A38" s="240"/>
      <c r="B38" s="11"/>
      <c r="C38" s="34"/>
      <c r="D38" s="240"/>
      <c r="E38" s="102">
        <v>3</v>
      </c>
      <c r="F38" s="103">
        <v>1</v>
      </c>
      <c r="G38" s="103"/>
      <c r="H38" s="104" t="s">
        <v>254</v>
      </c>
      <c r="I38" s="103"/>
      <c r="J38" s="103"/>
      <c r="K38" s="103"/>
      <c r="L38" s="103"/>
      <c r="M38" s="104" t="s">
        <v>255</v>
      </c>
      <c r="N38" s="104" t="s">
        <v>256</v>
      </c>
      <c r="O38" s="104"/>
      <c r="P38" s="103"/>
      <c r="Q38" s="240"/>
    </row>
    <row r="39" spans="1:17" ht="13.2" x14ac:dyDescent="0.25">
      <c r="A39" s="240"/>
      <c r="B39" s="11"/>
      <c r="C39" s="34"/>
      <c r="D39" s="240"/>
      <c r="E39" s="105" t="s">
        <v>257</v>
      </c>
      <c r="F39" s="105" t="s">
        <v>259</v>
      </c>
      <c r="G39" s="105" t="s">
        <v>260</v>
      </c>
      <c r="H39" s="107" t="s">
        <v>261</v>
      </c>
      <c r="I39" s="105" t="s">
        <v>264</v>
      </c>
      <c r="J39" s="105" t="s">
        <v>265</v>
      </c>
      <c r="K39" s="105" t="s">
        <v>266</v>
      </c>
      <c r="L39" s="105" t="s">
        <v>267</v>
      </c>
      <c r="M39" s="107" t="s">
        <v>268</v>
      </c>
      <c r="N39" s="107" t="s">
        <v>269</v>
      </c>
      <c r="O39" s="107"/>
      <c r="P39" s="105" t="s">
        <v>270</v>
      </c>
      <c r="Q39" s="240"/>
    </row>
    <row r="40" spans="1:17" ht="13.2" x14ac:dyDescent="0.25">
      <c r="A40" s="240"/>
      <c r="B40" s="11"/>
      <c r="C40" s="34"/>
      <c r="D40" s="240"/>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40"/>
    </row>
    <row r="41" spans="1:17" ht="13.2" x14ac:dyDescent="0.25">
      <c r="A41" s="240"/>
      <c r="B41" s="11"/>
      <c r="C41" s="34"/>
      <c r="D41" s="240"/>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40"/>
    </row>
    <row r="42" spans="1:17" ht="13.2" x14ac:dyDescent="0.25">
      <c r="A42" s="240"/>
      <c r="B42" s="11"/>
      <c r="C42" s="34"/>
      <c r="D42" s="240"/>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40"/>
    </row>
    <row r="43" spans="1:17" ht="13.2" x14ac:dyDescent="0.25">
      <c r="A43" s="240"/>
      <c r="B43" s="15"/>
      <c r="C43" s="15"/>
      <c r="D43" s="240"/>
      <c r="E43" s="15"/>
      <c r="F43" s="15"/>
      <c r="G43" s="15"/>
      <c r="H43" s="15"/>
      <c r="I43" s="15"/>
      <c r="J43" s="15"/>
      <c r="K43" s="15"/>
      <c r="L43" s="15"/>
      <c r="M43" s="15"/>
      <c r="N43" s="15"/>
      <c r="O43" s="15"/>
      <c r="P43" s="15"/>
      <c r="Q43" s="240"/>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ColWidth="9.109375" defaultRowHeight="13.2" x14ac:dyDescent="0.25"/>
  <cols>
    <col min="1" max="1" width="14.44140625" style="116" customWidth="1"/>
    <col min="2" max="2" width="16.88671875" style="116" customWidth="1"/>
    <col min="3" max="16384" width="9.109375" style="116"/>
  </cols>
  <sheetData>
    <row r="26" spans="1:3" ht="13.8" x14ac:dyDescent="0.25">
      <c r="A26" s="257" t="s">
        <v>117</v>
      </c>
      <c r="B26" s="240"/>
      <c r="C26" s="240"/>
    </row>
    <row r="27" spans="1:3" x14ac:dyDescent="0.25">
      <c r="A27" s="256"/>
      <c r="B27" s="240"/>
      <c r="C27" s="50"/>
    </row>
    <row r="28" spans="1:3" x14ac:dyDescent="0.25">
      <c r="A28" s="256"/>
      <c r="B28" s="240"/>
      <c r="C28" s="51"/>
    </row>
    <row r="29" spans="1:3" x14ac:dyDescent="0.25">
      <c r="A29" s="256"/>
      <c r="B29" s="240"/>
      <c r="C29" s="121"/>
    </row>
    <row r="30" spans="1:3" x14ac:dyDescent="0.25">
      <c r="A30" s="256"/>
      <c r="B30" s="240"/>
      <c r="C30" s="53"/>
    </row>
    <row r="31" spans="1:3" x14ac:dyDescent="0.25">
      <c r="A31" s="256"/>
      <c r="B31" s="240"/>
      <c r="C31" s="53"/>
    </row>
    <row r="32" spans="1:3" x14ac:dyDescent="0.25">
      <c r="A32" s="254"/>
      <c r="B32" s="240"/>
      <c r="C32" s="121"/>
    </row>
    <row r="33" spans="1:3" x14ac:dyDescent="0.25">
      <c r="A33" s="253"/>
      <c r="B33" s="240"/>
      <c r="C33" s="53"/>
    </row>
    <row r="34" spans="1:3" x14ac:dyDescent="0.25">
      <c r="A34" s="253"/>
      <c r="B34" s="240"/>
      <c r="C34" s="53"/>
    </row>
    <row r="35" spans="1:3" x14ac:dyDescent="0.25">
      <c r="A35" s="253"/>
      <c r="B35" s="240"/>
      <c r="C35" s="53"/>
    </row>
    <row r="36" spans="1:3" x14ac:dyDescent="0.25">
      <c r="A36" s="253"/>
      <c r="B36" s="240"/>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Modules</vt:lpstr>
      <vt:lpstr>Steam</vt:lpstr>
      <vt:lpstr>Solar Panels</vt:lpstr>
      <vt:lpstr>Solar (Magic)</vt:lpstr>
      <vt:lpstr>Accumulators (Magic)</vt:lpstr>
      <vt:lpstr>Nuclear Fuel</vt:lpstr>
      <vt:lpstr>Membranes</vt:lpstr>
      <vt:lpstr>Laser Turrets</vt:lpstr>
      <vt:lpstr>Empty Sheet</vt:lpstr>
      <vt:lpstr>Msc2</vt:lpstr>
      <vt:lpstr>Enemies Spawn Chance</vt:lpstr>
      <vt:lpstr>Gems</vt:lpstr>
      <vt:lpstr>Spawners</vt:lpstr>
      <vt:lpstr>Msc</vt:lpstr>
      <vt:lpstr>Dytech Balance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modified xsi:type="dcterms:W3CDTF">2015-09-25T16:15:35Z</dcterms:modified>
</cp:coreProperties>
</file>